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ott\Documents\PhD Project\Manufacture\Alloy Casting\"/>
    </mc:Choice>
  </mc:AlternateContent>
  <bookViews>
    <workbookView xWindow="0" yWindow="0" windowWidth="14370" windowHeight="10410" activeTab="2"/>
  </bookViews>
  <sheets>
    <sheet name="Elements Data" sheetId="4" r:id="rId1"/>
    <sheet name="Lab Print" sheetId="19" r:id="rId2"/>
    <sheet name="Charge 20" sheetId="13" r:id="rId3"/>
    <sheet name="A" sheetId="14" r:id="rId4"/>
    <sheet name="B" sheetId="15" r:id="rId5"/>
    <sheet name="C" sheetId="16" r:id="rId6"/>
    <sheet name="D" sheetId="17" r:id="rId7"/>
    <sheet name="E" sheetId="18" r:id="rId8"/>
  </sheets>
  <definedNames>
    <definedName name="_xlnm._FilterDatabase" localSheetId="3" hidden="1">A!$A$1:$C$1</definedName>
    <definedName name="_xlnm._FilterDatabase" localSheetId="4" hidden="1">B!$A$1:$C$1</definedName>
    <definedName name="_xlnm._FilterDatabase" localSheetId="5" hidden="1">'C'!$A$1:$C$1</definedName>
    <definedName name="_xlnm._FilterDatabase" localSheetId="2" hidden="1">'Charge 20'!#REF!</definedName>
    <definedName name="_xlnm._FilterDatabase" localSheetId="6" hidden="1">D!$A$1:$C$1</definedName>
    <definedName name="_xlnm._FilterDatabase" localSheetId="7" hidden="1">E!$A$1:$C$1</definedName>
    <definedName name="_xlnm._FilterDatabase" localSheetId="0" hidden="1">'Elements Data'!$A$1:$K$48</definedName>
    <definedName name="solver_adj" localSheetId="3" hidden="1">A!$B$2:$B$51</definedName>
    <definedName name="solver_adj" localSheetId="4" hidden="1">B!$B$2:$B$51</definedName>
    <definedName name="solver_adj" localSheetId="5" hidden="1">'C'!$B$2:$B$51</definedName>
    <definedName name="solver_adj" localSheetId="6" hidden="1">D!$B$2:$B$51</definedName>
    <definedName name="solver_adj" localSheetId="7" hidden="1">E!$B$2:$B$51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lhs1" localSheetId="3" hidden="1">A!$B$2:$B$51</definedName>
    <definedName name="solver_lhs1" localSheetId="4" hidden="1">B!$B$2:$B$51</definedName>
    <definedName name="solver_lhs1" localSheetId="5" hidden="1">'C'!$B$2:$B$51</definedName>
    <definedName name="solver_lhs1" localSheetId="6" hidden="1">D!$B$2:$B$51</definedName>
    <definedName name="solver_lhs1" localSheetId="7" hidden="1">E!$B$2:$B$51</definedName>
    <definedName name="solver_lhs2" localSheetId="3" hidden="1">A!$B$2:$B$51</definedName>
    <definedName name="solver_lhs2" localSheetId="4" hidden="1">B!$B$2:$B$51</definedName>
    <definedName name="solver_lhs2" localSheetId="5" hidden="1">'C'!$B$2:$B$51</definedName>
    <definedName name="solver_lhs2" localSheetId="6" hidden="1">D!$B$2:$B$51</definedName>
    <definedName name="solver_lhs2" localSheetId="7" hidden="1">E!$B$2:$B$51</definedName>
    <definedName name="solver_lhs3" localSheetId="3" hidden="1">A!$B$2:$B$51</definedName>
    <definedName name="solver_lhs3" localSheetId="4" hidden="1">B!$B$2:$B$51</definedName>
    <definedName name="solver_lhs3" localSheetId="5" hidden="1">'C'!$B$2:$B$51</definedName>
    <definedName name="solver_lhs3" localSheetId="6" hidden="1">D!$B$2:$B$51</definedName>
    <definedName name="solver_lhs3" localSheetId="7" hidden="1">E!$B$2:$B$51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um" localSheetId="6" hidden="1">3</definedName>
    <definedName name="solver_num" localSheetId="7" hidden="1">3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3" hidden="1">A!$F$4</definedName>
    <definedName name="solver_opt" localSheetId="4" hidden="1">B!$F$4</definedName>
    <definedName name="solver_opt" localSheetId="5" hidden="1">'C'!$F$4</definedName>
    <definedName name="solver_opt" localSheetId="6" hidden="1">D!$F$4</definedName>
    <definedName name="solver_opt" localSheetId="7" hidden="1">E!$F$4</definedName>
    <definedName name="solver_pre" localSheetId="3" hidden="1">0.001</definedName>
    <definedName name="solver_pre" localSheetId="4" hidden="1">0.001</definedName>
    <definedName name="solver_pre" localSheetId="5" hidden="1">0.001</definedName>
    <definedName name="solver_pre" localSheetId="6" hidden="1">0.001</definedName>
    <definedName name="solver_pre" localSheetId="7" hidden="1">0.001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1" localSheetId="7" hidden="1">1</definedName>
    <definedName name="solver_rel2" localSheetId="3" hidden="1">4</definedName>
    <definedName name="solver_rel2" localSheetId="4" hidden="1">4</definedName>
    <definedName name="solver_rel2" localSheetId="5" hidden="1">4</definedName>
    <definedName name="solver_rel2" localSheetId="6" hidden="1">4</definedName>
    <definedName name="solver_rel2" localSheetId="7" hidden="1">4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el3" localSheetId="6" hidden="1">3</definedName>
    <definedName name="solver_rel3" localSheetId="7" hidden="1">3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1" localSheetId="6" hidden="1">1</definedName>
    <definedName name="solver_rhs1" localSheetId="7" hidden="1">1</definedName>
    <definedName name="solver_rhs2" localSheetId="3" hidden="1">integer</definedName>
    <definedName name="solver_rhs2" localSheetId="4" hidden="1">integer</definedName>
    <definedName name="solver_rhs2" localSheetId="5" hidden="1">integer</definedName>
    <definedName name="solver_rhs2" localSheetId="6" hidden="1">integer</definedName>
    <definedName name="solver_rhs2" localSheetId="7" hidden="1">integer</definedName>
    <definedName name="solver_rhs3" localSheetId="3" hidden="1">0</definedName>
    <definedName name="solver_rhs3" localSheetId="4" hidden="1">0</definedName>
    <definedName name="solver_rhs3" localSheetId="5" hidden="1">0</definedName>
    <definedName name="solver_rhs3" localSheetId="6" hidden="1">0</definedName>
    <definedName name="solver_rhs3" localSheetId="7" hidden="1">0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yp" localSheetId="3" hidden="1">3</definedName>
    <definedName name="solver_typ" localSheetId="4" hidden="1">3</definedName>
    <definedName name="solver_typ" localSheetId="5" hidden="1">3</definedName>
    <definedName name="solver_typ" localSheetId="6" hidden="1">3</definedName>
    <definedName name="solver_typ" localSheetId="7" hidden="1">3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6" l="1"/>
  <c r="D7" i="19" l="1"/>
  <c r="E7" i="19"/>
  <c r="F7" i="19"/>
  <c r="D8" i="19"/>
  <c r="E8" i="19"/>
  <c r="F8" i="19"/>
  <c r="D9" i="19"/>
  <c r="E9" i="19"/>
  <c r="F9" i="19"/>
  <c r="D10" i="19"/>
  <c r="E10" i="19"/>
  <c r="F10" i="19"/>
  <c r="G10" i="19" s="1"/>
  <c r="D11" i="19"/>
  <c r="E11" i="19"/>
  <c r="F11" i="19"/>
  <c r="D12" i="19"/>
  <c r="E12" i="19"/>
  <c r="F12" i="19"/>
  <c r="D13" i="19"/>
  <c r="E13" i="19"/>
  <c r="F13" i="19"/>
  <c r="D14" i="19"/>
  <c r="E14" i="19"/>
  <c r="F14" i="19"/>
  <c r="D15" i="19"/>
  <c r="E15" i="19"/>
  <c r="F15" i="19"/>
  <c r="D16" i="19"/>
  <c r="E16" i="19"/>
  <c r="F16" i="19"/>
  <c r="D17" i="19"/>
  <c r="E17" i="19"/>
  <c r="F17" i="19"/>
  <c r="D18" i="19"/>
  <c r="E18" i="19"/>
  <c r="F18" i="19"/>
  <c r="D19" i="19"/>
  <c r="E19" i="19"/>
  <c r="F19" i="19"/>
  <c r="D20" i="19"/>
  <c r="E20" i="19"/>
  <c r="F20" i="19"/>
  <c r="F6" i="19"/>
  <c r="E6" i="19"/>
  <c r="G9" i="19"/>
  <c r="R9" i="13" l="1"/>
  <c r="X5" i="13"/>
  <c r="X6" i="13"/>
  <c r="X7" i="13"/>
  <c r="X8" i="13"/>
  <c r="X4" i="13"/>
  <c r="T3" i="13"/>
  <c r="U3" i="13"/>
  <c r="V3" i="13"/>
  <c r="W3" i="13"/>
  <c r="X3" i="13"/>
  <c r="Y3" i="13"/>
  <c r="Z3" i="13"/>
  <c r="AA3" i="13"/>
  <c r="AB3" i="13"/>
  <c r="S3" i="13"/>
  <c r="Q3" i="13"/>
  <c r="X9" i="13" l="1"/>
  <c r="Q9" i="13"/>
  <c r="A3" i="13"/>
  <c r="H11" i="19" l="1"/>
  <c r="A2" i="19"/>
  <c r="A1" i="19" l="1"/>
  <c r="F4" i="19"/>
  <c r="H10" i="19" s="1"/>
  <c r="E4" i="19"/>
  <c r="H9" i="19" s="1"/>
  <c r="D4" i="19"/>
  <c r="H8" i="19" s="1"/>
  <c r="C4" i="19"/>
  <c r="H7" i="19" s="1"/>
  <c r="B4" i="19"/>
  <c r="H6" i="19" s="1"/>
  <c r="W5" i="13" l="1"/>
  <c r="W6" i="13"/>
  <c r="W7" i="13"/>
  <c r="W8" i="13"/>
  <c r="W4" i="13"/>
  <c r="Y4" i="13"/>
  <c r="C8" i="18" l="1"/>
  <c r="C10" i="18"/>
  <c r="C12" i="18"/>
  <c r="C14" i="18"/>
  <c r="C15" i="18"/>
  <c r="C17" i="18"/>
  <c r="C19" i="18"/>
  <c r="C3" i="18"/>
  <c r="C22" i="18"/>
  <c r="C24" i="18"/>
  <c r="C25" i="18"/>
  <c r="C27" i="18"/>
  <c r="C28" i="18"/>
  <c r="C6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5" i="18"/>
  <c r="C26" i="18"/>
  <c r="C4" i="18"/>
  <c r="C23" i="18"/>
  <c r="C21" i="18"/>
  <c r="C20" i="18"/>
  <c r="C18" i="18"/>
  <c r="C16" i="18"/>
  <c r="C2" i="18"/>
  <c r="C13" i="18"/>
  <c r="C11" i="18"/>
  <c r="C9" i="18"/>
  <c r="C7" i="18"/>
  <c r="D2" i="18" l="1"/>
  <c r="F3" i="18"/>
  <c r="C27" i="17"/>
  <c r="C14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16" i="17"/>
  <c r="C17" i="17"/>
  <c r="C2" i="17"/>
  <c r="N17" i="13" s="1"/>
  <c r="C3" i="17"/>
  <c r="C4" i="17"/>
  <c r="C5" i="17"/>
  <c r="C18" i="17"/>
  <c r="C6" i="17"/>
  <c r="C7" i="17"/>
  <c r="C8" i="17"/>
  <c r="C19" i="17"/>
  <c r="C20" i="17"/>
  <c r="N26" i="13" s="1"/>
  <c r="C9" i="17"/>
  <c r="C21" i="17"/>
  <c r="C10" i="17"/>
  <c r="C11" i="17"/>
  <c r="C12" i="17"/>
  <c r="C22" i="17"/>
  <c r="C23" i="17"/>
  <c r="C13" i="17"/>
  <c r="C24" i="17"/>
  <c r="C25" i="17"/>
  <c r="C26" i="17"/>
  <c r="C15" i="17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6" i="16"/>
  <c r="C7" i="16"/>
  <c r="C8" i="16"/>
  <c r="C9" i="16"/>
  <c r="C10" i="16"/>
  <c r="C11" i="16"/>
  <c r="C12" i="16"/>
  <c r="C13" i="16"/>
  <c r="C16" i="16"/>
  <c r="C17" i="16"/>
  <c r="C18" i="16"/>
  <c r="C19" i="16"/>
  <c r="C20" i="16"/>
  <c r="C21" i="16"/>
  <c r="C22" i="16"/>
  <c r="C23" i="16"/>
  <c r="C4" i="16"/>
  <c r="C3" i="16"/>
  <c r="C5" i="16"/>
  <c r="C24" i="16"/>
  <c r="C15" i="16"/>
  <c r="C14" i="16"/>
  <c r="C28" i="16"/>
  <c r="C26" i="16"/>
  <c r="C27" i="16"/>
  <c r="C25" i="16"/>
  <c r="C20" i="15"/>
  <c r="C30" i="15"/>
  <c r="C6" i="15"/>
  <c r="C3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12" i="15"/>
  <c r="C9" i="15"/>
  <c r="C32" i="15"/>
  <c r="C21" i="15"/>
  <c r="C19" i="15"/>
  <c r="C10" i="15"/>
  <c r="C26" i="15"/>
  <c r="C15" i="15"/>
  <c r="C16" i="15"/>
  <c r="C18" i="15"/>
  <c r="C17" i="15"/>
  <c r="C8" i="15"/>
  <c r="C24" i="15"/>
  <c r="C29" i="15"/>
  <c r="C14" i="15"/>
  <c r="C31" i="15"/>
  <c r="C11" i="15"/>
  <c r="C4" i="15"/>
  <c r="C2" i="15"/>
  <c r="C28" i="15"/>
  <c r="C25" i="15"/>
  <c r="C7" i="15"/>
  <c r="C23" i="15"/>
  <c r="C13" i="15"/>
  <c r="C22" i="15"/>
  <c r="C27" i="15"/>
  <c r="C5" i="15"/>
  <c r="C25" i="14"/>
  <c r="C9" i="14"/>
  <c r="C24" i="14"/>
  <c r="C21" i="14"/>
  <c r="C11" i="14"/>
  <c r="C20" i="14"/>
  <c r="C17" i="14"/>
  <c r="C15" i="14"/>
  <c r="C23" i="14"/>
  <c r="C4" i="14"/>
  <c r="C14" i="14"/>
  <c r="C3" i="14"/>
  <c r="C16" i="14"/>
  <c r="C10" i="14"/>
  <c r="C2" i="14"/>
  <c r="C12" i="14"/>
  <c r="C8" i="14"/>
  <c r="C6" i="14"/>
  <c r="C5" i="14"/>
  <c r="C18" i="14"/>
  <c r="C13" i="14"/>
  <c r="C22" i="14"/>
  <c r="C26" i="14"/>
  <c r="C19" i="14"/>
  <c r="C39" i="14"/>
  <c r="C40" i="14"/>
  <c r="C7" i="14"/>
  <c r="C41" i="14"/>
  <c r="C42" i="14"/>
  <c r="C30" i="14"/>
  <c r="C31" i="14"/>
  <c r="C43" i="14"/>
  <c r="C34" i="14"/>
  <c r="C44" i="14"/>
  <c r="C45" i="14"/>
  <c r="C27" i="14"/>
  <c r="C46" i="14"/>
  <c r="C35" i="14"/>
  <c r="C28" i="14"/>
  <c r="C36" i="14"/>
  <c r="C47" i="14"/>
  <c r="C48" i="14"/>
  <c r="C37" i="14"/>
  <c r="C32" i="14"/>
  <c r="C38" i="14"/>
  <c r="C29" i="14"/>
  <c r="C49" i="14"/>
  <c r="C50" i="14"/>
  <c r="C33" i="14"/>
  <c r="C51" i="14"/>
  <c r="N25" i="13" l="1"/>
  <c r="N27" i="13"/>
  <c r="N15" i="13"/>
  <c r="N21" i="13"/>
  <c r="N23" i="13"/>
  <c r="N19" i="13"/>
  <c r="N22" i="13"/>
  <c r="N18" i="13"/>
  <c r="N28" i="13"/>
  <c r="N24" i="13"/>
  <c r="N20" i="13"/>
  <c r="N16" i="13"/>
  <c r="N14" i="13"/>
  <c r="K14" i="13"/>
  <c r="D2" i="15"/>
  <c r="F3" i="15"/>
  <c r="F21" i="19" l="1"/>
  <c r="N29" i="13"/>
  <c r="K24" i="13"/>
  <c r="K25" i="13"/>
  <c r="K26" i="13"/>
  <c r="K27" i="13"/>
  <c r="K28" i="13"/>
  <c r="H24" i="13"/>
  <c r="H25" i="13"/>
  <c r="H26" i="13"/>
  <c r="H27" i="13"/>
  <c r="H28" i="13"/>
  <c r="B23" i="13"/>
  <c r="B15" i="19" s="1"/>
  <c r="B24" i="13"/>
  <c r="B16" i="19" s="1"/>
  <c r="B25" i="13"/>
  <c r="B17" i="19" s="1"/>
  <c r="B26" i="13"/>
  <c r="B18" i="19" s="1"/>
  <c r="B27" i="13"/>
  <c r="B19" i="19" s="1"/>
  <c r="B28" i="13"/>
  <c r="B20" i="19" s="1"/>
  <c r="K23" i="13" l="1"/>
  <c r="K22" i="13"/>
  <c r="K21" i="13"/>
  <c r="K20" i="13"/>
  <c r="K19" i="13"/>
  <c r="K18" i="13"/>
  <c r="K17" i="13"/>
  <c r="K16" i="13"/>
  <c r="K15" i="13"/>
  <c r="H22" i="13"/>
  <c r="H21" i="13"/>
  <c r="H20" i="13"/>
  <c r="H19" i="13"/>
  <c r="H18" i="13"/>
  <c r="H17" i="13"/>
  <c r="E25" i="13"/>
  <c r="C17" i="19" s="1"/>
  <c r="E28" i="13"/>
  <c r="C20" i="19" s="1"/>
  <c r="E27" i="13"/>
  <c r="C19" i="19" s="1"/>
  <c r="E26" i="13"/>
  <c r="C18" i="19" s="1"/>
  <c r="E24" i="13"/>
  <c r="C16" i="19" s="1"/>
  <c r="M12" i="13"/>
  <c r="J12" i="13"/>
  <c r="I8" i="13"/>
  <c r="I7" i="13"/>
  <c r="C7" i="13"/>
  <c r="C8" i="13"/>
  <c r="U6" i="13"/>
  <c r="V6" i="13"/>
  <c r="Y6" i="13"/>
  <c r="Z6" i="13"/>
  <c r="AA6" i="13"/>
  <c r="AB6" i="13"/>
  <c r="U7" i="13"/>
  <c r="V7" i="13"/>
  <c r="Y7" i="13"/>
  <c r="Z7" i="13"/>
  <c r="AA7" i="13"/>
  <c r="AB7" i="13"/>
  <c r="U8" i="13"/>
  <c r="V8" i="13"/>
  <c r="Y8" i="13"/>
  <c r="Z8" i="13"/>
  <c r="AA8" i="13"/>
  <c r="AB8" i="13"/>
  <c r="S5" i="13"/>
  <c r="T5" i="13"/>
  <c r="U5" i="13"/>
  <c r="V5" i="13"/>
  <c r="Y5" i="13"/>
  <c r="Z5" i="13"/>
  <c r="AA5" i="13"/>
  <c r="AB5" i="13"/>
  <c r="S6" i="13"/>
  <c r="T6" i="13"/>
  <c r="S7" i="13"/>
  <c r="T7" i="13"/>
  <c r="D7" i="13" s="1"/>
  <c r="S8" i="13"/>
  <c r="T8" i="13"/>
  <c r="D8" i="13" s="1"/>
  <c r="AB4" i="13"/>
  <c r="AA4" i="13"/>
  <c r="Z4" i="13"/>
  <c r="V4" i="13"/>
  <c r="U4" i="13"/>
  <c r="T4" i="13"/>
  <c r="D4" i="13" s="1"/>
  <c r="S4" i="13"/>
  <c r="A8" i="13"/>
  <c r="A7" i="13"/>
  <c r="B15" i="13"/>
  <c r="B7" i="19" s="1"/>
  <c r="B20" i="13"/>
  <c r="B12" i="19" s="1"/>
  <c r="B22" i="13"/>
  <c r="B14" i="19" s="1"/>
  <c r="B16" i="13"/>
  <c r="B8" i="19" s="1"/>
  <c r="B14" i="13"/>
  <c r="B6" i="19" s="1"/>
  <c r="AA9" i="13" l="1"/>
  <c r="Z9" i="13"/>
  <c r="E21" i="19"/>
  <c r="H15" i="13"/>
  <c r="H23" i="13"/>
  <c r="E22" i="13"/>
  <c r="C14" i="19" s="1"/>
  <c r="E23" i="13"/>
  <c r="C15" i="19" s="1"/>
  <c r="E15" i="13"/>
  <c r="C7" i="19" s="1"/>
  <c r="E19" i="13"/>
  <c r="C11" i="19" s="1"/>
  <c r="E16" i="13"/>
  <c r="C8" i="19" s="1"/>
  <c r="E20" i="13"/>
  <c r="C12" i="19" s="1"/>
  <c r="E17" i="13"/>
  <c r="C9" i="19" s="1"/>
  <c r="E21" i="13"/>
  <c r="C13" i="19" s="1"/>
  <c r="E18" i="13"/>
  <c r="C10" i="19" s="1"/>
  <c r="B21" i="13"/>
  <c r="B13" i="19" s="1"/>
  <c r="B19" i="13"/>
  <c r="B11" i="19" s="1"/>
  <c r="B18" i="13"/>
  <c r="B10" i="19" s="1"/>
  <c r="B17" i="13"/>
  <c r="B9" i="19" s="1"/>
  <c r="D2" i="17"/>
  <c r="K29" i="13"/>
  <c r="F3" i="16"/>
  <c r="H14" i="13"/>
  <c r="D6" i="19" s="1"/>
  <c r="G8" i="19" s="1"/>
  <c r="D2" i="16"/>
  <c r="H16" i="13"/>
  <c r="E14" i="13"/>
  <c r="C6" i="19" s="1"/>
  <c r="F3" i="17"/>
  <c r="D2" i="14"/>
  <c r="F3" i="14"/>
  <c r="G7" i="19" l="1"/>
  <c r="G6" i="19"/>
  <c r="G11" i="19"/>
  <c r="B21" i="19"/>
  <c r="D21" i="19"/>
  <c r="C21" i="19"/>
  <c r="B29" i="13"/>
  <c r="H29" i="13"/>
  <c r="E29" i="13"/>
  <c r="K7" i="13"/>
  <c r="K8" i="13"/>
  <c r="G12" i="13"/>
  <c r="D12" i="13"/>
  <c r="A12" i="13"/>
  <c r="D6" i="13"/>
  <c r="I6" i="13"/>
  <c r="C6" i="13"/>
  <c r="A6" i="13"/>
  <c r="D5" i="13"/>
  <c r="D9" i="13" s="1"/>
  <c r="I5" i="13"/>
  <c r="C5" i="13"/>
  <c r="A5" i="13"/>
  <c r="I4" i="13"/>
  <c r="C4" i="13"/>
  <c r="A4" i="13"/>
  <c r="G21" i="19" l="1"/>
  <c r="E7" i="13"/>
  <c r="C9" i="13"/>
  <c r="K6" i="13"/>
  <c r="K4" i="13"/>
  <c r="K5" i="13"/>
  <c r="K9" i="13" l="1"/>
  <c r="E5" i="13"/>
  <c r="E4" i="13"/>
  <c r="E8" i="13"/>
  <c r="E6" i="13"/>
  <c r="L4" i="13" l="1"/>
  <c r="M4" i="13" s="1"/>
  <c r="L6" i="13"/>
  <c r="M6" i="13" s="1"/>
  <c r="L8" i="13"/>
  <c r="M8" i="13" s="1"/>
  <c r="L7" i="13"/>
  <c r="M7" i="13" s="1"/>
  <c r="L5" i="13"/>
  <c r="M5" i="13" s="1"/>
  <c r="T9" i="13"/>
  <c r="U9" i="13"/>
  <c r="F10" i="13" s="1"/>
  <c r="E9" i="13"/>
  <c r="F5" i="13" l="1"/>
  <c r="F8" i="13"/>
  <c r="G8" i="13" s="1"/>
  <c r="F7" i="13"/>
  <c r="F6" i="13"/>
  <c r="F4" i="13"/>
  <c r="B22" i="19" s="1"/>
  <c r="B23" i="19" s="1"/>
  <c r="L9" i="13"/>
  <c r="M9" i="13"/>
  <c r="N4" i="13" s="1"/>
  <c r="G4" i="13" l="1"/>
  <c r="F2" i="14"/>
  <c r="F4" i="14" s="1"/>
  <c r="B30" i="13"/>
  <c r="H30" i="13"/>
  <c r="G6" i="13"/>
  <c r="D22" i="19"/>
  <c r="D23" i="19" s="1"/>
  <c r="F2" i="16"/>
  <c r="F4" i="16" s="1"/>
  <c r="K30" i="13"/>
  <c r="E22" i="19"/>
  <c r="E23" i="19" s="1"/>
  <c r="G7" i="13"/>
  <c r="F2" i="17"/>
  <c r="F4" i="17" s="1"/>
  <c r="F22" i="19"/>
  <c r="F23" i="19" s="1"/>
  <c r="N30" i="13"/>
  <c r="F2" i="18"/>
  <c r="F4" i="18" s="1"/>
  <c r="C22" i="19"/>
  <c r="E30" i="13"/>
  <c r="G5" i="13"/>
  <c r="F2" i="15"/>
  <c r="F4" i="15" s="1"/>
  <c r="N5" i="13"/>
  <c r="N6" i="13"/>
  <c r="N7" i="13"/>
  <c r="N8" i="13"/>
  <c r="G9" i="13" l="1"/>
  <c r="C23" i="19"/>
  <c r="G22" i="19"/>
  <c r="G23" i="19" s="1"/>
  <c r="I3" i="13"/>
  <c r="A3" i="19" s="1"/>
  <c r="N9" i="13"/>
</calcChain>
</file>

<file path=xl/sharedStrings.xml><?xml version="1.0" encoding="utf-8"?>
<sst xmlns="http://schemas.openxmlformats.org/spreadsheetml/2006/main" count="340" uniqueCount="201">
  <si>
    <t>Mg</t>
  </si>
  <si>
    <t>Ca</t>
  </si>
  <si>
    <t>Zn</t>
  </si>
  <si>
    <t>Element</t>
  </si>
  <si>
    <t>Atomic Weight [amu]</t>
  </si>
  <si>
    <t>Density
[g/cm3]</t>
  </si>
  <si>
    <t>Melt Temp 
[C]</t>
  </si>
  <si>
    <t>Atomic Number</t>
  </si>
  <si>
    <t>Cry Struc
[@ 20C]</t>
  </si>
  <si>
    <t>HCP</t>
  </si>
  <si>
    <t>FCC</t>
  </si>
  <si>
    <t>Atomic Radius
[nm]</t>
  </si>
  <si>
    <t>Ionic Radius
[nm]</t>
  </si>
  <si>
    <t>2+</t>
  </si>
  <si>
    <t>Most Common Valence</t>
  </si>
  <si>
    <t>Y</t>
  </si>
  <si>
    <t>3+</t>
  </si>
  <si>
    <t xml:space="preserve">at% </t>
  </si>
  <si>
    <t>Total</t>
  </si>
  <si>
    <t>wt%</t>
  </si>
  <si>
    <t>at% * AW</t>
  </si>
  <si>
    <t>at%</t>
  </si>
  <si>
    <t>Mass [g]</t>
  </si>
  <si>
    <t>Charge [cc]</t>
  </si>
  <si>
    <t>Tm</t>
  </si>
  <si>
    <t>C</t>
  </si>
  <si>
    <t>K</t>
  </si>
  <si>
    <t>At% to Wt%</t>
  </si>
  <si>
    <t>Pieces</t>
  </si>
  <si>
    <t>1+</t>
  </si>
  <si>
    <t>4+</t>
  </si>
  <si>
    <t>Al</t>
  </si>
  <si>
    <t>Zr</t>
  </si>
  <si>
    <t>Ti</t>
  </si>
  <si>
    <t>Ar</t>
  </si>
  <si>
    <t>Inert</t>
  </si>
  <si>
    <t>Hex</t>
  </si>
  <si>
    <t>Mn</t>
  </si>
  <si>
    <t>Cubic</t>
  </si>
  <si>
    <t>BCC</t>
  </si>
  <si>
    <t>Alloy Constituent</t>
  </si>
  <si>
    <t>Error +</t>
  </si>
  <si>
    <t>Cu</t>
  </si>
  <si>
    <t>Ni</t>
  </si>
  <si>
    <t>Ba</t>
  </si>
  <si>
    <t>Be</t>
  </si>
  <si>
    <t>B</t>
  </si>
  <si>
    <t>Rhomb</t>
  </si>
  <si>
    <t>Br</t>
  </si>
  <si>
    <t>1-</t>
  </si>
  <si>
    <t>Cd</t>
  </si>
  <si>
    <t>Cs</t>
  </si>
  <si>
    <t>Cl</t>
  </si>
  <si>
    <t>Cr</t>
  </si>
  <si>
    <t>Co</t>
  </si>
  <si>
    <t>F</t>
  </si>
  <si>
    <t>Ga</t>
  </si>
  <si>
    <t>Ortho</t>
  </si>
  <si>
    <t>Ge</t>
  </si>
  <si>
    <t>Dia Cubic</t>
  </si>
  <si>
    <t>Au</t>
  </si>
  <si>
    <t>He</t>
  </si>
  <si>
    <t>H</t>
  </si>
  <si>
    <t>I</t>
  </si>
  <si>
    <t>Fe</t>
  </si>
  <si>
    <t>Pb</t>
  </si>
  <si>
    <t>Li</t>
  </si>
  <si>
    <t>Hg</t>
  </si>
  <si>
    <t>Mo</t>
  </si>
  <si>
    <t>Ne</t>
  </si>
  <si>
    <t>Nb</t>
  </si>
  <si>
    <t>5+</t>
  </si>
  <si>
    <t>N</t>
  </si>
  <si>
    <t>O</t>
  </si>
  <si>
    <t>2-</t>
  </si>
  <si>
    <t>P</t>
  </si>
  <si>
    <t>Pt</t>
  </si>
  <si>
    <t>Si</t>
  </si>
  <si>
    <t>Ag</t>
  </si>
  <si>
    <t>Na</t>
  </si>
  <si>
    <t>S</t>
  </si>
  <si>
    <t>Sn</t>
  </si>
  <si>
    <t>Tetra</t>
  </si>
  <si>
    <t>W</t>
  </si>
  <si>
    <t>V</t>
  </si>
  <si>
    <t>Charge Weight</t>
  </si>
  <si>
    <t>Atomic Percent [%]</t>
  </si>
  <si>
    <t xml:space="preserve">Charge At% &amp; Elements Properties </t>
  </si>
  <si>
    <t>Melting &amp; Casting Cycle</t>
  </si>
  <si>
    <t>Temp [C]</t>
  </si>
  <si>
    <t>Process</t>
  </si>
  <si>
    <t>Cool 1</t>
  </si>
  <si>
    <t>Cool 2</t>
  </si>
  <si>
    <t>Heat 1</t>
  </si>
  <si>
    <t>Heat 2</t>
  </si>
  <si>
    <t>Heat 3</t>
  </si>
  <si>
    <t>Notes</t>
  </si>
  <si>
    <t>Cool 3</t>
  </si>
  <si>
    <t>Casting Temp</t>
  </si>
  <si>
    <t>Heat 4</t>
  </si>
  <si>
    <t>Cool 4</t>
  </si>
  <si>
    <t>Heat 5</t>
  </si>
  <si>
    <t>Cool 5</t>
  </si>
  <si>
    <t>Additional Notes</t>
  </si>
  <si>
    <t>Alloy Tm about 400C</t>
  </si>
  <si>
    <t>xMass</t>
  </si>
  <si>
    <t>x</t>
  </si>
  <si>
    <t>[g]</t>
  </si>
  <si>
    <t>Check</t>
  </si>
  <si>
    <t>Goal</t>
  </si>
  <si>
    <t>Weight of Pieces</t>
  </si>
  <si>
    <t>Alloy</t>
  </si>
  <si>
    <t>wt% / AW</t>
  </si>
  <si>
    <t>Weight Check (Wt% to At%)</t>
  </si>
  <si>
    <t>D</t>
  </si>
  <si>
    <t>E</t>
  </si>
  <si>
    <t>A</t>
  </si>
  <si>
    <t>Sc</t>
  </si>
  <si>
    <t>As</t>
  </si>
  <si>
    <t>Se</t>
  </si>
  <si>
    <t>Kr</t>
  </si>
  <si>
    <t>Rb</t>
  </si>
  <si>
    <t>Sr</t>
  </si>
  <si>
    <t>Tc</t>
  </si>
  <si>
    <t>Ru</t>
  </si>
  <si>
    <t>Rh</t>
  </si>
  <si>
    <t>Pd</t>
  </si>
  <si>
    <t>In</t>
  </si>
  <si>
    <t>Sb</t>
  </si>
  <si>
    <t>Te</t>
  </si>
  <si>
    <t>Xe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</si>
  <si>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</si>
  <si>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</si>
  <si>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</si>
  <si>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</si>
  <si>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</si>
  <si>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</si>
  <si>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</si>
  <si>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</si>
  <si>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</si>
  <si>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</si>
  <si>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</si>
  <si>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</si>
  <si>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Yb</t>
  </si>
  <si>
    <t>Lu</t>
  </si>
  <si>
    <t>Hf</t>
  </si>
  <si>
    <t>Ta</t>
  </si>
  <si>
    <t>Re</t>
  </si>
  <si>
    <t>Os</t>
  </si>
  <si>
    <t>Ir</t>
  </si>
  <si>
    <t>Tl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</si>
  <si>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</si>
  <si>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</si>
  <si>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</si>
  <si>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</si>
  <si>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</si>
  <si>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</si>
  <si>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</si>
  <si>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</si>
  <si>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</si>
  <si>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</si>
  <si>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</si>
  <si>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</si>
  <si>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</si>
  <si>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</si>
  <si>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</si>
  <si>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</si>
  <si>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</si>
  <si>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</si>
  <si>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Boil Temp 
[C]</t>
  </si>
  <si>
    <t>Piece</t>
  </si>
  <si>
    <t># Pieces</t>
  </si>
  <si>
    <r>
      <t>C</t>
    </r>
    <r>
      <rPr>
        <b/>
        <sz val="12"/>
        <color theme="1"/>
        <rFont val="Calibri"/>
        <family val="2"/>
      </rPr>
      <t>p</t>
    </r>
    <r>
      <rPr>
        <b/>
        <sz val="12"/>
        <color theme="1"/>
        <rFont val="Calibri"/>
        <family val="2"/>
        <scheme val="minor"/>
      </rPr>
      <t xml:space="preserve">
[J/K kg]</t>
    </r>
  </si>
  <si>
    <t>Charges should be either 40 or 60cc depending on crucible size</t>
  </si>
  <si>
    <t>Remember to have lots of contact between crucible and charge pieces for efficient melting.</t>
  </si>
  <si>
    <t>Ca should be De-oxide minutes before casting</t>
  </si>
  <si>
    <t>Single large block of Ca is best as it is easy to clean and remove all oxide</t>
  </si>
  <si>
    <t xml:space="preserve">Ca lose at least 20% of weight from Oxide Removal </t>
  </si>
  <si>
    <t>Gold residue in crucible indicates Ca has been lose from the alloy</t>
  </si>
  <si>
    <t>Need to mix charge very well to ensure Ca does not come out (has a high melting point!)</t>
  </si>
  <si>
    <t>Dioxide large block of Mg and Zn first</t>
  </si>
  <si>
    <t>Linish first on flat and round surfaces</t>
  </si>
  <si>
    <t>120 sandpaper over the rest of material</t>
  </si>
  <si>
    <t>Files for awkward areas</t>
  </si>
  <si>
    <t>Sand and linish again so all surfaces are smooth and more resistant to oxidation</t>
  </si>
  <si>
    <t>Cutting Notes</t>
  </si>
  <si>
    <t>Zn does not oxidate at all during cutting</t>
  </si>
  <si>
    <t xml:space="preserve">Cutting Mg lengthwise causes a lot of re-oxidation (from the cooling water). </t>
  </si>
  <si>
    <t>Seems to always oxidise a bit, but is much easier to clean afterwards</t>
  </si>
  <si>
    <t>Cut big block into 1/3s length wise</t>
  </si>
  <si>
    <t>Cut 1/3 off of each large piece</t>
  </si>
  <si>
    <t>Split the 2/3 lengths down the middle lengthwise</t>
  </si>
  <si>
    <t xml:space="preserve">Will have long, thin pieces that are easy to clean and fit in a crucible. </t>
  </si>
  <si>
    <t>Then stirred melt before casting</t>
  </si>
  <si>
    <t>Stirred melt at high temp of each heating cycle</t>
  </si>
  <si>
    <t>Held at 450 for 30 seconds</t>
  </si>
  <si>
    <t>Held melt at 450C for 30 seconds and stirred just before casting</t>
  </si>
  <si>
    <t>Ca - Cut on 18 TPI hacksaw. 24 and 32 TPI take too long.</t>
  </si>
  <si>
    <t xml:space="preserve">Cast slowly into cylinder mould first, then into wedge mould. </t>
  </si>
  <si>
    <t xml:space="preserve">45CC fills ALL OF the cylinder and about HALF of the wedge. </t>
  </si>
  <si>
    <t>Charge 20 - 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</si>
</sst>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36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2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721BD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415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4" borderId="0" xfId="0" applyFill="1" applyBorder="1" applyProtection="1">
      <protection locked="0"/>
    </xf>
    <xf numFmtId="0" fontId="0" fillId="4" borderId="5" xfId="0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4" borderId="4" xfId="0" applyFill="1" applyBorder="1" applyProtection="1">
      <protection locked="0"/>
    </xf>
    <xf numFmtId="0" fontId="2" fillId="6" borderId="4" xfId="0" applyFont="1" applyFill="1" applyBorder="1"/>
    <xf numFmtId="0" fontId="0" fillId="4" borderId="0" xfId="0" applyFill="1" applyBorder="1"/>
    <xf numFmtId="0" fontId="3" fillId="6" borderId="1" xfId="0" applyFont="1" applyFill="1" applyBorder="1" applyAlignment="1" applyProtection="1">
      <alignment horizontal="center" vertical="center" wrapText="1"/>
    </xf>
    <xf numFmtId="0" fontId="3" fillId="6" borderId="2" xfId="0" applyFont="1" applyFill="1" applyBorder="1" applyAlignment="1" applyProtection="1">
      <alignment horizontal="center" vertical="center" wrapText="1"/>
    </xf>
    <xf numFmtId="0" fontId="2" fillId="6" borderId="4" xfId="0" applyFont="1" applyFill="1" applyBorder="1" applyProtection="1"/>
    <xf numFmtId="0" fontId="0" fillId="0" borderId="2" xfId="0" applyFill="1" applyBorder="1" applyProtection="1"/>
    <xf numFmtId="0" fontId="0" fillId="0" borderId="0" xfId="0" applyFill="1" applyBorder="1" applyProtection="1"/>
    <xf numFmtId="0" fontId="2" fillId="6" borderId="6" xfId="0" applyFont="1" applyFill="1" applyBorder="1" applyProtection="1"/>
    <xf numFmtId="0" fontId="0" fillId="0" borderId="7" xfId="0" applyFill="1" applyBorder="1" applyProtection="1"/>
    <xf numFmtId="0" fontId="2" fillId="4" borderId="1" xfId="0" applyFont="1" applyFill="1" applyBorder="1" applyProtection="1">
      <protection locked="0"/>
    </xf>
    <xf numFmtId="0" fontId="2" fillId="4" borderId="4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0" fillId="0" borderId="3" xfId="0" applyFill="1" applyBorder="1" applyProtection="1"/>
    <xf numFmtId="0" fontId="0" fillId="0" borderId="5" xfId="0" applyFill="1" applyBorder="1" applyProtection="1"/>
    <xf numFmtId="0" fontId="0" fillId="0" borderId="8" xfId="0" applyFill="1" applyBorder="1" applyProtection="1"/>
    <xf numFmtId="0" fontId="0" fillId="0" borderId="1" xfId="0" applyFill="1" applyBorder="1" applyProtection="1"/>
    <xf numFmtId="0" fontId="0" fillId="0" borderId="4" xfId="0" applyFill="1" applyBorder="1" applyProtection="1"/>
    <xf numFmtId="0" fontId="0" fillId="0" borderId="6" xfId="0" applyFill="1" applyBorder="1" applyProtection="1"/>
    <xf numFmtId="0" fontId="2" fillId="6" borderId="6" xfId="0" applyFont="1" applyFill="1" applyBorder="1"/>
    <xf numFmtId="0" fontId="0" fillId="4" borderId="7" xfId="0" applyFill="1" applyBorder="1"/>
    <xf numFmtId="10" fontId="0" fillId="3" borderId="1" xfId="1" applyNumberFormat="1" applyFont="1" applyFill="1" applyBorder="1" applyProtection="1"/>
    <xf numFmtId="10" fontId="0" fillId="3" borderId="4" xfId="1" applyNumberFormat="1" applyFont="1" applyFill="1" applyBorder="1" applyProtection="1"/>
    <xf numFmtId="10" fontId="2" fillId="4" borderId="1" xfId="1" applyNumberFormat="1" applyFont="1" applyFill="1" applyBorder="1" applyProtection="1">
      <protection locked="0"/>
    </xf>
    <xf numFmtId="10" fontId="2" fillId="4" borderId="4" xfId="1" applyNumberFormat="1" applyFont="1" applyFill="1" applyBorder="1" applyProtection="1">
      <protection locked="0"/>
    </xf>
    <xf numFmtId="10" fontId="2" fillId="4" borderId="6" xfId="1" applyNumberFormat="1" applyFont="1" applyFill="1" applyBorder="1" applyProtection="1">
      <protection locked="0"/>
    </xf>
    <xf numFmtId="0" fontId="0" fillId="3" borderId="2" xfId="0" applyFill="1" applyBorder="1" applyProtection="1"/>
    <xf numFmtId="0" fontId="0" fillId="3" borderId="0" xfId="0" applyFill="1" applyBorder="1" applyProtection="1"/>
    <xf numFmtId="0" fontId="0" fillId="3" borderId="7" xfId="0" applyFill="1" applyBorder="1" applyProtection="1"/>
    <xf numFmtId="0" fontId="0" fillId="4" borderId="3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10" fontId="0" fillId="0" borderId="0" xfId="1" applyNumberFormat="1" applyFon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164" fontId="0" fillId="0" borderId="0" xfId="0" applyNumberFormat="1" applyBorder="1" applyProtection="1">
      <protection locked="0"/>
    </xf>
    <xf numFmtId="0" fontId="9" fillId="12" borderId="0" xfId="0" applyFont="1" applyFill="1"/>
    <xf numFmtId="0" fontId="10" fillId="12" borderId="0" xfId="0" applyFont="1" applyFill="1"/>
    <xf numFmtId="0" fontId="11" fillId="12" borderId="0" xfId="0" applyFont="1" applyFill="1" applyAlignment="1">
      <alignment horizontal="center" vertical="center"/>
    </xf>
    <xf numFmtId="0" fontId="0" fillId="0" borderId="0" xfId="0" applyProtection="1"/>
    <xf numFmtId="0" fontId="4" fillId="0" borderId="0" xfId="0" applyFont="1" applyProtection="1"/>
    <xf numFmtId="0" fontId="3" fillId="5" borderId="1" xfId="0" quotePrefix="1" applyFont="1" applyFill="1" applyBorder="1" applyAlignment="1" applyProtection="1">
      <alignment vertical="center"/>
    </xf>
    <xf numFmtId="0" fontId="3" fillId="5" borderId="2" xfId="0" applyFont="1" applyFill="1" applyBorder="1" applyProtection="1"/>
    <xf numFmtId="0" fontId="3" fillId="5" borderId="1" xfId="0" applyFont="1" applyFill="1" applyBorder="1" applyAlignment="1" applyProtection="1">
      <alignment horizontal="center" vertical="center"/>
    </xf>
    <xf numFmtId="0" fontId="3" fillId="5" borderId="2" xfId="0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0" fontId="3" fillId="5" borderId="9" xfId="0" applyFont="1" applyFill="1" applyBorder="1" applyAlignment="1" applyProtection="1">
      <alignment horizontal="center" vertical="center"/>
    </xf>
    <xf numFmtId="0" fontId="3" fillId="5" borderId="1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vertical="center"/>
    </xf>
    <xf numFmtId="0" fontId="3" fillId="2" borderId="2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12" xfId="0" applyFont="1" applyFill="1" applyBorder="1" applyAlignment="1" applyProtection="1">
      <alignment horizontal="center" vertical="center" wrapText="1"/>
    </xf>
    <xf numFmtId="0" fontId="2" fillId="5" borderId="4" xfId="0" applyFont="1" applyFill="1" applyBorder="1" applyProtection="1"/>
    <xf numFmtId="10" fontId="0" fillId="0" borderId="3" xfId="1" applyNumberFormat="1" applyFont="1" applyFill="1" applyBorder="1" applyProtection="1"/>
    <xf numFmtId="164" fontId="0" fillId="3" borderId="0" xfId="0" applyNumberFormat="1" applyFill="1" applyBorder="1" applyProtection="1"/>
    <xf numFmtId="164" fontId="0" fillId="0" borderId="5" xfId="0" applyNumberFormat="1" applyBorder="1" applyProtection="1"/>
    <xf numFmtId="0" fontId="2" fillId="2" borderId="4" xfId="0" applyFont="1" applyFill="1" applyBorder="1" applyProtection="1"/>
    <xf numFmtId="164" fontId="0" fillId="3" borderId="1" xfId="0" applyNumberFormat="1" applyFill="1" applyBorder="1" applyProtection="1"/>
    <xf numFmtId="10" fontId="0" fillId="0" borderId="2" xfId="1" applyNumberFormat="1" applyFont="1" applyBorder="1" applyProtection="1"/>
    <xf numFmtId="10" fontId="0" fillId="0" borderId="5" xfId="1" applyNumberFormat="1" applyFont="1" applyFill="1" applyBorder="1" applyProtection="1"/>
    <xf numFmtId="0" fontId="0" fillId="3" borderId="4" xfId="0" applyFill="1" applyBorder="1" applyProtection="1"/>
    <xf numFmtId="10" fontId="0" fillId="0" borderId="0" xfId="1" applyNumberFormat="1" applyFont="1" applyBorder="1" applyProtection="1"/>
    <xf numFmtId="164" fontId="0" fillId="3" borderId="4" xfId="0" applyNumberFormat="1" applyFill="1" applyBorder="1" applyProtection="1"/>
    <xf numFmtId="0" fontId="0" fillId="5" borderId="6" xfId="0" applyFill="1" applyBorder="1" applyProtection="1"/>
    <xf numFmtId="0" fontId="0" fillId="0" borderId="9" xfId="0" applyFill="1" applyBorder="1" applyProtection="1"/>
    <xf numFmtId="10" fontId="0" fillId="0" borderId="9" xfId="1" applyNumberFormat="1" applyFont="1" applyFill="1" applyBorder="1" applyProtection="1"/>
    <xf numFmtId="0" fontId="0" fillId="0" borderId="10" xfId="0" applyFill="1" applyBorder="1" applyProtection="1"/>
    <xf numFmtId="0" fontId="0" fillId="2" borderId="6" xfId="0" applyFill="1" applyBorder="1" applyProtection="1"/>
    <xf numFmtId="10" fontId="0" fillId="0" borderId="10" xfId="1" applyNumberFormat="1" applyFont="1" applyFill="1" applyBorder="1" applyProtection="1"/>
    <xf numFmtId="10" fontId="0" fillId="3" borderId="11" xfId="1" applyNumberFormat="1" applyFont="1" applyFill="1" applyBorder="1" applyProtection="1"/>
    <xf numFmtId="10" fontId="0" fillId="0" borderId="9" xfId="0" applyNumberFormat="1" applyBorder="1" applyProtection="1"/>
    <xf numFmtId="0" fontId="0" fillId="0" borderId="10" xfId="0" applyBorder="1" applyProtection="1"/>
    <xf numFmtId="0" fontId="7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 vertical="center" wrapText="1"/>
    </xf>
    <xf numFmtId="0" fontId="3" fillId="7" borderId="2" xfId="0" applyFont="1" applyFill="1" applyBorder="1" applyAlignment="1" applyProtection="1">
      <alignment horizontal="center" vertical="center" wrapText="1"/>
    </xf>
    <xf numFmtId="0" fontId="3" fillId="7" borderId="9" xfId="0" applyFont="1" applyFill="1" applyBorder="1" applyAlignment="1" applyProtection="1">
      <alignment horizontal="center" vertical="center" wrapText="1"/>
    </xf>
    <xf numFmtId="0" fontId="3" fillId="7" borderId="10" xfId="0" applyFont="1" applyFill="1" applyBorder="1" applyAlignment="1" applyProtection="1">
      <alignment horizontal="center" vertical="center" wrapText="1"/>
    </xf>
    <xf numFmtId="0" fontId="0" fillId="7" borderId="11" xfId="0" applyFill="1" applyBorder="1" applyProtection="1"/>
    <xf numFmtId="0" fontId="2" fillId="11" borderId="6" xfId="0" applyFont="1" applyFill="1" applyBorder="1" applyAlignment="1" applyProtection="1">
      <alignment horizontal="center"/>
    </xf>
    <xf numFmtId="0" fontId="2" fillId="11" borderId="8" xfId="0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2" fillId="9" borderId="6" xfId="0" applyFont="1" applyFill="1" applyBorder="1" applyAlignment="1" applyProtection="1">
      <alignment horizontal="center"/>
    </xf>
    <xf numFmtId="0" fontId="2" fillId="9" borderId="8" xfId="0" applyFont="1" applyFill="1" applyBorder="1" applyAlignment="1" applyProtection="1">
      <alignment horizontal="center"/>
    </xf>
    <xf numFmtId="0" fontId="2" fillId="10" borderId="6" xfId="0" applyFont="1" applyFill="1" applyBorder="1" applyAlignment="1" applyProtection="1">
      <alignment horizontal="center"/>
    </xf>
    <xf numFmtId="0" fontId="2" fillId="10" borderId="8" xfId="0" applyFont="1" applyFill="1" applyBorder="1" applyAlignment="1" applyProtection="1">
      <alignment horizontal="center"/>
    </xf>
    <xf numFmtId="0" fontId="2" fillId="8" borderId="6" xfId="0" applyFont="1" applyFill="1" applyBorder="1" applyAlignment="1" applyProtection="1">
      <alignment horizontal="center"/>
    </xf>
    <xf numFmtId="0" fontId="2" fillId="8" borderId="8" xfId="0" applyFont="1" applyFill="1" applyBorder="1" applyAlignment="1" applyProtection="1">
      <alignment horizontal="center"/>
    </xf>
    <xf numFmtId="0" fontId="2" fillId="13" borderId="6" xfId="0" applyFont="1" applyFill="1" applyBorder="1" applyAlignment="1" applyProtection="1">
      <alignment horizontal="center"/>
    </xf>
    <xf numFmtId="0" fontId="2" fillId="13" borderId="8" xfId="0" applyFont="1" applyFill="1" applyBorder="1" applyAlignment="1" applyProtection="1">
      <alignment horizontal="center"/>
    </xf>
    <xf numFmtId="0" fontId="0" fillId="0" borderId="1" xfId="0" applyBorder="1" applyProtection="1"/>
    <xf numFmtId="0" fontId="0" fillId="0" borderId="5" xfId="0" applyBorder="1" applyProtection="1"/>
    <xf numFmtId="0" fontId="0" fillId="0" borderId="0" xfId="0" applyBorder="1" applyProtection="1"/>
    <xf numFmtId="0" fontId="0" fillId="0" borderId="4" xfId="0" applyBorder="1" applyProtection="1"/>
    <xf numFmtId="0" fontId="2" fillId="0" borderId="4" xfId="0" applyFont="1" applyBorder="1" applyProtection="1"/>
    <xf numFmtId="164" fontId="0" fillId="3" borderId="5" xfId="0" applyNumberFormat="1" applyFill="1" applyBorder="1" applyProtection="1"/>
    <xf numFmtId="0" fontId="0" fillId="3" borderId="5" xfId="0" applyFill="1" applyBorder="1" applyProtection="1"/>
    <xf numFmtId="0" fontId="0" fillId="0" borderId="6" xfId="0" quotePrefix="1" applyBorder="1" applyProtection="1"/>
    <xf numFmtId="164" fontId="0" fillId="0" borderId="8" xfId="0" applyNumberFormat="1" applyBorder="1" applyProtection="1"/>
    <xf numFmtId="0" fontId="0" fillId="0" borderId="7" xfId="0" applyBorder="1" applyProtection="1"/>
    <xf numFmtId="10" fontId="0" fillId="3" borderId="3" xfId="1" applyNumberFormat="1" applyFont="1" applyFill="1" applyBorder="1" applyProtection="1"/>
    <xf numFmtId="10" fontId="0" fillId="3" borderId="5" xfId="1" applyNumberFormat="1" applyFont="1" applyFill="1" applyBorder="1" applyProtection="1"/>
    <xf numFmtId="164" fontId="0" fillId="3" borderId="9" xfId="0" applyNumberFormat="1" applyFill="1" applyBorder="1" applyProtection="1"/>
    <xf numFmtId="0" fontId="0" fillId="0" borderId="11" xfId="0" applyFill="1" applyBorder="1" applyProtection="1"/>
    <xf numFmtId="0" fontId="0" fillId="0" borderId="5" xfId="0" applyFill="1" applyBorder="1"/>
    <xf numFmtId="0" fontId="0" fillId="0" borderId="8" xfId="0" applyFill="1" applyBorder="1"/>
    <xf numFmtId="164" fontId="0" fillId="3" borderId="10" xfId="0" applyNumberFormat="1" applyFill="1" applyBorder="1" applyProtection="1"/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0" fillId="4" borderId="0" xfId="0" applyFill="1" applyProtection="1">
      <protection locked="0"/>
    </xf>
    <xf numFmtId="0" fontId="0" fillId="15" borderId="4" xfId="0" applyFill="1" applyBorder="1" applyProtection="1"/>
    <xf numFmtId="0" fontId="9" fillId="12" borderId="0" xfId="0" applyFont="1" applyFill="1" applyBorder="1"/>
    <xf numFmtId="0" fontId="11" fillId="12" borderId="0" xfId="0" applyFont="1" applyFill="1" applyBorder="1" applyAlignment="1">
      <alignment horizontal="center" vertical="center"/>
    </xf>
    <xf numFmtId="0" fontId="10" fillId="12" borderId="0" xfId="0" applyFont="1" applyFill="1" applyBorder="1"/>
    <xf numFmtId="0" fontId="0" fillId="0" borderId="0" xfId="0" applyProtection="1">
      <protection locked="0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0" xfId="0" applyFont="1" applyFill="1" applyBorder="1" applyAlignment="1" applyProtection="1">
      <alignment horizontal="center" vertical="center"/>
    </xf>
    <xf numFmtId="0" fontId="7" fillId="10" borderId="0" xfId="0" applyFont="1" applyFill="1" applyBorder="1" applyAlignment="1" applyProtection="1">
      <alignment horizontal="center" vertical="center"/>
    </xf>
    <xf numFmtId="0" fontId="7" fillId="11" borderId="0" xfId="0" applyFont="1" applyFill="1" applyBorder="1" applyAlignment="1" applyProtection="1">
      <alignment horizontal="center" vertical="center"/>
    </xf>
    <xf numFmtId="164" fontId="0" fillId="0" borderId="0" xfId="0" applyNumberFormat="1" applyFill="1" applyBorder="1" applyProtection="1"/>
    <xf numFmtId="0" fontId="7" fillId="13" borderId="5" xfId="0" applyFont="1" applyFill="1" applyBorder="1" applyAlignment="1" applyProtection="1">
      <alignment horizontal="center" vertical="center"/>
    </xf>
    <xf numFmtId="0" fontId="0" fillId="0" borderId="2" xfId="0" applyBorder="1" applyProtection="1"/>
    <xf numFmtId="0" fontId="0" fillId="0" borderId="3" xfId="0" applyBorder="1" applyProtection="1"/>
    <xf numFmtId="164" fontId="0" fillId="0" borderId="5" xfId="0" applyNumberFormat="1" applyFill="1" applyBorder="1" applyProtection="1"/>
    <xf numFmtId="164" fontId="0" fillId="0" borderId="7" xfId="0" applyNumberFormat="1" applyBorder="1" applyProtection="1"/>
    <xf numFmtId="0" fontId="0" fillId="0" borderId="6" xfId="0" applyBorder="1" applyProtection="1"/>
    <xf numFmtId="0" fontId="0" fillId="0" borderId="8" xfId="0" applyBorder="1" applyProtection="1"/>
    <xf numFmtId="0" fontId="2" fillId="0" borderId="1" xfId="0" applyFont="1" applyBorder="1" applyProtection="1"/>
    <xf numFmtId="164" fontId="0" fillId="3" borderId="3" xfId="0" applyNumberFormat="1" applyFill="1" applyBorder="1" applyProtection="1"/>
    <xf numFmtId="164" fontId="0" fillId="0" borderId="4" xfId="0" applyNumberFormat="1" applyFill="1" applyBorder="1" applyProtection="1"/>
    <xf numFmtId="164" fontId="0" fillId="0" borderId="6" xfId="0" applyNumberFormat="1" applyBorder="1" applyProtection="1"/>
    <xf numFmtId="0" fontId="2" fillId="0" borderId="6" xfId="0" quotePrefix="1" applyFont="1" applyBorder="1" applyProtection="1"/>
    <xf numFmtId="0" fontId="7" fillId="10" borderId="5" xfId="0" applyFont="1" applyFill="1" applyBorder="1" applyAlignment="1" applyProtection="1">
      <alignment horizontal="center" vertical="center"/>
    </xf>
    <xf numFmtId="0" fontId="13" fillId="12" borderId="5" xfId="0" applyFont="1" applyFill="1" applyBorder="1" applyAlignment="1" applyProtection="1">
      <alignment horizontal="center" vertical="center"/>
    </xf>
    <xf numFmtId="0" fontId="12" fillId="12" borderId="5" xfId="0" applyFont="1" applyFill="1" applyBorder="1" applyAlignment="1" applyProtection="1">
      <alignment horizontal="center" vertical="center"/>
    </xf>
    <xf numFmtId="0" fontId="7" fillId="9" borderId="5" xfId="0" applyFont="1" applyFill="1" applyBorder="1" applyAlignment="1" applyProtection="1">
      <alignment horizontal="center" vertical="center"/>
    </xf>
    <xf numFmtId="0" fontId="7" fillId="8" borderId="5" xfId="0" applyFont="1" applyFill="1" applyBorder="1" applyAlignment="1" applyProtection="1">
      <alignment horizontal="center" vertical="center"/>
    </xf>
    <xf numFmtId="0" fontId="13" fillId="12" borderId="11" xfId="0" applyFont="1" applyFill="1" applyBorder="1" applyAlignment="1" applyProtection="1">
      <alignment horizontal="center" vertical="center"/>
    </xf>
    <xf numFmtId="0" fontId="7" fillId="13" borderId="0" xfId="0" applyFont="1" applyFill="1" applyBorder="1" applyAlignment="1" applyProtection="1">
      <alignment horizontal="center" vertical="center"/>
    </xf>
    <xf numFmtId="0" fontId="7" fillId="8" borderId="8" xfId="0" applyFont="1" applyFill="1" applyBorder="1" applyAlignment="1" applyProtection="1">
      <alignment horizontal="center" vertical="center"/>
    </xf>
    <xf numFmtId="10" fontId="0" fillId="3" borderId="10" xfId="0" applyNumberFormat="1" applyFill="1" applyBorder="1" applyProtection="1"/>
    <xf numFmtId="0" fontId="0" fillId="4" borderId="1" xfId="0" applyFill="1" applyBorder="1" applyProtection="1">
      <protection locked="0"/>
    </xf>
    <xf numFmtId="164" fontId="0" fillId="3" borderId="6" xfId="0" applyNumberFormat="1" applyFill="1" applyBorder="1" applyProtection="1"/>
    <xf numFmtId="10" fontId="0" fillId="0" borderId="7" xfId="1" applyNumberFormat="1" applyFont="1" applyBorder="1" applyProtection="1"/>
    <xf numFmtId="0" fontId="0" fillId="0" borderId="11" xfId="0" applyBorder="1" applyProtection="1"/>
    <xf numFmtId="0" fontId="2" fillId="11" borderId="0" xfId="0" applyFont="1" applyFill="1" applyBorder="1" applyAlignment="1" applyProtection="1">
      <alignment horizontal="center" vertical="center"/>
    </xf>
    <xf numFmtId="0" fontId="2" fillId="9" borderId="0" xfId="0" applyFont="1" applyFill="1" applyBorder="1" applyAlignment="1" applyProtection="1">
      <alignment horizontal="center" vertical="center"/>
    </xf>
    <xf numFmtId="0" fontId="2" fillId="10" borderId="0" xfId="0" applyFont="1" applyFill="1" applyBorder="1" applyAlignment="1" applyProtection="1">
      <alignment horizontal="center" vertical="center"/>
    </xf>
    <xf numFmtId="0" fontId="2" fillId="13" borderId="0" xfId="0" applyFont="1" applyFill="1" applyBorder="1" applyAlignment="1" applyProtection="1">
      <alignment horizontal="center" vertical="center"/>
    </xf>
    <xf numFmtId="0" fontId="2" fillId="8" borderId="5" xfId="0" applyFont="1" applyFill="1" applyBorder="1" applyAlignment="1" applyProtection="1">
      <alignment horizontal="center" vertical="center"/>
    </xf>
    <xf numFmtId="164" fontId="0" fillId="4" borderId="0" xfId="0" applyNumberFormat="1" applyFill="1" applyProtection="1">
      <protection locked="0"/>
    </xf>
    <xf numFmtId="164" fontId="0" fillId="0" borderId="0" xfId="0" applyNumberFormat="1"/>
    <xf numFmtId="0" fontId="12" fillId="12" borderId="4" xfId="0" applyFont="1" applyFill="1" applyBorder="1" applyAlignment="1" applyProtection="1">
      <alignment horizontal="center" vertical="center"/>
    </xf>
    <xf numFmtId="0" fontId="12" fillId="12" borderId="6" xfId="0" applyFont="1" applyFill="1" applyBorder="1" applyAlignment="1" applyProtection="1">
      <alignment horizontal="center" vertical="center"/>
    </xf>
    <xf numFmtId="0" fontId="15" fillId="3" borderId="1" xfId="0" applyFont="1" applyFill="1" applyBorder="1" applyAlignment="1" applyProtection="1">
      <alignment horizontal="center"/>
    </xf>
    <xf numFmtId="0" fontId="15" fillId="3" borderId="2" xfId="0" applyFont="1" applyFill="1" applyBorder="1" applyAlignment="1" applyProtection="1">
      <alignment horizontal="center"/>
    </xf>
    <xf numFmtId="0" fontId="15" fillId="3" borderId="3" xfId="0" applyFont="1" applyFill="1" applyBorder="1" applyAlignment="1" applyProtection="1">
      <alignment horizontal="center"/>
    </xf>
    <xf numFmtId="0" fontId="14" fillId="0" borderId="4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14" fillId="0" borderId="5" xfId="0" applyFont="1" applyFill="1" applyBorder="1" applyAlignment="1" applyProtection="1">
      <alignment horizontal="center"/>
    </xf>
    <xf numFmtId="0" fontId="5" fillId="15" borderId="0" xfId="0" applyFont="1" applyFill="1" applyAlignment="1" applyProtection="1">
      <alignment horizontal="center"/>
      <protection locked="0"/>
    </xf>
    <xf numFmtId="0" fontId="6" fillId="14" borderId="1" xfId="0" applyFont="1" applyFill="1" applyBorder="1" applyAlignment="1" applyProtection="1">
      <alignment horizontal="center" vertical="center"/>
    </xf>
    <xf numFmtId="0" fontId="6" fillId="14" borderId="2" xfId="0" applyFont="1" applyFill="1" applyBorder="1" applyAlignment="1" applyProtection="1">
      <alignment horizontal="center" vertical="center"/>
    </xf>
    <xf numFmtId="0" fontId="6" fillId="14" borderId="3" xfId="0" applyFont="1" applyFill="1" applyBorder="1" applyAlignment="1" applyProtection="1">
      <alignment horizontal="center" vertical="center"/>
    </xf>
    <xf numFmtId="0" fontId="7" fillId="11" borderId="1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1" xfId="0" applyFont="1" applyFill="1" applyBorder="1" applyAlignment="1" applyProtection="1">
      <alignment horizontal="center" vertical="center"/>
    </xf>
    <xf numFmtId="0" fontId="7" fillId="9" borderId="3" xfId="0" applyFont="1" applyFill="1" applyBorder="1" applyAlignment="1" applyProtection="1">
      <alignment horizontal="center" vertical="center"/>
    </xf>
    <xf numFmtId="0" fontId="7" fillId="10" borderId="1" xfId="0" applyFont="1" applyFill="1" applyBorder="1" applyAlignment="1" applyProtection="1">
      <alignment horizontal="center" vertical="center"/>
    </xf>
    <xf numFmtId="0" fontId="7" fillId="10" borderId="3" xfId="0" applyFont="1" applyFill="1" applyBorder="1" applyAlignment="1" applyProtection="1">
      <alignment horizontal="center" vertical="center"/>
    </xf>
    <xf numFmtId="0" fontId="7" fillId="13" borderId="1" xfId="0" applyFont="1" applyFill="1" applyBorder="1" applyAlignment="1" applyProtection="1">
      <alignment horizontal="center" vertical="center"/>
    </xf>
    <xf numFmtId="0" fontId="7" fillId="13" borderId="3" xfId="0" applyFont="1" applyFill="1" applyBorder="1" applyAlignment="1" applyProtection="1">
      <alignment horizontal="center" vertical="center"/>
    </xf>
    <xf numFmtId="0" fontId="7" fillId="8" borderId="1" xfId="0" applyFont="1" applyFill="1" applyBorder="1" applyAlignment="1" applyProtection="1">
      <alignment horizontal="center" vertical="center"/>
    </xf>
    <xf numFmtId="0" fontId="7" fillId="8" borderId="3" xfId="0" applyFont="1" applyFill="1" applyBorder="1" applyAlignment="1" applyProtection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F4158"/>
      <color rgb="FFE72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21BD"/>
  </sheetPr>
  <dimension ref="A1:L119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9.140625" customWidth="1"/>
    <col min="2" max="2" width="12.5703125" customWidth="1"/>
    <col min="3" max="3" width="11.85546875" customWidth="1"/>
    <col min="4" max="4" width="10.5703125" customWidth="1"/>
    <col min="5" max="7" width="9.85546875" customWidth="1"/>
    <col min="8" max="8" width="10.85546875" customWidth="1"/>
    <col min="9" max="9" width="9.85546875" customWidth="1"/>
    <col min="10" max="10" width="10.42578125" customWidth="1"/>
    <col min="11" max="11" width="12.42578125" customWidth="1"/>
    <col min="12" max="12" width="9.140625" customWidth="1"/>
    <col min="13" max="16384" width="9.140625" hidden="1"/>
  </cols>
  <sheetData>
    <row r="1" spans="1:11" ht="47.25" x14ac:dyDescent="0.25">
      <c r="A1" s="122" t="s">
        <v>3</v>
      </c>
      <c r="B1" s="123" t="s">
        <v>7</v>
      </c>
      <c r="C1" s="123" t="s">
        <v>4</v>
      </c>
      <c r="D1" s="123" t="s">
        <v>5</v>
      </c>
      <c r="E1" s="124" t="s">
        <v>6</v>
      </c>
      <c r="F1" s="123" t="s">
        <v>169</v>
      </c>
      <c r="G1" s="123" t="s">
        <v>172</v>
      </c>
      <c r="H1" s="123" t="s">
        <v>8</v>
      </c>
      <c r="I1" s="123" t="s">
        <v>11</v>
      </c>
      <c r="J1" s="123" t="s">
        <v>12</v>
      </c>
      <c r="K1" s="124" t="s">
        <v>14</v>
      </c>
    </row>
    <row r="2" spans="1:11" x14ac:dyDescent="0.25">
      <c r="A2" s="11" t="s">
        <v>62</v>
      </c>
      <c r="B2" s="12">
        <v>1</v>
      </c>
      <c r="C2" s="2">
        <v>1.008</v>
      </c>
      <c r="D2" s="2">
        <v>8.988E-5</v>
      </c>
      <c r="E2" s="119">
        <v>-259</v>
      </c>
      <c r="F2" s="1">
        <v>-252.72</v>
      </c>
      <c r="G2" s="1"/>
      <c r="H2" s="2">
        <v>0</v>
      </c>
      <c r="I2" s="2">
        <v>0</v>
      </c>
      <c r="J2" s="2">
        <v>0.154</v>
      </c>
      <c r="K2" s="3" t="s">
        <v>29</v>
      </c>
    </row>
    <row r="3" spans="1:11" x14ac:dyDescent="0.25">
      <c r="A3" s="11" t="s">
        <v>61</v>
      </c>
      <c r="B3" s="12">
        <v>2</v>
      </c>
      <c r="C3" s="2">
        <v>4.0030000000000001</v>
      </c>
      <c r="D3" s="2">
        <v>1.785E-4</v>
      </c>
      <c r="E3" s="119">
        <v>-272</v>
      </c>
      <c r="F3" s="1">
        <v>-268.77999999999997</v>
      </c>
      <c r="G3" s="1"/>
      <c r="H3" s="2">
        <v>0</v>
      </c>
      <c r="I3" s="2">
        <v>0</v>
      </c>
      <c r="J3" s="2">
        <v>0</v>
      </c>
      <c r="K3" s="3" t="s">
        <v>35</v>
      </c>
    </row>
    <row r="4" spans="1:11" x14ac:dyDescent="0.25">
      <c r="A4" s="11" t="s">
        <v>66</v>
      </c>
      <c r="B4" s="12">
        <v>3</v>
      </c>
      <c r="C4" s="2">
        <v>6.94</v>
      </c>
      <c r="D4" s="2">
        <v>0.53400000000000003</v>
      </c>
      <c r="E4" s="119">
        <v>181</v>
      </c>
      <c r="F4" s="1">
        <v>1287</v>
      </c>
      <c r="G4" s="1"/>
      <c r="H4" s="2" t="s">
        <v>39</v>
      </c>
      <c r="I4" s="2">
        <v>0.152</v>
      </c>
      <c r="J4" s="2">
        <v>6.8000000000000005E-2</v>
      </c>
      <c r="K4" s="3" t="s">
        <v>29</v>
      </c>
    </row>
    <row r="5" spans="1:11" x14ac:dyDescent="0.25">
      <c r="A5" s="11" t="s">
        <v>45</v>
      </c>
      <c r="B5" s="12">
        <v>4</v>
      </c>
      <c r="C5" s="2">
        <v>9.0120000000000005</v>
      </c>
      <c r="D5" s="2">
        <v>1.85</v>
      </c>
      <c r="E5" s="119">
        <v>1278</v>
      </c>
      <c r="F5" s="1">
        <v>2469</v>
      </c>
      <c r="G5" s="1"/>
      <c r="H5" s="2" t="s">
        <v>9</v>
      </c>
      <c r="I5" s="2">
        <v>0.114</v>
      </c>
      <c r="J5" s="2">
        <v>3.5000000000000003E-2</v>
      </c>
      <c r="K5" s="3" t="s">
        <v>13</v>
      </c>
    </row>
    <row r="6" spans="1:11" x14ac:dyDescent="0.25">
      <c r="A6" s="11" t="s">
        <v>46</v>
      </c>
      <c r="B6" s="12">
        <v>5</v>
      </c>
      <c r="C6" s="2">
        <v>10.81</v>
      </c>
      <c r="D6" s="2">
        <v>2.34</v>
      </c>
      <c r="E6" s="119">
        <v>2300</v>
      </c>
      <c r="F6" s="1">
        <v>3927</v>
      </c>
      <c r="G6" s="1"/>
      <c r="H6" s="2" t="s">
        <v>47</v>
      </c>
      <c r="I6" s="2">
        <v>0</v>
      </c>
      <c r="J6" s="2">
        <v>2.3E-2</v>
      </c>
      <c r="K6" s="3" t="s">
        <v>16</v>
      </c>
    </row>
    <row r="7" spans="1:11" x14ac:dyDescent="0.25">
      <c r="A7" s="11" t="s">
        <v>25</v>
      </c>
      <c r="B7" s="12">
        <v>6</v>
      </c>
      <c r="C7" s="2">
        <v>12.010999999999999</v>
      </c>
      <c r="D7" s="2">
        <v>2.25</v>
      </c>
      <c r="E7" s="119">
        <v>3367</v>
      </c>
      <c r="F7" s="1">
        <v>4027</v>
      </c>
      <c r="G7" s="1"/>
      <c r="H7" s="2" t="s">
        <v>36</v>
      </c>
      <c r="I7" s="2">
        <v>7.0999999999999994E-2</v>
      </c>
      <c r="J7" s="2">
        <v>1.6E-2</v>
      </c>
      <c r="K7" s="3" t="s">
        <v>30</v>
      </c>
    </row>
    <row r="8" spans="1:11" x14ac:dyDescent="0.25">
      <c r="A8" s="11" t="s">
        <v>72</v>
      </c>
      <c r="B8" s="12">
        <v>7</v>
      </c>
      <c r="C8" s="2">
        <v>14.007</v>
      </c>
      <c r="D8" s="2">
        <v>1.2505999999999999E-3</v>
      </c>
      <c r="E8" s="119">
        <v>-209.9</v>
      </c>
      <c r="F8" s="1">
        <v>-195.64</v>
      </c>
      <c r="G8" s="1"/>
      <c r="H8" s="2">
        <v>0</v>
      </c>
      <c r="I8" s="2">
        <v>0</v>
      </c>
      <c r="J8" s="2">
        <v>1.4999999999999999E-2</v>
      </c>
      <c r="K8" s="3" t="s">
        <v>71</v>
      </c>
    </row>
    <row r="9" spans="1:11" x14ac:dyDescent="0.25">
      <c r="A9" s="11" t="s">
        <v>73</v>
      </c>
      <c r="B9" s="12">
        <v>8</v>
      </c>
      <c r="C9" s="2">
        <v>16</v>
      </c>
      <c r="D9" s="2">
        <v>1.4289999999999999E-3</v>
      </c>
      <c r="E9" s="119">
        <v>-218.4</v>
      </c>
      <c r="F9" s="1">
        <v>-182.8</v>
      </c>
      <c r="G9" s="1"/>
      <c r="H9" s="2">
        <v>0</v>
      </c>
      <c r="I9" s="2">
        <v>0</v>
      </c>
      <c r="J9" s="2">
        <v>0.14000000000000001</v>
      </c>
      <c r="K9" s="3" t="s">
        <v>74</v>
      </c>
    </row>
    <row r="10" spans="1:11" x14ac:dyDescent="0.25">
      <c r="A10" s="11" t="s">
        <v>55</v>
      </c>
      <c r="B10" s="12">
        <v>9</v>
      </c>
      <c r="C10" s="2">
        <v>19</v>
      </c>
      <c r="D10" s="2">
        <v>1.696E-3</v>
      </c>
      <c r="E10" s="119">
        <v>-220</v>
      </c>
      <c r="F10" s="1">
        <v>-187.97</v>
      </c>
      <c r="G10" s="1"/>
      <c r="H10" s="2">
        <v>0</v>
      </c>
      <c r="I10" s="2">
        <v>0</v>
      </c>
      <c r="J10" s="2">
        <v>0.13300000000000001</v>
      </c>
      <c r="K10" s="3" t="s">
        <v>49</v>
      </c>
    </row>
    <row r="11" spans="1:11" x14ac:dyDescent="0.25">
      <c r="A11" s="11" t="s">
        <v>69</v>
      </c>
      <c r="B11" s="12">
        <v>10</v>
      </c>
      <c r="C11" s="2">
        <v>20.18</v>
      </c>
      <c r="D11" s="2">
        <v>8.9990000000000003E-4</v>
      </c>
      <c r="E11" s="119">
        <v>-248.7</v>
      </c>
      <c r="F11" s="1">
        <v>-245.93</v>
      </c>
      <c r="G11" s="1"/>
      <c r="H11" s="2">
        <v>0</v>
      </c>
      <c r="I11" s="2">
        <v>0</v>
      </c>
      <c r="J11" s="2">
        <v>0</v>
      </c>
      <c r="K11" s="3" t="s">
        <v>35</v>
      </c>
    </row>
    <row r="12" spans="1:11" x14ac:dyDescent="0.25">
      <c r="A12" s="11" t="s">
        <v>79</v>
      </c>
      <c r="B12" s="12">
        <v>11</v>
      </c>
      <c r="C12" s="2">
        <v>22.99</v>
      </c>
      <c r="D12" s="2">
        <v>0.97099999999999997</v>
      </c>
      <c r="E12" s="119">
        <v>98</v>
      </c>
      <c r="F12" s="1">
        <v>883</v>
      </c>
      <c r="G12" s="1"/>
      <c r="H12" s="2" t="s">
        <v>39</v>
      </c>
      <c r="I12" s="2">
        <v>0.186</v>
      </c>
      <c r="J12" s="2">
        <v>0.10199999999999999</v>
      </c>
      <c r="K12" s="3" t="s">
        <v>29</v>
      </c>
    </row>
    <row r="13" spans="1:11" x14ac:dyDescent="0.25">
      <c r="A13" s="11" t="s">
        <v>0</v>
      </c>
      <c r="B13" s="7">
        <v>12</v>
      </c>
      <c r="C13" s="1">
        <v>24.305</v>
      </c>
      <c r="D13" s="2">
        <v>1.738</v>
      </c>
      <c r="E13" s="3">
        <v>650</v>
      </c>
      <c r="F13" s="1">
        <v>1090</v>
      </c>
      <c r="G13" s="2">
        <v>1020</v>
      </c>
      <c r="H13" s="1" t="s">
        <v>9</v>
      </c>
      <c r="I13" s="2">
        <v>0.16</v>
      </c>
      <c r="J13" s="1">
        <v>7.1999999999999995E-2</v>
      </c>
      <c r="K13" s="3" t="s">
        <v>13</v>
      </c>
    </row>
    <row r="14" spans="1:11" x14ac:dyDescent="0.25">
      <c r="A14" s="11" t="s">
        <v>31</v>
      </c>
      <c r="B14" s="12">
        <v>13</v>
      </c>
      <c r="C14" s="2">
        <v>26.98</v>
      </c>
      <c r="D14" s="2">
        <v>2.71</v>
      </c>
      <c r="E14" s="119">
        <v>660.4</v>
      </c>
      <c r="F14" s="1">
        <v>2519</v>
      </c>
      <c r="G14" s="2">
        <v>900</v>
      </c>
      <c r="H14" s="2" t="s">
        <v>10</v>
      </c>
      <c r="I14" s="2">
        <v>0.14299999999999999</v>
      </c>
      <c r="J14" s="2">
        <v>5.2999999999999999E-2</v>
      </c>
      <c r="K14" s="3" t="s">
        <v>16</v>
      </c>
    </row>
    <row r="15" spans="1:11" x14ac:dyDescent="0.25">
      <c r="A15" s="11" t="s">
        <v>77</v>
      </c>
      <c r="B15" s="12">
        <v>14</v>
      </c>
      <c r="C15" s="2">
        <v>28.09</v>
      </c>
      <c r="D15" s="2">
        <v>2.33</v>
      </c>
      <c r="E15" s="119">
        <v>1410</v>
      </c>
      <c r="F15" s="1">
        <v>3265</v>
      </c>
      <c r="G15" s="1"/>
      <c r="H15" s="2" t="s">
        <v>59</v>
      </c>
      <c r="I15" s="2">
        <v>0.11799999999999999</v>
      </c>
      <c r="J15" s="2">
        <v>0.04</v>
      </c>
      <c r="K15" s="3" t="s">
        <v>30</v>
      </c>
    </row>
    <row r="16" spans="1:11" x14ac:dyDescent="0.25">
      <c r="A16" s="11" t="s">
        <v>75</v>
      </c>
      <c r="B16" s="12">
        <v>15</v>
      </c>
      <c r="C16" s="2">
        <v>30.97</v>
      </c>
      <c r="D16" s="2">
        <v>1.82</v>
      </c>
      <c r="E16" s="119">
        <v>44.1</v>
      </c>
      <c r="F16" s="1">
        <v>277</v>
      </c>
      <c r="G16" s="1"/>
      <c r="H16" s="2" t="s">
        <v>57</v>
      </c>
      <c r="I16" s="2">
        <v>0.109</v>
      </c>
      <c r="J16" s="2">
        <v>3.5000000000000003E-2</v>
      </c>
      <c r="K16" s="3" t="s">
        <v>71</v>
      </c>
    </row>
    <row r="17" spans="1:11" x14ac:dyDescent="0.25">
      <c r="A17" s="11" t="s">
        <v>80</v>
      </c>
      <c r="B17" s="12">
        <v>16</v>
      </c>
      <c r="C17" s="2">
        <v>32.06</v>
      </c>
      <c r="D17" s="2">
        <v>2.0699999999999998</v>
      </c>
      <c r="E17" s="119">
        <v>113</v>
      </c>
      <c r="F17" s="1">
        <v>444.87</v>
      </c>
      <c r="G17" s="1"/>
      <c r="H17" s="2" t="s">
        <v>57</v>
      </c>
      <c r="I17" s="2">
        <v>0.106</v>
      </c>
      <c r="J17" s="2">
        <v>0.184</v>
      </c>
      <c r="K17" s="3" t="s">
        <v>74</v>
      </c>
    </row>
    <row r="18" spans="1:11" x14ac:dyDescent="0.25">
      <c r="A18" s="11" t="s">
        <v>52</v>
      </c>
      <c r="B18" s="12">
        <v>17</v>
      </c>
      <c r="C18" s="2">
        <v>35.450000000000003</v>
      </c>
      <c r="D18" s="2">
        <v>3.2139999999999998E-3</v>
      </c>
      <c r="E18" s="119">
        <v>-101</v>
      </c>
      <c r="F18" s="1">
        <v>-33.889999999999986</v>
      </c>
      <c r="G18" s="1"/>
      <c r="H18" s="2">
        <v>0</v>
      </c>
      <c r="I18" s="2">
        <v>0</v>
      </c>
      <c r="J18" s="2">
        <v>0.18099999999999999</v>
      </c>
      <c r="K18" s="3" t="s">
        <v>49</v>
      </c>
    </row>
    <row r="19" spans="1:11" x14ac:dyDescent="0.25">
      <c r="A19" s="11" t="s">
        <v>34</v>
      </c>
      <c r="B19" s="12">
        <v>18</v>
      </c>
      <c r="C19" s="2">
        <v>39.950000000000003</v>
      </c>
      <c r="D19" s="2">
        <v>1.7837E-3</v>
      </c>
      <c r="E19" s="119">
        <v>-189.2</v>
      </c>
      <c r="F19" s="1">
        <v>-185.7</v>
      </c>
      <c r="G19" s="1"/>
      <c r="H19" s="2">
        <v>0</v>
      </c>
      <c r="I19" s="2">
        <v>0</v>
      </c>
      <c r="J19" s="2">
        <v>0</v>
      </c>
      <c r="K19" s="3" t="s">
        <v>35</v>
      </c>
    </row>
    <row r="20" spans="1:11" x14ac:dyDescent="0.25">
      <c r="A20" s="11" t="s">
        <v>26</v>
      </c>
      <c r="B20" s="12">
        <v>19</v>
      </c>
      <c r="C20" s="2">
        <v>39.1</v>
      </c>
      <c r="D20" s="2">
        <v>0.86199999999999999</v>
      </c>
      <c r="E20" s="119">
        <v>63</v>
      </c>
      <c r="F20" s="1">
        <v>759</v>
      </c>
      <c r="G20" s="1"/>
      <c r="H20" s="2" t="s">
        <v>39</v>
      </c>
      <c r="I20" s="2">
        <v>0.23100000000000001</v>
      </c>
      <c r="J20" s="2">
        <v>0.13800000000000001</v>
      </c>
      <c r="K20" s="3" t="s">
        <v>29</v>
      </c>
    </row>
    <row r="21" spans="1:11" x14ac:dyDescent="0.25">
      <c r="A21" s="11" t="s">
        <v>1</v>
      </c>
      <c r="B21" s="7">
        <v>20</v>
      </c>
      <c r="C21" s="1">
        <v>40.078000000000003</v>
      </c>
      <c r="D21" s="2">
        <v>1.55</v>
      </c>
      <c r="E21" s="3">
        <v>842</v>
      </c>
      <c r="F21" s="1">
        <v>1484</v>
      </c>
      <c r="G21" s="2">
        <v>650</v>
      </c>
      <c r="H21" s="1" t="s">
        <v>10</v>
      </c>
      <c r="I21" s="2">
        <v>0.14899999999999999</v>
      </c>
      <c r="J21" s="1">
        <v>9.5000000000000001E-2</v>
      </c>
      <c r="K21" s="3" t="s">
        <v>13</v>
      </c>
    </row>
    <row r="22" spans="1:11" x14ac:dyDescent="0.25">
      <c r="A22" s="11" t="s">
        <v>117</v>
      </c>
      <c r="B22" s="12">
        <v>21</v>
      </c>
      <c r="C22" s="2">
        <v>44.955911999999998</v>
      </c>
      <c r="D22" s="2">
        <v>2.9889999999999999</v>
      </c>
      <c r="E22" s="119">
        <v>1541</v>
      </c>
      <c r="F22" s="1">
        <v>2836</v>
      </c>
      <c r="G22" s="1"/>
      <c r="H22" s="1"/>
      <c r="I22" s="1"/>
      <c r="J22" s="1"/>
      <c r="K22" s="3"/>
    </row>
    <row r="23" spans="1:11" x14ac:dyDescent="0.25">
      <c r="A23" s="11" t="s">
        <v>33</v>
      </c>
      <c r="B23" s="12">
        <v>22</v>
      </c>
      <c r="C23" s="2">
        <v>47.87</v>
      </c>
      <c r="D23" s="2">
        <v>4.51</v>
      </c>
      <c r="E23" s="119">
        <v>1668</v>
      </c>
      <c r="F23" s="1">
        <v>3287</v>
      </c>
      <c r="G23" s="1"/>
      <c r="H23" s="2" t="s">
        <v>9</v>
      </c>
      <c r="I23" s="2">
        <v>0.14499999999999999</v>
      </c>
      <c r="J23" s="2">
        <v>6.8000000000000005E-2</v>
      </c>
      <c r="K23" s="3" t="s">
        <v>30</v>
      </c>
    </row>
    <row r="24" spans="1:11" x14ac:dyDescent="0.25">
      <c r="A24" s="11" t="s">
        <v>84</v>
      </c>
      <c r="B24" s="12">
        <v>23</v>
      </c>
      <c r="C24" s="2">
        <v>50.94</v>
      </c>
      <c r="D24" s="2">
        <v>6.1</v>
      </c>
      <c r="E24" s="119">
        <v>1890</v>
      </c>
      <c r="F24" s="1">
        <v>3407</v>
      </c>
      <c r="G24" s="1"/>
      <c r="H24" s="2" t="s">
        <v>39</v>
      </c>
      <c r="I24" s="2">
        <v>0.13200000000000001</v>
      </c>
      <c r="J24" s="2">
        <v>5.8999999999999997E-2</v>
      </c>
      <c r="K24" s="3" t="s">
        <v>71</v>
      </c>
    </row>
    <row r="25" spans="1:11" x14ac:dyDescent="0.25">
      <c r="A25" s="11" t="s">
        <v>53</v>
      </c>
      <c r="B25" s="12">
        <v>24</v>
      </c>
      <c r="C25" s="2">
        <v>52</v>
      </c>
      <c r="D25" s="2">
        <v>7.19</v>
      </c>
      <c r="E25" s="119">
        <v>1875</v>
      </c>
      <c r="F25" s="1">
        <v>2671</v>
      </c>
      <c r="G25" s="1"/>
      <c r="H25" s="2" t="s">
        <v>39</v>
      </c>
      <c r="I25" s="2">
        <v>0.125</v>
      </c>
      <c r="J25" s="2">
        <v>6.3E-2</v>
      </c>
      <c r="K25" s="3" t="s">
        <v>16</v>
      </c>
    </row>
    <row r="26" spans="1:11" x14ac:dyDescent="0.25">
      <c r="A26" s="11" t="s">
        <v>37</v>
      </c>
      <c r="B26" s="12">
        <v>25</v>
      </c>
      <c r="C26" s="2">
        <v>54.94</v>
      </c>
      <c r="D26" s="2">
        <v>7.44</v>
      </c>
      <c r="E26" s="119">
        <v>1244</v>
      </c>
      <c r="F26" s="1">
        <v>2061</v>
      </c>
      <c r="G26" s="1"/>
      <c r="H26" s="2" t="s">
        <v>38</v>
      </c>
      <c r="I26" s="2">
        <v>0.112</v>
      </c>
      <c r="J26" s="2">
        <v>6.7000000000000004E-2</v>
      </c>
      <c r="K26" s="3" t="s">
        <v>13</v>
      </c>
    </row>
    <row r="27" spans="1:11" x14ac:dyDescent="0.25">
      <c r="A27" s="11" t="s">
        <v>64</v>
      </c>
      <c r="B27" s="12">
        <v>26</v>
      </c>
      <c r="C27" s="2">
        <v>55.85</v>
      </c>
      <c r="D27" s="2">
        <v>7.87</v>
      </c>
      <c r="E27" s="119">
        <v>1538</v>
      </c>
      <c r="F27" s="1">
        <v>2861</v>
      </c>
      <c r="G27" s="1"/>
      <c r="H27" s="2" t="s">
        <v>39</v>
      </c>
      <c r="I27" s="2">
        <v>0.124</v>
      </c>
      <c r="J27" s="2">
        <v>7.6999999999999999E-2</v>
      </c>
      <c r="K27" s="3" t="s">
        <v>13</v>
      </c>
    </row>
    <row r="28" spans="1:11" x14ac:dyDescent="0.25">
      <c r="A28" s="11" t="s">
        <v>54</v>
      </c>
      <c r="B28" s="12">
        <v>27</v>
      </c>
      <c r="C28" s="2">
        <v>58.93</v>
      </c>
      <c r="D28" s="2">
        <v>8.9</v>
      </c>
      <c r="E28" s="119">
        <v>1495</v>
      </c>
      <c r="F28" s="1">
        <v>2927</v>
      </c>
      <c r="G28" s="1"/>
      <c r="H28" s="2" t="s">
        <v>9</v>
      </c>
      <c r="I28" s="2">
        <v>0.125</v>
      </c>
      <c r="J28" s="2">
        <v>7.1999999999999995E-2</v>
      </c>
      <c r="K28" s="3" t="s">
        <v>13</v>
      </c>
    </row>
    <row r="29" spans="1:11" x14ac:dyDescent="0.25">
      <c r="A29" s="11" t="s">
        <v>43</v>
      </c>
      <c r="B29" s="12">
        <v>28</v>
      </c>
      <c r="C29" s="2">
        <v>58.69</v>
      </c>
      <c r="D29" s="2">
        <v>8.9</v>
      </c>
      <c r="E29" s="119">
        <v>1455</v>
      </c>
      <c r="F29" s="1">
        <v>2913</v>
      </c>
      <c r="G29" s="1"/>
      <c r="H29" s="2" t="s">
        <v>10</v>
      </c>
      <c r="I29" s="2">
        <v>0.125</v>
      </c>
      <c r="J29" s="2">
        <v>6.9000000000000006E-2</v>
      </c>
      <c r="K29" s="3" t="s">
        <v>13</v>
      </c>
    </row>
    <row r="30" spans="1:11" x14ac:dyDescent="0.25">
      <c r="A30" s="11" t="s">
        <v>42</v>
      </c>
      <c r="B30" s="12">
        <v>29</v>
      </c>
      <c r="C30" s="2">
        <v>63.55</v>
      </c>
      <c r="D30" s="2">
        <v>8.94</v>
      </c>
      <c r="E30" s="119">
        <v>1085</v>
      </c>
      <c r="F30" s="1">
        <v>2562</v>
      </c>
      <c r="G30" s="2">
        <v>385</v>
      </c>
      <c r="H30" s="2" t="s">
        <v>10</v>
      </c>
      <c r="I30" s="2">
        <v>0.128</v>
      </c>
      <c r="J30" s="2">
        <v>9.6000000000000002E-2</v>
      </c>
      <c r="K30" s="3" t="s">
        <v>29</v>
      </c>
    </row>
    <row r="31" spans="1:11" x14ac:dyDescent="0.25">
      <c r="A31" s="11" t="s">
        <v>2</v>
      </c>
      <c r="B31" s="7">
        <v>30</v>
      </c>
      <c r="C31" s="1">
        <v>65.382000000000005</v>
      </c>
      <c r="D31" s="2">
        <v>7.14</v>
      </c>
      <c r="E31" s="3">
        <v>420</v>
      </c>
      <c r="F31" s="1">
        <v>907</v>
      </c>
      <c r="G31" s="2">
        <v>390</v>
      </c>
      <c r="H31" s="1" t="s">
        <v>9</v>
      </c>
      <c r="I31" s="2">
        <v>0.13300000000000001</v>
      </c>
      <c r="J31" s="1">
        <v>7.3999999999999996E-2</v>
      </c>
      <c r="K31" s="3" t="s">
        <v>13</v>
      </c>
    </row>
    <row r="32" spans="1:11" x14ac:dyDescent="0.25">
      <c r="A32" s="11" t="s">
        <v>56</v>
      </c>
      <c r="B32" s="12">
        <v>31</v>
      </c>
      <c r="C32" s="2">
        <v>69.72</v>
      </c>
      <c r="D32" s="2">
        <v>5.9</v>
      </c>
      <c r="E32" s="119">
        <v>29.8</v>
      </c>
      <c r="F32" s="1">
        <v>2204</v>
      </c>
      <c r="G32" s="1"/>
      <c r="H32" s="2" t="s">
        <v>57</v>
      </c>
      <c r="I32" s="2">
        <v>0.122</v>
      </c>
      <c r="J32" s="2">
        <v>6.2E-2</v>
      </c>
      <c r="K32" s="3" t="s">
        <v>16</v>
      </c>
    </row>
    <row r="33" spans="1:11" x14ac:dyDescent="0.25">
      <c r="A33" s="11" t="s">
        <v>58</v>
      </c>
      <c r="B33" s="12">
        <v>32</v>
      </c>
      <c r="C33" s="2">
        <v>72.64</v>
      </c>
      <c r="D33" s="2">
        <v>5.32</v>
      </c>
      <c r="E33" s="119">
        <v>937</v>
      </c>
      <c r="F33" s="1">
        <v>2833</v>
      </c>
      <c r="G33" s="1"/>
      <c r="H33" s="2" t="s">
        <v>59</v>
      </c>
      <c r="I33" s="2">
        <v>0.122</v>
      </c>
      <c r="J33" s="2">
        <v>5.2999999999999999E-2</v>
      </c>
      <c r="K33" s="3" t="s">
        <v>30</v>
      </c>
    </row>
    <row r="34" spans="1:11" x14ac:dyDescent="0.25">
      <c r="A34" s="11" t="s">
        <v>118</v>
      </c>
      <c r="B34" s="12">
        <v>33</v>
      </c>
      <c r="C34" s="2">
        <v>74.921599999999998</v>
      </c>
      <c r="D34" s="2">
        <v>5.7759999999999998</v>
      </c>
      <c r="E34" s="119">
        <v>817</v>
      </c>
      <c r="F34" s="1">
        <v>614</v>
      </c>
      <c r="G34" s="1"/>
      <c r="H34" s="1"/>
      <c r="I34" s="1"/>
      <c r="J34" s="1"/>
      <c r="K34" s="3"/>
    </row>
    <row r="35" spans="1:11" x14ac:dyDescent="0.25">
      <c r="A35" s="11" t="s">
        <v>119</v>
      </c>
      <c r="B35" s="12">
        <v>34</v>
      </c>
      <c r="C35" s="2">
        <v>78.959999999999994</v>
      </c>
      <c r="D35" s="2">
        <v>4.8090000000000002</v>
      </c>
      <c r="E35" s="119">
        <v>180</v>
      </c>
      <c r="F35" s="1">
        <v>685</v>
      </c>
      <c r="G35" s="1"/>
      <c r="H35" s="1"/>
      <c r="I35" s="1"/>
      <c r="J35" s="1"/>
      <c r="K35" s="3"/>
    </row>
    <row r="36" spans="1:11" x14ac:dyDescent="0.25">
      <c r="A36" s="11" t="s">
        <v>48</v>
      </c>
      <c r="B36" s="12">
        <v>35</v>
      </c>
      <c r="C36" s="2">
        <v>79.900000000000006</v>
      </c>
      <c r="D36" s="2">
        <v>3.1219999999999999</v>
      </c>
      <c r="E36" s="119">
        <v>-7.2</v>
      </c>
      <c r="F36" s="1">
        <v>59</v>
      </c>
      <c r="G36" s="1"/>
      <c r="H36" s="2">
        <v>0</v>
      </c>
      <c r="I36" s="2">
        <v>0</v>
      </c>
      <c r="J36" s="2">
        <v>0.19600000000000001</v>
      </c>
      <c r="K36" s="3" t="s">
        <v>49</v>
      </c>
    </row>
    <row r="37" spans="1:11" x14ac:dyDescent="0.25">
      <c r="A37" s="11" t="s">
        <v>120</v>
      </c>
      <c r="B37" s="12">
        <v>36</v>
      </c>
      <c r="C37" s="2">
        <v>83.798000000000002</v>
      </c>
      <c r="D37" s="2">
        <v>3.7330000000000002E-3</v>
      </c>
      <c r="E37" s="119">
        <v>-157.20999999999998</v>
      </c>
      <c r="F37" s="1">
        <v>-153.07</v>
      </c>
      <c r="G37" s="1"/>
      <c r="H37" s="1"/>
      <c r="I37" s="1"/>
      <c r="J37" s="1"/>
      <c r="K37" s="3"/>
    </row>
    <row r="38" spans="1:11" x14ac:dyDescent="0.25">
      <c r="A38" s="11" t="s">
        <v>121</v>
      </c>
      <c r="B38" s="12">
        <v>37</v>
      </c>
      <c r="C38" s="2">
        <v>85.467799999999997</v>
      </c>
      <c r="D38" s="2">
        <v>1.532</v>
      </c>
      <c r="E38" s="119">
        <v>39.45999999999998</v>
      </c>
      <c r="F38" s="1">
        <v>688</v>
      </c>
      <c r="G38" s="1"/>
      <c r="H38" s="1"/>
      <c r="I38" s="1"/>
      <c r="J38" s="1"/>
      <c r="K38" s="3"/>
    </row>
    <row r="39" spans="1:11" x14ac:dyDescent="0.25">
      <c r="A39" s="11" t="s">
        <v>122</v>
      </c>
      <c r="B39" s="12">
        <v>38</v>
      </c>
      <c r="C39" s="2">
        <v>87.62</v>
      </c>
      <c r="D39" s="2">
        <v>2.64</v>
      </c>
      <c r="E39" s="119">
        <v>777</v>
      </c>
      <c r="F39" s="1">
        <v>1382</v>
      </c>
      <c r="G39" s="1"/>
      <c r="H39" s="1"/>
      <c r="I39" s="1"/>
      <c r="J39" s="1"/>
      <c r="K39" s="3"/>
    </row>
    <row r="40" spans="1:11" x14ac:dyDescent="0.25">
      <c r="A40" s="11" t="s">
        <v>15</v>
      </c>
      <c r="B40" s="12">
        <v>39</v>
      </c>
      <c r="C40" s="1">
        <v>88.905839999999998</v>
      </c>
      <c r="D40" s="2">
        <v>4.4720000000000004</v>
      </c>
      <c r="E40" s="3">
        <v>1526</v>
      </c>
      <c r="F40" s="1">
        <v>3336</v>
      </c>
      <c r="G40" s="1"/>
      <c r="H40" s="1" t="s">
        <v>9</v>
      </c>
      <c r="I40" s="2">
        <v>0.18</v>
      </c>
      <c r="J40" s="2">
        <v>0</v>
      </c>
      <c r="K40" s="3" t="s">
        <v>16</v>
      </c>
    </row>
    <row r="41" spans="1:11" x14ac:dyDescent="0.25">
      <c r="A41" s="11" t="s">
        <v>32</v>
      </c>
      <c r="B41" s="12">
        <v>40</v>
      </c>
      <c r="C41" s="2">
        <v>91.22</v>
      </c>
      <c r="D41" s="2">
        <v>6.51</v>
      </c>
      <c r="E41" s="119">
        <v>1852</v>
      </c>
      <c r="F41" s="1">
        <v>4409</v>
      </c>
      <c r="G41" s="1"/>
      <c r="H41" s="2" t="s">
        <v>9</v>
      </c>
      <c r="I41" s="2">
        <v>0.159</v>
      </c>
      <c r="J41" s="2">
        <v>7.9000000000000001E-2</v>
      </c>
      <c r="K41" s="3" t="s">
        <v>30</v>
      </c>
    </row>
    <row r="42" spans="1:11" x14ac:dyDescent="0.25">
      <c r="A42" s="11" t="s">
        <v>70</v>
      </c>
      <c r="B42" s="12">
        <v>41</v>
      </c>
      <c r="C42" s="2">
        <v>92.91</v>
      </c>
      <c r="D42" s="2">
        <v>8.57</v>
      </c>
      <c r="E42" s="119">
        <v>2468</v>
      </c>
      <c r="F42" s="1">
        <v>4744</v>
      </c>
      <c r="G42" s="1"/>
      <c r="H42" s="2" t="s">
        <v>39</v>
      </c>
      <c r="I42" s="2">
        <v>0.14299999999999999</v>
      </c>
      <c r="J42" s="2">
        <v>6.9000000000000006E-2</v>
      </c>
      <c r="K42" s="3" t="s">
        <v>71</v>
      </c>
    </row>
    <row r="43" spans="1:11" x14ac:dyDescent="0.25">
      <c r="A43" s="11" t="s">
        <v>68</v>
      </c>
      <c r="B43" s="12">
        <v>42</v>
      </c>
      <c r="C43" s="2">
        <v>95.94</v>
      </c>
      <c r="D43" s="2">
        <v>10.220000000000001</v>
      </c>
      <c r="E43" s="119">
        <v>2617</v>
      </c>
      <c r="F43" s="1">
        <v>4639</v>
      </c>
      <c r="G43" s="1"/>
      <c r="H43" s="2" t="s">
        <v>39</v>
      </c>
      <c r="I43" s="2">
        <v>0.13600000000000001</v>
      </c>
      <c r="J43" s="2">
        <v>7.0000000000000007E-2</v>
      </c>
      <c r="K43" s="3" t="s">
        <v>30</v>
      </c>
    </row>
    <row r="44" spans="1:11" x14ac:dyDescent="0.25">
      <c r="A44" s="11" t="s">
        <v>123</v>
      </c>
      <c r="B44" s="12">
        <v>43</v>
      </c>
      <c r="C44" s="2">
        <v>98</v>
      </c>
      <c r="D44" s="2">
        <v>11.5</v>
      </c>
      <c r="E44" s="119">
        <v>2157</v>
      </c>
      <c r="F44" s="1">
        <v>4265</v>
      </c>
      <c r="G44" s="1"/>
      <c r="H44" s="1"/>
      <c r="I44" s="1"/>
      <c r="J44" s="1"/>
      <c r="K44" s="3"/>
    </row>
    <row r="45" spans="1:11" x14ac:dyDescent="0.25">
      <c r="A45" s="11" t="s">
        <v>124</v>
      </c>
      <c r="B45" s="12">
        <v>44</v>
      </c>
      <c r="C45" s="2">
        <v>101.07</v>
      </c>
      <c r="D45" s="2">
        <v>12.37</v>
      </c>
      <c r="E45" s="119">
        <v>2334</v>
      </c>
      <c r="F45" s="1">
        <v>4150</v>
      </c>
      <c r="G45" s="1"/>
      <c r="H45" s="1"/>
      <c r="I45" s="1"/>
      <c r="J45" s="1"/>
      <c r="K45" s="3"/>
    </row>
    <row r="46" spans="1:11" x14ac:dyDescent="0.25">
      <c r="A46" s="11" t="s">
        <v>125</v>
      </c>
      <c r="B46" s="12">
        <v>45</v>
      </c>
      <c r="C46" s="2">
        <v>102.9055</v>
      </c>
      <c r="D46" s="2">
        <v>12.41</v>
      </c>
      <c r="E46" s="119">
        <v>1964</v>
      </c>
      <c r="F46" s="1">
        <v>3695</v>
      </c>
      <c r="G46" s="1"/>
      <c r="H46" s="1"/>
      <c r="I46" s="1"/>
      <c r="J46" s="1"/>
      <c r="K46" s="3"/>
    </row>
    <row r="47" spans="1:11" x14ac:dyDescent="0.25">
      <c r="A47" s="11" t="s">
        <v>126</v>
      </c>
      <c r="B47" s="12">
        <v>46</v>
      </c>
      <c r="C47" s="2">
        <v>106.42</v>
      </c>
      <c r="D47" s="2">
        <v>12.02</v>
      </c>
      <c r="E47" s="119">
        <v>1555.05</v>
      </c>
      <c r="F47" s="1">
        <v>2963</v>
      </c>
      <c r="G47" s="1"/>
      <c r="H47" s="1"/>
      <c r="I47" s="1"/>
      <c r="J47" s="1"/>
      <c r="K47" s="3"/>
    </row>
    <row r="48" spans="1:11" x14ac:dyDescent="0.25">
      <c r="A48" s="11" t="s">
        <v>78</v>
      </c>
      <c r="B48" s="12">
        <v>47</v>
      </c>
      <c r="C48" s="2">
        <v>107.87</v>
      </c>
      <c r="D48" s="2">
        <v>10.49</v>
      </c>
      <c r="E48" s="119">
        <v>962</v>
      </c>
      <c r="F48" s="1">
        <v>2162</v>
      </c>
      <c r="G48" s="1"/>
      <c r="H48" s="2" t="s">
        <v>10</v>
      </c>
      <c r="I48" s="2">
        <v>0.14399999999999999</v>
      </c>
      <c r="J48" s="2">
        <v>0.126</v>
      </c>
      <c r="K48" s="3" t="s">
        <v>29</v>
      </c>
    </row>
    <row r="49" spans="1:11" x14ac:dyDescent="0.25">
      <c r="A49" s="11" t="s">
        <v>50</v>
      </c>
      <c r="B49" s="12">
        <v>48</v>
      </c>
      <c r="C49" s="2">
        <v>112.41</v>
      </c>
      <c r="D49" s="2">
        <v>8.65</v>
      </c>
      <c r="E49" s="119">
        <v>321</v>
      </c>
      <c r="F49" s="1">
        <v>767</v>
      </c>
      <c r="G49" s="1"/>
      <c r="H49" s="2" t="s">
        <v>9</v>
      </c>
      <c r="I49" s="2">
        <v>0.14899999999999999</v>
      </c>
      <c r="J49" s="2">
        <v>9.5000000000000001E-2</v>
      </c>
      <c r="K49" s="3" t="s">
        <v>13</v>
      </c>
    </row>
    <row r="50" spans="1:11" x14ac:dyDescent="0.25">
      <c r="A50" s="11" t="s">
        <v>127</v>
      </c>
      <c r="B50" s="12">
        <v>49</v>
      </c>
      <c r="C50" s="2">
        <v>114.818</v>
      </c>
      <c r="D50" s="2">
        <v>7.31</v>
      </c>
      <c r="E50" s="119">
        <v>156.75</v>
      </c>
      <c r="F50" s="1">
        <v>2072</v>
      </c>
      <c r="G50" s="1"/>
      <c r="H50" s="1"/>
      <c r="I50" s="1"/>
      <c r="J50" s="1"/>
      <c r="K50" s="3"/>
    </row>
    <row r="51" spans="1:11" x14ac:dyDescent="0.25">
      <c r="A51" s="11" t="s">
        <v>81</v>
      </c>
      <c r="B51" s="12">
        <v>50</v>
      </c>
      <c r="C51" s="2">
        <v>118.71</v>
      </c>
      <c r="D51" s="2">
        <v>7.27</v>
      </c>
      <c r="E51" s="119">
        <v>232</v>
      </c>
      <c r="F51" s="1">
        <v>2602</v>
      </c>
      <c r="G51" s="1"/>
      <c r="H51" s="2" t="s">
        <v>82</v>
      </c>
      <c r="I51" s="2">
        <v>0.151</v>
      </c>
      <c r="J51" s="2">
        <v>7.0999999999999994E-2</v>
      </c>
      <c r="K51" s="3" t="s">
        <v>30</v>
      </c>
    </row>
    <row r="52" spans="1:11" x14ac:dyDescent="0.25">
      <c r="A52" s="11" t="s">
        <v>128</v>
      </c>
      <c r="B52" s="12">
        <v>51</v>
      </c>
      <c r="C52" s="2">
        <v>121.76</v>
      </c>
      <c r="D52" s="2">
        <v>6.6849999999999996</v>
      </c>
      <c r="E52" s="119">
        <v>630.78</v>
      </c>
      <c r="F52" s="1">
        <v>1587</v>
      </c>
      <c r="G52" s="1"/>
      <c r="H52" s="1"/>
      <c r="I52" s="1"/>
      <c r="J52" s="1"/>
      <c r="K52" s="3"/>
    </row>
    <row r="53" spans="1:11" x14ac:dyDescent="0.25">
      <c r="A53" s="11" t="s">
        <v>129</v>
      </c>
      <c r="B53" s="12">
        <v>52</v>
      </c>
      <c r="C53" s="2">
        <v>127.6</v>
      </c>
      <c r="D53" s="2">
        <v>6.2320000000000002</v>
      </c>
      <c r="E53" s="119">
        <v>449.65999999999997</v>
      </c>
      <c r="F53" s="1">
        <v>988</v>
      </c>
      <c r="G53" s="1"/>
      <c r="H53" s="1"/>
      <c r="I53" s="1"/>
      <c r="J53" s="1"/>
      <c r="K53" s="3"/>
    </row>
    <row r="54" spans="1:11" x14ac:dyDescent="0.25">
      <c r="A54" s="11" t="s">
        <v>63</v>
      </c>
      <c r="B54" s="12">
        <v>53</v>
      </c>
      <c r="C54" s="2">
        <v>126.91</v>
      </c>
      <c r="D54" s="2">
        <v>4.93</v>
      </c>
      <c r="E54" s="119">
        <v>114</v>
      </c>
      <c r="F54" s="1">
        <v>184.39999999999998</v>
      </c>
      <c r="G54" s="1"/>
      <c r="H54" s="2" t="s">
        <v>57</v>
      </c>
      <c r="I54" s="2">
        <v>0.13600000000000001</v>
      </c>
      <c r="J54" s="2">
        <v>0.22</v>
      </c>
      <c r="K54" s="3" t="s">
        <v>49</v>
      </c>
    </row>
    <row r="55" spans="1:11" x14ac:dyDescent="0.25">
      <c r="A55" s="11" t="s">
        <v>130</v>
      </c>
      <c r="B55" s="12">
        <v>54</v>
      </c>
      <c r="C55" s="2">
        <v>131.29300000000001</v>
      </c>
      <c r="D55" s="2">
        <v>5.8869999999999999E-3</v>
      </c>
      <c r="E55" s="119">
        <v>-111.6</v>
      </c>
      <c r="F55" s="1">
        <v>-107.97</v>
      </c>
      <c r="G55" s="1"/>
      <c r="H55" s="1"/>
      <c r="I55" s="1"/>
      <c r="J55" s="1"/>
      <c r="K55" s="3"/>
    </row>
    <row r="56" spans="1:11" x14ac:dyDescent="0.25">
      <c r="A56" s="11" t="s">
        <v>51</v>
      </c>
      <c r="B56" s="12">
        <v>55</v>
      </c>
      <c r="C56" s="2">
        <v>132.91</v>
      </c>
      <c r="D56" s="2">
        <v>1.87</v>
      </c>
      <c r="E56" s="119">
        <v>28.4</v>
      </c>
      <c r="F56" s="1">
        <v>671</v>
      </c>
      <c r="G56" s="1"/>
      <c r="H56" s="2" t="s">
        <v>39</v>
      </c>
      <c r="I56" s="2">
        <v>0.26500000000000001</v>
      </c>
      <c r="J56" s="2">
        <v>0.17</v>
      </c>
      <c r="K56" s="3" t="s">
        <v>29</v>
      </c>
    </row>
    <row r="57" spans="1:11" x14ac:dyDescent="0.25">
      <c r="A57" s="11" t="s">
        <v>44</v>
      </c>
      <c r="B57" s="12">
        <v>56</v>
      </c>
      <c r="C57" s="2">
        <v>137.33000000000001</v>
      </c>
      <c r="D57" s="2">
        <v>3.5</v>
      </c>
      <c r="E57" s="119">
        <v>725</v>
      </c>
      <c r="F57" s="1">
        <v>1897</v>
      </c>
      <c r="G57" s="1"/>
      <c r="H57" s="2" t="s">
        <v>39</v>
      </c>
      <c r="I57" s="2">
        <v>0.217</v>
      </c>
      <c r="J57" s="2">
        <v>0.13600000000000001</v>
      </c>
      <c r="K57" s="3" t="s">
        <v>13</v>
      </c>
    </row>
    <row r="58" spans="1:11" x14ac:dyDescent="0.25">
      <c r="A58" s="11" t="s">
        <v>131</v>
      </c>
      <c r="B58" s="12">
        <v>57</v>
      </c>
      <c r="C58" s="2">
        <v>138.90547000000001</v>
      </c>
      <c r="D58" s="2">
        <v>6.1449999999999996</v>
      </c>
      <c r="E58" s="119">
        <v>920</v>
      </c>
      <c r="F58" s="1">
        <v>3464</v>
      </c>
      <c r="G58" s="1"/>
      <c r="H58" s="1"/>
      <c r="I58" s="1"/>
      <c r="J58" s="1"/>
      <c r="K58" s="3"/>
    </row>
    <row r="59" spans="1:11" x14ac:dyDescent="0.25">
      <c r="A59" s="11" t="s">
        <v>132</v>
      </c>
      <c r="B59" s="12">
        <v>58</v>
      </c>
      <c r="C59" s="2">
        <v>140.11600000000001</v>
      </c>
      <c r="D59" s="2">
        <v>6.77</v>
      </c>
      <c r="E59" s="119">
        <v>795</v>
      </c>
      <c r="F59" s="1">
        <v>3443</v>
      </c>
      <c r="G59" s="1"/>
      <c r="H59" s="1"/>
      <c r="I59" s="1"/>
      <c r="J59" s="1"/>
      <c r="K59" s="3"/>
    </row>
    <row r="60" spans="1:11" x14ac:dyDescent="0.25">
      <c r="A60" s="11" t="s">
        <v>133</v>
      </c>
      <c r="B60" s="12">
        <v>59</v>
      </c>
      <c r="C60" s="2">
        <v>140.90764999999999</v>
      </c>
      <c r="D60" s="2">
        <v>6.7729999999999997</v>
      </c>
      <c r="E60" s="119">
        <v>935</v>
      </c>
      <c r="F60" s="1">
        <v>3520</v>
      </c>
      <c r="G60" s="1"/>
      <c r="H60" s="1"/>
      <c r="I60" s="1"/>
      <c r="J60" s="1"/>
      <c r="K60" s="3"/>
    </row>
    <row r="61" spans="1:11" x14ac:dyDescent="0.25">
      <c r="A61" s="11" t="s">
        <v>134</v>
      </c>
      <c r="B61" s="12">
        <v>60</v>
      </c>
      <c r="C61" s="2">
        <v>144.24199999999999</v>
      </c>
      <c r="D61" s="2">
        <v>7.0069999999999997</v>
      </c>
      <c r="E61" s="119">
        <v>1024</v>
      </c>
      <c r="F61" s="1">
        <v>3074</v>
      </c>
      <c r="G61" s="1"/>
      <c r="H61" s="1"/>
      <c r="I61" s="1"/>
      <c r="J61" s="1"/>
      <c r="K61" s="3"/>
    </row>
    <row r="62" spans="1:11" x14ac:dyDescent="0.25">
      <c r="A62" s="11" t="s">
        <v>135</v>
      </c>
      <c r="B62" s="12">
        <v>61</v>
      </c>
      <c r="C62" s="2">
        <v>145</v>
      </c>
      <c r="D62" s="2">
        <v>7.26</v>
      </c>
      <c r="E62" s="119">
        <v>1042</v>
      </c>
      <c r="F62" s="1">
        <v>3000</v>
      </c>
      <c r="G62" s="1"/>
      <c r="H62" s="1"/>
      <c r="I62" s="1"/>
      <c r="J62" s="1"/>
      <c r="K62" s="3"/>
    </row>
    <row r="63" spans="1:11" x14ac:dyDescent="0.25">
      <c r="A63" s="11" t="s">
        <v>136</v>
      </c>
      <c r="B63" s="12">
        <v>62</v>
      </c>
      <c r="C63" s="2">
        <v>150.36000000000001</v>
      </c>
      <c r="D63" s="2">
        <v>7.52</v>
      </c>
      <c r="E63" s="119">
        <v>1072</v>
      </c>
      <c r="F63" s="1">
        <v>1794</v>
      </c>
      <c r="G63" s="1"/>
      <c r="H63" s="1"/>
      <c r="I63" s="1"/>
      <c r="J63" s="1"/>
      <c r="K63" s="3"/>
    </row>
    <row r="64" spans="1:11" x14ac:dyDescent="0.25">
      <c r="A64" s="11" t="s">
        <v>137</v>
      </c>
      <c r="B64" s="12">
        <v>63</v>
      </c>
      <c r="C64" s="2">
        <v>151.964</v>
      </c>
      <c r="D64" s="2">
        <v>5.2430000000000003</v>
      </c>
      <c r="E64" s="119">
        <v>826</v>
      </c>
      <c r="F64" s="1">
        <v>1529</v>
      </c>
      <c r="G64" s="1"/>
      <c r="H64" s="1"/>
      <c r="I64" s="1"/>
      <c r="J64" s="1"/>
      <c r="K64" s="3"/>
    </row>
    <row r="65" spans="1:11" x14ac:dyDescent="0.25">
      <c r="A65" s="11" t="s">
        <v>138</v>
      </c>
      <c r="B65" s="12">
        <v>64</v>
      </c>
      <c r="C65" s="2">
        <v>157.25</v>
      </c>
      <c r="D65" s="2">
        <v>7.8949999999999996</v>
      </c>
      <c r="E65" s="119">
        <v>1312</v>
      </c>
      <c r="F65" s="1">
        <v>3273</v>
      </c>
      <c r="G65" s="1"/>
      <c r="H65" s="1"/>
      <c r="I65" s="1"/>
      <c r="J65" s="1"/>
      <c r="K65" s="3"/>
    </row>
    <row r="66" spans="1:11" x14ac:dyDescent="0.25">
      <c r="A66" s="11" t="s">
        <v>139</v>
      </c>
      <c r="B66" s="12">
        <v>65</v>
      </c>
      <c r="C66" s="2">
        <v>158.92535000000001</v>
      </c>
      <c r="D66" s="2">
        <v>8.2289999999999992</v>
      </c>
      <c r="E66" s="119">
        <v>1356</v>
      </c>
      <c r="F66" s="1">
        <v>3230</v>
      </c>
      <c r="G66" s="1"/>
      <c r="H66" s="1"/>
      <c r="I66" s="1"/>
      <c r="J66" s="1"/>
      <c r="K66" s="3"/>
    </row>
    <row r="67" spans="1:11" x14ac:dyDescent="0.25">
      <c r="A67" s="11" t="s">
        <v>140</v>
      </c>
      <c r="B67" s="12">
        <v>66</v>
      </c>
      <c r="C67" s="2">
        <v>162.5</v>
      </c>
      <c r="D67" s="2">
        <v>8.5500000000000007</v>
      </c>
      <c r="E67" s="119">
        <v>1407</v>
      </c>
      <c r="F67" s="1">
        <v>2567</v>
      </c>
      <c r="G67" s="1"/>
      <c r="H67" s="1"/>
      <c r="I67" s="1"/>
      <c r="J67" s="1"/>
      <c r="K67" s="3"/>
    </row>
    <row r="68" spans="1:11" x14ac:dyDescent="0.25">
      <c r="A68" s="11" t="s">
        <v>141</v>
      </c>
      <c r="B68" s="12">
        <v>67</v>
      </c>
      <c r="C68" s="2">
        <v>164.93031999999999</v>
      </c>
      <c r="D68" s="2">
        <v>8.7949999999999999</v>
      </c>
      <c r="E68" s="119">
        <v>1461</v>
      </c>
      <c r="F68" s="1">
        <v>2720</v>
      </c>
      <c r="G68" s="1"/>
      <c r="H68" s="1"/>
      <c r="I68" s="1"/>
      <c r="J68" s="1"/>
      <c r="K68" s="3"/>
    </row>
    <row r="69" spans="1:11" x14ac:dyDescent="0.25">
      <c r="A69" s="11" t="s">
        <v>142</v>
      </c>
      <c r="B69" s="12">
        <v>68</v>
      </c>
      <c r="C69" s="2">
        <v>167.25899999999999</v>
      </c>
      <c r="D69" s="2">
        <v>9.0660000000000007</v>
      </c>
      <c r="E69" s="119">
        <v>1529</v>
      </c>
      <c r="F69" s="1">
        <v>2868</v>
      </c>
      <c r="G69" s="1"/>
      <c r="H69" s="1"/>
      <c r="I69" s="1"/>
      <c r="J69" s="1"/>
      <c r="K69" s="3"/>
    </row>
    <row r="70" spans="1:11" x14ac:dyDescent="0.25">
      <c r="A70" s="11" t="s">
        <v>24</v>
      </c>
      <c r="B70" s="12">
        <v>69</v>
      </c>
      <c r="C70" s="2">
        <v>168.93421000000001</v>
      </c>
      <c r="D70" s="2">
        <v>9.3209999999999997</v>
      </c>
      <c r="E70" s="119">
        <v>1545</v>
      </c>
      <c r="F70" s="1">
        <v>1950</v>
      </c>
      <c r="G70" s="1"/>
      <c r="H70" s="1"/>
      <c r="I70" s="1"/>
      <c r="J70" s="1"/>
      <c r="K70" s="3"/>
    </row>
    <row r="71" spans="1:11" x14ac:dyDescent="0.25">
      <c r="A71" s="11" t="s">
        <v>143</v>
      </c>
      <c r="B71" s="12">
        <v>70</v>
      </c>
      <c r="C71" s="2">
        <v>173.054</v>
      </c>
      <c r="D71" s="2">
        <v>6.9649999999999999</v>
      </c>
      <c r="E71" s="119">
        <v>824</v>
      </c>
      <c r="F71" s="1">
        <v>1196</v>
      </c>
      <c r="G71" s="1"/>
      <c r="H71" s="1"/>
      <c r="I71" s="1"/>
      <c r="J71" s="1"/>
      <c r="K71" s="3"/>
    </row>
    <row r="72" spans="1:11" x14ac:dyDescent="0.25">
      <c r="A72" s="11" t="s">
        <v>144</v>
      </c>
      <c r="B72" s="12">
        <v>71</v>
      </c>
      <c r="C72" s="2">
        <v>174.96680000000001</v>
      </c>
      <c r="D72" s="2">
        <v>9.84</v>
      </c>
      <c r="E72" s="119">
        <v>1652</v>
      </c>
      <c r="F72" s="1">
        <v>3402</v>
      </c>
      <c r="G72" s="1"/>
      <c r="H72" s="1"/>
      <c r="I72" s="1"/>
      <c r="J72" s="1"/>
      <c r="K72" s="3"/>
    </row>
    <row r="73" spans="1:11" x14ac:dyDescent="0.25">
      <c r="A73" s="11" t="s">
        <v>145</v>
      </c>
      <c r="B73" s="12">
        <v>72</v>
      </c>
      <c r="C73" s="2">
        <v>178.49</v>
      </c>
      <c r="D73" s="2">
        <v>13.31</v>
      </c>
      <c r="E73" s="119">
        <v>2233</v>
      </c>
      <c r="F73" s="1">
        <v>4603</v>
      </c>
      <c r="G73" s="1"/>
      <c r="H73" s="1"/>
      <c r="I73" s="1"/>
      <c r="J73" s="1"/>
      <c r="K73" s="3"/>
    </row>
    <row r="74" spans="1:11" x14ac:dyDescent="0.25">
      <c r="A74" s="11" t="s">
        <v>146</v>
      </c>
      <c r="B74" s="12">
        <v>73</v>
      </c>
      <c r="C74" s="2">
        <v>180.94788</v>
      </c>
      <c r="D74" s="2">
        <v>16.654</v>
      </c>
      <c r="E74" s="119">
        <v>3017</v>
      </c>
      <c r="F74" s="1">
        <v>5458</v>
      </c>
      <c r="G74" s="1"/>
      <c r="H74" s="1"/>
      <c r="I74" s="1"/>
      <c r="J74" s="1"/>
      <c r="K74" s="3"/>
    </row>
    <row r="75" spans="1:11" x14ac:dyDescent="0.25">
      <c r="A75" s="11" t="s">
        <v>83</v>
      </c>
      <c r="B75" s="12">
        <v>74</v>
      </c>
      <c r="C75" s="2">
        <v>183.84</v>
      </c>
      <c r="D75" s="2">
        <v>19.3</v>
      </c>
      <c r="E75" s="119">
        <v>3410</v>
      </c>
      <c r="F75" s="1">
        <v>5555</v>
      </c>
      <c r="G75" s="1"/>
      <c r="H75" s="2" t="s">
        <v>39</v>
      </c>
      <c r="I75" s="2">
        <v>0.13700000000000001</v>
      </c>
      <c r="J75" s="2">
        <v>7.0000000000000007E-2</v>
      </c>
      <c r="K75" s="3" t="s">
        <v>30</v>
      </c>
    </row>
    <row r="76" spans="1:11" x14ac:dyDescent="0.25">
      <c r="A76" s="11" t="s">
        <v>147</v>
      </c>
      <c r="B76" s="12">
        <v>75</v>
      </c>
      <c r="C76" s="2">
        <v>186.20699999999999</v>
      </c>
      <c r="D76" s="2">
        <v>21.02</v>
      </c>
      <c r="E76" s="119">
        <v>3186</v>
      </c>
      <c r="F76" s="1">
        <v>5596</v>
      </c>
      <c r="G76" s="1"/>
      <c r="H76" s="1"/>
      <c r="I76" s="1"/>
      <c r="J76" s="1"/>
      <c r="K76" s="3"/>
    </row>
    <row r="77" spans="1:11" x14ac:dyDescent="0.25">
      <c r="A77" s="11" t="s">
        <v>148</v>
      </c>
      <c r="B77" s="12">
        <v>76</v>
      </c>
      <c r="C77" s="2">
        <v>190.23</v>
      </c>
      <c r="D77" s="2">
        <v>22.61</v>
      </c>
      <c r="E77" s="119">
        <v>3033</v>
      </c>
      <c r="F77" s="1">
        <v>5012</v>
      </c>
      <c r="G77" s="1"/>
      <c r="H77" s="1"/>
      <c r="I77" s="1"/>
      <c r="J77" s="1"/>
      <c r="K77" s="3"/>
    </row>
    <row r="78" spans="1:11" x14ac:dyDescent="0.25">
      <c r="A78" s="11" t="s">
        <v>149</v>
      </c>
      <c r="B78" s="12">
        <v>77</v>
      </c>
      <c r="C78" s="2">
        <v>192.21700000000001</v>
      </c>
      <c r="D78" s="2">
        <v>22.56</v>
      </c>
      <c r="E78" s="119">
        <v>2446</v>
      </c>
      <c r="F78" s="1">
        <v>4428</v>
      </c>
      <c r="G78" s="1"/>
      <c r="H78" s="1"/>
      <c r="I78" s="1"/>
      <c r="J78" s="1"/>
      <c r="K78" s="3"/>
    </row>
    <row r="79" spans="1:11" x14ac:dyDescent="0.25">
      <c r="A79" s="11" t="s">
        <v>76</v>
      </c>
      <c r="B79" s="12">
        <v>78</v>
      </c>
      <c r="C79" s="2">
        <v>195.08</v>
      </c>
      <c r="D79" s="2">
        <v>21.45</v>
      </c>
      <c r="E79" s="119">
        <v>1772</v>
      </c>
      <c r="F79" s="1">
        <v>3825</v>
      </c>
      <c r="G79" s="1"/>
      <c r="H79" s="2" t="s">
        <v>10</v>
      </c>
      <c r="I79" s="2">
        <v>0.13900000000000001</v>
      </c>
      <c r="J79" s="2">
        <v>0.08</v>
      </c>
      <c r="K79" s="3" t="s">
        <v>13</v>
      </c>
    </row>
    <row r="80" spans="1:11" x14ac:dyDescent="0.25">
      <c r="A80" s="11" t="s">
        <v>60</v>
      </c>
      <c r="B80" s="12">
        <v>79</v>
      </c>
      <c r="C80" s="2">
        <v>196.97</v>
      </c>
      <c r="D80" s="2">
        <v>19.32</v>
      </c>
      <c r="E80" s="119">
        <v>1064</v>
      </c>
      <c r="F80" s="1">
        <v>2856</v>
      </c>
      <c r="G80" s="1"/>
      <c r="H80" s="2" t="s">
        <v>10</v>
      </c>
      <c r="I80" s="2">
        <v>0.14399999999999999</v>
      </c>
      <c r="J80" s="2">
        <v>0.13700000000000001</v>
      </c>
      <c r="K80" s="3" t="s">
        <v>29</v>
      </c>
    </row>
    <row r="81" spans="1:11" x14ac:dyDescent="0.25">
      <c r="A81" s="11" t="s">
        <v>67</v>
      </c>
      <c r="B81" s="12">
        <v>80</v>
      </c>
      <c r="C81" s="2">
        <v>200.59</v>
      </c>
      <c r="D81" s="2">
        <v>13.5336</v>
      </c>
      <c r="E81" s="119">
        <v>-38.799999999999997</v>
      </c>
      <c r="F81" s="1">
        <v>356.88</v>
      </c>
      <c r="G81" s="1"/>
      <c r="H81" s="2">
        <v>0</v>
      </c>
      <c r="I81" s="2">
        <v>0</v>
      </c>
      <c r="J81" s="2">
        <v>0.11</v>
      </c>
      <c r="K81" s="3" t="s">
        <v>13</v>
      </c>
    </row>
    <row r="82" spans="1:11" x14ac:dyDescent="0.25">
      <c r="A82" s="11" t="s">
        <v>150</v>
      </c>
      <c r="B82" s="12">
        <v>81</v>
      </c>
      <c r="C82" s="2">
        <v>204.38900000000001</v>
      </c>
      <c r="D82" s="2">
        <v>11.85</v>
      </c>
      <c r="E82" s="119">
        <v>304</v>
      </c>
      <c r="F82" s="1">
        <v>1473</v>
      </c>
      <c r="G82" s="1"/>
      <c r="H82" s="1"/>
      <c r="I82" s="1"/>
      <c r="J82" s="1"/>
      <c r="K82" s="3"/>
    </row>
    <row r="83" spans="1:11" x14ac:dyDescent="0.25">
      <c r="A83" s="11" t="s">
        <v>65</v>
      </c>
      <c r="B83" s="12">
        <v>82</v>
      </c>
      <c r="C83" s="2">
        <v>207.2</v>
      </c>
      <c r="D83" s="2">
        <v>11.35</v>
      </c>
      <c r="E83" s="119">
        <v>327</v>
      </c>
      <c r="F83" s="1">
        <v>1749</v>
      </c>
      <c r="G83" s="1"/>
      <c r="H83" s="2" t="s">
        <v>10</v>
      </c>
      <c r="I83" s="2">
        <v>0.17499999999999999</v>
      </c>
      <c r="J83" s="2">
        <v>0.12</v>
      </c>
      <c r="K83" s="3" t="s">
        <v>13</v>
      </c>
    </row>
    <row r="84" spans="1:11" x14ac:dyDescent="0.25">
      <c r="A84" s="11" t="s">
        <v>151</v>
      </c>
      <c r="B84" s="12">
        <v>83</v>
      </c>
      <c r="C84" s="2">
        <v>208.9804</v>
      </c>
      <c r="D84" s="2">
        <v>9.8070000000000004</v>
      </c>
      <c r="E84" s="119">
        <v>271.70000000000005</v>
      </c>
      <c r="F84" s="1">
        <v>1564</v>
      </c>
      <c r="G84" s="1"/>
      <c r="H84" s="1"/>
      <c r="I84" s="1"/>
      <c r="J84" s="1"/>
      <c r="K84" s="3"/>
    </row>
    <row r="85" spans="1:11" x14ac:dyDescent="0.25">
      <c r="A85" s="11" t="s">
        <v>152</v>
      </c>
      <c r="B85" s="12">
        <v>84</v>
      </c>
      <c r="C85" s="2">
        <v>209</v>
      </c>
      <c r="D85" s="2">
        <v>9.32</v>
      </c>
      <c r="E85" s="119">
        <v>254</v>
      </c>
      <c r="F85" s="1">
        <v>962</v>
      </c>
      <c r="G85" s="1"/>
      <c r="H85" s="1"/>
      <c r="I85" s="1"/>
      <c r="J85" s="1"/>
      <c r="K85" s="3"/>
    </row>
    <row r="86" spans="1:11" x14ac:dyDescent="0.25">
      <c r="A86" s="11" t="s">
        <v>153</v>
      </c>
      <c r="B86" s="12">
        <v>85</v>
      </c>
      <c r="C86" s="2">
        <v>210</v>
      </c>
      <c r="D86" s="2">
        <v>7</v>
      </c>
      <c r="E86" s="119">
        <v>302</v>
      </c>
      <c r="F86" s="1">
        <v>337</v>
      </c>
      <c r="G86" s="1"/>
      <c r="H86" s="1"/>
      <c r="I86" s="1"/>
      <c r="J86" s="1"/>
      <c r="K86" s="3"/>
    </row>
    <row r="87" spans="1:11" x14ac:dyDescent="0.25">
      <c r="A87" s="11" t="s">
        <v>154</v>
      </c>
      <c r="B87" s="12">
        <v>86</v>
      </c>
      <c r="C87" s="2">
        <v>222</v>
      </c>
      <c r="D87" s="2">
        <v>9.7300000000000008E-3</v>
      </c>
      <c r="E87" s="119">
        <v>-71</v>
      </c>
      <c r="F87" s="1">
        <v>-61.699999999999989</v>
      </c>
      <c r="G87" s="1"/>
      <c r="H87" s="1"/>
      <c r="I87" s="1"/>
      <c r="J87" s="1"/>
      <c r="K87" s="3"/>
    </row>
    <row r="88" spans="1:11" x14ac:dyDescent="0.25">
      <c r="A88" s="11" t="s">
        <v>155</v>
      </c>
      <c r="B88" s="12">
        <v>87</v>
      </c>
      <c r="C88" s="2">
        <v>223</v>
      </c>
      <c r="D88" s="2">
        <v>1.87</v>
      </c>
      <c r="E88" s="119">
        <v>27</v>
      </c>
      <c r="F88" s="1">
        <v>677</v>
      </c>
      <c r="G88" s="1"/>
      <c r="H88" s="1"/>
      <c r="I88" s="1"/>
      <c r="J88" s="1"/>
      <c r="K88" s="3"/>
    </row>
    <row r="89" spans="1:11" x14ac:dyDescent="0.25">
      <c r="A89" s="11" t="s">
        <v>156</v>
      </c>
      <c r="B89" s="12">
        <v>88</v>
      </c>
      <c r="C89" s="2">
        <v>226</v>
      </c>
      <c r="D89" s="2">
        <v>5.5</v>
      </c>
      <c r="E89" s="119">
        <v>700</v>
      </c>
      <c r="F89" s="1">
        <v>1737</v>
      </c>
      <c r="G89" s="1"/>
      <c r="H89" s="1"/>
      <c r="I89" s="1"/>
      <c r="J89" s="1"/>
      <c r="K89" s="3"/>
    </row>
    <row r="90" spans="1:11" x14ac:dyDescent="0.25">
      <c r="A90" s="11" t="s">
        <v>157</v>
      </c>
      <c r="B90" s="12">
        <v>89</v>
      </c>
      <c r="C90" s="2">
        <v>227</v>
      </c>
      <c r="D90" s="2">
        <v>10.07</v>
      </c>
      <c r="E90" s="119">
        <v>1050</v>
      </c>
      <c r="F90" s="1">
        <v>3198</v>
      </c>
      <c r="G90" s="1"/>
      <c r="H90" s="1"/>
      <c r="I90" s="1"/>
      <c r="J90" s="1"/>
      <c r="K90" s="3"/>
    </row>
    <row r="91" spans="1:11" x14ac:dyDescent="0.25">
      <c r="A91" s="11" t="s">
        <v>158</v>
      </c>
      <c r="B91" s="12">
        <v>90</v>
      </c>
      <c r="C91" s="2">
        <v>232.03806</v>
      </c>
      <c r="D91" s="2">
        <v>11.72</v>
      </c>
      <c r="E91" s="119">
        <v>1842</v>
      </c>
      <c r="F91" s="1">
        <v>4788</v>
      </c>
      <c r="G91" s="1"/>
      <c r="H91" s="1"/>
      <c r="I91" s="1"/>
      <c r="J91" s="1"/>
      <c r="K91" s="3"/>
    </row>
    <row r="92" spans="1:11" x14ac:dyDescent="0.25">
      <c r="A92" s="11" t="s">
        <v>159</v>
      </c>
      <c r="B92" s="12">
        <v>91</v>
      </c>
      <c r="C92" s="2">
        <v>231.03587999999999</v>
      </c>
      <c r="D92" s="2">
        <v>15.37</v>
      </c>
      <c r="E92" s="119">
        <v>1568</v>
      </c>
      <c r="F92" s="1">
        <v>4027</v>
      </c>
      <c r="G92" s="1"/>
      <c r="H92" s="1"/>
      <c r="I92" s="1"/>
      <c r="J92" s="1"/>
      <c r="K92" s="3"/>
    </row>
    <row r="93" spans="1:11" x14ac:dyDescent="0.25">
      <c r="A93" s="11" t="s">
        <v>160</v>
      </c>
      <c r="B93" s="12">
        <v>92</v>
      </c>
      <c r="C93" s="2">
        <v>238.02891</v>
      </c>
      <c r="D93" s="2">
        <v>18.95</v>
      </c>
      <c r="E93" s="119">
        <v>1132.3</v>
      </c>
      <c r="F93" s="1">
        <v>4131</v>
      </c>
      <c r="G93" s="1"/>
      <c r="H93" s="1"/>
      <c r="I93" s="1"/>
      <c r="J93" s="1"/>
      <c r="K93" s="3"/>
    </row>
    <row r="94" spans="1:11" x14ac:dyDescent="0.25">
      <c r="A94" s="11" t="s">
        <v>161</v>
      </c>
      <c r="B94" s="12">
        <v>93</v>
      </c>
      <c r="C94" s="2">
        <v>237</v>
      </c>
      <c r="D94" s="2">
        <v>20.45</v>
      </c>
      <c r="E94" s="119">
        <v>644</v>
      </c>
      <c r="F94" s="1">
        <v>4000</v>
      </c>
      <c r="G94" s="1"/>
      <c r="H94" s="1"/>
      <c r="I94" s="1"/>
      <c r="J94" s="1"/>
      <c r="K94" s="3"/>
    </row>
    <row r="95" spans="1:11" x14ac:dyDescent="0.25">
      <c r="A95" s="11" t="s">
        <v>162</v>
      </c>
      <c r="B95" s="12">
        <v>94</v>
      </c>
      <c r="C95" s="2">
        <v>244</v>
      </c>
      <c r="D95" s="2">
        <v>19.84</v>
      </c>
      <c r="E95" s="119">
        <v>639.5</v>
      </c>
      <c r="F95" s="1">
        <v>3228</v>
      </c>
      <c r="G95" s="1"/>
      <c r="H95" s="1"/>
      <c r="I95" s="1"/>
      <c r="J95" s="1"/>
      <c r="K95" s="3"/>
    </row>
    <row r="96" spans="1:11" x14ac:dyDescent="0.25">
      <c r="A96" s="11" t="s">
        <v>163</v>
      </c>
      <c r="B96" s="12">
        <v>95</v>
      </c>
      <c r="C96" s="2">
        <v>243</v>
      </c>
      <c r="D96" s="2">
        <v>13.69</v>
      </c>
      <c r="E96" s="119">
        <v>1176</v>
      </c>
      <c r="F96" s="1">
        <v>2607</v>
      </c>
      <c r="G96" s="1"/>
      <c r="H96" s="1"/>
      <c r="I96" s="1"/>
      <c r="J96" s="1"/>
      <c r="K96" s="3"/>
    </row>
    <row r="97" spans="1:11" x14ac:dyDescent="0.25">
      <c r="A97" s="11" t="s">
        <v>164</v>
      </c>
      <c r="B97" s="12">
        <v>96</v>
      </c>
      <c r="C97" s="2">
        <v>247</v>
      </c>
      <c r="D97" s="2">
        <v>13.51</v>
      </c>
      <c r="E97" s="119">
        <v>1340</v>
      </c>
      <c r="F97" s="1">
        <v>3110</v>
      </c>
      <c r="G97" s="1"/>
      <c r="H97" s="1"/>
      <c r="I97" s="1"/>
      <c r="J97" s="1"/>
      <c r="K97" s="3"/>
    </row>
    <row r="98" spans="1:11" x14ac:dyDescent="0.25">
      <c r="A98" s="11" t="s">
        <v>165</v>
      </c>
      <c r="B98" s="12">
        <v>97</v>
      </c>
      <c r="C98" s="2">
        <v>247</v>
      </c>
      <c r="D98" s="2">
        <v>14.79</v>
      </c>
      <c r="E98" s="119">
        <v>986</v>
      </c>
      <c r="F98" s="1">
        <v>2627</v>
      </c>
      <c r="G98" s="1"/>
      <c r="H98" s="1"/>
      <c r="I98" s="1"/>
      <c r="J98" s="1"/>
      <c r="K98" s="3"/>
    </row>
    <row r="99" spans="1:11" x14ac:dyDescent="0.25">
      <c r="A99" s="11" t="s">
        <v>166</v>
      </c>
      <c r="B99" s="12">
        <v>98</v>
      </c>
      <c r="C99" s="2">
        <v>251</v>
      </c>
      <c r="D99" s="2">
        <v>15.1</v>
      </c>
      <c r="E99" s="119">
        <v>900</v>
      </c>
      <c r="F99" s="1"/>
      <c r="G99" s="1"/>
      <c r="H99" s="1"/>
      <c r="I99" s="1"/>
      <c r="J99" s="1"/>
      <c r="K99" s="3"/>
    </row>
    <row r="100" spans="1:11" x14ac:dyDescent="0.25">
      <c r="A100" s="11" t="s">
        <v>167</v>
      </c>
      <c r="B100" s="12">
        <v>99</v>
      </c>
      <c r="C100" s="2">
        <v>252</v>
      </c>
      <c r="D100" s="2">
        <v>8.84</v>
      </c>
      <c r="E100" s="119">
        <v>860</v>
      </c>
      <c r="F100" s="1"/>
      <c r="G100" s="1"/>
      <c r="H100" s="1"/>
      <c r="I100" s="1"/>
      <c r="J100" s="1"/>
      <c r="K100" s="3"/>
    </row>
    <row r="101" spans="1:11" x14ac:dyDescent="0.25">
      <c r="A101" s="29" t="s">
        <v>168</v>
      </c>
      <c r="B101" s="30">
        <v>100</v>
      </c>
      <c r="C101" s="5">
        <v>257</v>
      </c>
      <c r="D101" s="5"/>
      <c r="E101" s="120">
        <v>852</v>
      </c>
      <c r="F101" s="4"/>
      <c r="G101" s="4"/>
      <c r="H101" s="4"/>
      <c r="I101" s="4"/>
      <c r="J101" s="4"/>
      <c r="K101" s="6"/>
    </row>
    <row r="102" spans="1:11" x14ac:dyDescent="0.25"/>
    <row r="103" spans="1:11" hidden="1" x14ac:dyDescent="0.25"/>
    <row r="104" spans="1:11" hidden="1" x14ac:dyDescent="0.25"/>
    <row r="105" spans="1:11" hidden="1" x14ac:dyDescent="0.25"/>
    <row r="106" spans="1:11" hidden="1" x14ac:dyDescent="0.25"/>
    <row r="107" spans="1:11" hidden="1" x14ac:dyDescent="0.25"/>
    <row r="108" spans="1:11" hidden="1" x14ac:dyDescent="0.25"/>
    <row r="109" spans="1:11" hidden="1" x14ac:dyDescent="0.25"/>
    <row r="110" spans="1:11" hidden="1" x14ac:dyDescent="0.25"/>
    <row r="111" spans="1:11" hidden="1" x14ac:dyDescent="0.25"/>
    <row r="112" spans="1:11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</sheetData>
  <sheetProtection sheet="1" objects="1" scenarios="1"/>
  <autoFilter ref="A1:K48">
    <sortState ref="A2:I101">
      <sortCondition ref="B1:B4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H24"/>
  <sheetViews>
    <sheetView zoomScaleNormal="100" workbookViewId="0">
      <selection sqref="A1:G1"/>
    </sheetView>
  </sheetViews>
  <sheetFormatPr defaultColWidth="0" defaultRowHeight="15" zeroHeight="1" x14ac:dyDescent="0.25"/>
  <cols>
    <col min="1" max="1" width="6.7109375" style="53" bestFit="1" customWidth="1"/>
    <col min="2" max="6" width="9.140625" style="53" customWidth="1"/>
    <col min="7" max="7" width="8.140625" style="53" bestFit="1" customWidth="1"/>
    <col min="8" max="8" width="9.140625" style="53" customWidth="1"/>
    <col min="9" max="16384" width="9.140625" style="53" hidden="1"/>
  </cols>
  <sheetData>
    <row r="1" spans="1:8" ht="31.5" x14ac:dyDescent="0.5">
      <c r="A1" s="170" t="str">
        <f>'Charge 20'!A1:G1</f>
        <v>Charge 20 - C10</v>
      </c>
      <c r="B1" s="171"/>
      <c r="C1" s="171"/>
      <c r="D1" s="171"/>
      <c r="E1" s="171"/>
      <c r="F1" s="171"/>
      <c r="G1" s="172"/>
    </row>
    <row r="2" spans="1:8" ht="15.75" x14ac:dyDescent="0.25">
      <c r="A2" s="173" t="str">
        <f>"Nominal  " &amp; 'Charge 20'!A3</f>
        <v>Nominal  Mg65Zn30Ca5</v>
      </c>
      <c r="B2" s="174"/>
      <c r="C2" s="174"/>
      <c r="D2" s="174"/>
      <c r="E2" s="174"/>
      <c r="F2" s="174"/>
      <c r="G2" s="175"/>
    </row>
    <row r="3" spans="1:8" ht="15.75" x14ac:dyDescent="0.25">
      <c r="A3" s="173" t="str">
        <f>"Actual  " &amp; 'Charge 20'!I3</f>
        <v>Actual  Mg0Ca100</v>
      </c>
      <c r="B3" s="174"/>
      <c r="C3" s="174"/>
      <c r="D3" s="174"/>
      <c r="E3" s="174"/>
      <c r="F3" s="174"/>
      <c r="G3" s="175"/>
    </row>
    <row r="4" spans="1:8" ht="18.75" x14ac:dyDescent="0.25">
      <c r="A4" s="168" t="s">
        <v>170</v>
      </c>
      <c r="B4" s="134" t="str">
        <f>'Charge 20'!Q4</f>
        <v>Mg</v>
      </c>
      <c r="C4" s="132" t="str">
        <f>'Charge 20'!Q5</f>
        <v>Zn</v>
      </c>
      <c r="D4" s="133" t="str">
        <f>'Charge 20'!Q6</f>
        <v>Ca</v>
      </c>
      <c r="E4" s="154" t="str">
        <f>'Charge 20'!Q7</f>
        <v>D</v>
      </c>
      <c r="F4" s="152" t="str">
        <f>'Charge 20'!Q8</f>
        <v>E</v>
      </c>
      <c r="G4" s="149" t="s">
        <v>111</v>
      </c>
    </row>
    <row r="5" spans="1:8" x14ac:dyDescent="0.25">
      <c r="A5" s="169"/>
      <c r="B5" s="161" t="s">
        <v>22</v>
      </c>
      <c r="C5" s="162" t="s">
        <v>22</v>
      </c>
      <c r="D5" s="163" t="s">
        <v>22</v>
      </c>
      <c r="E5" s="164" t="s">
        <v>22</v>
      </c>
      <c r="F5" s="165" t="s">
        <v>22</v>
      </c>
      <c r="G5" s="150" t="s">
        <v>171</v>
      </c>
    </row>
    <row r="6" spans="1:8" ht="18.75" x14ac:dyDescent="0.25">
      <c r="A6" s="26">
        <v>1</v>
      </c>
      <c r="B6" s="105" t="str">
        <f>IF('Charge 20'!B14=0, "-", 'Charge 20'!B14)</f>
        <v>-</v>
      </c>
      <c r="C6" s="137" t="str">
        <f>IF('Charge 20'!E14=0,"-",'Charge 20'!E14)</f>
        <v>-</v>
      </c>
      <c r="D6" s="137">
        <f>IF('Charge 20'!H14=0, "-", 'Charge 20'!H14)</f>
        <v>5.327</v>
      </c>
      <c r="E6" s="137" t="str">
        <f>IF('Charge 20'!K14=0, "-", 'Charge 20'!K14)</f>
        <v>-</v>
      </c>
      <c r="F6" s="138" t="str">
        <f>IF('Charge 20'!N14=0, "-", 'Charge 20'!N14)</f>
        <v>-</v>
      </c>
      <c r="G6" s="138">
        <f>COUNTIF(B6:B20, "&lt;&gt;-")</f>
        <v>0</v>
      </c>
      <c r="H6" s="131" t="str">
        <f>B4</f>
        <v>Mg</v>
      </c>
    </row>
    <row r="7" spans="1:8" ht="18.75" x14ac:dyDescent="0.25">
      <c r="A7" s="27">
        <v>2</v>
      </c>
      <c r="B7" s="108" t="str">
        <f>IF('Charge 20'!B15=0, "-", 'Charge 20'!B15)</f>
        <v>-</v>
      </c>
      <c r="C7" s="107" t="str">
        <f>IF('Charge 20'!E15=0,"-",'Charge 20'!E15)</f>
        <v>-</v>
      </c>
      <c r="D7" s="107" t="str">
        <f>IF('Charge 20'!H15=0, "-", 'Charge 20'!H15)</f>
        <v>-</v>
      </c>
      <c r="E7" s="107" t="str">
        <f>IF('Charge 20'!K15=0, "-", 'Charge 20'!K15)</f>
        <v>-</v>
      </c>
      <c r="F7" s="106" t="str">
        <f>IF('Charge 20'!N15=0, "-", 'Charge 20'!N15)</f>
        <v>-</v>
      </c>
      <c r="G7" s="106">
        <f>COUNTIF(C6:C20, "&lt;&gt;-")</f>
        <v>0</v>
      </c>
      <c r="H7" s="151" t="str">
        <f>C4</f>
        <v>Zn</v>
      </c>
    </row>
    <row r="8" spans="1:8" ht="18.75" x14ac:dyDescent="0.25">
      <c r="A8" s="27">
        <v>3</v>
      </c>
      <c r="B8" s="108" t="str">
        <f>IF('Charge 20'!B16=0, "-", 'Charge 20'!B16)</f>
        <v>-</v>
      </c>
      <c r="C8" s="107" t="str">
        <f>IF('Charge 20'!E16=0,"-",'Charge 20'!E16)</f>
        <v>-</v>
      </c>
      <c r="D8" s="107" t="str">
        <f>IF('Charge 20'!H16=0, "-", 'Charge 20'!H16)</f>
        <v>-</v>
      </c>
      <c r="E8" s="107" t="str">
        <f>IF('Charge 20'!K16=0, "-", 'Charge 20'!K16)</f>
        <v>-</v>
      </c>
      <c r="F8" s="106" t="str">
        <f>IF('Charge 20'!N16=0, "-", 'Charge 20'!N16)</f>
        <v>-</v>
      </c>
      <c r="G8" s="106">
        <f>COUNTIF(D6:D20, "&lt;&gt;-")</f>
        <v>1</v>
      </c>
      <c r="H8" s="148" t="str">
        <f>D4</f>
        <v>Ca</v>
      </c>
    </row>
    <row r="9" spans="1:8" ht="18.75" x14ac:dyDescent="0.25">
      <c r="A9" s="27">
        <v>4</v>
      </c>
      <c r="B9" s="108" t="str">
        <f>IF('Charge 20'!B17=0, "-", 'Charge 20'!B17)</f>
        <v>-</v>
      </c>
      <c r="C9" s="107" t="str">
        <f>IF('Charge 20'!E17=0,"-",'Charge 20'!E17)</f>
        <v>-</v>
      </c>
      <c r="D9" s="107" t="str">
        <f>IF('Charge 20'!H17=0, "-", 'Charge 20'!H17)</f>
        <v>-</v>
      </c>
      <c r="E9" s="107" t="str">
        <f>IF('Charge 20'!K17=0, "-", 'Charge 20'!K17)</f>
        <v>-</v>
      </c>
      <c r="F9" s="106" t="str">
        <f>IF('Charge 20'!N17=0, "-", 'Charge 20'!N17)</f>
        <v>-</v>
      </c>
      <c r="G9" s="106">
        <f>COUNTIF(E6:E20, "&lt;&gt;-")</f>
        <v>0</v>
      </c>
      <c r="H9" s="136" t="str">
        <f>E4</f>
        <v>D</v>
      </c>
    </row>
    <row r="10" spans="1:8" ht="18.75" x14ac:dyDescent="0.25">
      <c r="A10" s="27">
        <v>5</v>
      </c>
      <c r="B10" s="108" t="str">
        <f>IF('Charge 20'!B18=0, "-", 'Charge 20'!B18)</f>
        <v>-</v>
      </c>
      <c r="C10" s="107" t="str">
        <f>IF('Charge 20'!E18=0,"-",'Charge 20'!E18)</f>
        <v>-</v>
      </c>
      <c r="D10" s="107" t="str">
        <f>IF('Charge 20'!H18=0, "-", 'Charge 20'!H18)</f>
        <v>-</v>
      </c>
      <c r="E10" s="107" t="str">
        <f>IF('Charge 20'!K18=0, "-", 'Charge 20'!K18)</f>
        <v>-</v>
      </c>
      <c r="F10" s="106" t="str">
        <f>IF('Charge 20'!N18=0, "-", 'Charge 20'!N18)</f>
        <v>-</v>
      </c>
      <c r="G10" s="142">
        <f>COUNTIF(F6:F20, "&lt;&gt;-")</f>
        <v>0</v>
      </c>
      <c r="H10" s="155" t="str">
        <f>F4</f>
        <v>E</v>
      </c>
    </row>
    <row r="11" spans="1:8" ht="18.75" x14ac:dyDescent="0.25">
      <c r="A11" s="27">
        <v>6</v>
      </c>
      <c r="B11" s="108" t="str">
        <f>IF('Charge 20'!B19=0, "-", 'Charge 20'!B19)</f>
        <v>-</v>
      </c>
      <c r="C11" s="107" t="str">
        <f>IF('Charge 20'!E19=0,"-",'Charge 20'!E19)</f>
        <v>-</v>
      </c>
      <c r="D11" s="107" t="str">
        <f>IF('Charge 20'!H19=0, "-", 'Charge 20'!H19)</f>
        <v>-</v>
      </c>
      <c r="E11" s="107" t="str">
        <f>IF('Charge 20'!K19=0, "-", 'Charge 20'!K19)</f>
        <v>-</v>
      </c>
      <c r="F11" s="106" t="str">
        <f>IF('Charge 20'!N19=0, "-", 'Charge 20'!N19)</f>
        <v>-</v>
      </c>
      <c r="G11" s="160">
        <f>COUNTIF(B6:F20, "&lt;&gt;-")</f>
        <v>1</v>
      </c>
      <c r="H11" s="153" t="str">
        <f>G4</f>
        <v>Alloy</v>
      </c>
    </row>
    <row r="12" spans="1:8" x14ac:dyDescent="0.25">
      <c r="A12" s="27">
        <v>7</v>
      </c>
      <c r="B12" s="108" t="str">
        <f>IF('Charge 20'!B20=0, "-", 'Charge 20'!B20)</f>
        <v>-</v>
      </c>
      <c r="C12" s="107" t="str">
        <f>IF('Charge 20'!E20=0,"-",'Charge 20'!E20)</f>
        <v>-</v>
      </c>
      <c r="D12" s="107" t="str">
        <f>IF('Charge 20'!H20=0, "-", 'Charge 20'!H20)</f>
        <v>-</v>
      </c>
      <c r="E12" s="107" t="str">
        <f>IF('Charge 20'!K20=0, "-", 'Charge 20'!K20)</f>
        <v>-</v>
      </c>
      <c r="F12" s="106" t="str">
        <f>IF('Charge 20'!N20=0, "-", 'Charge 20'!N20)</f>
        <v>-</v>
      </c>
      <c r="G12" s="106"/>
    </row>
    <row r="13" spans="1:8" x14ac:dyDescent="0.25">
      <c r="A13" s="27">
        <v>8</v>
      </c>
      <c r="B13" s="108" t="str">
        <f>IF('Charge 20'!B21=0, "-", 'Charge 20'!B21)</f>
        <v>-</v>
      </c>
      <c r="C13" s="107" t="str">
        <f>IF('Charge 20'!E21=0,"-",'Charge 20'!E21)</f>
        <v>-</v>
      </c>
      <c r="D13" s="107" t="str">
        <f>IF('Charge 20'!H21=0, "-", 'Charge 20'!H21)</f>
        <v>-</v>
      </c>
      <c r="E13" s="107" t="str">
        <f>IF('Charge 20'!K21=0, "-", 'Charge 20'!K21)</f>
        <v>-</v>
      </c>
      <c r="F13" s="106" t="str">
        <f>IF('Charge 20'!N21=0, "-", 'Charge 20'!N21)</f>
        <v>-</v>
      </c>
      <c r="G13" s="106"/>
    </row>
    <row r="14" spans="1:8" x14ac:dyDescent="0.25">
      <c r="A14" s="27">
        <v>9</v>
      </c>
      <c r="B14" s="108" t="str">
        <f>IF('Charge 20'!B22=0, "-", 'Charge 20'!B22)</f>
        <v>-</v>
      </c>
      <c r="C14" s="107" t="str">
        <f>IF('Charge 20'!E22=0,"-",'Charge 20'!E22)</f>
        <v>-</v>
      </c>
      <c r="D14" s="107" t="str">
        <f>IF('Charge 20'!H22=0, "-", 'Charge 20'!H22)</f>
        <v>-</v>
      </c>
      <c r="E14" s="107" t="str">
        <f>IF('Charge 20'!K22=0, "-", 'Charge 20'!K22)</f>
        <v>-</v>
      </c>
      <c r="F14" s="106" t="str">
        <f>IF('Charge 20'!N22=0, "-", 'Charge 20'!N22)</f>
        <v>-</v>
      </c>
      <c r="G14" s="106"/>
    </row>
    <row r="15" spans="1:8" x14ac:dyDescent="0.25">
      <c r="A15" s="27">
        <v>10</v>
      </c>
      <c r="B15" s="108" t="str">
        <f>IF('Charge 20'!B23=0, "-", 'Charge 20'!B23)</f>
        <v>-</v>
      </c>
      <c r="C15" s="107" t="str">
        <f>IF('Charge 20'!E23=0,"-",'Charge 20'!E23)</f>
        <v>-</v>
      </c>
      <c r="D15" s="107" t="str">
        <f>IF('Charge 20'!H23=0, "-", 'Charge 20'!H23)</f>
        <v>-</v>
      </c>
      <c r="E15" s="107" t="str">
        <f>IF('Charge 20'!K23=0, "-", 'Charge 20'!K23)</f>
        <v>-</v>
      </c>
      <c r="F15" s="106" t="str">
        <f>IF('Charge 20'!N23=0, "-", 'Charge 20'!N23)</f>
        <v>-</v>
      </c>
      <c r="G15" s="106"/>
    </row>
    <row r="16" spans="1:8" x14ac:dyDescent="0.25">
      <c r="A16" s="27">
        <v>11</v>
      </c>
      <c r="B16" s="108" t="str">
        <f>IF('Charge 20'!B24=0, "-", 'Charge 20'!B24)</f>
        <v>-</v>
      </c>
      <c r="C16" s="107" t="str">
        <f>IF('Charge 20'!E24=0,"-",'Charge 20'!E24)</f>
        <v>-</v>
      </c>
      <c r="D16" s="107" t="str">
        <f>IF('Charge 20'!H24=0, "-", 'Charge 20'!H24)</f>
        <v>-</v>
      </c>
      <c r="E16" s="107" t="str">
        <f>IF('Charge 20'!K24=0, "-", 'Charge 20'!K24)</f>
        <v>-</v>
      </c>
      <c r="F16" s="106" t="str">
        <f>IF('Charge 20'!N24=0, "-", 'Charge 20'!N24)</f>
        <v>-</v>
      </c>
      <c r="G16" s="106"/>
    </row>
    <row r="17" spans="1:7" x14ac:dyDescent="0.25">
      <c r="A17" s="27">
        <v>12</v>
      </c>
      <c r="B17" s="108" t="str">
        <f>IF('Charge 20'!B25=0, "-", 'Charge 20'!B25)</f>
        <v>-</v>
      </c>
      <c r="C17" s="107" t="str">
        <f>IF('Charge 20'!E25=0,"-",'Charge 20'!E25)</f>
        <v>-</v>
      </c>
      <c r="D17" s="107" t="str">
        <f>IF('Charge 20'!H25=0, "-", 'Charge 20'!H25)</f>
        <v>-</v>
      </c>
      <c r="E17" s="107" t="str">
        <f>IF('Charge 20'!K25=0, "-", 'Charge 20'!K25)</f>
        <v>-</v>
      </c>
      <c r="F17" s="106" t="str">
        <f>IF('Charge 20'!N25=0, "-", 'Charge 20'!N25)</f>
        <v>-</v>
      </c>
      <c r="G17" s="106"/>
    </row>
    <row r="18" spans="1:7" x14ac:dyDescent="0.25">
      <c r="A18" s="27">
        <v>13</v>
      </c>
      <c r="B18" s="108" t="str">
        <f>IF('Charge 20'!B26=0, "-", 'Charge 20'!B26)</f>
        <v>-</v>
      </c>
      <c r="C18" s="107" t="str">
        <f>IF('Charge 20'!E26=0,"-",'Charge 20'!E26)</f>
        <v>-</v>
      </c>
      <c r="D18" s="107" t="str">
        <f>IF('Charge 20'!H26=0, "-", 'Charge 20'!H26)</f>
        <v>-</v>
      </c>
      <c r="E18" s="107" t="str">
        <f>IF('Charge 20'!K26=0, "-", 'Charge 20'!K26)</f>
        <v>-</v>
      </c>
      <c r="F18" s="106" t="str">
        <f>IF('Charge 20'!N26=0, "-", 'Charge 20'!N26)</f>
        <v>-</v>
      </c>
      <c r="G18" s="106"/>
    </row>
    <row r="19" spans="1:7" x14ac:dyDescent="0.25">
      <c r="A19" s="27">
        <v>14</v>
      </c>
      <c r="B19" s="108" t="str">
        <f>IF('Charge 20'!B27=0, "-", 'Charge 20'!B27)</f>
        <v>-</v>
      </c>
      <c r="C19" s="107" t="str">
        <f>IF('Charge 20'!E27=0,"-",'Charge 20'!E27)</f>
        <v>-</v>
      </c>
      <c r="D19" s="107" t="str">
        <f>IF('Charge 20'!H27=0, "-", 'Charge 20'!H27)</f>
        <v>-</v>
      </c>
      <c r="E19" s="107" t="str">
        <f>IF('Charge 20'!K27=0, "-", 'Charge 20'!K27)</f>
        <v>-</v>
      </c>
      <c r="F19" s="106" t="str">
        <f>IF('Charge 20'!N27=0, "-", 'Charge 20'!N27)</f>
        <v>-</v>
      </c>
      <c r="G19" s="106"/>
    </row>
    <row r="20" spans="1:7" x14ac:dyDescent="0.25">
      <c r="A20" s="27">
        <v>15</v>
      </c>
      <c r="B20" s="141" t="str">
        <f>IF('Charge 20'!B28=0, "-", 'Charge 20'!B28)</f>
        <v>-</v>
      </c>
      <c r="C20" s="114" t="str">
        <f>IF('Charge 20'!E28=0,"-",'Charge 20'!E28)</f>
        <v>-</v>
      </c>
      <c r="D20" s="114" t="str">
        <f>IF('Charge 20'!H28=0, "-", 'Charge 20'!H28)</f>
        <v>-</v>
      </c>
      <c r="E20" s="114" t="str">
        <f>IF('Charge 20'!K28=0, "-", 'Charge 20'!K28)</f>
        <v>-</v>
      </c>
      <c r="F20" s="142" t="str">
        <f>IF('Charge 20'!N28=0, "-", 'Charge 20'!N28)</f>
        <v>-</v>
      </c>
      <c r="G20" s="106"/>
    </row>
    <row r="21" spans="1:7" x14ac:dyDescent="0.25">
      <c r="A21" s="143" t="s">
        <v>18</v>
      </c>
      <c r="B21" s="77">
        <f>SUM(B6:B20)</f>
        <v>0</v>
      </c>
      <c r="C21" s="37">
        <f>SUM(C6:C20)</f>
        <v>0</v>
      </c>
      <c r="D21" s="69">
        <f>SUM(D6:D20)</f>
        <v>5.327</v>
      </c>
      <c r="E21" s="69">
        <f>SUM(E6:E20)</f>
        <v>0</v>
      </c>
      <c r="F21" s="110">
        <f>SUM(F6:F20)</f>
        <v>0</v>
      </c>
      <c r="G21" s="144">
        <f>SUM(B21:F21)</f>
        <v>5.327</v>
      </c>
    </row>
    <row r="22" spans="1:7" x14ac:dyDescent="0.25">
      <c r="A22" s="109" t="s">
        <v>109</v>
      </c>
      <c r="B22" s="145">
        <f>'Charge 20'!F4</f>
        <v>42.116999999999997</v>
      </c>
      <c r="C22" s="135">
        <f>'Charge 20'!F5</f>
        <v>52.290999999999997</v>
      </c>
      <c r="D22" s="135">
        <f>'Charge 20'!F6</f>
        <v>5.3419999999999996</v>
      </c>
      <c r="E22" s="135">
        <f>'Charge 20'!F7</f>
        <v>0</v>
      </c>
      <c r="F22" s="139">
        <f>'Charge 20'!F8</f>
        <v>0</v>
      </c>
      <c r="G22" s="70">
        <f>SUM(B22:F22)</f>
        <v>99.749999999999986</v>
      </c>
    </row>
    <row r="23" spans="1:7" x14ac:dyDescent="0.25">
      <c r="A23" s="147" t="s">
        <v>41</v>
      </c>
      <c r="B23" s="146">
        <f>B21-B22</f>
        <v>-42.116999999999997</v>
      </c>
      <c r="C23" s="140">
        <f t="shared" ref="C23:G23" si="0">C21-C22</f>
        <v>-52.290999999999997</v>
      </c>
      <c r="D23" s="140">
        <f t="shared" si="0"/>
        <v>-1.499999999999968E-2</v>
      </c>
      <c r="E23" s="140">
        <f t="shared" si="0"/>
        <v>0</v>
      </c>
      <c r="F23" s="113">
        <f t="shared" si="0"/>
        <v>0</v>
      </c>
      <c r="G23" s="113">
        <f t="shared" si="0"/>
        <v>-94.422999999999988</v>
      </c>
    </row>
    <row r="24" spans="1:7" x14ac:dyDescent="0.25"/>
  </sheetData>
  <sheetProtection sheet="1" objects="1" scenarios="1"/>
  <mergeCells count="4">
    <mergeCell ref="A4:A5"/>
    <mergeCell ref="A1:G1"/>
    <mergeCell ref="A2:G2"/>
    <mergeCell ref="A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C93"/>
  <sheetViews>
    <sheetView tabSelected="1" workbookViewId="0">
      <pane ySplit="1" topLeftCell="A2" activePane="bottomLeft" state="frozen"/>
      <selection pane="bottomLeft" sqref="A1:G1"/>
    </sheetView>
  </sheetViews>
  <sheetFormatPr defaultColWidth="0" defaultRowHeight="15" zeroHeight="1" x14ac:dyDescent="0.25"/>
  <cols>
    <col min="1" max="1" width="10.85546875" style="53" customWidth="1"/>
    <col min="2" max="3" width="9.140625" style="53" customWidth="1"/>
    <col min="4" max="4" width="10.7109375" style="53" customWidth="1"/>
    <col min="5" max="6" width="9.140625" style="53" customWidth="1"/>
    <col min="7" max="7" width="11.140625" style="53" customWidth="1"/>
    <col min="8" max="8" width="9.140625" style="53" customWidth="1"/>
    <col min="9" max="9" width="10.42578125" style="53" customWidth="1"/>
    <col min="10" max="15" width="9.140625" style="53" customWidth="1"/>
    <col min="16" max="16" width="12.7109375" style="53" customWidth="1"/>
    <col min="17" max="27" width="9.140625" style="53" customWidth="1"/>
    <col min="28" max="28" width="9.42578125" style="53" customWidth="1"/>
    <col min="29" max="29" width="9.140625" style="53" customWidth="1"/>
    <col min="30" max="30" width="9.140625" style="53" hidden="1" customWidth="1"/>
    <col min="31" max="16384" width="9.140625" style="53" hidden="1"/>
  </cols>
  <sheetData>
    <row r="1" spans="1:28" ht="31.5" x14ac:dyDescent="0.5">
      <c r="A1" s="176" t="s">
        <v>200</v>
      </c>
      <c r="B1" s="176"/>
      <c r="C1" s="176"/>
      <c r="D1" s="176"/>
      <c r="E1" s="176"/>
      <c r="F1" s="176"/>
      <c r="G1" s="176"/>
    </row>
    <row r="2" spans="1:28" ht="26.25" x14ac:dyDescent="0.4">
      <c r="A2" s="54" t="s">
        <v>27</v>
      </c>
      <c r="F2" s="54" t="s">
        <v>85</v>
      </c>
      <c r="I2" s="54" t="s">
        <v>113</v>
      </c>
      <c r="K2" s="54"/>
      <c r="P2" s="54" t="s">
        <v>87</v>
      </c>
    </row>
    <row r="3" spans="1:28" ht="47.25" x14ac:dyDescent="0.25">
      <c r="A3" s="55" t="str">
        <f>Q4 &amp; R4*100 &amp; IF(R5=0, "", Q5 &amp; R5*100) &amp; IF(R6=0, "", Q6 &amp; R6*100) &amp; IF(R7=0, "", Q7 &amp; R7*100) &amp; IF(R8=0, "", Q8 &amp; R8*100)</f>
        <v>Mg65Zn30Ca5</v>
      </c>
      <c r="B3" s="56"/>
      <c r="C3" s="57" t="s">
        <v>17</v>
      </c>
      <c r="D3" s="58" t="s">
        <v>20</v>
      </c>
      <c r="E3" s="59" t="s">
        <v>19</v>
      </c>
      <c r="F3" s="60" t="s">
        <v>22</v>
      </c>
      <c r="G3" s="61" t="s">
        <v>23</v>
      </c>
      <c r="I3" s="62" t="str">
        <f>Q4 &amp; ROUND(N4,3)*100 &amp; IF(N5=0, "", Q5 &amp; ROUND(N5,3)*100) &amp; IF(N6=0, "", Q6 &amp; ROUND(N6,3)*100) &amp; IF(N7=0, "", Q7 &amp; ROUND(N7,3)*100) &amp; IF(N8=0, "", Q8 &amp; ROUND(N8,3)*100)</f>
        <v>Mg0Ca100</v>
      </c>
      <c r="J3" s="63"/>
      <c r="K3" s="64" t="s">
        <v>22</v>
      </c>
      <c r="L3" s="65" t="s">
        <v>19</v>
      </c>
      <c r="M3" s="65" t="s">
        <v>112</v>
      </c>
      <c r="N3" s="66" t="s">
        <v>21</v>
      </c>
      <c r="P3" s="13" t="s">
        <v>40</v>
      </c>
      <c r="Q3" s="14" t="str">
        <f>'Elements Data'!A1</f>
        <v>Element</v>
      </c>
      <c r="R3" s="14" t="s">
        <v>86</v>
      </c>
      <c r="S3" s="14" t="str">
        <f>'Elements Data'!B1</f>
        <v>Atomic Number</v>
      </c>
      <c r="T3" s="14" t="str">
        <f>'Elements Data'!C1</f>
        <v>Atomic Weight [amu]</v>
      </c>
      <c r="U3" s="14" t="str">
        <f>'Elements Data'!D1</f>
        <v>Density
[g/cm3]</v>
      </c>
      <c r="V3" s="14" t="str">
        <f>'Elements Data'!E1</f>
        <v>Melt Temp 
[C]</v>
      </c>
      <c r="W3" s="14" t="str">
        <f>'Elements Data'!F1</f>
        <v>Boil Temp 
[C]</v>
      </c>
      <c r="X3" s="14" t="str">
        <f>'Elements Data'!G1</f>
        <v>Cp
[J/K kg]</v>
      </c>
      <c r="Y3" s="14" t="str">
        <f>'Elements Data'!H1</f>
        <v>Cry Struc
[@ 20C]</v>
      </c>
      <c r="Z3" s="14" t="str">
        <f>'Elements Data'!I1</f>
        <v>Atomic Radius
[nm]</v>
      </c>
      <c r="AA3" s="14" t="str">
        <f>'Elements Data'!J1</f>
        <v>Ionic Radius
[nm]</v>
      </c>
      <c r="AB3" s="14" t="str">
        <f>'Elements Data'!K1</f>
        <v>Most Common Valence</v>
      </c>
    </row>
    <row r="4" spans="1:28" x14ac:dyDescent="0.25">
      <c r="A4" s="67" t="str">
        <f>$Q$4</f>
        <v>Mg</v>
      </c>
      <c r="B4" s="26"/>
      <c r="C4" s="31">
        <f>R4</f>
        <v>0.65</v>
      </c>
      <c r="D4" s="16">
        <f>R4*T4</f>
        <v>15.798250000000001</v>
      </c>
      <c r="E4" s="68">
        <f>D4/$D$9</f>
        <v>0.42222400395544779</v>
      </c>
      <c r="F4" s="69">
        <f>IF($F$9=0, ROUND($F$10*E4, 3), ROUND(E4*$F$9, 3))</f>
        <v>42.116999999999997</v>
      </c>
      <c r="G4" s="70">
        <f>IFERROR(F4/U4, 0)</f>
        <v>24.233026467203683</v>
      </c>
      <c r="I4" s="71" t="str">
        <f>$Q$4</f>
        <v>Mg</v>
      </c>
      <c r="J4" s="26"/>
      <c r="K4" s="72">
        <f>B29</f>
        <v>0</v>
      </c>
      <c r="L4" s="73">
        <f>K4/$K$9</f>
        <v>0</v>
      </c>
      <c r="M4" s="23">
        <f>IFERROR(L4/T4, 0)</f>
        <v>0</v>
      </c>
      <c r="N4" s="115">
        <f>M4/$M$9</f>
        <v>0</v>
      </c>
      <c r="P4" s="15">
        <v>1</v>
      </c>
      <c r="Q4" s="20" t="s">
        <v>0</v>
      </c>
      <c r="R4" s="33">
        <v>0.65</v>
      </c>
      <c r="S4" s="16">
        <f>IFERROR(INDEX('Elements Data'!B:B,MATCH($Q4,'Elements Data'!$A:$A,0)), 0)</f>
        <v>12</v>
      </c>
      <c r="T4" s="16">
        <f>IFERROR(INDEX('Elements Data'!C:C,MATCH($Q4,'Elements Data'!$A:$A,0)), 0)</f>
        <v>24.305</v>
      </c>
      <c r="U4" s="16">
        <f>IFERROR(INDEX('Elements Data'!D:D,MATCH($Q4,'Elements Data'!$A:$A,0)), 0)</f>
        <v>1.738</v>
      </c>
      <c r="V4" s="36">
        <f>IFERROR(INDEX('Elements Data'!E:E,MATCH($Q4,'Elements Data'!$A:$A,0)), 0)</f>
        <v>650</v>
      </c>
      <c r="W4" s="26">
        <f>IFERROR(INDEX('Elements Data'!F:F,MATCH($Q4,'Elements Data'!$A:$A,0)), 0)</f>
        <v>1090</v>
      </c>
      <c r="X4" s="16">
        <f>IFERROR(INDEX('Elements Data'!G:G,MATCH($Q4,'Elements Data'!$A:$A,0)), 0)</f>
        <v>1020</v>
      </c>
      <c r="Y4" s="16" t="str">
        <f>IFERROR(INDEX('Elements Data'!H:H,MATCH($Q4,'Elements Data'!$A:$A,0)), 0)</f>
        <v>HCP</v>
      </c>
      <c r="Z4" s="16">
        <f>IFERROR(INDEX('Elements Data'!I:I,MATCH($Q4,'Elements Data'!$A:$A,0)), 0)</f>
        <v>0.16</v>
      </c>
      <c r="AA4" s="16">
        <f>IFERROR(INDEX('Elements Data'!J:J,MATCH($Q4,'Elements Data'!$A:$A,0)), 0)</f>
        <v>7.1999999999999995E-2</v>
      </c>
      <c r="AB4" s="23" t="str">
        <f>IFERROR(INDEX('Elements Data'!K:K,MATCH($Q4,'Elements Data'!$A:$A,0)), 0)</f>
        <v>2+</v>
      </c>
    </row>
    <row r="5" spans="1:28" x14ac:dyDescent="0.25">
      <c r="A5" s="67" t="str">
        <f>$Q$5</f>
        <v>Zn</v>
      </c>
      <c r="B5" s="27"/>
      <c r="C5" s="32">
        <f>R5</f>
        <v>0.3</v>
      </c>
      <c r="D5" s="17">
        <f>R5*T5</f>
        <v>19.614599999999999</v>
      </c>
      <c r="E5" s="74">
        <f>D5/$D$9</f>
        <v>0.52421976788470404</v>
      </c>
      <c r="F5" s="69">
        <f t="shared" ref="F5:F8" si="0">IF($F$9=0, ROUND($F$10*E5, 3), ROUND(E5*$F$9, 3))</f>
        <v>52.290999999999997</v>
      </c>
      <c r="G5" s="70">
        <f>IFERROR(F5/U5, 0)</f>
        <v>7.3236694677871146</v>
      </c>
      <c r="I5" s="71" t="str">
        <f>$Q$5</f>
        <v>Zn</v>
      </c>
      <c r="J5" s="27"/>
      <c r="K5" s="75">
        <f>E29</f>
        <v>0</v>
      </c>
      <c r="L5" s="76">
        <f>K5/$K$9</f>
        <v>0</v>
      </c>
      <c r="M5" s="24">
        <f>IFERROR(L5/T5, 0)</f>
        <v>0</v>
      </c>
      <c r="N5" s="116">
        <f>M5/$M$9</f>
        <v>0</v>
      </c>
      <c r="P5" s="15">
        <v>2</v>
      </c>
      <c r="Q5" s="21" t="s">
        <v>2</v>
      </c>
      <c r="R5" s="34">
        <v>0.3</v>
      </c>
      <c r="S5" s="17">
        <f>IFERROR(INDEX('Elements Data'!B:B,MATCH($Q5,'Elements Data'!$A:$A,0)), 0)</f>
        <v>30</v>
      </c>
      <c r="T5" s="17">
        <f>IFERROR(INDEX('Elements Data'!C:C,MATCH($Q5,'Elements Data'!$A:$A,0)), 0)</f>
        <v>65.382000000000005</v>
      </c>
      <c r="U5" s="17">
        <f>IFERROR(INDEX('Elements Data'!D:D,MATCH($Q5,'Elements Data'!$A:$A,0)), 0)</f>
        <v>7.14</v>
      </c>
      <c r="V5" s="37">
        <f>IFERROR(INDEX('Elements Data'!E:E,MATCH($Q5,'Elements Data'!$A:$A,0)), 0)</f>
        <v>420</v>
      </c>
      <c r="W5" s="27">
        <f>IFERROR(INDEX('Elements Data'!F:F,MATCH($Q5,'Elements Data'!$A:$A,0)), 0)</f>
        <v>907</v>
      </c>
      <c r="X5" s="17">
        <f>IFERROR(INDEX('Elements Data'!G:G,MATCH($Q5,'Elements Data'!$A:$A,0)), 0)</f>
        <v>390</v>
      </c>
      <c r="Y5" s="17" t="str">
        <f>IFERROR(INDEX('Elements Data'!H:H,MATCH($Q5,'Elements Data'!$A:$A,0)), 0)</f>
        <v>HCP</v>
      </c>
      <c r="Z5" s="17">
        <f>IFERROR(INDEX('Elements Data'!I:I,MATCH($Q5,'Elements Data'!$A:$A,0)), 0)</f>
        <v>0.13300000000000001</v>
      </c>
      <c r="AA5" s="17">
        <f>IFERROR(INDEX('Elements Data'!J:J,MATCH($Q5,'Elements Data'!$A:$A,0)), 0)</f>
        <v>7.3999999999999996E-2</v>
      </c>
      <c r="AB5" s="24" t="str">
        <f>IFERROR(INDEX('Elements Data'!K:K,MATCH($Q5,'Elements Data'!$A:$A,0)), 0)</f>
        <v>2+</v>
      </c>
    </row>
    <row r="6" spans="1:28" x14ac:dyDescent="0.25">
      <c r="A6" s="67" t="str">
        <f>$Q$6</f>
        <v>Ca</v>
      </c>
      <c r="B6" s="27"/>
      <c r="C6" s="32">
        <f>R6</f>
        <v>0.05</v>
      </c>
      <c r="D6" s="17">
        <f>R6*T6</f>
        <v>2.0039000000000002</v>
      </c>
      <c r="E6" s="74">
        <f>D6/$D$9</f>
        <v>5.3556228159848202E-2</v>
      </c>
      <c r="F6" s="69">
        <f t="shared" si="0"/>
        <v>5.3419999999999996</v>
      </c>
      <c r="G6" s="70">
        <f>IFERROR(F6/U6, 0)</f>
        <v>3.4464516129032257</v>
      </c>
      <c r="I6" s="71" t="str">
        <f>$Q$6</f>
        <v>Ca</v>
      </c>
      <c r="J6" s="27"/>
      <c r="K6" s="77">
        <f>H29</f>
        <v>5.327</v>
      </c>
      <c r="L6" s="76">
        <f>K6/$K$9</f>
        <v>1</v>
      </c>
      <c r="M6" s="24">
        <f>IFERROR(L6/T6, 0)</f>
        <v>2.4951344877488894E-2</v>
      </c>
      <c r="N6" s="116">
        <f>M6/$M$9</f>
        <v>1</v>
      </c>
      <c r="P6" s="15">
        <v>3</v>
      </c>
      <c r="Q6" s="21" t="s">
        <v>1</v>
      </c>
      <c r="R6" s="34">
        <v>0.05</v>
      </c>
      <c r="S6" s="17">
        <f>IFERROR(INDEX('Elements Data'!B:B,MATCH($Q6,'Elements Data'!$A:$A,0)), 0)</f>
        <v>20</v>
      </c>
      <c r="T6" s="17">
        <f>IFERROR(INDEX('Elements Data'!C:C,MATCH($Q6,'Elements Data'!$A:$A,0)), 0)</f>
        <v>40.078000000000003</v>
      </c>
      <c r="U6" s="17">
        <f>IFERROR(INDEX('Elements Data'!D:D,MATCH($Q6,'Elements Data'!$A:$A,0)), 0)</f>
        <v>1.55</v>
      </c>
      <c r="V6" s="37">
        <f>IFERROR(INDEX('Elements Data'!E:E,MATCH($Q6,'Elements Data'!$A:$A,0)), 0)</f>
        <v>842</v>
      </c>
      <c r="W6" s="27">
        <f>IFERROR(INDEX('Elements Data'!F:F,MATCH($Q6,'Elements Data'!$A:$A,0)), 0)</f>
        <v>1484</v>
      </c>
      <c r="X6" s="17">
        <f>IFERROR(INDEX('Elements Data'!G:G,MATCH($Q6,'Elements Data'!$A:$A,0)), 0)</f>
        <v>650</v>
      </c>
      <c r="Y6" s="17" t="str">
        <f>IFERROR(INDEX('Elements Data'!H:H,MATCH($Q6,'Elements Data'!$A:$A,0)), 0)</f>
        <v>FCC</v>
      </c>
      <c r="Z6" s="17">
        <f>IFERROR(INDEX('Elements Data'!I:I,MATCH($Q6,'Elements Data'!$A:$A,0)), 0)</f>
        <v>0.14899999999999999</v>
      </c>
      <c r="AA6" s="17">
        <f>IFERROR(INDEX('Elements Data'!J:J,MATCH($Q6,'Elements Data'!$A:$A,0)), 0)</f>
        <v>9.5000000000000001E-2</v>
      </c>
      <c r="AB6" s="24" t="str">
        <f>IFERROR(INDEX('Elements Data'!K:K,MATCH($Q6,'Elements Data'!$A:$A,0)), 0)</f>
        <v>2+</v>
      </c>
    </row>
    <row r="7" spans="1:28" x14ac:dyDescent="0.25">
      <c r="A7" s="67" t="str">
        <f>$Q$7</f>
        <v>D</v>
      </c>
      <c r="B7" s="27"/>
      <c r="C7" s="32">
        <f>R7</f>
        <v>0</v>
      </c>
      <c r="D7" s="17">
        <f>R7*T7</f>
        <v>0</v>
      </c>
      <c r="E7" s="74">
        <f>D7/$D$9</f>
        <v>0</v>
      </c>
      <c r="F7" s="69">
        <f t="shared" si="0"/>
        <v>0</v>
      </c>
      <c r="G7" s="70">
        <f>IFERROR(F7/U7, 0)</f>
        <v>0</v>
      </c>
      <c r="I7" s="71" t="str">
        <f>$Q$7</f>
        <v>D</v>
      </c>
      <c r="J7" s="27"/>
      <c r="K7" s="77">
        <f>K29</f>
        <v>0</v>
      </c>
      <c r="L7" s="76">
        <f>K7/$K$9</f>
        <v>0</v>
      </c>
      <c r="M7" s="24">
        <f>IFERROR(L7/T7, 0)</f>
        <v>0</v>
      </c>
      <c r="N7" s="116">
        <f>M7/$M$9</f>
        <v>0</v>
      </c>
      <c r="P7" s="15">
        <v>4</v>
      </c>
      <c r="Q7" s="21" t="s">
        <v>114</v>
      </c>
      <c r="R7" s="34">
        <v>0</v>
      </c>
      <c r="S7" s="17">
        <f>IFERROR(INDEX('Elements Data'!B:B,MATCH($Q7,'Elements Data'!$A:$A,0)), 0)</f>
        <v>0</v>
      </c>
      <c r="T7" s="17">
        <f>IFERROR(INDEX('Elements Data'!C:C,MATCH($Q7,'Elements Data'!$A:$A,0)), 0)</f>
        <v>0</v>
      </c>
      <c r="U7" s="17">
        <f>IFERROR(INDEX('Elements Data'!D:D,MATCH($Q7,'Elements Data'!$A:$A,0)), 0)</f>
        <v>0</v>
      </c>
      <c r="V7" s="37">
        <f>IFERROR(INDEX('Elements Data'!E:E,MATCH($Q7,'Elements Data'!$A:$A,0)), 0)</f>
        <v>0</v>
      </c>
      <c r="W7" s="27">
        <f>IFERROR(INDEX('Elements Data'!F:F,MATCH($Q7,'Elements Data'!$A:$A,0)), 0)</f>
        <v>0</v>
      </c>
      <c r="X7" s="17">
        <f>IFERROR(INDEX('Elements Data'!G:G,MATCH($Q7,'Elements Data'!$A:$A,0)), 0)</f>
        <v>0</v>
      </c>
      <c r="Y7" s="17">
        <f>IFERROR(INDEX('Elements Data'!H:H,MATCH($Q7,'Elements Data'!$A:$A,0)), 0)</f>
        <v>0</v>
      </c>
      <c r="Z7" s="17">
        <f>IFERROR(INDEX('Elements Data'!I:I,MATCH($Q7,'Elements Data'!$A:$A,0)), 0)</f>
        <v>0</v>
      </c>
      <c r="AA7" s="17">
        <f>IFERROR(INDEX('Elements Data'!J:J,MATCH($Q7,'Elements Data'!$A:$A,0)), 0)</f>
        <v>0</v>
      </c>
      <c r="AB7" s="24">
        <f>IFERROR(INDEX('Elements Data'!K:K,MATCH($Q7,'Elements Data'!$A:$A,0)), 0)</f>
        <v>0</v>
      </c>
    </row>
    <row r="8" spans="1:28" x14ac:dyDescent="0.25">
      <c r="A8" s="67" t="str">
        <f>$Q$8</f>
        <v>E</v>
      </c>
      <c r="B8" s="27"/>
      <c r="C8" s="32">
        <f>R8</f>
        <v>0</v>
      </c>
      <c r="D8" s="17">
        <f>R8*T8</f>
        <v>0</v>
      </c>
      <c r="E8" s="74">
        <f>D8/$D$9</f>
        <v>0</v>
      </c>
      <c r="F8" s="69">
        <f t="shared" si="0"/>
        <v>0</v>
      </c>
      <c r="G8" s="70">
        <f>IFERROR(F8/U8, 0)</f>
        <v>0</v>
      </c>
      <c r="I8" s="71" t="str">
        <f>$Q$8</f>
        <v>E</v>
      </c>
      <c r="J8" s="27"/>
      <c r="K8" s="77">
        <f>N29</f>
        <v>0</v>
      </c>
      <c r="L8" s="76">
        <f>K8/$K$9</f>
        <v>0</v>
      </c>
      <c r="M8" s="24">
        <f>IFERROR(L8/T8, 0)</f>
        <v>0</v>
      </c>
      <c r="N8" s="116">
        <f>M8/$M$9</f>
        <v>0</v>
      </c>
      <c r="P8" s="18">
        <v>5</v>
      </c>
      <c r="Q8" s="22" t="s">
        <v>115</v>
      </c>
      <c r="R8" s="35">
        <v>0</v>
      </c>
      <c r="S8" s="19">
        <f>IFERROR(INDEX('Elements Data'!B:B,MATCH($Q8,'Elements Data'!$A:$A,0)), 0)</f>
        <v>0</v>
      </c>
      <c r="T8" s="19">
        <f>IFERROR(INDEX('Elements Data'!C:C,MATCH($Q8,'Elements Data'!$A:$A,0)), 0)</f>
        <v>0</v>
      </c>
      <c r="U8" s="19">
        <f>IFERROR(INDEX('Elements Data'!D:D,MATCH($Q8,'Elements Data'!$A:$A,0)), 0)</f>
        <v>0</v>
      </c>
      <c r="V8" s="38">
        <f>IFERROR(INDEX('Elements Data'!E:E,MATCH($Q8,'Elements Data'!$A:$A,0)), 0)</f>
        <v>0</v>
      </c>
      <c r="W8" s="28">
        <f>IFERROR(INDEX('Elements Data'!F:F,MATCH($Q8,'Elements Data'!$A:$A,0)), 0)</f>
        <v>0</v>
      </c>
      <c r="X8" s="19">
        <f>IFERROR(INDEX('Elements Data'!G:G,MATCH($Q8,'Elements Data'!$A:$A,0)), 0)</f>
        <v>0</v>
      </c>
      <c r="Y8" s="19">
        <f>IFERROR(INDEX('Elements Data'!H:H,MATCH($Q8,'Elements Data'!$A:$A,0)), 0)</f>
        <v>0</v>
      </c>
      <c r="Z8" s="19">
        <f>IFERROR(INDEX('Elements Data'!I:I,MATCH($Q8,'Elements Data'!$A:$A,0)), 0)</f>
        <v>0</v>
      </c>
      <c r="AA8" s="19">
        <f>IFERROR(INDEX('Elements Data'!J:J,MATCH($Q8,'Elements Data'!$A:$A,0)), 0)</f>
        <v>0</v>
      </c>
      <c r="AB8" s="25">
        <f>IFERROR(INDEX('Elements Data'!K:K,MATCH($Q8,'Elements Data'!$A:$A,0)), 0)</f>
        <v>0</v>
      </c>
    </row>
    <row r="9" spans="1:28" x14ac:dyDescent="0.25">
      <c r="A9" s="78"/>
      <c r="B9" s="79" t="s">
        <v>18</v>
      </c>
      <c r="C9" s="80">
        <f>SUM(C4:C8)</f>
        <v>1</v>
      </c>
      <c r="D9" s="81">
        <f>SUM(D4:D8)</f>
        <v>37.41675</v>
      </c>
      <c r="E9" s="83">
        <f>SUM(E4:E8)</f>
        <v>1</v>
      </c>
      <c r="F9" s="157">
        <v>0</v>
      </c>
      <c r="G9" s="144">
        <f>SUM(G4:G8)</f>
        <v>35.003147547894024</v>
      </c>
      <c r="I9" s="82"/>
      <c r="J9" s="79" t="s">
        <v>18</v>
      </c>
      <c r="K9" s="117">
        <f>SUM(K4:K8)</f>
        <v>5.327</v>
      </c>
      <c r="L9" s="83">
        <f>SUM(L4:L8)</f>
        <v>1</v>
      </c>
      <c r="M9" s="118">
        <f>SUM(M4:M8)</f>
        <v>2.4951344877488894E-2</v>
      </c>
      <c r="N9" s="84">
        <f>SUM(N4:N8)</f>
        <v>1</v>
      </c>
      <c r="P9" s="15" t="s">
        <v>111</v>
      </c>
      <c r="Q9" s="85" t="str">
        <f>Q4 &amp; R4*100 &amp; Q5 &amp; R5*100 &amp; Q6 &amp; R6*100 &amp; Q7 &amp; R7*100 &amp; Q8 &amp; R8*100</f>
        <v>Mg65Zn30Ca5D0E0</v>
      </c>
      <c r="R9" s="156">
        <f>SUM(R4:R8)</f>
        <v>1</v>
      </c>
      <c r="S9" s="86"/>
      <c r="T9" s="86">
        <f>ROUND(1/(E4/T4+E5/IF(T5=0, 1, T5)+E6/IF(T6=0, 1, T6)+E7/IF(T7=0, 1, T7)+E8/IF(T8=0, 1, T8)),3)</f>
        <v>37.417000000000002</v>
      </c>
      <c r="U9" s="121">
        <f>ROUND(1/(E4/U4+E5/IF(U5=0, 1, U5)+E6/IF(U6=0, 1, U6)+E7/IF(U7=0, 1, U7)+E8/IF(U8=0, 1, U8)),3)</f>
        <v>2.85</v>
      </c>
      <c r="V9" s="86"/>
      <c r="W9" s="28"/>
      <c r="X9" s="19">
        <f>ROUND(R4*X4+R5*X5+R6*X6+R7*X7+R8*X8,3)</f>
        <v>812.5</v>
      </c>
      <c r="Y9" s="114"/>
      <c r="Z9" s="159">
        <f>(MAX(Z4:Z8)-SMALL(Z4:Z8,COUNTIF(Z4:Z8,"&lt;=0")+1))/MAX(Z4:Z8)</f>
        <v>0.16874999999999998</v>
      </c>
      <c r="AA9" s="159">
        <f>(MAX(AA4:AA8)-SMALL(AA4:AA8,COUNTIF(AA4:AA8,"&lt;=0")+1))/MAX(AA4:AA8)</f>
        <v>0.2421052631578948</v>
      </c>
      <c r="AB9" s="142"/>
    </row>
    <row r="10" spans="1:28" x14ac:dyDescent="0.25">
      <c r="F10" s="158">
        <f>G10*U9</f>
        <v>99.75</v>
      </c>
      <c r="G10" s="9">
        <v>35</v>
      </c>
    </row>
    <row r="11" spans="1:28" ht="26.25" x14ac:dyDescent="0.4">
      <c r="A11" s="54" t="s">
        <v>110</v>
      </c>
      <c r="P11" s="54" t="s">
        <v>88</v>
      </c>
    </row>
    <row r="12" spans="1:28" ht="30" customHeight="1" x14ac:dyDescent="0.25">
      <c r="A12" s="180" t="str">
        <f>$Q$4</f>
        <v>Mg</v>
      </c>
      <c r="B12" s="181"/>
      <c r="C12" s="87"/>
      <c r="D12" s="182" t="str">
        <f>$Q$5</f>
        <v>Zn</v>
      </c>
      <c r="E12" s="183"/>
      <c r="F12" s="87"/>
      <c r="G12" s="184" t="str">
        <f>$Q$6</f>
        <v>Ca</v>
      </c>
      <c r="H12" s="185"/>
      <c r="I12" s="88"/>
      <c r="J12" s="186" t="str">
        <f>$Q$7</f>
        <v>D</v>
      </c>
      <c r="K12" s="187"/>
      <c r="L12" s="87"/>
      <c r="M12" s="188" t="str">
        <f>$Q$8</f>
        <v>E</v>
      </c>
      <c r="N12" s="189"/>
      <c r="P12" s="89" t="s">
        <v>90</v>
      </c>
      <c r="Q12" s="90" t="s">
        <v>89</v>
      </c>
      <c r="R12" s="91"/>
      <c r="S12" s="92" t="s">
        <v>96</v>
      </c>
      <c r="T12" s="93"/>
    </row>
    <row r="13" spans="1:28" x14ac:dyDescent="0.25">
      <c r="A13" s="94" t="s">
        <v>28</v>
      </c>
      <c r="B13" s="95" t="s">
        <v>22</v>
      </c>
      <c r="C13" s="96"/>
      <c r="D13" s="97" t="s">
        <v>28</v>
      </c>
      <c r="E13" s="98" t="s">
        <v>22</v>
      </c>
      <c r="F13" s="96"/>
      <c r="G13" s="99" t="s">
        <v>28</v>
      </c>
      <c r="H13" s="100" t="s">
        <v>22</v>
      </c>
      <c r="I13" s="96"/>
      <c r="J13" s="103" t="s">
        <v>28</v>
      </c>
      <c r="K13" s="104" t="s">
        <v>22</v>
      </c>
      <c r="L13" s="96"/>
      <c r="M13" s="101" t="s">
        <v>28</v>
      </c>
      <c r="N13" s="102" t="s">
        <v>22</v>
      </c>
      <c r="P13" s="105" t="s">
        <v>93</v>
      </c>
      <c r="Q13" s="39">
        <v>700</v>
      </c>
      <c r="R13" s="10" t="s">
        <v>104</v>
      </c>
      <c r="S13" s="7"/>
      <c r="T13" s="8"/>
    </row>
    <row r="14" spans="1:28" x14ac:dyDescent="0.25">
      <c r="A14" s="126">
        <v>1</v>
      </c>
      <c r="B14" s="106">
        <f>A!C2</f>
        <v>0</v>
      </c>
      <c r="C14" s="107"/>
      <c r="D14" s="126">
        <v>1</v>
      </c>
      <c r="E14" s="106">
        <f>B!C2</f>
        <v>0</v>
      </c>
      <c r="F14" s="107"/>
      <c r="G14" s="126">
        <v>1</v>
      </c>
      <c r="H14" s="106">
        <f>'C'!C2</f>
        <v>5.327</v>
      </c>
      <c r="I14" s="107"/>
      <c r="J14" s="126">
        <v>1</v>
      </c>
      <c r="K14" s="106">
        <f>D!C2</f>
        <v>0</v>
      </c>
      <c r="L14" s="107"/>
      <c r="M14" s="126">
        <v>1</v>
      </c>
      <c r="N14" s="106">
        <f>D!C2</f>
        <v>0</v>
      </c>
      <c r="P14" s="108" t="s">
        <v>91</v>
      </c>
      <c r="Q14" s="8">
        <v>385</v>
      </c>
      <c r="R14" s="10"/>
      <c r="S14" s="7"/>
      <c r="T14" s="8"/>
      <c r="V14"/>
      <c r="W14"/>
      <c r="X14"/>
    </row>
    <row r="15" spans="1:28" x14ac:dyDescent="0.25">
      <c r="A15" s="126">
        <v>2</v>
      </c>
      <c r="B15" s="106">
        <f>A!C3</f>
        <v>0</v>
      </c>
      <c r="C15" s="107"/>
      <c r="D15" s="126">
        <v>2</v>
      </c>
      <c r="E15" s="106">
        <f>B!C3</f>
        <v>0</v>
      </c>
      <c r="F15" s="107"/>
      <c r="G15" s="126">
        <v>2</v>
      </c>
      <c r="H15" s="106">
        <f>'C'!C3</f>
        <v>0</v>
      </c>
      <c r="I15" s="107"/>
      <c r="J15" s="126">
        <v>2</v>
      </c>
      <c r="K15" s="106">
        <f>D!C3</f>
        <v>0</v>
      </c>
      <c r="L15" s="107"/>
      <c r="M15" s="126">
        <v>2</v>
      </c>
      <c r="N15" s="106">
        <f>D!C3</f>
        <v>0</v>
      </c>
      <c r="P15" s="108" t="s">
        <v>94</v>
      </c>
      <c r="Q15" s="8">
        <v>650</v>
      </c>
      <c r="R15" s="10"/>
      <c r="S15" s="7"/>
      <c r="T15" s="8"/>
      <c r="V15"/>
      <c r="W15"/>
      <c r="X15"/>
    </row>
    <row r="16" spans="1:28" x14ac:dyDescent="0.25">
      <c r="A16" s="126">
        <v>3</v>
      </c>
      <c r="B16" s="106">
        <f>A!C4</f>
        <v>0</v>
      </c>
      <c r="C16" s="107"/>
      <c r="D16" s="126">
        <v>3</v>
      </c>
      <c r="E16" s="106">
        <f>B!C4</f>
        <v>0</v>
      </c>
      <c r="F16" s="107"/>
      <c r="G16" s="126">
        <v>3</v>
      </c>
      <c r="H16" s="106">
        <f>'C'!C4</f>
        <v>0</v>
      </c>
      <c r="I16" s="107"/>
      <c r="J16" s="126">
        <v>3</v>
      </c>
      <c r="K16" s="106">
        <f>D!C4</f>
        <v>0</v>
      </c>
      <c r="L16" s="107"/>
      <c r="M16" s="126">
        <v>3</v>
      </c>
      <c r="N16" s="106">
        <f>D!C4</f>
        <v>0</v>
      </c>
      <c r="P16" s="108" t="s">
        <v>92</v>
      </c>
      <c r="Q16" s="8">
        <v>385</v>
      </c>
      <c r="R16" s="10"/>
      <c r="S16" s="7"/>
      <c r="T16" s="8"/>
      <c r="V16"/>
      <c r="W16"/>
      <c r="X16"/>
    </row>
    <row r="17" spans="1:28" x14ac:dyDescent="0.25">
      <c r="A17" s="126">
        <v>4</v>
      </c>
      <c r="B17" s="106">
        <f>A!C5</f>
        <v>0</v>
      </c>
      <c r="C17" s="107"/>
      <c r="D17" s="126">
        <v>4</v>
      </c>
      <c r="E17" s="106">
        <f>B!C5</f>
        <v>0</v>
      </c>
      <c r="F17" s="107"/>
      <c r="G17" s="126">
        <v>4</v>
      </c>
      <c r="H17" s="106">
        <f>'C'!C5</f>
        <v>0</v>
      </c>
      <c r="I17" s="107"/>
      <c r="J17" s="126">
        <v>4</v>
      </c>
      <c r="K17" s="106">
        <f>D!C5</f>
        <v>0</v>
      </c>
      <c r="L17" s="107"/>
      <c r="M17" s="126">
        <v>4</v>
      </c>
      <c r="N17" s="106">
        <f>D!C5</f>
        <v>0</v>
      </c>
      <c r="P17" s="108" t="s">
        <v>95</v>
      </c>
      <c r="Q17" s="8">
        <v>650</v>
      </c>
      <c r="R17" s="10"/>
      <c r="S17" s="7"/>
      <c r="T17" s="8"/>
      <c r="V17"/>
      <c r="W17"/>
      <c r="X17"/>
    </row>
    <row r="18" spans="1:28" x14ac:dyDescent="0.25">
      <c r="A18" s="126">
        <v>5</v>
      </c>
      <c r="B18" s="106">
        <f>A!C6</f>
        <v>0</v>
      </c>
      <c r="C18" s="107"/>
      <c r="D18" s="126">
        <v>5</v>
      </c>
      <c r="E18" s="106">
        <f>B!C6</f>
        <v>0</v>
      </c>
      <c r="F18" s="107"/>
      <c r="G18" s="126">
        <v>5</v>
      </c>
      <c r="H18" s="106">
        <f>'C'!C6</f>
        <v>0</v>
      </c>
      <c r="I18" s="107"/>
      <c r="J18" s="126">
        <v>5</v>
      </c>
      <c r="K18" s="106">
        <f>D!C6</f>
        <v>0</v>
      </c>
      <c r="L18" s="107"/>
      <c r="M18" s="126">
        <v>5</v>
      </c>
      <c r="N18" s="106">
        <f>D!C6</f>
        <v>0</v>
      </c>
      <c r="P18" s="108" t="s">
        <v>97</v>
      </c>
      <c r="Q18" s="8">
        <v>450</v>
      </c>
      <c r="R18" s="10" t="s">
        <v>98</v>
      </c>
      <c r="S18" s="7"/>
      <c r="T18" s="8"/>
      <c r="V18"/>
      <c r="W18"/>
      <c r="X18"/>
    </row>
    <row r="19" spans="1:28" x14ac:dyDescent="0.25">
      <c r="A19" s="126">
        <v>6</v>
      </c>
      <c r="B19" s="106">
        <f>A!C7</f>
        <v>0</v>
      </c>
      <c r="C19" s="107"/>
      <c r="D19" s="126">
        <v>6</v>
      </c>
      <c r="E19" s="106">
        <f>B!C7</f>
        <v>0</v>
      </c>
      <c r="F19" s="107"/>
      <c r="G19" s="126">
        <v>6</v>
      </c>
      <c r="H19" s="106">
        <f>'C'!C7</f>
        <v>0</v>
      </c>
      <c r="I19" s="107"/>
      <c r="J19" s="126">
        <v>6</v>
      </c>
      <c r="K19" s="106">
        <f>D!C7</f>
        <v>0</v>
      </c>
      <c r="L19" s="107"/>
      <c r="M19" s="126">
        <v>6</v>
      </c>
      <c r="N19" s="106">
        <f>D!C7</f>
        <v>0</v>
      </c>
      <c r="P19" s="27" t="s">
        <v>99</v>
      </c>
      <c r="Q19" s="8"/>
      <c r="R19" s="10" t="s">
        <v>195</v>
      </c>
      <c r="S19" s="7"/>
      <c r="T19" s="8"/>
      <c r="V19"/>
      <c r="W19"/>
      <c r="X19"/>
    </row>
    <row r="20" spans="1:28" x14ac:dyDescent="0.25">
      <c r="A20" s="126">
        <v>7</v>
      </c>
      <c r="B20" s="106">
        <f>A!C8</f>
        <v>0</v>
      </c>
      <c r="C20" s="107"/>
      <c r="D20" s="126">
        <v>7</v>
      </c>
      <c r="E20" s="106">
        <f>B!C8</f>
        <v>0</v>
      </c>
      <c r="F20" s="107"/>
      <c r="G20" s="126">
        <v>7</v>
      </c>
      <c r="H20" s="106">
        <f>'C'!C8</f>
        <v>0</v>
      </c>
      <c r="I20" s="107"/>
      <c r="J20" s="126">
        <v>7</v>
      </c>
      <c r="K20" s="106">
        <f>D!C8</f>
        <v>0</v>
      </c>
      <c r="L20" s="107"/>
      <c r="M20" s="126">
        <v>7</v>
      </c>
      <c r="N20" s="106">
        <f>D!C8</f>
        <v>0</v>
      </c>
      <c r="P20" s="27" t="s">
        <v>100</v>
      </c>
      <c r="Q20" s="8"/>
      <c r="R20" s="10" t="s">
        <v>193</v>
      </c>
      <c r="S20" s="7"/>
      <c r="T20" s="8"/>
      <c r="V20"/>
      <c r="W20"/>
      <c r="X20"/>
    </row>
    <row r="21" spans="1:28" x14ac:dyDescent="0.25">
      <c r="A21" s="126">
        <v>8</v>
      </c>
      <c r="B21" s="106">
        <f>A!C9</f>
        <v>0</v>
      </c>
      <c r="C21" s="107"/>
      <c r="D21" s="126">
        <v>8</v>
      </c>
      <c r="E21" s="106">
        <f>B!C9</f>
        <v>0</v>
      </c>
      <c r="F21" s="107"/>
      <c r="G21" s="126">
        <v>8</v>
      </c>
      <c r="H21" s="106">
        <f>'C'!C9</f>
        <v>0</v>
      </c>
      <c r="I21" s="107"/>
      <c r="J21" s="126">
        <v>8</v>
      </c>
      <c r="K21" s="106">
        <f>D!C9</f>
        <v>0</v>
      </c>
      <c r="L21" s="107"/>
      <c r="M21" s="126">
        <v>8</v>
      </c>
      <c r="N21" s="106">
        <f>D!C9</f>
        <v>0</v>
      </c>
      <c r="P21" s="27" t="s">
        <v>101</v>
      </c>
      <c r="Q21" s="8"/>
      <c r="R21" s="10"/>
      <c r="S21" s="7"/>
      <c r="T21" s="8"/>
      <c r="V21"/>
      <c r="W21"/>
      <c r="X21"/>
    </row>
    <row r="22" spans="1:28" x14ac:dyDescent="0.25">
      <c r="A22" s="126">
        <v>9</v>
      </c>
      <c r="B22" s="106">
        <f>A!C10</f>
        <v>0</v>
      </c>
      <c r="C22" s="107"/>
      <c r="D22" s="126">
        <v>9</v>
      </c>
      <c r="E22" s="106">
        <f>B!C10</f>
        <v>0</v>
      </c>
      <c r="F22" s="107"/>
      <c r="G22" s="126">
        <v>9</v>
      </c>
      <c r="H22" s="106">
        <f>'C'!C10</f>
        <v>0</v>
      </c>
      <c r="I22" s="107"/>
      <c r="J22" s="126">
        <v>9</v>
      </c>
      <c r="K22" s="106">
        <f>D!C10</f>
        <v>0</v>
      </c>
      <c r="L22" s="107"/>
      <c r="M22" s="126">
        <v>9</v>
      </c>
      <c r="N22" s="106">
        <f>D!C10</f>
        <v>0</v>
      </c>
      <c r="P22" s="28" t="s">
        <v>102</v>
      </c>
      <c r="Q22" s="9"/>
      <c r="R22" s="40"/>
      <c r="S22" s="41"/>
      <c r="T22" s="9"/>
    </row>
    <row r="23" spans="1:28" x14ac:dyDescent="0.25">
      <c r="A23" s="126">
        <v>10</v>
      </c>
      <c r="B23" s="106">
        <f>A!C11</f>
        <v>0</v>
      </c>
      <c r="C23" s="107"/>
      <c r="D23" s="126">
        <v>10</v>
      </c>
      <c r="E23" s="106">
        <f>B!C11</f>
        <v>0</v>
      </c>
      <c r="F23" s="107"/>
      <c r="G23" s="126">
        <v>10</v>
      </c>
      <c r="H23" s="106">
        <f>'C'!C11</f>
        <v>0</v>
      </c>
      <c r="I23" s="107"/>
      <c r="J23" s="126">
        <v>10</v>
      </c>
      <c r="K23" s="106">
        <f>D!C11</f>
        <v>0</v>
      </c>
      <c r="L23" s="107"/>
      <c r="M23" s="126">
        <v>10</v>
      </c>
      <c r="N23" s="106">
        <f>D!C11</f>
        <v>0</v>
      </c>
    </row>
    <row r="24" spans="1:28" x14ac:dyDescent="0.25">
      <c r="A24" s="126">
        <v>11</v>
      </c>
      <c r="B24" s="106">
        <f>A!C12</f>
        <v>0</v>
      </c>
      <c r="C24" s="107"/>
      <c r="D24" s="126">
        <v>11</v>
      </c>
      <c r="E24" s="106">
        <f>B!C12</f>
        <v>0</v>
      </c>
      <c r="F24" s="107"/>
      <c r="G24" s="126">
        <v>11</v>
      </c>
      <c r="H24" s="106">
        <f>'C'!C12</f>
        <v>0</v>
      </c>
      <c r="I24" s="107"/>
      <c r="J24" s="126">
        <v>11</v>
      </c>
      <c r="K24" s="106">
        <f>D!C12</f>
        <v>0</v>
      </c>
      <c r="L24" s="107"/>
      <c r="M24" s="126">
        <v>11</v>
      </c>
      <c r="N24" s="106">
        <f>D!C12</f>
        <v>0</v>
      </c>
    </row>
    <row r="25" spans="1:28" x14ac:dyDescent="0.25">
      <c r="A25" s="126">
        <v>12</v>
      </c>
      <c r="B25" s="106">
        <f>A!C13</f>
        <v>0</v>
      </c>
      <c r="C25" s="107"/>
      <c r="D25" s="126">
        <v>12</v>
      </c>
      <c r="E25" s="106">
        <f>B!C13</f>
        <v>0</v>
      </c>
      <c r="F25" s="107"/>
      <c r="G25" s="126">
        <v>12</v>
      </c>
      <c r="H25" s="106">
        <f>'C'!C13</f>
        <v>0</v>
      </c>
      <c r="I25" s="107"/>
      <c r="J25" s="126">
        <v>12</v>
      </c>
      <c r="K25" s="106">
        <f>D!C13</f>
        <v>0</v>
      </c>
      <c r="L25" s="107"/>
      <c r="M25" s="126">
        <v>12</v>
      </c>
      <c r="N25" s="106">
        <f>D!C13</f>
        <v>0</v>
      </c>
    </row>
    <row r="26" spans="1:28" x14ac:dyDescent="0.25">
      <c r="A26" s="126">
        <v>13</v>
      </c>
      <c r="B26" s="106">
        <f>A!C14</f>
        <v>0</v>
      </c>
      <c r="C26" s="107"/>
      <c r="D26" s="126">
        <v>13</v>
      </c>
      <c r="E26" s="106">
        <f>B!C14</f>
        <v>0</v>
      </c>
      <c r="F26" s="107"/>
      <c r="G26" s="126">
        <v>13</v>
      </c>
      <c r="H26" s="106">
        <f>'C'!C14</f>
        <v>0</v>
      </c>
      <c r="I26" s="107"/>
      <c r="J26" s="126">
        <v>13</v>
      </c>
      <c r="K26" s="106">
        <f>D!C14</f>
        <v>0</v>
      </c>
      <c r="L26" s="107"/>
      <c r="M26" s="126">
        <v>13</v>
      </c>
      <c r="N26" s="106">
        <f>D!C14</f>
        <v>0</v>
      </c>
    </row>
    <row r="27" spans="1:28" x14ac:dyDescent="0.25">
      <c r="A27" s="126">
        <v>14</v>
      </c>
      <c r="B27" s="106">
        <f>A!C15</f>
        <v>0</v>
      </c>
      <c r="C27" s="107"/>
      <c r="D27" s="126">
        <v>14</v>
      </c>
      <c r="E27" s="106">
        <f>B!C15</f>
        <v>0</v>
      </c>
      <c r="F27" s="107"/>
      <c r="G27" s="126">
        <v>14</v>
      </c>
      <c r="H27" s="106">
        <f>'C'!C15</f>
        <v>0</v>
      </c>
      <c r="I27" s="107"/>
      <c r="J27" s="126">
        <v>14</v>
      </c>
      <c r="K27" s="106">
        <f>D!C15</f>
        <v>0</v>
      </c>
      <c r="L27" s="107"/>
      <c r="M27" s="126">
        <v>14</v>
      </c>
      <c r="N27" s="106">
        <f>D!C15</f>
        <v>0</v>
      </c>
    </row>
    <row r="28" spans="1:28" x14ac:dyDescent="0.25">
      <c r="A28" s="126">
        <v>15</v>
      </c>
      <c r="B28" s="106">
        <f>A!C16</f>
        <v>0</v>
      </c>
      <c r="C28" s="107"/>
      <c r="D28" s="126">
        <v>15</v>
      </c>
      <c r="E28" s="106">
        <f>B!C16</f>
        <v>0</v>
      </c>
      <c r="F28" s="107"/>
      <c r="G28" s="126">
        <v>15</v>
      </c>
      <c r="H28" s="106">
        <f>'C'!C16</f>
        <v>0</v>
      </c>
      <c r="I28" s="107"/>
      <c r="J28" s="126">
        <v>15</v>
      </c>
      <c r="K28" s="106">
        <f>D!C16</f>
        <v>0</v>
      </c>
      <c r="L28" s="107"/>
      <c r="M28" s="126">
        <v>15</v>
      </c>
      <c r="N28" s="106">
        <f>D!C16</f>
        <v>0</v>
      </c>
    </row>
    <row r="29" spans="1:28" x14ac:dyDescent="0.25">
      <c r="A29" s="109" t="s">
        <v>18</v>
      </c>
      <c r="B29" s="110">
        <f>SUM(B14:B28)</f>
        <v>0</v>
      </c>
      <c r="C29" s="107"/>
      <c r="D29" s="109" t="s">
        <v>18</v>
      </c>
      <c r="E29" s="111">
        <f>SUM(E14:E28)</f>
        <v>0</v>
      </c>
      <c r="F29" s="107"/>
      <c r="G29" s="109" t="s">
        <v>18</v>
      </c>
      <c r="H29" s="110">
        <f>SUM(H14:H28)</f>
        <v>5.327</v>
      </c>
      <c r="I29" s="107"/>
      <c r="J29" s="109" t="s">
        <v>18</v>
      </c>
      <c r="K29" s="111">
        <f>SUM(K14:K28)</f>
        <v>0</v>
      </c>
      <c r="L29" s="107"/>
      <c r="M29" s="109" t="s">
        <v>18</v>
      </c>
      <c r="N29" s="110">
        <f>SUM(N14:N28)</f>
        <v>0</v>
      </c>
    </row>
    <row r="30" spans="1:28" x14ac:dyDescent="0.25">
      <c r="A30" s="112" t="s">
        <v>41</v>
      </c>
      <c r="B30" s="113">
        <f>B29-$F$4</f>
        <v>-42.116999999999997</v>
      </c>
      <c r="C30" s="114"/>
      <c r="D30" s="112" t="s">
        <v>41</v>
      </c>
      <c r="E30" s="113">
        <f>E29-$F$5</f>
        <v>-52.290999999999997</v>
      </c>
      <c r="F30" s="114"/>
      <c r="G30" s="112" t="s">
        <v>41</v>
      </c>
      <c r="H30" s="113">
        <f>H29-$F$6</f>
        <v>-1.499999999999968E-2</v>
      </c>
      <c r="I30" s="114"/>
      <c r="J30" s="112" t="s">
        <v>41</v>
      </c>
      <c r="K30" s="113">
        <f>K29-$F$7</f>
        <v>0</v>
      </c>
      <c r="L30" s="114"/>
      <c r="M30" s="112" t="s">
        <v>41</v>
      </c>
      <c r="N30" s="113">
        <f>N29-$F$8</f>
        <v>0</v>
      </c>
    </row>
    <row r="31" spans="1:28" x14ac:dyDescent="0.25"/>
    <row r="32" spans="1:28" ht="51" customHeight="1" x14ac:dyDescent="0.25">
      <c r="A32" s="177" t="s">
        <v>103</v>
      </c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9"/>
    </row>
    <row r="33" spans="1:28" x14ac:dyDescent="0.25">
      <c r="A33" s="42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4"/>
    </row>
    <row r="34" spans="1:28" x14ac:dyDescent="0.25">
      <c r="A34" s="42"/>
      <c r="B34" s="43" t="s">
        <v>173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 t="s">
        <v>194</v>
      </c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4"/>
    </row>
    <row r="35" spans="1:28" x14ac:dyDescent="0.25">
      <c r="A35" s="42"/>
      <c r="B35" s="43" t="s">
        <v>174</v>
      </c>
      <c r="C35" s="43"/>
      <c r="D35" s="43"/>
      <c r="E35" s="43"/>
      <c r="F35" s="43"/>
      <c r="G35" s="43"/>
      <c r="H35" s="43"/>
      <c r="I35" s="43"/>
      <c r="J35" s="43"/>
      <c r="K35" s="49"/>
      <c r="L35" s="43"/>
      <c r="M35" s="43" t="s">
        <v>196</v>
      </c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4"/>
    </row>
    <row r="36" spans="1:28" x14ac:dyDescent="0.25">
      <c r="A36" s="42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5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4"/>
    </row>
    <row r="37" spans="1:28" x14ac:dyDescent="0.25">
      <c r="A37" s="42"/>
      <c r="B37" s="43" t="s">
        <v>175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 t="s">
        <v>198</v>
      </c>
      <c r="N37" s="43"/>
      <c r="O37" s="43"/>
      <c r="P37" s="43"/>
      <c r="Q37" s="45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4"/>
    </row>
    <row r="38" spans="1:28" x14ac:dyDescent="0.25">
      <c r="A38" s="42"/>
      <c r="B38" s="43" t="s">
        <v>176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 t="s">
        <v>199</v>
      </c>
      <c r="N38" s="43"/>
      <c r="O38" s="43"/>
      <c r="P38" s="43"/>
      <c r="Q38" s="45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4"/>
    </row>
    <row r="39" spans="1:28" x14ac:dyDescent="0.25">
      <c r="A39" s="42"/>
      <c r="B39" s="43" t="s">
        <v>177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4"/>
    </row>
    <row r="40" spans="1:28" x14ac:dyDescent="0.25">
      <c r="A40" s="42"/>
      <c r="B40" s="43" t="s">
        <v>178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4"/>
    </row>
    <row r="41" spans="1:28" x14ac:dyDescent="0.25">
      <c r="A41" s="42"/>
      <c r="B41" s="43" t="s">
        <v>179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4"/>
    </row>
    <row r="42" spans="1:28" x14ac:dyDescent="0.25">
      <c r="A42" s="42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4"/>
    </row>
    <row r="43" spans="1:28" x14ac:dyDescent="0.25">
      <c r="A43" s="42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4"/>
    </row>
    <row r="44" spans="1:28" x14ac:dyDescent="0.25">
      <c r="A44" s="42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4"/>
    </row>
    <row r="45" spans="1:28" x14ac:dyDescent="0.25">
      <c r="A45" s="42"/>
      <c r="B45" s="43" t="s">
        <v>180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4"/>
    </row>
    <row r="46" spans="1:28" x14ac:dyDescent="0.25">
      <c r="A46" s="42"/>
      <c r="B46" s="43" t="s">
        <v>181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4"/>
    </row>
    <row r="47" spans="1:28" x14ac:dyDescent="0.25">
      <c r="A47" s="42"/>
      <c r="B47" s="43" t="s">
        <v>182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4"/>
    </row>
    <row r="48" spans="1:28" x14ac:dyDescent="0.25">
      <c r="A48" s="42"/>
      <c r="B48" s="43" t="s">
        <v>183</v>
      </c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4"/>
    </row>
    <row r="49" spans="1:28" x14ac:dyDescent="0.25">
      <c r="A49" s="42"/>
      <c r="B49" s="43" t="s">
        <v>184</v>
      </c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4"/>
    </row>
    <row r="50" spans="1:28" x14ac:dyDescent="0.25">
      <c r="A50" s="42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4"/>
    </row>
    <row r="51" spans="1:28" x14ac:dyDescent="0.25">
      <c r="A51" s="42"/>
      <c r="B51" s="43" t="s">
        <v>185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4"/>
    </row>
    <row r="52" spans="1:28" x14ac:dyDescent="0.25">
      <c r="A52" s="42"/>
      <c r="B52" s="43" t="s">
        <v>186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4"/>
    </row>
    <row r="53" spans="1:28" x14ac:dyDescent="0.25">
      <c r="A53" s="42"/>
      <c r="B53" s="43" t="s">
        <v>187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4"/>
    </row>
    <row r="54" spans="1:28" x14ac:dyDescent="0.25">
      <c r="A54" s="42"/>
      <c r="B54" s="43"/>
      <c r="C54" s="43" t="s">
        <v>188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4"/>
    </row>
    <row r="55" spans="1:28" x14ac:dyDescent="0.25">
      <c r="A55" s="4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4"/>
    </row>
    <row r="56" spans="1:28" x14ac:dyDescent="0.25">
      <c r="A56" s="42"/>
      <c r="B56" s="43"/>
      <c r="C56" s="43" t="s">
        <v>189</v>
      </c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4"/>
    </row>
    <row r="57" spans="1:28" x14ac:dyDescent="0.25">
      <c r="A57" s="42"/>
      <c r="B57" s="43"/>
      <c r="C57" s="43" t="s">
        <v>190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</row>
    <row r="58" spans="1:28" x14ac:dyDescent="0.25">
      <c r="A58" s="42"/>
      <c r="B58" s="43"/>
      <c r="C58" s="43" t="s">
        <v>191</v>
      </c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4"/>
    </row>
    <row r="59" spans="1:28" x14ac:dyDescent="0.25">
      <c r="A59" s="42"/>
      <c r="B59" s="43"/>
      <c r="C59" s="43" t="s">
        <v>192</v>
      </c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</row>
    <row r="60" spans="1:28" x14ac:dyDescent="0.25">
      <c r="A60" s="4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4"/>
    </row>
    <row r="61" spans="1:28" x14ac:dyDescent="0.25">
      <c r="A61" s="42"/>
      <c r="B61" s="43" t="s">
        <v>197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4"/>
    </row>
    <row r="62" spans="1:28" x14ac:dyDescent="0.25">
      <c r="A62" s="42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4"/>
    </row>
    <row r="63" spans="1:28" x14ac:dyDescent="0.25">
      <c r="A63" s="42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4"/>
    </row>
    <row r="64" spans="1:28" x14ac:dyDescent="0.25">
      <c r="A64" s="42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4"/>
    </row>
    <row r="65" spans="1:28" x14ac:dyDescent="0.25">
      <c r="A65" s="42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4"/>
    </row>
    <row r="66" spans="1:28" x14ac:dyDescent="0.2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4"/>
    </row>
    <row r="67" spans="1:28" x14ac:dyDescent="0.25">
      <c r="A67" s="42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4"/>
    </row>
    <row r="68" spans="1:28" x14ac:dyDescent="0.25">
      <c r="A68" s="42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4"/>
    </row>
    <row r="69" spans="1:28" x14ac:dyDescent="0.25">
      <c r="A69" s="42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4"/>
    </row>
    <row r="70" spans="1:28" x14ac:dyDescent="0.25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4"/>
    </row>
    <row r="71" spans="1:28" x14ac:dyDescent="0.25">
      <c r="A71" s="42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4"/>
    </row>
    <row r="72" spans="1:28" x14ac:dyDescent="0.25">
      <c r="A72" s="42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4"/>
    </row>
    <row r="73" spans="1:28" x14ac:dyDescent="0.25">
      <c r="A73" s="42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4"/>
    </row>
    <row r="74" spans="1:28" x14ac:dyDescent="0.25">
      <c r="A74" s="46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8"/>
    </row>
    <row r="75" spans="1:28" x14ac:dyDescent="0.25"/>
    <row r="76" spans="1:28" hidden="1" x14ac:dyDescent="0.25"/>
    <row r="77" spans="1:28" hidden="1" x14ac:dyDescent="0.25"/>
    <row r="78" spans="1:28" hidden="1" x14ac:dyDescent="0.25"/>
    <row r="79" spans="1:28" hidden="1" x14ac:dyDescent="0.25"/>
    <row r="80" spans="1:28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</sheetData>
  <sheetProtection sheet="1" objects="1" scenarios="1"/>
  <mergeCells count="7">
    <mergeCell ref="A1:G1"/>
    <mergeCell ref="A32:AB32"/>
    <mergeCell ref="A12:B12"/>
    <mergeCell ref="D12:E12"/>
    <mergeCell ref="G12:H12"/>
    <mergeCell ref="J12:K12"/>
    <mergeCell ref="M12:N12"/>
  </mergeCells>
  <pageMargins left="0.7" right="0.7" top="0.75" bottom="0.75" header="0.3" footer="0.3"/>
  <pageSetup paperSize="9"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F4158"/>
  </sheetPr>
  <dimension ref="A1:F51"/>
  <sheetViews>
    <sheetView workbookViewId="0">
      <pane ySplit="1" topLeftCell="A2" activePane="bottomLeft" state="frozen"/>
      <selection pane="bottomLeft" activeCell="A2" sqref="A2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128" t="s">
        <v>108</v>
      </c>
      <c r="E1" s="128" t="s">
        <v>116</v>
      </c>
      <c r="F1" s="128" t="s">
        <v>107</v>
      </c>
    </row>
    <row r="2" spans="1:6" x14ac:dyDescent="0.25">
      <c r="A2" s="166">
        <v>5.4939999999999998</v>
      </c>
      <c r="B2" s="125">
        <v>0</v>
      </c>
      <c r="C2">
        <f>IF(A2=0, 0, A2*B2)</f>
        <v>0</v>
      </c>
      <c r="D2" s="1">
        <f>SUM(C:C)</f>
        <v>0</v>
      </c>
      <c r="E2" s="127" t="s">
        <v>109</v>
      </c>
      <c r="F2" s="129">
        <f>'Charge 20'!F4</f>
        <v>42.116999999999997</v>
      </c>
    </row>
    <row r="3" spans="1:6" x14ac:dyDescent="0.25">
      <c r="A3" s="166">
        <v>5.5179999999999998</v>
      </c>
      <c r="B3" s="125">
        <v>0</v>
      </c>
      <c r="C3">
        <f>IF(A3=0, 0, A3*B3)</f>
        <v>0</v>
      </c>
      <c r="D3" s="1"/>
      <c r="E3" s="127" t="s">
        <v>105</v>
      </c>
      <c r="F3" s="129">
        <f>SUM(C:C)</f>
        <v>0</v>
      </c>
    </row>
    <row r="4" spans="1:6" x14ac:dyDescent="0.25">
      <c r="A4" s="166">
        <v>5.5990000000000002</v>
      </c>
      <c r="B4" s="125">
        <v>0</v>
      </c>
      <c r="C4">
        <f>IF(A4=0, 0, A4*B4)</f>
        <v>0</v>
      </c>
      <c r="D4" s="1"/>
      <c r="E4" s="127" t="s">
        <v>41</v>
      </c>
      <c r="F4" s="129">
        <f>F3-F2</f>
        <v>-42.116999999999997</v>
      </c>
    </row>
    <row r="5" spans="1:6" x14ac:dyDescent="0.25">
      <c r="A5" s="166">
        <v>5.8650000000000002</v>
      </c>
      <c r="B5" s="125">
        <v>0</v>
      </c>
      <c r="C5">
        <f>IF(A5=0, 0, A5*B5)</f>
        <v>0</v>
      </c>
    </row>
    <row r="6" spans="1:6" x14ac:dyDescent="0.25">
      <c r="A6" s="166">
        <v>6.1580000000000004</v>
      </c>
      <c r="B6" s="125">
        <v>0</v>
      </c>
      <c r="C6">
        <f>IF(A6=0, 0, A6*B6)</f>
        <v>0</v>
      </c>
      <c r="E6" s="167"/>
    </row>
    <row r="7" spans="1:6" x14ac:dyDescent="0.25">
      <c r="A7" s="166">
        <v>6.3570000000000002</v>
      </c>
      <c r="B7" s="125">
        <v>0</v>
      </c>
      <c r="C7">
        <f>IF(A7=0, 0, A7*B7)</f>
        <v>0</v>
      </c>
    </row>
    <row r="8" spans="1:6" x14ac:dyDescent="0.25">
      <c r="A8" s="166">
        <v>7.6779999999999999</v>
      </c>
      <c r="B8" s="125">
        <v>0</v>
      </c>
      <c r="C8">
        <f>IF(A8=0, 0, A8*B8)</f>
        <v>0</v>
      </c>
      <c r="E8" s="167"/>
    </row>
    <row r="9" spans="1:6" x14ac:dyDescent="0.25">
      <c r="A9" s="166">
        <v>11.292</v>
      </c>
      <c r="B9" s="125">
        <v>0</v>
      </c>
      <c r="C9">
        <f>IF(A9=0, 0, A9*B9)</f>
        <v>0</v>
      </c>
    </row>
    <row r="10" spans="1:6" x14ac:dyDescent="0.25">
      <c r="A10" s="166"/>
      <c r="B10" s="125">
        <v>0</v>
      </c>
      <c r="C10">
        <f>IF(A10=0, 0, A10*B10)</f>
        <v>0</v>
      </c>
    </row>
    <row r="11" spans="1:6" x14ac:dyDescent="0.25">
      <c r="A11" s="166"/>
      <c r="B11" s="125">
        <v>0</v>
      </c>
      <c r="C11">
        <f>IF(A11=0, 0, A11*B11)</f>
        <v>0</v>
      </c>
    </row>
    <row r="12" spans="1:6" x14ac:dyDescent="0.25">
      <c r="A12" s="166"/>
      <c r="B12" s="125">
        <v>0</v>
      </c>
      <c r="C12">
        <f>IF(A12=0, 0, A12*B12)</f>
        <v>0</v>
      </c>
    </row>
    <row r="13" spans="1:6" x14ac:dyDescent="0.25">
      <c r="A13" s="166"/>
      <c r="B13" s="125">
        <v>0</v>
      </c>
      <c r="C13">
        <f>IF(A13=0, 0, A13*B13)</f>
        <v>0</v>
      </c>
    </row>
    <row r="14" spans="1:6" x14ac:dyDescent="0.25">
      <c r="A14" s="166"/>
      <c r="B14" s="125">
        <v>0</v>
      </c>
      <c r="C14">
        <f>IF(A14=0, 0, A14*B14)</f>
        <v>0</v>
      </c>
    </row>
    <row r="15" spans="1:6" x14ac:dyDescent="0.25">
      <c r="A15" s="166"/>
      <c r="B15" s="125">
        <v>0</v>
      </c>
      <c r="C15">
        <f>IF(A15=0, 0, A15*B15)</f>
        <v>0</v>
      </c>
    </row>
    <row r="16" spans="1:6" x14ac:dyDescent="0.25">
      <c r="A16" s="166"/>
      <c r="B16" s="125">
        <v>0</v>
      </c>
      <c r="C16">
        <f>IF(A16=0, 0, A16*B16)</f>
        <v>0</v>
      </c>
    </row>
    <row r="17" spans="1:3" x14ac:dyDescent="0.25">
      <c r="A17" s="166"/>
      <c r="B17" s="125">
        <v>0</v>
      </c>
      <c r="C17">
        <f>IF(A17=0, 0, A17*B17)</f>
        <v>0</v>
      </c>
    </row>
    <row r="18" spans="1:3" x14ac:dyDescent="0.25">
      <c r="A18" s="166"/>
      <c r="B18" s="125">
        <v>0</v>
      </c>
      <c r="C18">
        <f>IF(A18=0, 0, A18*B18)</f>
        <v>0</v>
      </c>
    </row>
    <row r="19" spans="1:3" x14ac:dyDescent="0.25">
      <c r="A19" s="166"/>
      <c r="B19" s="125">
        <v>0</v>
      </c>
      <c r="C19">
        <f>IF(A19=0, 0, A19*B19)</f>
        <v>0</v>
      </c>
    </row>
    <row r="20" spans="1:3" x14ac:dyDescent="0.25">
      <c r="A20" s="166"/>
      <c r="B20" s="125">
        <v>0</v>
      </c>
      <c r="C20">
        <f>IF(A20=0, 0, A20*B20)</f>
        <v>0</v>
      </c>
    </row>
    <row r="21" spans="1:3" x14ac:dyDescent="0.25">
      <c r="A21" s="166"/>
      <c r="B21" s="125">
        <v>0</v>
      </c>
      <c r="C21">
        <f>IF(A21=0, 0, A21*B21)</f>
        <v>0</v>
      </c>
    </row>
    <row r="22" spans="1:3" x14ac:dyDescent="0.25">
      <c r="A22" s="166"/>
      <c r="B22" s="125">
        <v>0</v>
      </c>
      <c r="C22">
        <f>IF(A22=0, 0, A22*B22)</f>
        <v>0</v>
      </c>
    </row>
    <row r="23" spans="1:3" x14ac:dyDescent="0.25">
      <c r="A23" s="166"/>
      <c r="B23" s="125">
        <v>0</v>
      </c>
      <c r="C23">
        <f>IF(A23=0, 0, A23*B23)</f>
        <v>0</v>
      </c>
    </row>
    <row r="24" spans="1:3" x14ac:dyDescent="0.25">
      <c r="A24" s="166"/>
      <c r="B24" s="125">
        <v>0</v>
      </c>
      <c r="C24">
        <f>IF(A24=0, 0, A24*B24)</f>
        <v>0</v>
      </c>
    </row>
    <row r="25" spans="1:3" x14ac:dyDescent="0.25">
      <c r="A25" s="166"/>
      <c r="B25" s="125">
        <v>0</v>
      </c>
      <c r="C25">
        <f>IF(A25=0, 0, A25*B25)</f>
        <v>0</v>
      </c>
    </row>
    <row r="26" spans="1:3" x14ac:dyDescent="0.25">
      <c r="A26" s="166"/>
      <c r="B26" s="125">
        <v>0</v>
      </c>
      <c r="C26">
        <f>IF(A26=0, 0, A26*B26)</f>
        <v>0</v>
      </c>
    </row>
    <row r="27" spans="1:3" x14ac:dyDescent="0.25">
      <c r="A27" s="166"/>
      <c r="B27" s="125">
        <v>0</v>
      </c>
      <c r="C27">
        <f>IF(A27=0, 0, A27*B27)</f>
        <v>0</v>
      </c>
    </row>
    <row r="28" spans="1:3" x14ac:dyDescent="0.25">
      <c r="A28" s="166"/>
      <c r="B28" s="125">
        <v>0</v>
      </c>
      <c r="C28">
        <f>IF(A28=0, 0, A28*B28)</f>
        <v>0</v>
      </c>
    </row>
    <row r="29" spans="1:3" x14ac:dyDescent="0.25">
      <c r="A29" s="166"/>
      <c r="B29" s="125">
        <v>0</v>
      </c>
      <c r="C29">
        <f>IF(A29=0, 0, A29*B29)</f>
        <v>0</v>
      </c>
    </row>
    <row r="30" spans="1:3" x14ac:dyDescent="0.25">
      <c r="A30" s="166"/>
      <c r="B30" s="125">
        <v>0</v>
      </c>
      <c r="C30">
        <f>IF(A30=0, 0, A30*B30)</f>
        <v>0</v>
      </c>
    </row>
    <row r="31" spans="1:3" x14ac:dyDescent="0.25">
      <c r="A31" s="166"/>
      <c r="B31" s="125">
        <v>0</v>
      </c>
      <c r="C31">
        <f>IF(A31=0, 0, A31*B31)</f>
        <v>0</v>
      </c>
    </row>
    <row r="32" spans="1:3" x14ac:dyDescent="0.25">
      <c r="A32" s="166"/>
      <c r="B32" s="125">
        <v>0</v>
      </c>
      <c r="C32">
        <f>IF(A32=0, 0, A32*B32)</f>
        <v>0</v>
      </c>
    </row>
    <row r="33" spans="1:3" x14ac:dyDescent="0.25">
      <c r="A33" s="166"/>
      <c r="B33" s="125">
        <v>0</v>
      </c>
      <c r="C33">
        <f>IF(A33=0, 0, A33*B33)</f>
        <v>0</v>
      </c>
    </row>
    <row r="34" spans="1:3" x14ac:dyDescent="0.25">
      <c r="A34" s="166"/>
      <c r="B34" s="125">
        <v>0</v>
      </c>
      <c r="C34">
        <f>IF(A34=0, 0, A34*B34)</f>
        <v>0</v>
      </c>
    </row>
    <row r="35" spans="1:3" x14ac:dyDescent="0.25">
      <c r="A35" s="166"/>
      <c r="B35" s="125">
        <v>0</v>
      </c>
      <c r="C35">
        <f>IF(A35=0, 0, A35*B35)</f>
        <v>0</v>
      </c>
    </row>
    <row r="36" spans="1:3" x14ac:dyDescent="0.25">
      <c r="A36" s="166"/>
      <c r="B36" s="125">
        <v>0</v>
      </c>
      <c r="C36">
        <f>IF(A36=0, 0, A36*B36)</f>
        <v>0</v>
      </c>
    </row>
    <row r="37" spans="1:3" x14ac:dyDescent="0.25">
      <c r="A37" s="166"/>
      <c r="B37" s="125">
        <v>0</v>
      </c>
      <c r="C37">
        <f>IF(A37=0, 0, A37*B37)</f>
        <v>0</v>
      </c>
    </row>
    <row r="38" spans="1:3" x14ac:dyDescent="0.25">
      <c r="A38" s="166"/>
      <c r="B38" s="125">
        <v>0</v>
      </c>
      <c r="C38">
        <f>IF(A38=0, 0, A38*B38)</f>
        <v>0</v>
      </c>
    </row>
    <row r="39" spans="1:3" x14ac:dyDescent="0.25">
      <c r="A39" s="166"/>
      <c r="B39" s="125">
        <v>0</v>
      </c>
      <c r="C39">
        <f>IF(A39=0, 0, A39*B39)</f>
        <v>0</v>
      </c>
    </row>
    <row r="40" spans="1:3" x14ac:dyDescent="0.25">
      <c r="A40" s="166"/>
      <c r="B40" s="125">
        <v>0</v>
      </c>
      <c r="C40">
        <f>IF(A40=0, 0, A40*B40)</f>
        <v>0</v>
      </c>
    </row>
    <row r="41" spans="1:3" x14ac:dyDescent="0.25">
      <c r="A41" s="166"/>
      <c r="B41" s="125">
        <v>0</v>
      </c>
      <c r="C41">
        <f>IF(A41=0, 0, A41*B41)</f>
        <v>0</v>
      </c>
    </row>
    <row r="42" spans="1:3" x14ac:dyDescent="0.25">
      <c r="A42" s="166"/>
      <c r="B42" s="125">
        <v>0</v>
      </c>
      <c r="C42">
        <f>IF(A42=0, 0, A42*B42)</f>
        <v>0</v>
      </c>
    </row>
    <row r="43" spans="1:3" x14ac:dyDescent="0.25">
      <c r="A43" s="166"/>
      <c r="B43" s="125">
        <v>0</v>
      </c>
      <c r="C43">
        <f>IF(A43=0, 0, A43*B43)</f>
        <v>0</v>
      </c>
    </row>
    <row r="44" spans="1:3" x14ac:dyDescent="0.25">
      <c r="A44" s="166"/>
      <c r="B44" s="125">
        <v>0</v>
      </c>
      <c r="C44">
        <f>IF(A44=0, 0, A44*B44)</f>
        <v>0</v>
      </c>
    </row>
    <row r="45" spans="1:3" x14ac:dyDescent="0.25">
      <c r="A45" s="166"/>
      <c r="B45" s="125">
        <v>0</v>
      </c>
      <c r="C45">
        <f>IF(A45=0, 0, A45*B45)</f>
        <v>0</v>
      </c>
    </row>
    <row r="46" spans="1:3" x14ac:dyDescent="0.25">
      <c r="A46" s="166"/>
      <c r="B46" s="125">
        <v>0</v>
      </c>
      <c r="C46">
        <f>IF(A46=0, 0, A46*B46)</f>
        <v>0</v>
      </c>
    </row>
    <row r="47" spans="1:3" x14ac:dyDescent="0.25">
      <c r="A47" s="166"/>
      <c r="B47" s="125">
        <v>0</v>
      </c>
      <c r="C47">
        <f>IF(A47=0, 0, A47*B47)</f>
        <v>0</v>
      </c>
    </row>
    <row r="48" spans="1:3" x14ac:dyDescent="0.25">
      <c r="A48" s="166"/>
      <c r="B48" s="125">
        <v>0</v>
      </c>
      <c r="C48">
        <f>IF(A48=0, 0, A48*B48)</f>
        <v>0</v>
      </c>
    </row>
    <row r="49" spans="1:3" x14ac:dyDescent="0.25">
      <c r="A49" s="166"/>
      <c r="B49" s="125">
        <v>0</v>
      </c>
      <c r="C49">
        <f>IF(A49=0, 0, A49*B49)</f>
        <v>0</v>
      </c>
    </row>
    <row r="50" spans="1:3" x14ac:dyDescent="0.25">
      <c r="A50" s="166"/>
      <c r="B50" s="125">
        <v>0</v>
      </c>
      <c r="C50">
        <f>IF(A50=0, 0, A50*B50)</f>
        <v>0</v>
      </c>
    </row>
    <row r="51" spans="1:3" x14ac:dyDescent="0.25">
      <c r="A51" s="166"/>
      <c r="B51" s="125">
        <v>0</v>
      </c>
      <c r="C51">
        <f>IF(A51=0, 0, A51*B51)</f>
        <v>0</v>
      </c>
    </row>
  </sheetData>
  <autoFilter ref="A1:C1">
    <sortState ref="A2:C51">
      <sortCondition ref="A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51"/>
  <sheetViews>
    <sheetView workbookViewId="0">
      <pane ySplit="1" topLeftCell="A2" activePane="bottomLeft" state="frozen"/>
      <selection pane="bottomLeft" activeCell="A2" sqref="A2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46</v>
      </c>
      <c r="F1" s="52" t="s">
        <v>107</v>
      </c>
    </row>
    <row r="2" spans="1:6" x14ac:dyDescent="0.25">
      <c r="A2" s="125">
        <v>11.855</v>
      </c>
      <c r="B2" s="125">
        <v>0</v>
      </c>
      <c r="C2">
        <f>IF(A2=0, 0, A2*B2)</f>
        <v>0</v>
      </c>
      <c r="D2">
        <f>SUM(C:C)</f>
        <v>0</v>
      </c>
      <c r="E2" s="50" t="s">
        <v>109</v>
      </c>
      <c r="F2" s="51">
        <f>'Charge 20'!F5</f>
        <v>52.290999999999997</v>
      </c>
    </row>
    <row r="3" spans="1:6" x14ac:dyDescent="0.25">
      <c r="A3" s="125">
        <v>16.52</v>
      </c>
      <c r="B3" s="125">
        <v>0</v>
      </c>
      <c r="C3">
        <f>IF(A3=0, 0, A3*B3)</f>
        <v>0</v>
      </c>
      <c r="E3" s="50" t="s">
        <v>105</v>
      </c>
      <c r="F3" s="51">
        <f>SUM(C:C)</f>
        <v>0</v>
      </c>
    </row>
    <row r="4" spans="1:6" x14ac:dyDescent="0.25">
      <c r="A4" s="125">
        <v>17.268000000000001</v>
      </c>
      <c r="B4" s="125">
        <v>0</v>
      </c>
      <c r="C4">
        <f>IF(A4=0, 0, A4*B4)</f>
        <v>0</v>
      </c>
      <c r="E4" s="50" t="s">
        <v>41</v>
      </c>
      <c r="F4" s="51">
        <f>F3-F2</f>
        <v>-52.290999999999997</v>
      </c>
    </row>
    <row r="5" spans="1:6" x14ac:dyDescent="0.25">
      <c r="A5" s="125">
        <v>18.271999999999998</v>
      </c>
      <c r="B5" s="125">
        <v>0</v>
      </c>
      <c r="C5">
        <f>IF(A5=0, 0, A5*B5)</f>
        <v>0</v>
      </c>
    </row>
    <row r="6" spans="1:6" x14ac:dyDescent="0.25">
      <c r="A6" s="125">
        <v>20.597000000000001</v>
      </c>
      <c r="B6" s="125">
        <v>0</v>
      </c>
      <c r="C6">
        <f>IF(A6=0, 0, A6*B6)</f>
        <v>0</v>
      </c>
    </row>
    <row r="7" spans="1:6" x14ac:dyDescent="0.25">
      <c r="A7" s="125">
        <v>21.074999999999999</v>
      </c>
      <c r="B7" s="125">
        <v>0</v>
      </c>
      <c r="C7">
        <f>IF(A7=0, 0, A7*B7)</f>
        <v>0</v>
      </c>
    </row>
    <row r="8" spans="1:6" x14ac:dyDescent="0.25">
      <c r="A8" s="125">
        <v>23.068999999999999</v>
      </c>
      <c r="B8" s="125">
        <v>0</v>
      </c>
      <c r="C8">
        <f>IF(A8=0, 0, A8*B8)</f>
        <v>0</v>
      </c>
    </row>
    <row r="9" spans="1:6" x14ac:dyDescent="0.25">
      <c r="A9" s="125">
        <v>24.469000000000001</v>
      </c>
      <c r="B9" s="125">
        <v>0</v>
      </c>
      <c r="C9">
        <f>IF(A9=0, 0, A9*B9)</f>
        <v>0</v>
      </c>
    </row>
    <row r="10" spans="1:6" x14ac:dyDescent="0.25">
      <c r="A10" s="125"/>
      <c r="B10" s="125">
        <v>0</v>
      </c>
      <c r="C10">
        <f>IF(A10=0, 0, A10*B10)</f>
        <v>0</v>
      </c>
    </row>
    <row r="11" spans="1:6" x14ac:dyDescent="0.25">
      <c r="A11" s="125"/>
      <c r="B11" s="125">
        <v>0</v>
      </c>
      <c r="C11">
        <f>IF(A11=0, 0, A11*B11)</f>
        <v>0</v>
      </c>
    </row>
    <row r="12" spans="1:6" x14ac:dyDescent="0.25">
      <c r="A12" s="125"/>
      <c r="B12" s="125">
        <v>0</v>
      </c>
      <c r="C12">
        <f>IF(A12=0, 0, A12*B12)</f>
        <v>0</v>
      </c>
    </row>
    <row r="13" spans="1:6" x14ac:dyDescent="0.25">
      <c r="A13" s="125"/>
      <c r="B13" s="125">
        <v>0</v>
      </c>
      <c r="C13">
        <f>IF(A13=0, 0, A13*B13)</f>
        <v>0</v>
      </c>
    </row>
    <row r="14" spans="1:6" x14ac:dyDescent="0.25">
      <c r="A14" s="125"/>
      <c r="B14" s="125">
        <v>0</v>
      </c>
      <c r="C14">
        <f>IF(A14=0, 0, A14*B14)</f>
        <v>0</v>
      </c>
    </row>
    <row r="15" spans="1:6" x14ac:dyDescent="0.25">
      <c r="A15" s="125"/>
      <c r="B15" s="125">
        <v>0</v>
      </c>
      <c r="C15">
        <f>IF(A15=0, 0, A15*B15)</f>
        <v>0</v>
      </c>
    </row>
    <row r="16" spans="1:6" x14ac:dyDescent="0.25">
      <c r="A16" s="125"/>
      <c r="B16" s="125">
        <v>0</v>
      </c>
      <c r="C16">
        <f>IF(A16=0, 0, A16*B16)</f>
        <v>0</v>
      </c>
    </row>
    <row r="17" spans="1:3" x14ac:dyDescent="0.25">
      <c r="A17" s="125"/>
      <c r="B17" s="125">
        <v>0</v>
      </c>
      <c r="C17">
        <f>IF(A17=0, 0, A17*B17)</f>
        <v>0</v>
      </c>
    </row>
    <row r="18" spans="1:3" x14ac:dyDescent="0.25">
      <c r="A18" s="125"/>
      <c r="B18" s="125">
        <v>0</v>
      </c>
      <c r="C18">
        <f>IF(A18=0, 0, A18*B18)</f>
        <v>0</v>
      </c>
    </row>
    <row r="19" spans="1:3" x14ac:dyDescent="0.25">
      <c r="A19" s="125"/>
      <c r="B19" s="125">
        <v>0</v>
      </c>
      <c r="C19">
        <f>IF(A19=0, 0, A19*B19)</f>
        <v>0</v>
      </c>
    </row>
    <row r="20" spans="1:3" x14ac:dyDescent="0.25">
      <c r="A20" s="125"/>
      <c r="B20" s="125">
        <v>0</v>
      </c>
      <c r="C20">
        <f>IF(A20=0, 0, A20*B20)</f>
        <v>0</v>
      </c>
    </row>
    <row r="21" spans="1:3" x14ac:dyDescent="0.25">
      <c r="A21" s="125"/>
      <c r="B21" s="125">
        <v>0</v>
      </c>
      <c r="C21">
        <f>IF(A21=0, 0, A21*B21)</f>
        <v>0</v>
      </c>
    </row>
    <row r="22" spans="1:3" x14ac:dyDescent="0.25">
      <c r="A22" s="125"/>
      <c r="B22" s="125">
        <v>0</v>
      </c>
      <c r="C22">
        <f>IF(A22=0, 0, A22*B22)</f>
        <v>0</v>
      </c>
    </row>
    <row r="23" spans="1:3" x14ac:dyDescent="0.25">
      <c r="A23" s="125"/>
      <c r="B23" s="125">
        <v>0</v>
      </c>
      <c r="C23">
        <f>IF(A23=0, 0, A23*B23)</f>
        <v>0</v>
      </c>
    </row>
    <row r="24" spans="1:3" x14ac:dyDescent="0.25">
      <c r="A24" s="125"/>
      <c r="B24" s="125">
        <v>0</v>
      </c>
      <c r="C24">
        <f>IF(A24=0, 0, A24*B24)</f>
        <v>0</v>
      </c>
    </row>
    <row r="25" spans="1:3" x14ac:dyDescent="0.25">
      <c r="A25" s="125"/>
      <c r="B25" s="125">
        <v>0</v>
      </c>
      <c r="C25">
        <f>IF(A25=0, 0, A25*B25)</f>
        <v>0</v>
      </c>
    </row>
    <row r="26" spans="1:3" x14ac:dyDescent="0.25">
      <c r="A26" s="125"/>
      <c r="B26" s="125">
        <v>0</v>
      </c>
      <c r="C26">
        <f>IF(A26=0, 0, A26*B26)</f>
        <v>0</v>
      </c>
    </row>
    <row r="27" spans="1:3" x14ac:dyDescent="0.25">
      <c r="A27" s="125"/>
      <c r="B27" s="125">
        <v>0</v>
      </c>
      <c r="C27">
        <f>IF(A27=0, 0, A27*B27)</f>
        <v>0</v>
      </c>
    </row>
    <row r="28" spans="1:3" x14ac:dyDescent="0.25">
      <c r="A28" s="125"/>
      <c r="B28" s="125">
        <v>0</v>
      </c>
      <c r="C28">
        <f>IF(A28=0, 0, A28*B28)</f>
        <v>0</v>
      </c>
    </row>
    <row r="29" spans="1:3" x14ac:dyDescent="0.25">
      <c r="A29" s="125"/>
      <c r="B29" s="125">
        <v>0</v>
      </c>
      <c r="C29">
        <f>IF(A29=0, 0, A29*B29)</f>
        <v>0</v>
      </c>
    </row>
    <row r="30" spans="1:3" x14ac:dyDescent="0.25">
      <c r="A30" s="125"/>
      <c r="B30" s="125">
        <v>0</v>
      </c>
      <c r="C30">
        <f>IF(A30=0, 0, A30*B30)</f>
        <v>0</v>
      </c>
    </row>
    <row r="31" spans="1:3" x14ac:dyDescent="0.25">
      <c r="A31" s="125"/>
      <c r="B31" s="125">
        <v>0</v>
      </c>
      <c r="C31">
        <f>IF(A31=0, 0, A31*B31)</f>
        <v>0</v>
      </c>
    </row>
    <row r="32" spans="1:3" x14ac:dyDescent="0.25">
      <c r="A32" s="125"/>
      <c r="B32" s="125">
        <v>0</v>
      </c>
      <c r="C32">
        <f>IF(A32=0, 0, A32*B32)</f>
        <v>0</v>
      </c>
    </row>
    <row r="33" spans="1:3" x14ac:dyDescent="0.25">
      <c r="A33" s="125"/>
      <c r="B33" s="125">
        <v>0</v>
      </c>
      <c r="C33">
        <f>IF(A33=0, 0, A33*B33)</f>
        <v>0</v>
      </c>
    </row>
    <row r="34" spans="1:3" x14ac:dyDescent="0.25">
      <c r="A34" s="125"/>
      <c r="B34" s="125">
        <v>0</v>
      </c>
      <c r="C34">
        <f>IF(A34=0, 0, A34*B34)</f>
        <v>0</v>
      </c>
    </row>
    <row r="35" spans="1:3" x14ac:dyDescent="0.25">
      <c r="A35" s="125"/>
      <c r="B35" s="125">
        <v>0</v>
      </c>
      <c r="C35">
        <f>IF(A35=0, 0, A35*B35)</f>
        <v>0</v>
      </c>
    </row>
    <row r="36" spans="1:3" x14ac:dyDescent="0.25">
      <c r="A36" s="125"/>
      <c r="B36" s="125">
        <v>0</v>
      </c>
      <c r="C36">
        <f>IF(A36=0, 0, A36*B36)</f>
        <v>0</v>
      </c>
    </row>
    <row r="37" spans="1:3" x14ac:dyDescent="0.25">
      <c r="A37" s="125"/>
      <c r="B37" s="125">
        <v>0</v>
      </c>
      <c r="C37">
        <f>IF(A37=0, 0, A37*B37)</f>
        <v>0</v>
      </c>
    </row>
    <row r="38" spans="1:3" x14ac:dyDescent="0.25">
      <c r="A38" s="125"/>
      <c r="B38" s="125">
        <v>0</v>
      </c>
      <c r="C38">
        <f>IF(A38=0, 0, A38*B38)</f>
        <v>0</v>
      </c>
    </row>
    <row r="39" spans="1:3" x14ac:dyDescent="0.25">
      <c r="A39" s="125"/>
      <c r="B39" s="125">
        <v>0</v>
      </c>
      <c r="C39">
        <f>IF(A39=0, 0, A39*B39)</f>
        <v>0</v>
      </c>
    </row>
    <row r="40" spans="1:3" x14ac:dyDescent="0.25">
      <c r="A40" s="125"/>
      <c r="B40" s="125">
        <v>0</v>
      </c>
      <c r="C40">
        <f>IF(A40=0, 0, A40*B40)</f>
        <v>0</v>
      </c>
    </row>
    <row r="41" spans="1:3" x14ac:dyDescent="0.25">
      <c r="A41" s="125"/>
      <c r="B41" s="125">
        <v>0</v>
      </c>
      <c r="C41">
        <f>IF(A41=0, 0, A41*B41)</f>
        <v>0</v>
      </c>
    </row>
    <row r="42" spans="1:3" x14ac:dyDescent="0.25">
      <c r="A42" s="125"/>
      <c r="B42" s="125">
        <v>0</v>
      </c>
      <c r="C42">
        <f>IF(A42=0, 0, A42*B42)</f>
        <v>0</v>
      </c>
    </row>
    <row r="43" spans="1:3" x14ac:dyDescent="0.25">
      <c r="A43" s="125"/>
      <c r="B43" s="125">
        <v>0</v>
      </c>
      <c r="C43">
        <f>IF(A43=0, 0, A43*B43)</f>
        <v>0</v>
      </c>
    </row>
    <row r="44" spans="1:3" x14ac:dyDescent="0.25">
      <c r="A44" s="125"/>
      <c r="B44" s="125">
        <v>0</v>
      </c>
      <c r="C44">
        <f>IF(A44=0, 0, A44*B44)</f>
        <v>0</v>
      </c>
    </row>
    <row r="45" spans="1:3" x14ac:dyDescent="0.25">
      <c r="A45" s="125"/>
      <c r="B45" s="125">
        <v>0</v>
      </c>
      <c r="C45">
        <f>IF(A45=0, 0, A45*B45)</f>
        <v>0</v>
      </c>
    </row>
    <row r="46" spans="1:3" x14ac:dyDescent="0.25">
      <c r="A46" s="125"/>
      <c r="B46" s="125">
        <v>0</v>
      </c>
      <c r="C46">
        <f>IF(A46=0, 0, A46*B46)</f>
        <v>0</v>
      </c>
    </row>
    <row r="47" spans="1:3" x14ac:dyDescent="0.25">
      <c r="A47" s="125"/>
      <c r="B47" s="125">
        <v>0</v>
      </c>
      <c r="C47">
        <f>IF(A47=0, 0, A47*B47)</f>
        <v>0</v>
      </c>
    </row>
    <row r="48" spans="1:3" x14ac:dyDescent="0.25">
      <c r="A48" s="125"/>
      <c r="B48" s="125">
        <v>0</v>
      </c>
      <c r="C48">
        <f>IF(A48=0, 0, A48*B48)</f>
        <v>0</v>
      </c>
    </row>
    <row r="49" spans="1:3" x14ac:dyDescent="0.25">
      <c r="A49" s="125"/>
      <c r="B49" s="125">
        <v>0</v>
      </c>
      <c r="C49">
        <f>IF(A49=0, 0, A49*B49)</f>
        <v>0</v>
      </c>
    </row>
    <row r="50" spans="1:3" x14ac:dyDescent="0.25">
      <c r="A50" s="125"/>
      <c r="B50" s="125">
        <v>0</v>
      </c>
      <c r="C50">
        <f>IF(A50=0, 0, A50*B50)</f>
        <v>0</v>
      </c>
    </row>
    <row r="51" spans="1:3" x14ac:dyDescent="0.25">
      <c r="A51" s="125"/>
      <c r="B51" s="125">
        <v>0</v>
      </c>
      <c r="C51">
        <f>IF(A51=0, 0, A51*B51)</f>
        <v>0</v>
      </c>
    </row>
  </sheetData>
  <autoFilter ref="A1:C1">
    <sortState ref="A2:C51">
      <sortCondition ref="A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1"/>
  <sheetViews>
    <sheetView workbookViewId="0">
      <pane ySplit="1" topLeftCell="A2" activePane="bottomLeft" state="frozen"/>
      <selection pane="bottomLeft" activeCell="A3" sqref="A3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25</v>
      </c>
      <c r="F1" s="52" t="s">
        <v>107</v>
      </c>
    </row>
    <row r="2" spans="1:6" x14ac:dyDescent="0.25">
      <c r="A2" s="125">
        <v>5.327</v>
      </c>
      <c r="B2" s="125">
        <v>1</v>
      </c>
      <c r="C2">
        <f>IF(A2=0, 0, A2*B2)</f>
        <v>5.327</v>
      </c>
      <c r="D2">
        <f>SUM(C:C)</f>
        <v>5.327</v>
      </c>
      <c r="E2" s="50" t="s">
        <v>109</v>
      </c>
      <c r="F2" s="51">
        <f>'Charge 20'!F6</f>
        <v>5.3419999999999996</v>
      </c>
    </row>
    <row r="3" spans="1:6" x14ac:dyDescent="0.25">
      <c r="A3" s="125"/>
      <c r="B3" s="125">
        <v>0</v>
      </c>
      <c r="C3">
        <f t="shared" ref="C3:C33" si="0">IF(A3=0, 0, A3*B3)</f>
        <v>0</v>
      </c>
      <c r="E3" s="50" t="s">
        <v>105</v>
      </c>
      <c r="F3" s="51">
        <f>SUM(C:C)</f>
        <v>5.327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-1.499999999999968E-2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114</v>
      </c>
      <c r="F1" s="52" t="s">
        <v>107</v>
      </c>
    </row>
    <row r="2" spans="1:6" x14ac:dyDescent="0.25">
      <c r="A2" s="125"/>
      <c r="B2" s="125">
        <v>0</v>
      </c>
      <c r="C2">
        <f t="shared" ref="C2:C33" si="0">IF(A2=0, 0, A2*B2)</f>
        <v>0</v>
      </c>
      <c r="D2">
        <f>SUM(C:C)</f>
        <v>0</v>
      </c>
      <c r="E2" s="50" t="s">
        <v>109</v>
      </c>
      <c r="F2" s="51">
        <f>'Charge 20'!F7</f>
        <v>0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0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115</v>
      </c>
      <c r="F1" s="52" t="s">
        <v>107</v>
      </c>
    </row>
    <row r="2" spans="1:6" x14ac:dyDescent="0.25">
      <c r="A2" s="125"/>
      <c r="B2" s="125">
        <v>0</v>
      </c>
      <c r="C2">
        <f t="shared" ref="C2:C33" si="0">IF(A2=0, 0, A2*B2)</f>
        <v>0</v>
      </c>
      <c r="D2">
        <f>SUM(C:C)</f>
        <v>0</v>
      </c>
      <c r="E2" s="50" t="s">
        <v>109</v>
      </c>
      <c r="F2" s="51">
        <f>'Charge 20'!F8</f>
        <v>0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0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Elements Data</vt:lpstr>
      <vt:lpstr>Lab Print</vt:lpstr>
      <vt:lpstr>Charge 20</vt:lpstr>
      <vt:lpstr>A</vt:lpstr>
      <vt:lpstr>B</vt:lpstr>
      <vt:lpstr>C</vt:lpstr>
      <vt:lpstr>D</vt:lpstr>
      <vt:lpstr>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z3492622</dc:creator>
  <cp:lastModifiedBy>Scott Gleason</cp:lastModifiedBy>
  <cp:lastPrinted>2016-10-17T03:15:08Z</cp:lastPrinted>
  <dcterms:created xsi:type="dcterms:W3CDTF">2014-08-07T05:06:48Z</dcterms:created>
  <dcterms:modified xsi:type="dcterms:W3CDTF">2016-10-20T00:38:42Z</dcterms:modified>
</cp:coreProperties>
</file>