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3492622\Desktop\PhD Files\Lab Work\"/>
    </mc:Choice>
  </mc:AlternateContent>
  <bookViews>
    <workbookView xWindow="0" yWindow="0" windowWidth="21570" windowHeight="10410" activeTab="3"/>
  </bookViews>
  <sheets>
    <sheet name="At% to Wt%" sheetId="1" r:id="rId1"/>
    <sheet name="Wt% to At%" sheetId="2" state="hidden" r:id="rId2"/>
    <sheet name="Elements Data" sheetId="4" r:id="rId3"/>
    <sheet name="Charge 01 - 16092014" sheetId="3" r:id="rId4"/>
  </sheets>
  <definedNames>
    <definedName name="_xlnm._FilterDatabase" localSheetId="2" hidden="1">'Elements Data'!$A$1:$I$31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3" l="1"/>
  <c r="D22" i="3"/>
  <c r="A22" i="3"/>
  <c r="G9" i="3"/>
  <c r="D9" i="3"/>
  <c r="A9" i="3"/>
  <c r="S5" i="3"/>
  <c r="T5" i="3"/>
  <c r="D5" i="3" s="1"/>
  <c r="U5" i="3"/>
  <c r="V5" i="3"/>
  <c r="W5" i="3"/>
  <c r="X5" i="3"/>
  <c r="Y5" i="3"/>
  <c r="Z5" i="3"/>
  <c r="S6" i="3"/>
  <c r="T6" i="3"/>
  <c r="D6" i="3" s="1"/>
  <c r="U6" i="3"/>
  <c r="V6" i="3"/>
  <c r="W6" i="3"/>
  <c r="X6" i="3"/>
  <c r="Y6" i="3"/>
  <c r="Z6" i="3"/>
  <c r="T4" i="3"/>
  <c r="U4" i="3"/>
  <c r="V4" i="3"/>
  <c r="W4" i="3"/>
  <c r="X4" i="3"/>
  <c r="Y4" i="3"/>
  <c r="Z4" i="3"/>
  <c r="S4" i="3"/>
  <c r="J6" i="3"/>
  <c r="J5" i="3"/>
  <c r="J4" i="3"/>
  <c r="A6" i="3"/>
  <c r="A5" i="3"/>
  <c r="A4" i="3"/>
  <c r="D4" i="3" l="1"/>
  <c r="J3" i="3" l="1"/>
  <c r="A3" i="3"/>
  <c r="H26" i="3" l="1"/>
  <c r="H30" i="3"/>
  <c r="H29" i="3"/>
  <c r="H28" i="3"/>
  <c r="H27" i="3"/>
  <c r="H25" i="3"/>
  <c r="H24" i="3"/>
  <c r="B30" i="3"/>
  <c r="B29" i="3"/>
  <c r="B28" i="3"/>
  <c r="B27" i="3"/>
  <c r="B26" i="3"/>
  <c r="B25" i="3"/>
  <c r="B24" i="3"/>
  <c r="E30" i="3"/>
  <c r="E29" i="3"/>
  <c r="E28" i="3"/>
  <c r="E27" i="3"/>
  <c r="E31" i="3" s="1"/>
  <c r="L5" i="3" s="1"/>
  <c r="E26" i="3"/>
  <c r="E25" i="3"/>
  <c r="E24" i="3"/>
  <c r="D9" i="2"/>
  <c r="C7" i="3"/>
  <c r="B31" i="3" l="1"/>
  <c r="L4" i="3" s="1"/>
  <c r="H31" i="3"/>
  <c r="D7" i="3"/>
  <c r="B36" i="1"/>
  <c r="B35" i="1"/>
  <c r="E5" i="3" l="1"/>
  <c r="F5" i="3" s="1"/>
  <c r="E6" i="3"/>
  <c r="F6" i="3" s="1"/>
  <c r="G6" i="3" s="1"/>
  <c r="E4" i="3"/>
  <c r="F4" i="3" s="1"/>
  <c r="G4" i="3" s="1"/>
  <c r="L6" i="3"/>
  <c r="L7" i="3" s="1"/>
  <c r="C36" i="1"/>
  <c r="C35" i="1"/>
  <c r="C33" i="1"/>
  <c r="C34" i="1"/>
  <c r="C32" i="1"/>
  <c r="E32" i="3" l="1"/>
  <c r="G5" i="3"/>
  <c r="G7" i="3" s="1"/>
  <c r="H32" i="3"/>
  <c r="M6" i="3"/>
  <c r="N6" i="3" s="1"/>
  <c r="M5" i="3"/>
  <c r="N5" i="3" s="1"/>
  <c r="M4" i="3"/>
  <c r="N4" i="3" s="1"/>
  <c r="B32" i="3"/>
  <c r="E7" i="3"/>
  <c r="A30" i="1"/>
  <c r="M7" i="3" l="1"/>
  <c r="A14" i="1"/>
  <c r="A8" i="1"/>
  <c r="H17" i="1"/>
  <c r="H16" i="1"/>
  <c r="H15" i="1"/>
  <c r="G17" i="1"/>
  <c r="G16" i="1"/>
  <c r="G15" i="1"/>
  <c r="N7" i="3" l="1"/>
  <c r="O4" i="3" s="1"/>
  <c r="H18" i="1"/>
  <c r="D17" i="2"/>
  <c r="D16" i="2"/>
  <c r="D15" i="2"/>
  <c r="D10" i="2"/>
  <c r="D11" i="2"/>
  <c r="A23" i="2"/>
  <c r="A24" i="2" s="1"/>
  <c r="C18" i="2"/>
  <c r="C12" i="2"/>
  <c r="O5" i="3" l="1"/>
  <c r="O6" i="3"/>
  <c r="D18" i="2"/>
  <c r="E15" i="2" s="1"/>
  <c r="D12" i="2"/>
  <c r="E9" i="2" s="1"/>
  <c r="A22" i="1"/>
  <c r="O7" i="3" l="1"/>
  <c r="A23" i="1"/>
  <c r="A25" i="1"/>
  <c r="E16" i="2"/>
  <c r="E17" i="2"/>
  <c r="E10" i="2"/>
  <c r="E11" i="2"/>
  <c r="D17" i="1"/>
  <c r="D16" i="1"/>
  <c r="D15" i="1"/>
  <c r="D11" i="1"/>
  <c r="D10" i="1"/>
  <c r="D9" i="1"/>
  <c r="C18" i="1"/>
  <c r="C12" i="1"/>
  <c r="E18" i="2" l="1"/>
  <c r="E12" i="2"/>
  <c r="D12" i="1"/>
  <c r="E9" i="1" s="1"/>
  <c r="G9" i="1" s="1"/>
  <c r="H9" i="1" s="1"/>
  <c r="E16" i="1"/>
  <c r="E17" i="1"/>
  <c r="D18" i="1"/>
  <c r="E15" i="1" s="1"/>
  <c r="E10" i="1"/>
  <c r="G10" i="1" s="1"/>
  <c r="H10" i="1" s="1"/>
  <c r="E11" i="1" l="1"/>
  <c r="E18" i="1"/>
  <c r="E12" i="1" l="1"/>
  <c r="G11" i="1"/>
  <c r="H11" i="1" l="1"/>
  <c r="H12" i="1" s="1"/>
</calcChain>
</file>

<file path=xl/sharedStrings.xml><?xml version="1.0" encoding="utf-8"?>
<sst xmlns="http://schemas.openxmlformats.org/spreadsheetml/2006/main" count="194" uniqueCount="72">
  <si>
    <t>Mg</t>
  </si>
  <si>
    <t>Ca</t>
  </si>
  <si>
    <t>Zn</t>
  </si>
  <si>
    <t>Element</t>
  </si>
  <si>
    <t>Atomic Weight [amu]</t>
  </si>
  <si>
    <t>Density
[g/cm3]</t>
  </si>
  <si>
    <t>Melt Temp 
[C]</t>
  </si>
  <si>
    <t>Atomic Number</t>
  </si>
  <si>
    <t>Cry Struc
[@ 20C]</t>
  </si>
  <si>
    <t>HCP</t>
  </si>
  <si>
    <t>FCC</t>
  </si>
  <si>
    <t>Atomic Radius
[nm]</t>
  </si>
  <si>
    <t>Ionic Radius
[nm]</t>
  </si>
  <si>
    <t>2+</t>
  </si>
  <si>
    <t>Most Common Valence</t>
  </si>
  <si>
    <t>Y</t>
  </si>
  <si>
    <t>Mg65Zn30Ca5</t>
  </si>
  <si>
    <t>Mg65Ca25Y10</t>
  </si>
  <si>
    <t>3+</t>
  </si>
  <si>
    <t xml:space="preserve">at% </t>
  </si>
  <si>
    <t>Total</t>
  </si>
  <si>
    <t>wt%</t>
  </si>
  <si>
    <t>at% * AW</t>
  </si>
  <si>
    <t>Deposition Rate</t>
  </si>
  <si>
    <t>nm/s</t>
  </si>
  <si>
    <t>nm/min</t>
  </si>
  <si>
    <t>Source</t>
  </si>
  <si>
    <t>UltraStable Metallic Glasses</t>
  </si>
  <si>
    <t>um/hr</t>
  </si>
  <si>
    <t>at%</t>
  </si>
  <si>
    <t>wt1% * AW2*AW3</t>
  </si>
  <si>
    <t xml:space="preserve">wt% </t>
  </si>
  <si>
    <t>Convert Wt% to At% !!!</t>
  </si>
  <si>
    <t>Convert At% to Wt%!!!</t>
  </si>
  <si>
    <t>Charge should be 40 or 60cc max</t>
  </si>
  <si>
    <t>Mass [g]</t>
  </si>
  <si>
    <t>Charge [cc]</t>
  </si>
  <si>
    <t>nm/5 min</t>
  </si>
  <si>
    <t>Rate</t>
  </si>
  <si>
    <t>1.4 nm/s</t>
  </si>
  <si>
    <t>3.3 nm/s</t>
  </si>
  <si>
    <t>Jake Coa 2013 Thesis</t>
  </si>
  <si>
    <t>SMG Alloy Substraite Temp</t>
  </si>
  <si>
    <t>Tm</t>
  </si>
  <si>
    <t>Tg</t>
  </si>
  <si>
    <t>Tx</t>
  </si>
  <si>
    <t>C</t>
  </si>
  <si>
    <t>0.7 Tg</t>
  </si>
  <si>
    <t>0.8 Tg</t>
  </si>
  <si>
    <t>K</t>
  </si>
  <si>
    <t xml:space="preserve">If it is calculated in C, expect substraite Temp should be 100C to form SMG </t>
  </si>
  <si>
    <t>If 0.7 is calculated in K, that means you get SMG at room temp!</t>
  </si>
  <si>
    <t>Piece</t>
  </si>
  <si>
    <t>At% to Wt%</t>
  </si>
  <si>
    <t>Charge Weight Calcs</t>
  </si>
  <si>
    <t>Charge Weight Check (Wt% to At%)</t>
  </si>
  <si>
    <t>Pieces</t>
  </si>
  <si>
    <t>Charge Number 01 - 16 September 2014</t>
  </si>
  <si>
    <t>1+</t>
  </si>
  <si>
    <t>4+</t>
  </si>
  <si>
    <t>Al</t>
  </si>
  <si>
    <t>Zr</t>
  </si>
  <si>
    <t>Ti</t>
  </si>
  <si>
    <t>Ar</t>
  </si>
  <si>
    <t>Inert</t>
  </si>
  <si>
    <t>Hex</t>
  </si>
  <si>
    <t>Mn</t>
  </si>
  <si>
    <t>Cubic</t>
  </si>
  <si>
    <t>BCC</t>
  </si>
  <si>
    <t>Alloy Constituent</t>
  </si>
  <si>
    <t>Error +</t>
  </si>
  <si>
    <t xml:space="preserve">Charge Elements Properties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</si>
</sst>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36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21B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1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4" borderId="4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2" borderId="0" xfId="0" applyFill="1" applyBorder="1"/>
    <xf numFmtId="0" fontId="2" fillId="4" borderId="6" xfId="0" applyFont="1" applyFill="1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2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0" borderId="0" xfId="0" applyFont="1"/>
    <xf numFmtId="0" fontId="3" fillId="5" borderId="2" xfId="0" applyFont="1" applyFill="1" applyBorder="1"/>
    <xf numFmtId="0" fontId="2" fillId="5" borderId="4" xfId="0" applyFont="1" applyFill="1" applyBorder="1"/>
    <xf numFmtId="0" fontId="0" fillId="5" borderId="6" xfId="0" applyFill="1" applyBorder="1"/>
    <xf numFmtId="0" fontId="0" fillId="0" borderId="1" xfId="0" applyFill="1" applyBorder="1"/>
    <xf numFmtId="10" fontId="0" fillId="0" borderId="2" xfId="1" applyNumberFormat="1" applyFont="1" applyFill="1" applyBorder="1"/>
    <xf numFmtId="10" fontId="0" fillId="0" borderId="3" xfId="1" applyNumberFormat="1" applyFont="1" applyFill="1" applyBorder="1"/>
    <xf numFmtId="0" fontId="0" fillId="0" borderId="4" xfId="0" applyFill="1" applyBorder="1"/>
    <xf numFmtId="10" fontId="0" fillId="0" borderId="0" xfId="1" applyNumberFormat="1" applyFont="1" applyFill="1" applyBorder="1"/>
    <xf numFmtId="10" fontId="0" fillId="0" borderId="5" xfId="1" applyNumberFormat="1" applyFont="1" applyFill="1" applyBorder="1"/>
    <xf numFmtId="0" fontId="0" fillId="0" borderId="9" xfId="0" applyFill="1" applyBorder="1"/>
    <xf numFmtId="10" fontId="0" fillId="0" borderId="10" xfId="1" applyNumberFormat="1" applyFont="1" applyFill="1" applyBorder="1"/>
    <xf numFmtId="0" fontId="0" fillId="0" borderId="10" xfId="0" applyFill="1" applyBorder="1"/>
    <xf numFmtId="10" fontId="0" fillId="0" borderId="11" xfId="1" applyNumberFormat="1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3" borderId="4" xfId="0" applyFont="1" applyFill="1" applyBorder="1"/>
    <xf numFmtId="0" fontId="0" fillId="3" borderId="6" xfId="0" applyFill="1" applyBorder="1"/>
    <xf numFmtId="9" fontId="0" fillId="0" borderId="2" xfId="1" applyFont="1" applyFill="1" applyBorder="1"/>
    <xf numFmtId="9" fontId="0" fillId="0" borderId="0" xfId="1" applyFont="1" applyFill="1" applyBorder="1"/>
    <xf numFmtId="9" fontId="0" fillId="0" borderId="10" xfId="1" applyFont="1" applyFill="1" applyBorder="1"/>
    <xf numFmtId="2" fontId="0" fillId="0" borderId="10" xfId="1" applyNumberFormat="1" applyFont="1" applyFill="1" applyBorder="1"/>
    <xf numFmtId="9" fontId="0" fillId="0" borderId="11" xfId="1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6" xfId="0" applyFont="1" applyFill="1" applyBorder="1"/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/>
    <xf numFmtId="0" fontId="0" fillId="7" borderId="6" xfId="0" applyFill="1" applyBorder="1"/>
    <xf numFmtId="0" fontId="3" fillId="5" borderId="1" xfId="0" quotePrefix="1" applyFont="1" applyFill="1" applyBorder="1"/>
    <xf numFmtId="10" fontId="0" fillId="8" borderId="2" xfId="1" applyNumberFormat="1" applyFont="1" applyFill="1" applyBorder="1"/>
    <xf numFmtId="10" fontId="0" fillId="8" borderId="0" xfId="1" applyNumberFormat="1" applyFont="1" applyFill="1" applyBorder="1"/>
    <xf numFmtId="0" fontId="0" fillId="8" borderId="9" xfId="0" applyFill="1" applyBorder="1"/>
    <xf numFmtId="9" fontId="0" fillId="8" borderId="2" xfId="1" applyFont="1" applyFill="1" applyBorder="1"/>
    <xf numFmtId="9" fontId="0" fillId="8" borderId="0" xfId="1" applyFont="1" applyFill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11" xfId="0" applyNumberFormat="1" applyBorder="1"/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right"/>
    </xf>
    <xf numFmtId="0" fontId="2" fillId="9" borderId="4" xfId="0" applyFont="1" applyFill="1" applyBorder="1"/>
    <xf numFmtId="0" fontId="0" fillId="9" borderId="6" xfId="0" applyFill="1" applyBorder="1"/>
    <xf numFmtId="0" fontId="3" fillId="9" borderId="2" xfId="0" applyFont="1" applyFill="1" applyBorder="1"/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0" borderId="0" xfId="0" applyFont="1"/>
    <xf numFmtId="10" fontId="0" fillId="0" borderId="2" xfId="1" applyNumberFormat="1" applyFont="1" applyBorder="1"/>
    <xf numFmtId="10" fontId="0" fillId="0" borderId="0" xfId="1" applyNumberFormat="1" applyFont="1" applyBorder="1"/>
    <xf numFmtId="0" fontId="0" fillId="8" borderId="9" xfId="0" applyFill="1" applyBorder="1" applyProtection="1">
      <protection locked="0"/>
    </xf>
    <xf numFmtId="0" fontId="3" fillId="9" borderId="1" xfId="0" quotePrefix="1" applyFont="1" applyFill="1" applyBorder="1" applyAlignment="1">
      <alignment vertical="center"/>
    </xf>
    <xf numFmtId="10" fontId="0" fillId="0" borderId="8" xfId="1" applyNumberFormat="1" applyFont="1" applyFill="1" applyBorder="1"/>
    <xf numFmtId="0" fontId="0" fillId="0" borderId="6" xfId="0" applyFill="1" applyBorder="1"/>
    <xf numFmtId="10" fontId="0" fillId="0" borderId="7" xfId="1" applyNumberFormat="1" applyFont="1" applyFill="1" applyBorder="1"/>
    <xf numFmtId="10" fontId="0" fillId="0" borderId="7" xfId="1" applyNumberFormat="1" applyFont="1" applyBorder="1"/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10" fontId="0" fillId="8" borderId="1" xfId="1" applyNumberFormat="1" applyFont="1" applyFill="1" applyBorder="1" applyProtection="1">
      <protection locked="0"/>
    </xf>
    <xf numFmtId="10" fontId="0" fillId="8" borderId="4" xfId="1" applyNumberFormat="1" applyFont="1" applyFill="1" applyBorder="1" applyProtection="1">
      <protection locked="0"/>
    </xf>
    <xf numFmtId="10" fontId="0" fillId="8" borderId="6" xfId="1" applyNumberFormat="1" applyFont="1" applyFill="1" applyBorder="1" applyProtection="1">
      <protection locked="0"/>
    </xf>
    <xf numFmtId="0" fontId="3" fillId="3" borderId="12" xfId="0" applyFont="1" applyFill="1" applyBorder="1" applyAlignment="1">
      <alignment horizontal="center" vertical="center" wrapText="1"/>
    </xf>
    <xf numFmtId="0" fontId="0" fillId="8" borderId="0" xfId="0" applyFill="1" applyBorder="1" applyProtection="1">
      <protection locked="0"/>
    </xf>
    <xf numFmtId="0" fontId="0" fillId="8" borderId="5" xfId="0" applyFill="1" applyBorder="1" applyProtection="1">
      <protection locked="0"/>
    </xf>
    <xf numFmtId="0" fontId="0" fillId="8" borderId="7" xfId="0" applyFill="1" applyBorder="1" applyProtection="1">
      <protection locked="0"/>
    </xf>
    <xf numFmtId="0" fontId="0" fillId="8" borderId="8" xfId="0" applyFill="1" applyBorder="1" applyProtection="1">
      <protection locked="0"/>
    </xf>
    <xf numFmtId="0" fontId="0" fillId="8" borderId="4" xfId="0" applyFill="1" applyBorder="1" applyProtection="1">
      <protection locked="0"/>
    </xf>
    <xf numFmtId="164" fontId="0" fillId="0" borderId="7" xfId="0" applyNumberFormat="1" applyBorder="1"/>
    <xf numFmtId="164" fontId="0" fillId="0" borderId="8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0" fontId="0" fillId="7" borderId="13" xfId="1" applyNumberFormat="1" applyFont="1" applyFill="1" applyBorder="1"/>
    <xf numFmtId="10" fontId="0" fillId="7" borderId="14" xfId="1" applyNumberFormat="1" applyFont="1" applyFill="1" applyBorder="1"/>
    <xf numFmtId="10" fontId="0" fillId="7" borderId="15" xfId="1" applyNumberFormat="1" applyFont="1" applyFill="1" applyBorder="1"/>
    <xf numFmtId="10" fontId="0" fillId="7" borderId="8" xfId="1" applyNumberFormat="1" applyFont="1" applyFill="1" applyBorder="1"/>
    <xf numFmtId="164" fontId="0" fillId="7" borderId="0" xfId="0" applyNumberFormat="1" applyFill="1" applyBorder="1"/>
    <xf numFmtId="0" fontId="0" fillId="7" borderId="0" xfId="0" applyFill="1" applyBorder="1"/>
    <xf numFmtId="164" fontId="0" fillId="7" borderId="5" xfId="0" applyNumberFormat="1" applyFill="1" applyBorder="1"/>
    <xf numFmtId="0" fontId="2" fillId="0" borderId="4" xfId="0" applyFont="1" applyBorder="1"/>
    <xf numFmtId="0" fontId="2" fillId="0" borderId="0" xfId="0" applyFont="1" applyBorder="1"/>
    <xf numFmtId="0" fontId="9" fillId="0" borderId="0" xfId="0" applyFont="1"/>
    <xf numFmtId="164" fontId="0" fillId="7" borderId="1" xfId="0" applyNumberFormat="1" applyFill="1" applyBorder="1"/>
    <xf numFmtId="0" fontId="0" fillId="7" borderId="4" xfId="0" applyFill="1" applyBorder="1"/>
    <xf numFmtId="164" fontId="0" fillId="7" borderId="6" xfId="0" applyNumberFormat="1" applyFill="1" applyBorder="1"/>
    <xf numFmtId="0" fontId="0" fillId="7" borderId="7" xfId="0" applyFill="1" applyBorder="1"/>
    <xf numFmtId="0" fontId="3" fillId="10" borderId="1" xfId="0" applyFont="1" applyFill="1" applyBorder="1" applyAlignment="1">
      <alignment horizontal="center" vertical="center" wrapText="1"/>
    </xf>
    <xf numFmtId="0" fontId="2" fillId="10" borderId="4" xfId="0" applyFont="1" applyFill="1" applyBorder="1"/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0" fillId="8" borderId="2" xfId="0" applyFill="1" applyBorder="1"/>
    <xf numFmtId="0" fontId="0" fillId="8" borderId="0" xfId="0" applyFill="1" applyBorder="1"/>
    <xf numFmtId="0" fontId="2" fillId="10" borderId="1" xfId="0" applyFont="1" applyFill="1" applyBorder="1"/>
    <xf numFmtId="0" fontId="3" fillId="10" borderId="1" xfId="0" applyFont="1" applyFill="1" applyBorder="1" applyAlignment="1" applyProtection="1">
      <alignment horizontal="center" vertical="center" wrapText="1"/>
    </xf>
    <xf numFmtId="0" fontId="3" fillId="10" borderId="2" xfId="0" applyFont="1" applyFill="1" applyBorder="1" applyAlignment="1" applyProtection="1">
      <alignment horizontal="center" vertical="center" wrapText="1"/>
    </xf>
    <xf numFmtId="0" fontId="3" fillId="10" borderId="3" xfId="0" applyFont="1" applyFill="1" applyBorder="1" applyAlignment="1" applyProtection="1">
      <alignment horizontal="center" vertical="center" wrapText="1"/>
    </xf>
    <xf numFmtId="0" fontId="2" fillId="10" borderId="4" xfId="0" applyFont="1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2" fillId="10" borderId="6" xfId="0" applyFont="1" applyFill="1" applyBorder="1" applyProtection="1"/>
    <xf numFmtId="0" fontId="0" fillId="0" borderId="7" xfId="0" applyFill="1" applyBorder="1" applyProtection="1"/>
    <xf numFmtId="0" fontId="2" fillId="8" borderId="1" xfId="0" applyFont="1" applyFill="1" applyBorder="1" applyProtection="1">
      <protection locked="0"/>
    </xf>
    <xf numFmtId="0" fontId="2" fillId="8" borderId="4" xfId="0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0" fillId="0" borderId="3" xfId="0" applyFill="1" applyBorder="1" applyProtection="1"/>
    <xf numFmtId="0" fontId="0" fillId="0" borderId="5" xfId="0" applyFill="1" applyBorder="1" applyProtection="1"/>
    <xf numFmtId="0" fontId="0" fillId="0" borderId="8" xfId="0" applyFill="1" applyBorder="1" applyProtection="1"/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0" fillId="0" borderId="7" xfId="0" quotePrefix="1" applyBorder="1"/>
    <xf numFmtId="0" fontId="0" fillId="0" borderId="6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72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6"/>
  <sheetViews>
    <sheetView zoomScale="110" zoomScaleNormal="110" workbookViewId="0">
      <selection activeCell="J17" sqref="J17"/>
    </sheetView>
  </sheetViews>
  <sheetFormatPr defaultColWidth="0" defaultRowHeight="15" x14ac:dyDescent="0.25"/>
  <cols>
    <col min="1" max="2" width="9.140625" customWidth="1"/>
    <col min="3" max="3" width="13.42578125" bestFit="1" customWidth="1"/>
    <col min="4" max="4" width="10.28515625" customWidth="1"/>
    <col min="5" max="5" width="10.5703125" bestFit="1" customWidth="1"/>
    <col min="6" max="6" width="9.140625" customWidth="1"/>
    <col min="7" max="7" width="12.28515625" customWidth="1"/>
    <col min="8" max="8" width="11.28515625" customWidth="1"/>
    <col min="9" max="9" width="9.140625" customWidth="1"/>
    <col min="10" max="10" width="10.7109375" customWidth="1"/>
    <col min="11" max="12" width="9.140625" customWidth="1"/>
    <col min="13" max="16384" width="9.140625" hidden="1"/>
  </cols>
  <sheetData>
    <row r="1" spans="1:10" s="57" customFormat="1" ht="46.5" x14ac:dyDescent="0.7">
      <c r="A1" s="57" t="s">
        <v>33</v>
      </c>
    </row>
    <row r="2" spans="1:10" s="1" customFormat="1" ht="47.25" x14ac:dyDescent="0.25">
      <c r="A2" s="17" t="s">
        <v>3</v>
      </c>
      <c r="B2" s="18" t="s">
        <v>7</v>
      </c>
      <c r="C2" s="18" t="s">
        <v>4</v>
      </c>
      <c r="D2" s="18" t="s">
        <v>5</v>
      </c>
      <c r="E2" s="19" t="s">
        <v>6</v>
      </c>
      <c r="F2" s="46"/>
      <c r="G2" s="20" t="s">
        <v>8</v>
      </c>
      <c r="H2" s="21" t="s">
        <v>11</v>
      </c>
      <c r="I2" s="21" t="s">
        <v>12</v>
      </c>
      <c r="J2" s="22" t="s">
        <v>14</v>
      </c>
    </row>
    <row r="3" spans="1:10" x14ac:dyDescent="0.25">
      <c r="A3" s="2" t="s">
        <v>0</v>
      </c>
      <c r="B3" s="11">
        <v>12</v>
      </c>
      <c r="C3" s="12">
        <v>24.305</v>
      </c>
      <c r="D3" s="12">
        <v>1.738</v>
      </c>
      <c r="E3" s="13">
        <v>650</v>
      </c>
      <c r="F3" s="4"/>
      <c r="G3" s="11" t="s">
        <v>9</v>
      </c>
      <c r="H3" s="16">
        <v>0.16</v>
      </c>
      <c r="I3" s="12">
        <v>7.1999999999999995E-2</v>
      </c>
      <c r="J3" s="13" t="s">
        <v>13</v>
      </c>
    </row>
    <row r="4" spans="1:10" x14ac:dyDescent="0.25">
      <c r="A4" s="2" t="s">
        <v>2</v>
      </c>
      <c r="B4" s="14">
        <v>30</v>
      </c>
      <c r="C4" s="3">
        <v>65.382000000000005</v>
      </c>
      <c r="D4" s="3">
        <v>7.14</v>
      </c>
      <c r="E4" s="5">
        <v>420</v>
      </c>
      <c r="F4" s="4"/>
      <c r="G4" s="14" t="s">
        <v>9</v>
      </c>
      <c r="H4" s="4">
        <v>0.13300000000000001</v>
      </c>
      <c r="I4" s="3">
        <v>7.3999999999999996E-2</v>
      </c>
      <c r="J4" s="5" t="s">
        <v>13</v>
      </c>
    </row>
    <row r="5" spans="1:10" x14ac:dyDescent="0.25">
      <c r="A5" s="2" t="s">
        <v>1</v>
      </c>
      <c r="B5" s="14">
        <v>20</v>
      </c>
      <c r="C5" s="3">
        <v>40.078000000000003</v>
      </c>
      <c r="D5" s="3">
        <v>1.55</v>
      </c>
      <c r="E5" s="5">
        <v>842</v>
      </c>
      <c r="F5" s="4"/>
      <c r="G5" s="14" t="s">
        <v>10</v>
      </c>
      <c r="H5" s="6">
        <v>0.14899999999999999</v>
      </c>
      <c r="I5" s="3">
        <v>9.5000000000000001E-2</v>
      </c>
      <c r="J5" s="5" t="s">
        <v>13</v>
      </c>
    </row>
    <row r="6" spans="1:10" x14ac:dyDescent="0.25">
      <c r="A6" s="7" t="s">
        <v>15</v>
      </c>
      <c r="B6" s="15">
        <v>39</v>
      </c>
      <c r="C6" s="8">
        <v>88.905839999999998</v>
      </c>
      <c r="D6" s="8">
        <v>4.4720000000000004</v>
      </c>
      <c r="E6" s="10">
        <v>1526</v>
      </c>
      <c r="F6" s="9"/>
      <c r="G6" s="15" t="s">
        <v>9</v>
      </c>
      <c r="H6" s="9">
        <v>0.18</v>
      </c>
      <c r="I6" s="8"/>
      <c r="J6" s="10" t="s">
        <v>18</v>
      </c>
    </row>
    <row r="8" spans="1:10" s="23" customFormat="1" ht="15.75" x14ac:dyDescent="0.25">
      <c r="A8" s="72" t="str">
        <f>A9 &amp; C9*100 &amp; A10 &amp; C10*100 &amp; A11 &amp; C11*100</f>
        <v>Mg65Zn30Ca5</v>
      </c>
      <c r="B8" s="24"/>
      <c r="C8" s="47" t="s">
        <v>19</v>
      </c>
      <c r="D8" s="47" t="s">
        <v>22</v>
      </c>
      <c r="E8" s="48" t="s">
        <v>21</v>
      </c>
      <c r="G8" s="81" t="s">
        <v>35</v>
      </c>
      <c r="H8" s="48" t="s">
        <v>36</v>
      </c>
    </row>
    <row r="9" spans="1:10" x14ac:dyDescent="0.25">
      <c r="A9" s="25" t="s">
        <v>0</v>
      </c>
      <c r="B9" s="27"/>
      <c r="C9" s="73">
        <v>0.65</v>
      </c>
      <c r="D9" s="16">
        <f>C9*C3</f>
        <v>15.798250000000001</v>
      </c>
      <c r="E9" s="29">
        <f>D9/$D$12</f>
        <v>0.42222400395544779</v>
      </c>
      <c r="G9" s="78">
        <f>E9*$G$12</f>
        <v>48.133536450921049</v>
      </c>
      <c r="H9" s="79">
        <f>G9/D3</f>
        <v>27.694785069574827</v>
      </c>
    </row>
    <row r="10" spans="1:10" x14ac:dyDescent="0.25">
      <c r="A10" s="25" t="s">
        <v>2</v>
      </c>
      <c r="B10" s="30"/>
      <c r="C10" s="74">
        <v>0.3</v>
      </c>
      <c r="D10" s="4">
        <f>C10*C4</f>
        <v>19.614599999999999</v>
      </c>
      <c r="E10" s="32">
        <f>D10/$D$12</f>
        <v>0.52421976788470404</v>
      </c>
      <c r="G10" s="78">
        <f>E10*$G$12</f>
        <v>59.76105353885626</v>
      </c>
      <c r="H10" s="79">
        <f t="shared" ref="H10" si="0">G10/D4</f>
        <v>8.369895453621325</v>
      </c>
    </row>
    <row r="11" spans="1:10" x14ac:dyDescent="0.25">
      <c r="A11" s="25" t="s">
        <v>1</v>
      </c>
      <c r="B11" s="30"/>
      <c r="C11" s="74">
        <v>0.05</v>
      </c>
      <c r="D11" s="4">
        <f>C11*C5</f>
        <v>2.0039000000000002</v>
      </c>
      <c r="E11" s="32">
        <f>D11/$D$12</f>
        <v>5.3556228159848202E-2</v>
      </c>
      <c r="G11" s="78">
        <f>E11*$G$12</f>
        <v>6.1054100102226947</v>
      </c>
      <c r="H11" s="79">
        <f>G11/D5</f>
        <v>3.9389742001436741</v>
      </c>
    </row>
    <row r="12" spans="1:10" x14ac:dyDescent="0.25">
      <c r="A12" s="26"/>
      <c r="B12" s="33" t="s">
        <v>20</v>
      </c>
      <c r="C12" s="34">
        <f>SUM(C9:C11)</f>
        <v>1</v>
      </c>
      <c r="D12" s="35">
        <f>SUM(D9:D11)</f>
        <v>37.41675</v>
      </c>
      <c r="E12" s="36">
        <f>SUM(E9:E11)</f>
        <v>1</v>
      </c>
      <c r="G12" s="75">
        <v>114</v>
      </c>
      <c r="H12" s="80">
        <f>SUM(H9:H11)</f>
        <v>40.003654723339828</v>
      </c>
      <c r="J12" t="s">
        <v>34</v>
      </c>
    </row>
    <row r="14" spans="1:10" s="23" customFormat="1" ht="15.75" x14ac:dyDescent="0.25">
      <c r="A14" s="37" t="str">
        <f>A15 &amp; C15*100 &amp; A16 &amp; C16*100 &amp; A17 &amp; C17*100</f>
        <v>Mg65Ca25Y10</v>
      </c>
      <c r="B14" s="38"/>
      <c r="C14" s="49" t="s">
        <v>19</v>
      </c>
      <c r="D14" s="49" t="s">
        <v>22</v>
      </c>
      <c r="E14" s="50" t="s">
        <v>21</v>
      </c>
      <c r="G14" s="82" t="s">
        <v>35</v>
      </c>
      <c r="H14" s="50" t="s">
        <v>36</v>
      </c>
    </row>
    <row r="15" spans="1:10" x14ac:dyDescent="0.25">
      <c r="A15" s="39" t="s">
        <v>0</v>
      </c>
      <c r="B15" s="27"/>
      <c r="C15" s="76">
        <v>0.65</v>
      </c>
      <c r="D15" s="16">
        <f>C15*C3</f>
        <v>15.798250000000001</v>
      </c>
      <c r="E15" s="29">
        <f>D15/$D$18</f>
        <v>0.45517165992467395</v>
      </c>
      <c r="G15" s="78">
        <f>E15*$G$18</f>
        <v>36.413732793973914</v>
      </c>
      <c r="H15" s="79">
        <f>G15/D3</f>
        <v>20.951514841181769</v>
      </c>
    </row>
    <row r="16" spans="1:10" x14ac:dyDescent="0.25">
      <c r="A16" s="39" t="s">
        <v>1</v>
      </c>
      <c r="B16" s="30"/>
      <c r="C16" s="77">
        <v>0.25</v>
      </c>
      <c r="D16" s="4">
        <f>C16*C5</f>
        <v>10.019500000000001</v>
      </c>
      <c r="E16" s="32">
        <f>D16/$D$18</f>
        <v>0.28867706528351372</v>
      </c>
      <c r="G16" s="78">
        <f>E16*$G$18</f>
        <v>23.094165222681099</v>
      </c>
      <c r="H16" s="79">
        <f>G16/D5</f>
        <v>14.899461433987804</v>
      </c>
    </row>
    <row r="17" spans="1:8" x14ac:dyDescent="0.25">
      <c r="A17" s="39" t="s">
        <v>15</v>
      </c>
      <c r="B17" s="30"/>
      <c r="C17" s="77">
        <v>0.1</v>
      </c>
      <c r="D17" s="4">
        <f>C17*C6</f>
        <v>8.8905840000000005</v>
      </c>
      <c r="E17" s="32">
        <f>D17/$D$18</f>
        <v>0.25615127479181221</v>
      </c>
      <c r="G17" s="78">
        <f>E17*$G$18</f>
        <v>20.492101983344977</v>
      </c>
      <c r="H17" s="79">
        <f>G17/D6</f>
        <v>4.5823126080825078</v>
      </c>
    </row>
    <row r="18" spans="1:8" x14ac:dyDescent="0.25">
      <c r="A18" s="40"/>
      <c r="B18" s="33" t="s">
        <v>20</v>
      </c>
      <c r="C18" s="43">
        <f>SUM(C15:C17)</f>
        <v>1</v>
      </c>
      <c r="D18" s="44">
        <f t="shared" ref="D18:E18" si="1">SUM(D15:D17)</f>
        <v>34.708334000000008</v>
      </c>
      <c r="E18" s="45">
        <f t="shared" si="1"/>
        <v>0.99999999999999989</v>
      </c>
      <c r="G18" s="75">
        <v>80</v>
      </c>
      <c r="H18" s="80">
        <f>SUM(H15:H17)</f>
        <v>40.433288883252082</v>
      </c>
    </row>
    <row r="20" spans="1:8" x14ac:dyDescent="0.25">
      <c r="A20" t="s">
        <v>23</v>
      </c>
      <c r="D20" t="s">
        <v>26</v>
      </c>
      <c r="G20" t="s">
        <v>38</v>
      </c>
    </row>
    <row r="21" spans="1:8" x14ac:dyDescent="0.25">
      <c r="A21" s="83">
        <v>3.3</v>
      </c>
      <c r="B21" t="s">
        <v>24</v>
      </c>
      <c r="D21" t="s">
        <v>27</v>
      </c>
      <c r="G21" t="s">
        <v>39</v>
      </c>
    </row>
    <row r="22" spans="1:8" x14ac:dyDescent="0.25">
      <c r="A22">
        <f>A21*60</f>
        <v>198</v>
      </c>
      <c r="B22" t="s">
        <v>25</v>
      </c>
      <c r="D22" t="s">
        <v>41</v>
      </c>
      <c r="G22" t="s">
        <v>40</v>
      </c>
    </row>
    <row r="23" spans="1:8" x14ac:dyDescent="0.25">
      <c r="A23">
        <f>A22*60/1000</f>
        <v>11.88</v>
      </c>
      <c r="B23" t="s">
        <v>28</v>
      </c>
    </row>
    <row r="25" spans="1:8" x14ac:dyDescent="0.25">
      <c r="A25">
        <f>A22*5</f>
        <v>990</v>
      </c>
      <c r="B25" t="s">
        <v>37</v>
      </c>
    </row>
    <row r="29" spans="1:8" x14ac:dyDescent="0.25">
      <c r="A29" t="s">
        <v>42</v>
      </c>
    </row>
    <row r="30" spans="1:8" x14ac:dyDescent="0.25">
      <c r="A30" t="str">
        <f>A8</f>
        <v>Mg65Zn30Ca5</v>
      </c>
    </row>
    <row r="31" spans="1:8" x14ac:dyDescent="0.25">
      <c r="B31" s="84" t="s">
        <v>46</v>
      </c>
      <c r="C31" s="84" t="s">
        <v>49</v>
      </c>
      <c r="D31" s="84"/>
    </row>
    <row r="32" spans="1:8" x14ac:dyDescent="0.25">
      <c r="A32" t="s">
        <v>43</v>
      </c>
      <c r="B32">
        <v>650</v>
      </c>
      <c r="C32">
        <f>B32+273</f>
        <v>923</v>
      </c>
    </row>
    <row r="33" spans="1:4" x14ac:dyDescent="0.25">
      <c r="A33" t="s">
        <v>45</v>
      </c>
      <c r="B33">
        <v>147</v>
      </c>
      <c r="C33">
        <f t="shared" ref="C33:C34" si="2">B33+273</f>
        <v>420</v>
      </c>
    </row>
    <row r="34" spans="1:4" x14ac:dyDescent="0.25">
      <c r="A34" t="s">
        <v>44</v>
      </c>
      <c r="B34">
        <v>132</v>
      </c>
      <c r="C34">
        <f t="shared" si="2"/>
        <v>405</v>
      </c>
    </row>
    <row r="35" spans="1:4" x14ac:dyDescent="0.25">
      <c r="A35" t="s">
        <v>47</v>
      </c>
      <c r="B35">
        <f>C35-273</f>
        <v>10.5</v>
      </c>
      <c r="C35">
        <f>C34*0.7</f>
        <v>283.5</v>
      </c>
      <c r="D35" t="s">
        <v>51</v>
      </c>
    </row>
    <row r="36" spans="1:4" x14ac:dyDescent="0.25">
      <c r="A36" t="s">
        <v>48</v>
      </c>
      <c r="B36">
        <f>C36-273</f>
        <v>51</v>
      </c>
      <c r="C36">
        <f>C34*0.8</f>
        <v>324</v>
      </c>
      <c r="D36" t="s">
        <v>50</v>
      </c>
    </row>
  </sheetData>
  <pageMargins left="0.7" right="0.7" top="0.75" bottom="0.75" header="0.3" footer="0.3"/>
  <pageSetup paperSize="9" orientation="landscape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4"/>
  <sheetViews>
    <sheetView zoomScaleNormal="100" workbookViewId="0">
      <selection activeCell="D10" sqref="D10"/>
    </sheetView>
  </sheetViews>
  <sheetFormatPr defaultRowHeight="15" x14ac:dyDescent="0.25"/>
  <sheetData>
    <row r="1" spans="1:12" s="56" customFormat="1" ht="46.5" customHeight="1" x14ac:dyDescent="0.9">
      <c r="A1" s="55" t="s">
        <v>32</v>
      </c>
    </row>
    <row r="2" spans="1:12" ht="63" x14ac:dyDescent="0.25">
      <c r="A2" s="58" t="s">
        <v>3</v>
      </c>
      <c r="B2" s="59" t="s">
        <v>7</v>
      </c>
      <c r="C2" s="59" t="s">
        <v>4</v>
      </c>
      <c r="D2" s="59" t="s">
        <v>5</v>
      </c>
      <c r="E2" s="60" t="s">
        <v>6</v>
      </c>
      <c r="F2" s="46"/>
      <c r="G2" s="63" t="s">
        <v>8</v>
      </c>
      <c r="H2" s="64" t="s">
        <v>11</v>
      </c>
      <c r="I2" s="64" t="s">
        <v>12</v>
      </c>
      <c r="J2" s="65" t="s">
        <v>14</v>
      </c>
      <c r="K2" s="1"/>
      <c r="L2" s="1"/>
    </row>
    <row r="3" spans="1:12" x14ac:dyDescent="0.25">
      <c r="A3" s="61" t="s">
        <v>0</v>
      </c>
      <c r="B3" s="11">
        <v>12</v>
      </c>
      <c r="C3" s="12">
        <v>24.305</v>
      </c>
      <c r="D3" s="12">
        <v>1.738</v>
      </c>
      <c r="E3" s="13">
        <v>650</v>
      </c>
      <c r="F3" s="4"/>
      <c r="G3" s="11" t="s">
        <v>9</v>
      </c>
      <c r="H3" s="16">
        <v>0.16</v>
      </c>
      <c r="I3" s="12">
        <v>7.1999999999999995E-2</v>
      </c>
      <c r="J3" s="13" t="s">
        <v>13</v>
      </c>
    </row>
    <row r="4" spans="1:12" x14ac:dyDescent="0.25">
      <c r="A4" s="61" t="s">
        <v>2</v>
      </c>
      <c r="B4" s="14">
        <v>30</v>
      </c>
      <c r="C4" s="3">
        <v>65.382000000000005</v>
      </c>
      <c r="D4" s="3">
        <v>7.14</v>
      </c>
      <c r="E4" s="5">
        <v>420</v>
      </c>
      <c r="F4" s="4"/>
      <c r="G4" s="14" t="s">
        <v>9</v>
      </c>
      <c r="H4" s="4">
        <v>0.13300000000000001</v>
      </c>
      <c r="I4" s="3">
        <v>7.3999999999999996E-2</v>
      </c>
      <c r="J4" s="5" t="s">
        <v>13</v>
      </c>
    </row>
    <row r="5" spans="1:12" x14ac:dyDescent="0.25">
      <c r="A5" s="61" t="s">
        <v>1</v>
      </c>
      <c r="B5" s="14">
        <v>20</v>
      </c>
      <c r="C5" s="3">
        <v>40.078000000000003</v>
      </c>
      <c r="D5" s="3">
        <v>1.55</v>
      </c>
      <c r="E5" s="5">
        <v>842</v>
      </c>
      <c r="F5" s="4"/>
      <c r="G5" s="14" t="s">
        <v>10</v>
      </c>
      <c r="H5" s="6">
        <v>0.14899999999999999</v>
      </c>
      <c r="I5" s="3">
        <v>9.5000000000000001E-2</v>
      </c>
      <c r="J5" s="5" t="s">
        <v>13</v>
      </c>
    </row>
    <row r="6" spans="1:12" x14ac:dyDescent="0.25">
      <c r="A6" s="62" t="s">
        <v>15</v>
      </c>
      <c r="B6" s="15">
        <v>39</v>
      </c>
      <c r="C6" s="8">
        <v>88.905839999999998</v>
      </c>
      <c r="D6" s="8">
        <v>4.4720000000000004</v>
      </c>
      <c r="E6" s="10">
        <v>1526</v>
      </c>
      <c r="F6" s="9"/>
      <c r="G6" s="15" t="s">
        <v>9</v>
      </c>
      <c r="H6" s="9">
        <v>0.18</v>
      </c>
      <c r="I6" s="8"/>
      <c r="J6" s="10" t="s">
        <v>18</v>
      </c>
    </row>
    <row r="8" spans="1:12" ht="47.25" x14ac:dyDescent="0.25">
      <c r="A8" s="53" t="s">
        <v>16</v>
      </c>
      <c r="B8" s="54"/>
      <c r="C8" s="51" t="s">
        <v>21</v>
      </c>
      <c r="D8" s="51" t="s">
        <v>30</v>
      </c>
      <c r="E8" s="52" t="s">
        <v>29</v>
      </c>
      <c r="F8" s="23"/>
      <c r="G8" s="23"/>
      <c r="H8" s="23"/>
      <c r="I8" s="23"/>
      <c r="J8" s="23"/>
      <c r="K8" s="23"/>
      <c r="L8" s="23"/>
    </row>
    <row r="9" spans="1:12" x14ac:dyDescent="0.25">
      <c r="A9" s="39" t="s">
        <v>0</v>
      </c>
      <c r="B9" s="27"/>
      <c r="C9" s="28">
        <v>0.42199999999999999</v>
      </c>
      <c r="D9" s="16">
        <f>C9*C4*C5</f>
        <v>1105.8002739120002</v>
      </c>
      <c r="E9" s="29">
        <f>D9/$D$12</f>
        <v>0.64969173785295919</v>
      </c>
    </row>
    <row r="10" spans="1:12" x14ac:dyDescent="0.25">
      <c r="A10" s="39" t="s">
        <v>2</v>
      </c>
      <c r="B10" s="30"/>
      <c r="C10" s="31">
        <v>0.52400000000000002</v>
      </c>
      <c r="D10" s="4">
        <f>C10*C3*C5</f>
        <v>510.42619396000003</v>
      </c>
      <c r="E10" s="32">
        <f>D10/$D$12</f>
        <v>0.29989111851670097</v>
      </c>
    </row>
    <row r="11" spans="1:12" x14ac:dyDescent="0.25">
      <c r="A11" s="39" t="s">
        <v>1</v>
      </c>
      <c r="B11" s="30"/>
      <c r="C11" s="31">
        <v>5.3999999999999999E-2</v>
      </c>
      <c r="D11" s="4">
        <f>C11*C3*C4</f>
        <v>85.811913540000006</v>
      </c>
      <c r="E11" s="32">
        <f>D11/$D$12</f>
        <v>5.0417143630339868E-2</v>
      </c>
    </row>
    <row r="12" spans="1:12" x14ac:dyDescent="0.25">
      <c r="A12" s="40"/>
      <c r="B12" s="33" t="s">
        <v>20</v>
      </c>
      <c r="C12" s="34">
        <f>SUM(C9:C11)</f>
        <v>1</v>
      </c>
      <c r="D12" s="35">
        <f>SUM(D9:D11)</f>
        <v>1702.0383814120003</v>
      </c>
      <c r="E12" s="36">
        <f>SUM(E9:E11)</f>
        <v>1</v>
      </c>
    </row>
    <row r="14" spans="1:12" ht="47.25" x14ac:dyDescent="0.25">
      <c r="A14" s="66" t="s">
        <v>17</v>
      </c>
      <c r="B14" s="67"/>
      <c r="C14" s="68" t="s">
        <v>31</v>
      </c>
      <c r="D14" s="68" t="s">
        <v>30</v>
      </c>
      <c r="E14" s="69" t="s">
        <v>29</v>
      </c>
      <c r="F14" s="23"/>
      <c r="G14" s="23"/>
      <c r="H14" s="23"/>
      <c r="I14" s="23"/>
      <c r="J14" s="23"/>
      <c r="K14" s="23"/>
      <c r="L14" s="23"/>
    </row>
    <row r="15" spans="1:12" x14ac:dyDescent="0.25">
      <c r="A15" s="70" t="s">
        <v>0</v>
      </c>
      <c r="B15" s="27"/>
      <c r="C15" s="41">
        <v>0.45500000000000002</v>
      </c>
      <c r="D15" s="16">
        <f>C15*C5*C6</f>
        <v>1621.2415562616002</v>
      </c>
      <c r="E15" s="29">
        <f>D15/$D$18</f>
        <v>0.64875768956180246</v>
      </c>
    </row>
    <row r="16" spans="1:12" x14ac:dyDescent="0.25">
      <c r="A16" s="70" t="s">
        <v>1</v>
      </c>
      <c r="B16" s="30"/>
      <c r="C16" s="42">
        <v>0.28899999999999998</v>
      </c>
      <c r="D16" s="4">
        <f>C16*C3*C6</f>
        <v>624.48751150679993</v>
      </c>
      <c r="E16" s="32">
        <f>D16/$D$18</f>
        <v>0.24989556526021983</v>
      </c>
    </row>
    <row r="17" spans="1:5" x14ac:dyDescent="0.25">
      <c r="A17" s="70" t="s">
        <v>15</v>
      </c>
      <c r="B17" s="30"/>
      <c r="C17" s="42">
        <v>0.26</v>
      </c>
      <c r="D17" s="4">
        <f>C17*C3*C5</f>
        <v>253.26490540000003</v>
      </c>
      <c r="E17" s="32">
        <f>D17/$D$18</f>
        <v>0.10134674517797777</v>
      </c>
    </row>
    <row r="18" spans="1:5" x14ac:dyDescent="0.25">
      <c r="A18" s="71"/>
      <c r="B18" s="33" t="s">
        <v>20</v>
      </c>
      <c r="C18" s="43">
        <f>SUM(C15:C17)</f>
        <v>1.004</v>
      </c>
      <c r="D18" s="44">
        <f t="shared" ref="D18:E18" si="0">SUM(D15:D17)</f>
        <v>2498.9939731683999</v>
      </c>
      <c r="E18" s="45">
        <f t="shared" si="0"/>
        <v>1</v>
      </c>
    </row>
    <row r="21" spans="1:5" x14ac:dyDescent="0.25">
      <c r="A21" t="s">
        <v>23</v>
      </c>
    </row>
    <row r="22" spans="1:5" x14ac:dyDescent="0.25">
      <c r="A22">
        <v>1.4</v>
      </c>
      <c r="B22" t="s">
        <v>24</v>
      </c>
      <c r="C22" t="s">
        <v>26</v>
      </c>
      <c r="D22" t="s">
        <v>27</v>
      </c>
    </row>
    <row r="23" spans="1:5" x14ac:dyDescent="0.25">
      <c r="A23">
        <f>A22*60</f>
        <v>84</v>
      </c>
      <c r="B23" t="s">
        <v>25</v>
      </c>
    </row>
    <row r="24" spans="1:5" x14ac:dyDescent="0.25">
      <c r="A24">
        <f>A23*60/1000</f>
        <v>5.04</v>
      </c>
      <c r="B24" t="s">
        <v>28</v>
      </c>
    </row>
  </sheetData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31"/>
  <sheetViews>
    <sheetView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2" max="2" width="12.5703125" customWidth="1"/>
    <col min="3" max="3" width="11.85546875" customWidth="1"/>
    <col min="4" max="4" width="10.5703125" customWidth="1"/>
    <col min="5" max="5" width="9.85546875" customWidth="1"/>
    <col min="6" max="6" width="10.85546875" customWidth="1"/>
    <col min="7" max="7" width="9.85546875" customWidth="1"/>
    <col min="8" max="8" width="10.42578125" customWidth="1"/>
    <col min="9" max="9" width="12.42578125" customWidth="1"/>
  </cols>
  <sheetData>
    <row r="1" spans="1:9" ht="47.25" x14ac:dyDescent="0.25">
      <c r="A1" s="135" t="s">
        <v>3</v>
      </c>
      <c r="B1" s="137" t="s">
        <v>7</v>
      </c>
      <c r="C1" s="137" t="s">
        <v>4</v>
      </c>
      <c r="D1" s="137" t="s">
        <v>5</v>
      </c>
      <c r="E1" s="138" t="s">
        <v>6</v>
      </c>
      <c r="F1" s="135" t="s">
        <v>8</v>
      </c>
      <c r="G1" s="137" t="s">
        <v>11</v>
      </c>
      <c r="H1" s="137" t="s">
        <v>12</v>
      </c>
      <c r="I1" s="138" t="s">
        <v>14</v>
      </c>
    </row>
    <row r="2" spans="1:9" x14ac:dyDescent="0.25">
      <c r="A2" s="141" t="s">
        <v>46</v>
      </c>
      <c r="B2" s="139">
        <v>6</v>
      </c>
      <c r="C2" s="16">
        <v>12.010999999999999</v>
      </c>
      <c r="D2" s="16">
        <v>2.25</v>
      </c>
      <c r="E2" s="16">
        <v>3367</v>
      </c>
      <c r="F2" s="16" t="s">
        <v>65</v>
      </c>
      <c r="G2" s="16">
        <v>7.0999999999999994E-2</v>
      </c>
      <c r="H2" s="16">
        <v>1.6E-2</v>
      </c>
      <c r="I2" s="13" t="s">
        <v>59</v>
      </c>
    </row>
    <row r="3" spans="1:9" x14ac:dyDescent="0.25">
      <c r="A3" s="136" t="s">
        <v>0</v>
      </c>
      <c r="B3" s="111">
        <v>12</v>
      </c>
      <c r="C3" s="3">
        <v>24.305</v>
      </c>
      <c r="D3" s="3">
        <v>1.738</v>
      </c>
      <c r="E3" s="3">
        <v>650</v>
      </c>
      <c r="F3" s="3" t="s">
        <v>9</v>
      </c>
      <c r="G3" s="4">
        <v>0.16</v>
      </c>
      <c r="H3" s="3">
        <v>7.1999999999999995E-2</v>
      </c>
      <c r="I3" s="5" t="s">
        <v>13</v>
      </c>
    </row>
    <row r="4" spans="1:9" x14ac:dyDescent="0.25">
      <c r="A4" s="136" t="s">
        <v>60</v>
      </c>
      <c r="B4" s="140">
        <v>13</v>
      </c>
      <c r="C4" s="4">
        <v>26.98</v>
      </c>
      <c r="D4" s="4">
        <v>2.71</v>
      </c>
      <c r="E4" s="4">
        <v>660.4</v>
      </c>
      <c r="F4" s="4" t="s">
        <v>10</v>
      </c>
      <c r="G4" s="4">
        <v>0.14299999999999999</v>
      </c>
      <c r="H4" s="4">
        <v>5.2999999999999999E-2</v>
      </c>
      <c r="I4" s="5" t="s">
        <v>18</v>
      </c>
    </row>
    <row r="5" spans="1:9" x14ac:dyDescent="0.25">
      <c r="A5" s="136" t="s">
        <v>63</v>
      </c>
      <c r="B5" s="140">
        <v>18</v>
      </c>
      <c r="C5" s="4">
        <v>39.950000000000003</v>
      </c>
      <c r="D5" s="4">
        <v>0</v>
      </c>
      <c r="E5" s="4">
        <v>-189.2</v>
      </c>
      <c r="F5" s="4">
        <v>0</v>
      </c>
      <c r="G5" s="4">
        <v>0</v>
      </c>
      <c r="H5" s="4">
        <v>0</v>
      </c>
      <c r="I5" s="5" t="s">
        <v>64</v>
      </c>
    </row>
    <row r="6" spans="1:9" x14ac:dyDescent="0.25">
      <c r="A6" s="136" t="s">
        <v>49</v>
      </c>
      <c r="B6" s="140">
        <v>19</v>
      </c>
      <c r="C6" s="4">
        <v>39.1</v>
      </c>
      <c r="D6" s="4">
        <v>0.86199999999999999</v>
      </c>
      <c r="E6" s="4">
        <v>63</v>
      </c>
      <c r="F6" s="4" t="s">
        <v>68</v>
      </c>
      <c r="G6" s="4">
        <v>0.23100000000000001</v>
      </c>
      <c r="H6" s="4">
        <v>0.13800000000000001</v>
      </c>
      <c r="I6" s="5" t="s">
        <v>58</v>
      </c>
    </row>
    <row r="7" spans="1:9" x14ac:dyDescent="0.25">
      <c r="A7" s="136" t="s">
        <v>1</v>
      </c>
      <c r="B7" s="111">
        <v>20</v>
      </c>
      <c r="C7" s="3">
        <v>40.078000000000003</v>
      </c>
      <c r="D7" s="3">
        <v>1.55</v>
      </c>
      <c r="E7" s="3">
        <v>842</v>
      </c>
      <c r="F7" s="3" t="s">
        <v>10</v>
      </c>
      <c r="G7" s="4">
        <v>0.14899999999999999</v>
      </c>
      <c r="H7" s="3">
        <v>9.5000000000000001E-2</v>
      </c>
      <c r="I7" s="5" t="s">
        <v>13</v>
      </c>
    </row>
    <row r="8" spans="1:9" x14ac:dyDescent="0.25">
      <c r="A8" s="136" t="s">
        <v>62</v>
      </c>
      <c r="B8" s="140">
        <v>22</v>
      </c>
      <c r="C8" s="4">
        <v>47.87</v>
      </c>
      <c r="D8" s="4">
        <v>4.51</v>
      </c>
      <c r="E8" s="4">
        <v>1668</v>
      </c>
      <c r="F8" s="4" t="s">
        <v>9</v>
      </c>
      <c r="G8" s="4">
        <v>0.14499999999999999</v>
      </c>
      <c r="H8" s="4">
        <v>6.8000000000000005E-2</v>
      </c>
      <c r="I8" s="5" t="s">
        <v>59</v>
      </c>
    </row>
    <row r="9" spans="1:9" x14ac:dyDescent="0.25">
      <c r="A9" s="136" t="s">
        <v>66</v>
      </c>
      <c r="B9" s="140">
        <v>25</v>
      </c>
      <c r="C9" s="4">
        <v>54.94</v>
      </c>
      <c r="D9" s="4">
        <v>7.44</v>
      </c>
      <c r="E9" s="4">
        <v>1244</v>
      </c>
      <c r="F9" s="4" t="s">
        <v>67</v>
      </c>
      <c r="G9" s="4">
        <v>0.112</v>
      </c>
      <c r="H9" s="4">
        <v>6.7000000000000004E-2</v>
      </c>
      <c r="I9" s="5" t="s">
        <v>13</v>
      </c>
    </row>
    <row r="10" spans="1:9" x14ac:dyDescent="0.25">
      <c r="A10" s="136" t="s">
        <v>2</v>
      </c>
      <c r="B10" s="111">
        <v>30</v>
      </c>
      <c r="C10" s="3">
        <v>65.382000000000005</v>
      </c>
      <c r="D10" s="3">
        <v>7.14</v>
      </c>
      <c r="E10" s="3">
        <v>420</v>
      </c>
      <c r="F10" s="3" t="s">
        <v>9</v>
      </c>
      <c r="G10" s="4">
        <v>0.13300000000000001</v>
      </c>
      <c r="H10" s="3">
        <v>7.3999999999999996E-2</v>
      </c>
      <c r="I10" s="5" t="s">
        <v>13</v>
      </c>
    </row>
    <row r="11" spans="1:9" x14ac:dyDescent="0.25">
      <c r="A11" s="136" t="s">
        <v>15</v>
      </c>
      <c r="B11" s="140">
        <v>39</v>
      </c>
      <c r="C11" s="3">
        <v>88.905839999999998</v>
      </c>
      <c r="D11" s="3">
        <v>4.4720000000000004</v>
      </c>
      <c r="E11" s="3">
        <v>1526</v>
      </c>
      <c r="F11" s="3" t="s">
        <v>9</v>
      </c>
      <c r="G11" s="4">
        <v>0.18</v>
      </c>
      <c r="H11" s="3"/>
      <c r="I11" s="5" t="s">
        <v>18</v>
      </c>
    </row>
    <row r="12" spans="1:9" x14ac:dyDescent="0.25">
      <c r="A12" s="136" t="s">
        <v>61</v>
      </c>
      <c r="B12" s="140">
        <v>40</v>
      </c>
      <c r="C12" s="4">
        <v>91.22</v>
      </c>
      <c r="D12" s="4">
        <v>6.51</v>
      </c>
      <c r="E12" s="4">
        <v>1852</v>
      </c>
      <c r="F12" s="4" t="s">
        <v>9</v>
      </c>
      <c r="G12" s="4">
        <v>0.159</v>
      </c>
      <c r="H12" s="4">
        <v>7.9000000000000001E-2</v>
      </c>
      <c r="I12" s="5" t="s">
        <v>59</v>
      </c>
    </row>
    <row r="13" spans="1:9" x14ac:dyDescent="0.25">
      <c r="A13" s="14"/>
      <c r="B13" s="4"/>
      <c r="C13" s="3"/>
      <c r="D13" s="3"/>
      <c r="E13" s="3"/>
      <c r="F13" s="3"/>
      <c r="G13" s="3"/>
      <c r="H13" s="3"/>
      <c r="I13" s="5"/>
    </row>
    <row r="14" spans="1:9" x14ac:dyDescent="0.25">
      <c r="A14" s="14"/>
      <c r="B14" s="4"/>
      <c r="C14" s="3"/>
      <c r="D14" s="3"/>
      <c r="E14" s="3"/>
      <c r="F14" s="3"/>
      <c r="G14" s="3"/>
      <c r="H14" s="3"/>
      <c r="I14" s="5"/>
    </row>
    <row r="15" spans="1:9" x14ac:dyDescent="0.25">
      <c r="A15" s="14"/>
      <c r="B15" s="4"/>
      <c r="C15" s="3"/>
      <c r="D15" s="3"/>
      <c r="E15" s="3"/>
      <c r="F15" s="3"/>
      <c r="G15" s="3"/>
      <c r="H15" s="3"/>
      <c r="I15" s="5"/>
    </row>
    <row r="16" spans="1:9" x14ac:dyDescent="0.25">
      <c r="A16" s="14"/>
      <c r="B16" s="4"/>
      <c r="C16" s="3"/>
      <c r="D16" s="3"/>
      <c r="E16" s="3"/>
      <c r="F16" s="3"/>
      <c r="G16" s="3"/>
      <c r="H16" s="3"/>
      <c r="I16" s="5"/>
    </row>
    <row r="17" spans="1:9" x14ac:dyDescent="0.25">
      <c r="A17" s="14"/>
      <c r="B17" s="4"/>
      <c r="C17" s="3"/>
      <c r="D17" s="3"/>
      <c r="E17" s="3"/>
      <c r="F17" s="3"/>
      <c r="G17" s="3"/>
      <c r="H17" s="3"/>
      <c r="I17" s="5"/>
    </row>
    <row r="18" spans="1:9" x14ac:dyDescent="0.25">
      <c r="A18" s="14"/>
      <c r="B18" s="4"/>
      <c r="C18" s="3"/>
      <c r="D18" s="3"/>
      <c r="E18" s="3"/>
      <c r="F18" s="3"/>
      <c r="G18" s="3"/>
      <c r="H18" s="3"/>
      <c r="I18" s="5"/>
    </row>
    <row r="19" spans="1:9" x14ac:dyDescent="0.25">
      <c r="A19" s="14"/>
      <c r="B19" s="4"/>
      <c r="C19" s="3"/>
      <c r="D19" s="3"/>
      <c r="E19" s="3"/>
      <c r="F19" s="3"/>
      <c r="G19" s="3"/>
      <c r="H19" s="3"/>
      <c r="I19" s="5"/>
    </row>
    <row r="20" spans="1:9" x14ac:dyDescent="0.25">
      <c r="A20" s="14"/>
      <c r="B20" s="4"/>
      <c r="C20" s="3"/>
      <c r="D20" s="3"/>
      <c r="E20" s="3"/>
      <c r="F20" s="3"/>
      <c r="G20" s="3"/>
      <c r="H20" s="3"/>
      <c r="I20" s="5"/>
    </row>
    <row r="21" spans="1:9" x14ac:dyDescent="0.25">
      <c r="A21" s="14"/>
      <c r="B21" s="4"/>
      <c r="C21" s="3"/>
      <c r="D21" s="3"/>
      <c r="E21" s="3"/>
      <c r="F21" s="3"/>
      <c r="G21" s="3"/>
      <c r="H21" s="3"/>
      <c r="I21" s="5"/>
    </row>
    <row r="22" spans="1:9" x14ac:dyDescent="0.25">
      <c r="A22" s="14"/>
      <c r="B22" s="4"/>
      <c r="C22" s="3"/>
      <c r="D22" s="3"/>
      <c r="E22" s="3"/>
      <c r="F22" s="3"/>
      <c r="G22" s="3"/>
      <c r="H22" s="3"/>
      <c r="I22" s="5"/>
    </row>
    <row r="23" spans="1:9" x14ac:dyDescent="0.25">
      <c r="A23" s="14"/>
      <c r="B23" s="4"/>
      <c r="C23" s="3"/>
      <c r="D23" s="3"/>
      <c r="E23" s="3"/>
      <c r="F23" s="3"/>
      <c r="G23" s="3"/>
      <c r="H23" s="3"/>
      <c r="I23" s="5"/>
    </row>
    <row r="24" spans="1:9" x14ac:dyDescent="0.25">
      <c r="A24" s="14"/>
      <c r="B24" s="4"/>
      <c r="C24" s="3"/>
      <c r="D24" s="3"/>
      <c r="E24" s="3"/>
      <c r="F24" s="3"/>
      <c r="G24" s="3"/>
      <c r="H24" s="3"/>
      <c r="I24" s="5"/>
    </row>
    <row r="25" spans="1:9" x14ac:dyDescent="0.25">
      <c r="A25" s="14"/>
      <c r="B25" s="4"/>
      <c r="C25" s="3"/>
      <c r="D25" s="3"/>
      <c r="E25" s="3"/>
      <c r="F25" s="3"/>
      <c r="G25" s="3"/>
      <c r="H25" s="3"/>
      <c r="I25" s="5"/>
    </row>
    <row r="26" spans="1:9" x14ac:dyDescent="0.25">
      <c r="A26" s="14"/>
      <c r="B26" s="4"/>
      <c r="C26" s="3"/>
      <c r="D26" s="3"/>
      <c r="E26" s="3"/>
      <c r="F26" s="3"/>
      <c r="G26" s="3"/>
      <c r="H26" s="3"/>
      <c r="I26" s="5"/>
    </row>
    <row r="27" spans="1:9" x14ac:dyDescent="0.25">
      <c r="A27" s="14"/>
      <c r="B27" s="4"/>
      <c r="C27" s="3"/>
      <c r="D27" s="3"/>
      <c r="E27" s="3"/>
      <c r="F27" s="3"/>
      <c r="G27" s="3"/>
      <c r="H27" s="3"/>
      <c r="I27" s="5"/>
    </row>
    <row r="28" spans="1:9" x14ac:dyDescent="0.25">
      <c r="A28" s="14"/>
      <c r="B28" s="4"/>
      <c r="C28" s="3"/>
      <c r="D28" s="3"/>
      <c r="E28" s="3"/>
      <c r="F28" s="3"/>
      <c r="G28" s="3"/>
      <c r="H28" s="3"/>
      <c r="I28" s="5"/>
    </row>
    <row r="29" spans="1:9" x14ac:dyDescent="0.25">
      <c r="A29" s="14"/>
      <c r="B29" s="4"/>
      <c r="C29" s="3"/>
      <c r="D29" s="3"/>
      <c r="E29" s="3"/>
      <c r="F29" s="3"/>
      <c r="G29" s="3"/>
      <c r="H29" s="3"/>
      <c r="I29" s="5"/>
    </row>
    <row r="30" spans="1:9" x14ac:dyDescent="0.25">
      <c r="A30" s="14"/>
      <c r="B30" s="4"/>
      <c r="C30" s="3"/>
      <c r="D30" s="3"/>
      <c r="E30" s="3"/>
      <c r="F30" s="3"/>
      <c r="G30" s="3"/>
      <c r="H30" s="3"/>
      <c r="I30" s="5"/>
    </row>
    <row r="31" spans="1:9" x14ac:dyDescent="0.25">
      <c r="A31" s="15"/>
      <c r="B31" s="9"/>
      <c r="C31" s="8"/>
      <c r="D31" s="8"/>
      <c r="E31" s="8"/>
      <c r="F31" s="8"/>
      <c r="G31" s="8"/>
      <c r="H31" s="8"/>
      <c r="I31" s="10"/>
    </row>
  </sheetData>
  <autoFilter ref="A1:I31">
    <sortState ref="A2:I31">
      <sortCondition ref="B1:B3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/>
  </sheetViews>
  <sheetFormatPr defaultRowHeight="15" x14ac:dyDescent="0.25"/>
  <cols>
    <col min="4" max="4" width="10.5703125" bestFit="1" customWidth="1"/>
    <col min="6" max="6" width="9" bestFit="1" customWidth="1"/>
    <col min="7" max="7" width="11.7109375" bestFit="1" customWidth="1"/>
    <col min="9" max="10" width="9" bestFit="1" customWidth="1"/>
    <col min="17" max="17" width="12.7109375" customWidth="1"/>
    <col min="26" max="26" width="10.85546875" customWidth="1"/>
  </cols>
  <sheetData>
    <row r="1" spans="1:26" ht="31.5" x14ac:dyDescent="0.5">
      <c r="A1" s="130" t="s">
        <v>57</v>
      </c>
    </row>
    <row r="2" spans="1:26" ht="26.25" x14ac:dyDescent="0.4">
      <c r="A2" s="91" t="s">
        <v>53</v>
      </c>
      <c r="E2" s="91" t="s">
        <v>54</v>
      </c>
      <c r="J2" s="91" t="s">
        <v>55</v>
      </c>
      <c r="L2" s="91"/>
      <c r="Q2" s="91" t="s">
        <v>71</v>
      </c>
    </row>
    <row r="3" spans="1:26" ht="47.25" x14ac:dyDescent="0.25">
      <c r="A3" s="95" t="str">
        <f>A4 &amp; C4*100 &amp; A5 &amp; C5*100 &amp; A6 &amp; C6*100</f>
        <v>Mg65Zn30Ca5</v>
      </c>
      <c r="B3" s="87"/>
      <c r="C3" s="90" t="s">
        <v>19</v>
      </c>
      <c r="D3" s="88" t="s">
        <v>22</v>
      </c>
      <c r="E3" s="89" t="s">
        <v>21</v>
      </c>
      <c r="F3" s="100" t="s">
        <v>35</v>
      </c>
      <c r="G3" s="101" t="s">
        <v>36</v>
      </c>
      <c r="J3" s="53" t="str">
        <f>A4 &amp; C4*100 &amp; A5 &amp; C5*100 &amp; A6 &amp; C6*100</f>
        <v>Mg65Zn30Ca5</v>
      </c>
      <c r="K3" s="54"/>
      <c r="L3" s="102" t="s">
        <v>35</v>
      </c>
      <c r="M3" s="103" t="s">
        <v>21</v>
      </c>
      <c r="N3" s="103" t="s">
        <v>30</v>
      </c>
      <c r="O3" s="110" t="s">
        <v>29</v>
      </c>
      <c r="Q3" s="142" t="s">
        <v>69</v>
      </c>
      <c r="R3" s="143" t="s">
        <v>3</v>
      </c>
      <c r="S3" s="143" t="s">
        <v>7</v>
      </c>
      <c r="T3" s="143" t="s">
        <v>4</v>
      </c>
      <c r="U3" s="143" t="s">
        <v>5</v>
      </c>
      <c r="V3" s="144" t="s">
        <v>6</v>
      </c>
      <c r="W3" s="143" t="s">
        <v>8</v>
      </c>
      <c r="X3" s="143" t="s">
        <v>11</v>
      </c>
      <c r="Y3" s="143" t="s">
        <v>12</v>
      </c>
      <c r="Z3" s="144" t="s">
        <v>14</v>
      </c>
    </row>
    <row r="4" spans="1:26" x14ac:dyDescent="0.25">
      <c r="A4" s="85" t="str">
        <f>R4</f>
        <v>Mg</v>
      </c>
      <c r="B4" s="27"/>
      <c r="C4" s="107">
        <v>0.65</v>
      </c>
      <c r="D4" s="16">
        <f>C4*T4</f>
        <v>15.798250000000001</v>
      </c>
      <c r="E4" s="29">
        <f>D4/$D$7</f>
        <v>0.42222400395544779</v>
      </c>
      <c r="F4" s="125">
        <f>E4*$F$7</f>
        <v>47.707090206926047</v>
      </c>
      <c r="G4" s="79">
        <f>F4/U4</f>
        <v>27.449418991326841</v>
      </c>
      <c r="J4" s="39" t="str">
        <f>R4</f>
        <v>Mg</v>
      </c>
      <c r="K4" s="27"/>
      <c r="L4" s="131">
        <f>B31</f>
        <v>47.7</v>
      </c>
      <c r="M4" s="92">
        <f>L4/$L$7</f>
        <v>0.42217993538965354</v>
      </c>
      <c r="N4" s="104">
        <f>M4*T5*T6</f>
        <v>1106.2717729716337</v>
      </c>
      <c r="O4" s="121">
        <f>N4/$N$7</f>
        <v>0.64995996570658399</v>
      </c>
      <c r="Q4" s="145">
        <v>1</v>
      </c>
      <c r="R4" s="150" t="s">
        <v>0</v>
      </c>
      <c r="S4" s="146">
        <f>INDEX('Elements Data'!B:B,MATCH($R4,'Elements Data'!$A:$A,0))</f>
        <v>12</v>
      </c>
      <c r="T4" s="146">
        <f>INDEX('Elements Data'!C:C,MATCH($R4,'Elements Data'!$A:$A,0))</f>
        <v>24.305</v>
      </c>
      <c r="U4" s="146">
        <f>INDEX('Elements Data'!D:D,MATCH($R4,'Elements Data'!$A:$A,0))</f>
        <v>1.738</v>
      </c>
      <c r="V4" s="146">
        <f>INDEX('Elements Data'!E:E,MATCH($R4,'Elements Data'!$A:$A,0))</f>
        <v>650</v>
      </c>
      <c r="W4" s="156" t="str">
        <f>INDEX('Elements Data'!F:F,MATCH($R4,'Elements Data'!$A:$A,0))</f>
        <v>HCP</v>
      </c>
      <c r="X4" s="146">
        <f>INDEX('Elements Data'!G:G,MATCH($R4,'Elements Data'!$A:$A,0))</f>
        <v>0.16</v>
      </c>
      <c r="Y4" s="146">
        <f>INDEX('Elements Data'!H:H,MATCH($R4,'Elements Data'!$A:$A,0))</f>
        <v>7.1999999999999995E-2</v>
      </c>
      <c r="Z4" s="153" t="str">
        <f>INDEX('Elements Data'!I:I,MATCH($R4,'Elements Data'!$A:$A,0))</f>
        <v>2+</v>
      </c>
    </row>
    <row r="5" spans="1:26" x14ac:dyDescent="0.25">
      <c r="A5" s="85" t="str">
        <f>R5</f>
        <v>Zn</v>
      </c>
      <c r="B5" s="30"/>
      <c r="C5" s="108">
        <v>0.3</v>
      </c>
      <c r="D5" s="4">
        <f t="shared" ref="D5:D6" si="0">C5*T5</f>
        <v>19.614599999999999</v>
      </c>
      <c r="E5" s="32">
        <f t="shared" ref="E5:E6" si="1">D5/$D$7</f>
        <v>0.52421976788470404</v>
      </c>
      <c r="F5" s="125">
        <f>E5*$F$7</f>
        <v>59.231591573292704</v>
      </c>
      <c r="G5" s="79">
        <f t="shared" ref="G5:G6" si="2">F5/U5</f>
        <v>8.2957411167076618</v>
      </c>
      <c r="J5" s="39" t="str">
        <f>R5</f>
        <v>Zn</v>
      </c>
      <c r="K5" s="30"/>
      <c r="L5" s="132">
        <f>E31</f>
        <v>59.233999999999995</v>
      </c>
      <c r="M5" s="93">
        <f>L5/$L$7</f>
        <v>0.52426428286940741</v>
      </c>
      <c r="N5" s="105">
        <f>M5*T4*T6</f>
        <v>510.68363079045889</v>
      </c>
      <c r="O5" s="122">
        <f>N5/$N$7</f>
        <v>0.30003831180097501</v>
      </c>
      <c r="Q5" s="145">
        <v>2</v>
      </c>
      <c r="R5" s="151" t="s">
        <v>2</v>
      </c>
      <c r="S5" s="147">
        <f>INDEX('Elements Data'!B:B,MATCH($R5,'Elements Data'!$A:$A,0))</f>
        <v>30</v>
      </c>
      <c r="T5" s="147">
        <f>INDEX('Elements Data'!C:C,MATCH($R5,'Elements Data'!$A:$A,0))</f>
        <v>65.382000000000005</v>
      </c>
      <c r="U5" s="147">
        <f>INDEX('Elements Data'!D:D,MATCH($R5,'Elements Data'!$A:$A,0))</f>
        <v>7.14</v>
      </c>
      <c r="V5" s="147">
        <f>INDEX('Elements Data'!E:E,MATCH($R5,'Elements Data'!$A:$A,0))</f>
        <v>420</v>
      </c>
      <c r="W5" s="157" t="str">
        <f>INDEX('Elements Data'!F:F,MATCH($R5,'Elements Data'!$A:$A,0))</f>
        <v>HCP</v>
      </c>
      <c r="X5" s="147">
        <f>INDEX('Elements Data'!G:G,MATCH($R5,'Elements Data'!$A:$A,0))</f>
        <v>0.13300000000000001</v>
      </c>
      <c r="Y5" s="147">
        <f>INDEX('Elements Data'!H:H,MATCH($R5,'Elements Data'!$A:$A,0))</f>
        <v>7.3999999999999996E-2</v>
      </c>
      <c r="Z5" s="154" t="str">
        <f>INDEX('Elements Data'!I:I,MATCH($R5,'Elements Data'!$A:$A,0))</f>
        <v>2+</v>
      </c>
    </row>
    <row r="6" spans="1:26" x14ac:dyDescent="0.25">
      <c r="A6" s="85" t="str">
        <f>R6</f>
        <v>Ca</v>
      </c>
      <c r="B6" s="97"/>
      <c r="C6" s="109">
        <v>0.05</v>
      </c>
      <c r="D6" s="9">
        <f t="shared" si="0"/>
        <v>2.0039000000000002</v>
      </c>
      <c r="E6" s="96">
        <f t="shared" si="1"/>
        <v>5.3556228159848202E-2</v>
      </c>
      <c r="F6" s="125">
        <f>E6*$F$7</f>
        <v>6.0513182197812476</v>
      </c>
      <c r="G6" s="79">
        <f t="shared" si="2"/>
        <v>3.9040762708266112</v>
      </c>
      <c r="J6" s="39" t="str">
        <f>R6</f>
        <v>Ca</v>
      </c>
      <c r="K6" s="97"/>
      <c r="L6" s="133">
        <f>H31</f>
        <v>6.0510000000000002</v>
      </c>
      <c r="M6" s="99">
        <f>L6/$L$7</f>
        <v>5.3555781740939064E-2</v>
      </c>
      <c r="N6" s="106">
        <f>M6*T4*T5</f>
        <v>85.106002080010626</v>
      </c>
      <c r="O6" s="123">
        <f>N6/$N$7</f>
        <v>5.0001722492440871E-2</v>
      </c>
      <c r="Q6" s="148">
        <v>3</v>
      </c>
      <c r="R6" s="152" t="s">
        <v>1</v>
      </c>
      <c r="S6" s="149">
        <f>INDEX('Elements Data'!B:B,MATCH($R6,'Elements Data'!$A:$A,0))</f>
        <v>20</v>
      </c>
      <c r="T6" s="149">
        <f>INDEX('Elements Data'!C:C,MATCH($R6,'Elements Data'!$A:$A,0))</f>
        <v>40.078000000000003</v>
      </c>
      <c r="U6" s="149">
        <f>INDEX('Elements Data'!D:D,MATCH($R6,'Elements Data'!$A:$A,0))</f>
        <v>1.55</v>
      </c>
      <c r="V6" s="149">
        <f>INDEX('Elements Data'!E:E,MATCH($R6,'Elements Data'!$A:$A,0))</f>
        <v>842</v>
      </c>
      <c r="W6" s="158" t="str">
        <f>INDEX('Elements Data'!F:F,MATCH($R6,'Elements Data'!$A:$A,0))</f>
        <v>FCC</v>
      </c>
      <c r="X6" s="149">
        <f>INDEX('Elements Data'!G:G,MATCH($R6,'Elements Data'!$A:$A,0))</f>
        <v>0.14899999999999999</v>
      </c>
      <c r="Y6" s="149">
        <f>INDEX('Elements Data'!H:H,MATCH($R6,'Elements Data'!$A:$A,0))</f>
        <v>9.5000000000000001E-2</v>
      </c>
      <c r="Z6" s="155" t="str">
        <f>INDEX('Elements Data'!I:I,MATCH($R6,'Elements Data'!$A:$A,0))</f>
        <v>2+</v>
      </c>
    </row>
    <row r="7" spans="1:26" x14ac:dyDescent="0.25">
      <c r="A7" s="86"/>
      <c r="B7" s="97" t="s">
        <v>20</v>
      </c>
      <c r="C7" s="98">
        <f>SUM(C4:C6)</f>
        <v>1</v>
      </c>
      <c r="D7" s="9">
        <f>SUM(D4:D6)</f>
        <v>37.41675</v>
      </c>
      <c r="E7" s="96">
        <f>SUM(E4:E6)</f>
        <v>1</v>
      </c>
      <c r="F7" s="94">
        <v>112.99</v>
      </c>
      <c r="G7" s="80">
        <f>SUM(G4:G6)</f>
        <v>39.649236378861119</v>
      </c>
      <c r="J7" s="40"/>
      <c r="K7" s="97" t="s">
        <v>20</v>
      </c>
      <c r="L7" s="134">
        <f>SUM(L4:L6)</f>
        <v>112.985</v>
      </c>
      <c r="M7" s="98">
        <f>SUM(M4:M6)</f>
        <v>1</v>
      </c>
      <c r="N7" s="9">
        <f>SUM(N4:N6)</f>
        <v>1702.0614058421033</v>
      </c>
      <c r="O7" s="124">
        <f>SUM(O4:O6)</f>
        <v>0.99999999999999989</v>
      </c>
    </row>
    <row r="9" spans="1:26" x14ac:dyDescent="0.25">
      <c r="A9" s="118" t="str">
        <f>R4</f>
        <v>Mg</v>
      </c>
      <c r="B9" s="119"/>
      <c r="C9" s="119"/>
      <c r="D9" s="119" t="str">
        <f>R5</f>
        <v>Zn</v>
      </c>
      <c r="E9" s="119"/>
      <c r="F9" s="119"/>
      <c r="G9" s="119" t="str">
        <f>R6</f>
        <v>Ca</v>
      </c>
      <c r="H9" s="120"/>
    </row>
    <row r="10" spans="1:26" x14ac:dyDescent="0.25">
      <c r="A10" s="14" t="s">
        <v>52</v>
      </c>
      <c r="B10" s="3" t="s">
        <v>35</v>
      </c>
      <c r="C10" s="3"/>
      <c r="D10" s="3" t="s">
        <v>52</v>
      </c>
      <c r="E10" s="3" t="s">
        <v>35</v>
      </c>
      <c r="F10" s="3"/>
      <c r="G10" s="3" t="s">
        <v>52</v>
      </c>
      <c r="H10" s="5" t="s">
        <v>35</v>
      </c>
    </row>
    <row r="11" spans="1:26" x14ac:dyDescent="0.25">
      <c r="A11" s="14">
        <v>1</v>
      </c>
      <c r="B11" s="111">
        <v>11.461</v>
      </c>
      <c r="C11" s="3"/>
      <c r="D11" s="3">
        <v>1</v>
      </c>
      <c r="E11" s="111">
        <v>29.927</v>
      </c>
      <c r="F11" s="3"/>
      <c r="G11" s="3">
        <v>1</v>
      </c>
      <c r="H11" s="112">
        <v>6.0510000000000002</v>
      </c>
    </row>
    <row r="12" spans="1:26" x14ac:dyDescent="0.25">
      <c r="A12" s="14">
        <v>2</v>
      </c>
      <c r="B12" s="111">
        <v>9.7669999999999995</v>
      </c>
      <c r="C12" s="3"/>
      <c r="D12" s="3">
        <v>2</v>
      </c>
      <c r="E12" s="111">
        <v>43.075000000000003</v>
      </c>
      <c r="F12" s="3"/>
      <c r="G12" s="3">
        <v>2</v>
      </c>
      <c r="H12" s="112">
        <v>0</v>
      </c>
    </row>
    <row r="13" spans="1:26" x14ac:dyDescent="0.25">
      <c r="A13" s="14">
        <v>3</v>
      </c>
      <c r="B13" s="111">
        <v>11.393000000000001</v>
      </c>
      <c r="C13" s="3"/>
      <c r="D13" s="3">
        <v>3</v>
      </c>
      <c r="E13" s="111">
        <v>4.5129999999999999</v>
      </c>
      <c r="F13" s="3"/>
      <c r="G13" s="3">
        <v>3</v>
      </c>
      <c r="H13" s="112">
        <v>0</v>
      </c>
    </row>
    <row r="14" spans="1:26" x14ac:dyDescent="0.25">
      <c r="A14" s="14">
        <v>4</v>
      </c>
      <c r="B14" s="111">
        <v>10.811999999999999</v>
      </c>
      <c r="C14" s="3"/>
      <c r="D14" s="3">
        <v>4</v>
      </c>
      <c r="E14" s="111">
        <v>5.46</v>
      </c>
      <c r="F14" s="3"/>
      <c r="G14" s="3">
        <v>4</v>
      </c>
      <c r="H14" s="112">
        <v>0</v>
      </c>
    </row>
    <row r="15" spans="1:26" x14ac:dyDescent="0.25">
      <c r="A15" s="14">
        <v>5</v>
      </c>
      <c r="B15" s="111">
        <v>11.207000000000001</v>
      </c>
      <c r="C15" s="3"/>
      <c r="D15" s="3">
        <v>5</v>
      </c>
      <c r="E15" s="111">
        <v>29.306999999999999</v>
      </c>
      <c r="F15" s="3"/>
      <c r="G15" s="3">
        <v>5</v>
      </c>
      <c r="H15" s="112">
        <v>0</v>
      </c>
    </row>
    <row r="16" spans="1:26" x14ac:dyDescent="0.25">
      <c r="A16" s="14">
        <v>6</v>
      </c>
      <c r="B16" s="111">
        <v>11.106</v>
      </c>
      <c r="C16" s="3"/>
      <c r="D16" s="3">
        <v>6</v>
      </c>
      <c r="E16" s="111">
        <v>80.525000000000006</v>
      </c>
      <c r="F16" s="3"/>
      <c r="G16" s="3">
        <v>6</v>
      </c>
      <c r="H16" s="112">
        <v>0</v>
      </c>
    </row>
    <row r="17" spans="1:8" x14ac:dyDescent="0.25">
      <c r="A17" s="14">
        <v>7</v>
      </c>
      <c r="B17" s="111">
        <v>10.409000000000001</v>
      </c>
      <c r="C17" s="3"/>
      <c r="D17" s="3">
        <v>7</v>
      </c>
      <c r="E17" s="111">
        <v>150.596</v>
      </c>
      <c r="F17" s="3"/>
      <c r="G17" s="3">
        <v>7</v>
      </c>
      <c r="H17" s="112">
        <v>0</v>
      </c>
    </row>
    <row r="18" spans="1:8" x14ac:dyDescent="0.25">
      <c r="A18" s="14">
        <v>8</v>
      </c>
      <c r="B18" s="111">
        <v>15.914</v>
      </c>
      <c r="C18" s="3"/>
      <c r="D18" s="3">
        <v>8</v>
      </c>
      <c r="E18" s="111">
        <v>0</v>
      </c>
      <c r="F18" s="3"/>
      <c r="G18" s="3">
        <v>8</v>
      </c>
      <c r="H18" s="112">
        <v>0</v>
      </c>
    </row>
    <row r="19" spans="1:8" x14ac:dyDescent="0.25">
      <c r="A19" s="14">
        <v>9</v>
      </c>
      <c r="B19" s="111">
        <v>0</v>
      </c>
      <c r="C19" s="3"/>
      <c r="D19" s="3">
        <v>9</v>
      </c>
      <c r="E19" s="111">
        <v>0</v>
      </c>
      <c r="F19" s="3"/>
      <c r="G19" s="3">
        <v>9</v>
      </c>
      <c r="H19" s="112">
        <v>0</v>
      </c>
    </row>
    <row r="20" spans="1:8" x14ac:dyDescent="0.25">
      <c r="A20" s="15">
        <v>10</v>
      </c>
      <c r="B20" s="113">
        <v>0</v>
      </c>
      <c r="C20" s="8"/>
      <c r="D20" s="8">
        <v>10</v>
      </c>
      <c r="E20" s="113">
        <v>0</v>
      </c>
      <c r="F20" s="8"/>
      <c r="G20" s="8">
        <v>10</v>
      </c>
      <c r="H20" s="114">
        <v>0</v>
      </c>
    </row>
    <row r="22" spans="1:8" x14ac:dyDescent="0.25">
      <c r="A22" s="118" t="str">
        <f>R4</f>
        <v>Mg</v>
      </c>
      <c r="B22" s="119"/>
      <c r="C22" s="119"/>
      <c r="D22" s="119" t="str">
        <f>R5</f>
        <v>Zn</v>
      </c>
      <c r="E22" s="119"/>
      <c r="F22" s="119"/>
      <c r="G22" s="119" t="str">
        <f>R6</f>
        <v>Ca</v>
      </c>
      <c r="H22" s="120"/>
    </row>
    <row r="23" spans="1:8" x14ac:dyDescent="0.25">
      <c r="A23" s="14" t="s">
        <v>56</v>
      </c>
      <c r="B23" s="3" t="s">
        <v>35</v>
      </c>
      <c r="C23" s="3"/>
      <c r="D23" s="3" t="s">
        <v>56</v>
      </c>
      <c r="E23" s="3" t="s">
        <v>35</v>
      </c>
      <c r="F23" s="3"/>
      <c r="G23" s="3" t="s">
        <v>56</v>
      </c>
      <c r="H23" s="5" t="s">
        <v>35</v>
      </c>
    </row>
    <row r="24" spans="1:8" x14ac:dyDescent="0.25">
      <c r="A24" s="115">
        <v>2</v>
      </c>
      <c r="B24" s="3">
        <f>IF(A24=0,0,INDEX(B11:B20,MATCH(A24,A11:A20,0)))</f>
        <v>9.7669999999999995</v>
      </c>
      <c r="C24" s="3"/>
      <c r="D24" s="111">
        <v>1</v>
      </c>
      <c r="E24" s="3">
        <f>IF(D24=0,0,INDEX(E11:E20,MATCH(D24,D11:D20,0)))</f>
        <v>29.927</v>
      </c>
      <c r="F24" s="3"/>
      <c r="G24" s="111">
        <v>1</v>
      </c>
      <c r="H24" s="5">
        <f>IF(G24=0,0,INDEX(H11:H20,MATCH(G24,G11:G20,0)))</f>
        <v>6.0510000000000002</v>
      </c>
    </row>
    <row r="25" spans="1:8" x14ac:dyDescent="0.25">
      <c r="A25" s="115">
        <v>4</v>
      </c>
      <c r="B25" s="3">
        <f>IF(A25=0,0,INDEX(B11:B20,MATCH(A25,A11:A20,0)))</f>
        <v>10.811999999999999</v>
      </c>
      <c r="C25" s="3"/>
      <c r="D25" s="111">
        <v>5</v>
      </c>
      <c r="E25" s="3">
        <f>IF(D25=0,0,INDEX(E11:E20,MATCH(D25,D11:D20,0)))</f>
        <v>29.306999999999999</v>
      </c>
      <c r="F25" s="3"/>
      <c r="G25" s="111">
        <v>0</v>
      </c>
      <c r="H25" s="5">
        <f>IF(G25=0,0,INDEX(H11:H20,MATCH(G25,G11:G20,0)))</f>
        <v>0</v>
      </c>
    </row>
    <row r="26" spans="1:8" x14ac:dyDescent="0.25">
      <c r="A26" s="115">
        <v>5</v>
      </c>
      <c r="B26" s="3">
        <f>IF(A26=0,0,INDEX(B11:B20,MATCH(A26,A11:A20,0)))</f>
        <v>11.207000000000001</v>
      </c>
      <c r="C26" s="3"/>
      <c r="D26" s="111">
        <v>0</v>
      </c>
      <c r="E26" s="3">
        <f>IF(D26=0,0,INDEX(E11:E20,MATCH(D26,D11:D20,0)))</f>
        <v>0</v>
      </c>
      <c r="F26" s="3"/>
      <c r="G26" s="111">
        <v>0</v>
      </c>
      <c r="H26" s="5">
        <f>IF(G26=0,0,INDEX(H11:H20,MATCH(G26,G11:G20,0)))</f>
        <v>0</v>
      </c>
    </row>
    <row r="27" spans="1:8" x14ac:dyDescent="0.25">
      <c r="A27" s="115">
        <v>8</v>
      </c>
      <c r="B27" s="3">
        <f>IF(A27=0,0,INDEX(B11:B20,MATCH(A27,A11:A20,0)))</f>
        <v>15.914</v>
      </c>
      <c r="C27" s="3"/>
      <c r="D27" s="111">
        <v>0</v>
      </c>
      <c r="E27" s="3">
        <f>IF(D27=0,0,INDEX(E11:E20,MATCH(D27,D11:D20,0)))</f>
        <v>0</v>
      </c>
      <c r="F27" s="3"/>
      <c r="G27" s="111">
        <v>0</v>
      </c>
      <c r="H27" s="5">
        <f>IF(G27=0,0,INDEX(H11:H20,MATCH(G27,G11:G20,0)))</f>
        <v>0</v>
      </c>
    </row>
    <row r="28" spans="1:8" x14ac:dyDescent="0.25">
      <c r="A28" s="115">
        <v>0</v>
      </c>
      <c r="B28" s="3">
        <f>IF(A28=0,0,INDEX(B11:B20,MATCH(A28,A11:A20,0)))</f>
        <v>0</v>
      </c>
      <c r="C28" s="3"/>
      <c r="D28" s="111">
        <v>0</v>
      </c>
      <c r="E28" s="3">
        <f>IF(D28=0,0,INDEX(E11:E20,MATCH(D28,D11:D20,0)))</f>
        <v>0</v>
      </c>
      <c r="F28" s="3"/>
      <c r="G28" s="111">
        <v>0</v>
      </c>
      <c r="H28" s="5">
        <f>IF(G28=0,0,INDEX(H11:H20,MATCH(G28,G11:G20,0)))</f>
        <v>0</v>
      </c>
    </row>
    <row r="29" spans="1:8" x14ac:dyDescent="0.25">
      <c r="A29" s="115">
        <v>0</v>
      </c>
      <c r="B29" s="3">
        <f>IF(A29=0,0,INDEX(B11:B20,MATCH(A29,A11:A20,0)))</f>
        <v>0</v>
      </c>
      <c r="C29" s="3"/>
      <c r="D29" s="111">
        <v>0</v>
      </c>
      <c r="E29" s="3">
        <f>IF(D29=0,0,INDEX(E11:E20,MATCH(D29,D11:D20,0)))</f>
        <v>0</v>
      </c>
      <c r="F29" s="3"/>
      <c r="G29" s="111">
        <v>0</v>
      </c>
      <c r="H29" s="5">
        <f>IF(G29=0,0,INDEX(H11:H20,MATCH(G29,G11:G20,0)))</f>
        <v>0</v>
      </c>
    </row>
    <row r="30" spans="1:8" x14ac:dyDescent="0.25">
      <c r="A30" s="115">
        <v>0</v>
      </c>
      <c r="B30" s="3">
        <f>IF(A30=0,0,INDEX(B11:B20,MATCH(A30,A11:A20,0)))</f>
        <v>0</v>
      </c>
      <c r="C30" s="3"/>
      <c r="D30" s="111">
        <v>0</v>
      </c>
      <c r="E30" s="3">
        <f>IF(D30=0,0,INDEX(E11:E20,MATCH(D30,D11:D20,0)))</f>
        <v>0</v>
      </c>
      <c r="F30" s="3"/>
      <c r="G30" s="111">
        <v>0</v>
      </c>
      <c r="H30" s="5">
        <f>IF(G30=0,0,INDEX(H11:H20,MATCH(G30,G11:G20,0)))</f>
        <v>0</v>
      </c>
    </row>
    <row r="31" spans="1:8" x14ac:dyDescent="0.25">
      <c r="A31" s="128" t="s">
        <v>20</v>
      </c>
      <c r="B31" s="125">
        <f>SUM(B24:B30)</f>
        <v>47.7</v>
      </c>
      <c r="C31" s="3"/>
      <c r="D31" s="129" t="s">
        <v>20</v>
      </c>
      <c r="E31" s="126">
        <f>SUM(E24:E30)</f>
        <v>59.233999999999995</v>
      </c>
      <c r="F31" s="3"/>
      <c r="G31" s="129" t="s">
        <v>20</v>
      </c>
      <c r="H31" s="127">
        <f>SUM(H24:H30)</f>
        <v>6.0510000000000002</v>
      </c>
    </row>
    <row r="32" spans="1:8" x14ac:dyDescent="0.25">
      <c r="A32" s="160" t="s">
        <v>70</v>
      </c>
      <c r="B32" s="116">
        <f>B31-F4</f>
        <v>-7.0902069260441181E-3</v>
      </c>
      <c r="C32" s="8"/>
      <c r="D32" s="159" t="s">
        <v>70</v>
      </c>
      <c r="E32" s="116">
        <f>E31-F5</f>
        <v>2.4084267072908006E-3</v>
      </c>
      <c r="F32" s="8"/>
      <c r="G32" s="159" t="s">
        <v>70</v>
      </c>
      <c r="H32" s="117">
        <f>H31-F6</f>
        <v>-3.1821978124746408E-4</v>
      </c>
    </row>
  </sheetData>
  <sheetProtection sheet="1" objects="1" scenarios="1"/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At% to Wt%</vt:lpstr>
      <vt:lpstr>Wt% to At%</vt:lpstr>
      <vt:lpstr>Elements Data</vt:lpstr>
      <vt:lpstr>Charge 01 - 16092014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z3492622</dc:creator>
  <cp:lastModifiedBy>z3492622</cp:lastModifiedBy>
  <cp:lastPrinted>2014-09-15T00:46:16Z</cp:lastPrinted>
  <dcterms:created xsi:type="dcterms:W3CDTF">2014-08-07T05:06:48Z</dcterms:created>
  <dcterms:modified xsi:type="dcterms:W3CDTF">2014-09-17T01:27:00Z</dcterms:modified>
</cp:coreProperties>
</file>