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showInkAnnotation="0" codeName="ThisWorkbook" defaultThemeVersion="124226"/>
  <bookViews>
    <workbookView xWindow="-135" yWindow="-15" windowWidth="8100" windowHeight="8145" firstSheet="2" activeTab="3"/>
  </bookViews>
  <sheets>
    <sheet name="Charges" sheetId="1" r:id="rId1"/>
    <sheet name="Thermodynamics" sheetId="2" r:id="rId2"/>
    <sheet name="HeatOfMixing" sheetId="3" r:id="rId3"/>
    <sheet name="Easy calculators" sheetId="4" r:id="rId4"/>
    <sheet name="Sheet1" sheetId="7" r:id="rId5"/>
    <sheet name="Sheet2" sheetId="6" r:id="rId6"/>
    <sheet name="Sheet3" sheetId="8" r:id="rId7"/>
  </sheets>
  <definedNames>
    <definedName name="_xlnm._FilterDatabase" localSheetId="3" hidden="1">'Easy calculators'!$E$8:$E$17</definedName>
    <definedName name="YangZhang_HEA_data" localSheetId="6">Sheet3!$A$2:$H$97</definedName>
  </definedNames>
  <calcPr calcId="145621"/>
</workbook>
</file>

<file path=xl/calcChain.xml><?xml version="1.0" encoding="utf-8"?>
<calcChain xmlns="http://schemas.openxmlformats.org/spreadsheetml/2006/main">
  <c r="R25" i="2" l="1"/>
  <c r="Q17" i="2"/>
  <c r="R17" i="2" s="1"/>
  <c r="Q18" i="2"/>
  <c r="R18" i="2" s="1"/>
  <c r="Q19" i="2"/>
  <c r="R19" i="2" s="1"/>
  <c r="Q20" i="2"/>
  <c r="R20" i="2" s="1"/>
  <c r="Q21" i="2"/>
  <c r="R21" i="2" s="1"/>
  <c r="Q22" i="2"/>
  <c r="R22" i="2" s="1"/>
  <c r="Q23" i="2"/>
  <c r="R23" i="2" s="1"/>
  <c r="Q24" i="2"/>
  <c r="R24" i="2" s="1"/>
  <c r="Q25" i="2"/>
  <c r="Q16" i="2"/>
  <c r="R16" i="2" s="1"/>
  <c r="E17" i="4"/>
  <c r="B18" i="4"/>
  <c r="E12" i="4" s="1"/>
  <c r="E11" i="4" l="1"/>
  <c r="E8" i="4"/>
  <c r="E10" i="4"/>
  <c r="E14" i="4"/>
  <c r="E9" i="4"/>
  <c r="E15" i="4"/>
  <c r="E13" i="4"/>
  <c r="E16" i="4"/>
  <c r="O33" i="1"/>
  <c r="O34" i="1"/>
  <c r="O35" i="1"/>
  <c r="O36" i="1"/>
  <c r="O37" i="1"/>
  <c r="O38" i="1"/>
  <c r="O39" i="1"/>
  <c r="O40" i="1"/>
  <c r="O41" i="1"/>
  <c r="O32" i="1"/>
  <c r="N33" i="1"/>
  <c r="P33" i="1" s="1"/>
  <c r="N34" i="1"/>
  <c r="N35" i="1"/>
  <c r="P35" i="1" s="1"/>
  <c r="N36" i="1"/>
  <c r="N37" i="1"/>
  <c r="N38" i="1"/>
  <c r="N39" i="1"/>
  <c r="P39" i="1" s="1"/>
  <c r="N40" i="1"/>
  <c r="P40" i="1" s="1"/>
  <c r="N41" i="1"/>
  <c r="P41" i="1" s="1"/>
  <c r="N32" i="1"/>
  <c r="B25" i="4"/>
  <c r="G26" i="4" s="1"/>
  <c r="B26" i="4"/>
  <c r="B27" i="4"/>
  <c r="G28" i="4" s="1"/>
  <c r="B28" i="4"/>
  <c r="B29" i="4"/>
  <c r="B30" i="4"/>
  <c r="B31" i="4"/>
  <c r="G32" i="4" s="1"/>
  <c r="B32" i="4"/>
  <c r="G33" i="4" s="1"/>
  <c r="B33" i="4"/>
  <c r="B24" i="4"/>
  <c r="H5" i="4"/>
  <c r="G34" i="4"/>
  <c r="C25" i="4"/>
  <c r="W36" i="1"/>
  <c r="G24" i="4"/>
  <c r="C26" i="4"/>
  <c r="C24" i="4"/>
  <c r="E18" i="4" l="1"/>
  <c r="P32" i="1"/>
  <c r="P36" i="1"/>
  <c r="P34" i="1"/>
  <c r="P38" i="1"/>
  <c r="G27" i="4"/>
  <c r="G30" i="4"/>
  <c r="G29" i="4"/>
  <c r="P37" i="1"/>
  <c r="G31" i="4"/>
  <c r="G25" i="4"/>
  <c r="W13" i="2"/>
  <c r="W12" i="2"/>
  <c r="W11" i="2"/>
  <c r="W10" i="2"/>
  <c r="W9" i="2"/>
  <c r="W8" i="2"/>
  <c r="W7" i="2"/>
  <c r="W6" i="2"/>
  <c r="W5" i="2"/>
  <c r="W4" i="2"/>
  <c r="V13" i="2"/>
  <c r="U13" i="2"/>
  <c r="T13" i="2"/>
  <c r="S13" i="2"/>
  <c r="R13" i="2"/>
  <c r="Q13" i="2"/>
  <c r="P13" i="2"/>
  <c r="O13" i="2"/>
  <c r="N13" i="2"/>
  <c r="Q39" i="1" l="1"/>
  <c r="Q36" i="1"/>
  <c r="Q38" i="1"/>
  <c r="Q34" i="1"/>
  <c r="Q35" i="1"/>
  <c r="Q41" i="1"/>
  <c r="Q40" i="1"/>
  <c r="Q33" i="1"/>
  <c r="Q37" i="1"/>
  <c r="Q32" i="1"/>
  <c r="F9" i="4"/>
  <c r="F10" i="4"/>
  <c r="F11" i="4"/>
  <c r="F12" i="4"/>
  <c r="F13" i="4"/>
  <c r="F14" i="4"/>
  <c r="F15" i="4"/>
  <c r="F16" i="4"/>
  <c r="F17" i="4"/>
  <c r="F8" i="4"/>
  <c r="D3" i="7" l="1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" i="7"/>
  <c r="F4" i="6" l="1"/>
  <c r="F5" i="6"/>
  <c r="F6" i="6"/>
  <c r="F7" i="6"/>
  <c r="F8" i="6"/>
  <c r="F9" i="6"/>
  <c r="F10" i="6"/>
  <c r="F11" i="6"/>
  <c r="F12" i="6"/>
  <c r="F3" i="6"/>
  <c r="D4" i="6"/>
  <c r="D5" i="6"/>
  <c r="D6" i="6"/>
  <c r="D7" i="6"/>
  <c r="D8" i="6"/>
  <c r="D9" i="6"/>
  <c r="D10" i="6"/>
  <c r="D11" i="6"/>
  <c r="D12" i="6"/>
  <c r="D3" i="6"/>
  <c r="C4" i="6"/>
  <c r="C5" i="6"/>
  <c r="C6" i="6"/>
  <c r="C7" i="6"/>
  <c r="C8" i="6"/>
  <c r="C9" i="6"/>
  <c r="C10" i="6"/>
  <c r="C11" i="6"/>
  <c r="C12" i="6"/>
  <c r="C3" i="6"/>
  <c r="O9" i="6"/>
  <c r="O10" i="6"/>
  <c r="O11" i="6"/>
  <c r="O12" i="6"/>
  <c r="N9" i="6"/>
  <c r="N10" i="6"/>
  <c r="N11" i="6"/>
  <c r="N12" i="6"/>
  <c r="I9" i="6"/>
  <c r="I10" i="6"/>
  <c r="I11" i="6"/>
  <c r="I12" i="6"/>
  <c r="H9" i="6"/>
  <c r="H10" i="6"/>
  <c r="H11" i="6"/>
  <c r="H12" i="6"/>
  <c r="M9" i="6"/>
  <c r="M10" i="6"/>
  <c r="M11" i="6"/>
  <c r="M12" i="6"/>
  <c r="G9" i="6"/>
  <c r="G10" i="6"/>
  <c r="G11" i="6"/>
  <c r="G12" i="6"/>
  <c r="L9" i="6"/>
  <c r="L10" i="6"/>
  <c r="L11" i="6"/>
  <c r="L12" i="6"/>
  <c r="K9" i="6"/>
  <c r="K10" i="6"/>
  <c r="K11" i="6"/>
  <c r="K12" i="6"/>
  <c r="J9" i="6"/>
  <c r="J10" i="6"/>
  <c r="J11" i="6"/>
  <c r="J12" i="6"/>
  <c r="G23" i="6"/>
  <c r="E3" i="6"/>
  <c r="E4" i="6"/>
  <c r="E5" i="6"/>
  <c r="E6" i="6"/>
  <c r="E7" i="6"/>
  <c r="E8" i="6"/>
  <c r="E9" i="6"/>
  <c r="E10" i="6"/>
  <c r="E11" i="6"/>
  <c r="E12" i="6"/>
  <c r="G18" i="6" l="1"/>
  <c r="G20" i="6"/>
  <c r="G17" i="6"/>
  <c r="G19" i="6"/>
  <c r="M7" i="6" l="1"/>
  <c r="M8" i="6"/>
  <c r="J8" i="6"/>
  <c r="G8" i="6"/>
  <c r="J7" i="6"/>
  <c r="G7" i="6"/>
  <c r="J6" i="6"/>
  <c r="G6" i="6"/>
  <c r="M4" i="6"/>
  <c r="M6" i="6"/>
  <c r="J4" i="6"/>
  <c r="G5" i="6"/>
  <c r="J5" i="6"/>
  <c r="M5" i="6"/>
  <c r="J3" i="6"/>
  <c r="L3" i="6" s="1"/>
  <c r="G3" i="6"/>
  <c r="G4" i="6"/>
  <c r="M3" i="6"/>
  <c r="K8" i="6" l="1"/>
  <c r="L8" i="6"/>
  <c r="L7" i="6"/>
  <c r="K7" i="6"/>
  <c r="K6" i="6"/>
  <c r="L6" i="6"/>
  <c r="L5" i="6"/>
  <c r="K5" i="6"/>
  <c r="H5" i="6" s="1"/>
  <c r="O5" i="6" s="1"/>
  <c r="K3" i="6"/>
  <c r="H3" i="6" s="1"/>
  <c r="L4" i="6"/>
  <c r="K4" i="6"/>
  <c r="H7" i="6" l="1"/>
  <c r="O7" i="6" s="1"/>
  <c r="I8" i="6"/>
  <c r="I7" i="6"/>
  <c r="H8" i="6"/>
  <c r="H6" i="6"/>
  <c r="O6" i="6" s="1"/>
  <c r="I3" i="6"/>
  <c r="N3" i="6" s="1"/>
  <c r="I6" i="6"/>
  <c r="H4" i="6"/>
  <c r="O4" i="6" s="1"/>
  <c r="I4" i="6"/>
  <c r="I5" i="6"/>
  <c r="N5" i="6" s="1"/>
  <c r="O3" i="6"/>
  <c r="N7" i="6" l="1"/>
  <c r="N4" i="6"/>
  <c r="B15" i="6"/>
  <c r="O8" i="6"/>
  <c r="N8" i="6"/>
  <c r="N6" i="6"/>
  <c r="H6" i="4" l="1"/>
  <c r="M33" i="1" s="1"/>
  <c r="H7" i="4"/>
  <c r="M34" i="1" s="1"/>
  <c r="H8" i="4"/>
  <c r="M35" i="1" s="1"/>
  <c r="H9" i="4"/>
  <c r="M36" i="1" s="1"/>
  <c r="H10" i="4"/>
  <c r="M37" i="1" s="1"/>
  <c r="H11" i="4"/>
  <c r="M38" i="1" s="1"/>
  <c r="H12" i="4"/>
  <c r="M39" i="1" s="1"/>
  <c r="H13" i="4"/>
  <c r="M40" i="1" s="1"/>
  <c r="H14" i="4"/>
  <c r="M41" i="1" s="1"/>
  <c r="M32" i="1" l="1"/>
  <c r="L22" i="1"/>
  <c r="B6" i="2" l="1"/>
  <c r="B5" i="2"/>
  <c r="K18" i="4"/>
  <c r="K19" i="4"/>
  <c r="K20" i="4"/>
  <c r="K21" i="4"/>
  <c r="K22" i="4"/>
  <c r="K23" i="4"/>
  <c r="K24" i="4"/>
  <c r="K25" i="4"/>
  <c r="K26" i="4"/>
  <c r="K17" i="4"/>
  <c r="C27" i="1"/>
  <c r="E27" i="1" s="1"/>
  <c r="D27" i="1"/>
  <c r="W3" i="2"/>
  <c r="V3" i="2"/>
  <c r="U3" i="2"/>
  <c r="T3" i="2"/>
  <c r="S3" i="2"/>
  <c r="R3" i="2"/>
  <c r="Q3" i="2"/>
  <c r="P3" i="2"/>
  <c r="O3" i="2"/>
  <c r="N3" i="2"/>
  <c r="M5" i="2"/>
  <c r="M6" i="2"/>
  <c r="M7" i="2"/>
  <c r="M8" i="2"/>
  <c r="M9" i="2"/>
  <c r="M10" i="2"/>
  <c r="M11" i="2"/>
  <c r="M12" i="2"/>
  <c r="M13" i="2"/>
  <c r="M4" i="2"/>
  <c r="A6" i="2"/>
  <c r="C6" i="2" s="1"/>
  <c r="A7" i="2"/>
  <c r="C7" i="2" s="1"/>
  <c r="A8" i="2"/>
  <c r="C8" i="2" s="1"/>
  <c r="A9" i="2"/>
  <c r="C9" i="2" s="1"/>
  <c r="A10" i="2"/>
  <c r="C10" i="2" s="1"/>
  <c r="A11" i="2"/>
  <c r="C11" i="2" s="1"/>
  <c r="A12" i="2"/>
  <c r="C12" i="2" s="1"/>
  <c r="A13" i="2"/>
  <c r="C13" i="2" s="1"/>
  <c r="A14" i="2"/>
  <c r="C14" i="2" s="1"/>
  <c r="B7" i="2"/>
  <c r="B8" i="2"/>
  <c r="B9" i="2"/>
  <c r="B10" i="2"/>
  <c r="B11" i="2"/>
  <c r="B12" i="2"/>
  <c r="B13" i="2"/>
  <c r="B14" i="2"/>
  <c r="A5" i="2"/>
  <c r="N30" i="2" s="1"/>
  <c r="R8" i="2" l="1"/>
  <c r="V10" i="2"/>
  <c r="V9" i="2"/>
  <c r="V8" i="2"/>
  <c r="V4" i="2"/>
  <c r="V11" i="2"/>
  <c r="V7" i="2"/>
  <c r="V6" i="2"/>
  <c r="V5" i="2"/>
  <c r="S12" i="2"/>
  <c r="O12" i="2"/>
  <c r="V12" i="2"/>
  <c r="R12" i="2"/>
  <c r="N12" i="2"/>
  <c r="U12" i="2"/>
  <c r="Q12" i="2"/>
  <c r="T12" i="2"/>
  <c r="P12" i="2"/>
  <c r="U11" i="2"/>
  <c r="S11" i="2"/>
  <c r="P11" i="2"/>
  <c r="R11" i="2"/>
  <c r="O11" i="2"/>
  <c r="T11" i="2"/>
  <c r="Q11" i="2"/>
  <c r="N11" i="2"/>
  <c r="U9" i="2"/>
  <c r="U8" i="2"/>
  <c r="U10" i="2"/>
  <c r="U6" i="2"/>
  <c r="U5" i="2"/>
  <c r="U4" i="2"/>
  <c r="U7" i="2"/>
  <c r="T5" i="2"/>
  <c r="T4" i="2"/>
  <c r="T9" i="2"/>
  <c r="T8" i="2"/>
  <c r="T7" i="2"/>
  <c r="T6" i="2"/>
  <c r="N10" i="2"/>
  <c r="T10" i="2"/>
  <c r="S10" i="2"/>
  <c r="Q10" i="2"/>
  <c r="O10" i="2"/>
  <c r="R10" i="2"/>
  <c r="P10" i="2"/>
  <c r="Q9" i="2"/>
  <c r="S9" i="2"/>
  <c r="O9" i="2"/>
  <c r="R9" i="2"/>
  <c r="P9" i="2"/>
  <c r="N9" i="2"/>
  <c r="S7" i="2"/>
  <c r="S6" i="2"/>
  <c r="S8" i="2"/>
  <c r="S5" i="2"/>
  <c r="S4" i="2"/>
  <c r="S22" i="2"/>
  <c r="S21" i="2"/>
  <c r="S19" i="2"/>
  <c r="S18" i="2"/>
  <c r="S16" i="2"/>
  <c r="S20" i="2"/>
  <c r="S25" i="2"/>
  <c r="S24" i="2"/>
  <c r="S23" i="2"/>
  <c r="S17" i="2"/>
  <c r="R7" i="2"/>
  <c r="R6" i="2"/>
  <c r="R5" i="2"/>
  <c r="R4" i="2"/>
  <c r="M31" i="2"/>
  <c r="H5" i="2"/>
  <c r="C5" i="2"/>
  <c r="M16" i="2"/>
  <c r="T16" i="2" l="1"/>
  <c r="L24" i="4"/>
  <c r="L22" i="4"/>
  <c r="L23" i="4"/>
  <c r="L25" i="4"/>
  <c r="L26" i="4"/>
  <c r="U22" i="2" l="1"/>
  <c r="U16" i="2"/>
  <c r="U23" i="2"/>
  <c r="U21" i="2"/>
  <c r="U20" i="2"/>
  <c r="U19" i="2"/>
  <c r="U18" i="2"/>
  <c r="U17" i="2"/>
  <c r="U25" i="2"/>
  <c r="U24" i="2"/>
  <c r="N18" i="2"/>
  <c r="N20" i="2"/>
  <c r="N21" i="2"/>
  <c r="N22" i="2"/>
  <c r="N23" i="2"/>
  <c r="N24" i="2"/>
  <c r="N16" i="2"/>
  <c r="N19" i="2"/>
  <c r="W30" i="2"/>
  <c r="V30" i="2"/>
  <c r="U30" i="2"/>
  <c r="T30" i="2"/>
  <c r="S30" i="2"/>
  <c r="R30" i="2"/>
  <c r="Q30" i="2"/>
  <c r="P30" i="2"/>
  <c r="O30" i="2"/>
  <c r="M32" i="2"/>
  <c r="M33" i="2"/>
  <c r="M34" i="2"/>
  <c r="M35" i="2"/>
  <c r="M36" i="2"/>
  <c r="M37" i="2"/>
  <c r="M38" i="2"/>
  <c r="M39" i="2"/>
  <c r="M40" i="2"/>
  <c r="N25" i="2"/>
  <c r="O25" i="2" s="1"/>
  <c r="M17" i="2"/>
  <c r="M18" i="2"/>
  <c r="M19" i="2"/>
  <c r="M20" i="2"/>
  <c r="M21" i="2"/>
  <c r="M22" i="2"/>
  <c r="M23" i="2"/>
  <c r="M24" i="2"/>
  <c r="M25" i="2"/>
  <c r="V16" i="2" l="1"/>
  <c r="W38" i="2"/>
  <c r="W36" i="2"/>
  <c r="V36" i="2"/>
  <c r="W32" i="2"/>
  <c r="V40" i="2"/>
  <c r="W31" i="2"/>
  <c r="W34" i="2"/>
  <c r="U36" i="2"/>
  <c r="V33" i="2"/>
  <c r="T40" i="2"/>
  <c r="S40" i="2"/>
  <c r="W37" i="2"/>
  <c r="P38" i="2"/>
  <c r="Q40" i="2"/>
  <c r="W35" i="2"/>
  <c r="N40" i="2"/>
  <c r="P40" i="2"/>
  <c r="W33" i="2"/>
  <c r="S38" i="2"/>
  <c r="U37" i="2"/>
  <c r="W39" i="2"/>
  <c r="O24" i="2" s="1"/>
  <c r="T39" i="2"/>
  <c r="U39" i="2"/>
  <c r="S33" i="2"/>
  <c r="T38" i="2"/>
  <c r="R38" i="2"/>
  <c r="Q38" i="2"/>
  <c r="N38" i="2"/>
  <c r="V32" i="2"/>
  <c r="V31" i="2"/>
  <c r="F16" i="2"/>
  <c r="N17" i="2"/>
  <c r="U31" i="2"/>
  <c r="U40" i="2"/>
  <c r="S39" i="2"/>
  <c r="R39" i="2"/>
  <c r="Q39" i="2"/>
  <c r="V35" i="2"/>
  <c r="N39" i="2"/>
  <c r="P39" i="2"/>
  <c r="V34" i="2"/>
  <c r="V38" i="2"/>
  <c r="V37" i="2"/>
  <c r="U35" i="2"/>
  <c r="U34" i="2"/>
  <c r="U33" i="2"/>
  <c r="U32" i="2"/>
  <c r="T33" i="2"/>
  <c r="T32" i="2"/>
  <c r="Q37" i="2"/>
  <c r="R40" i="2"/>
  <c r="S34" i="2"/>
  <c r="N37" i="2"/>
  <c r="T31" i="2"/>
  <c r="S37" i="2"/>
  <c r="R37" i="2"/>
  <c r="T34" i="2"/>
  <c r="P37" i="2"/>
  <c r="T36" i="2"/>
  <c r="T35" i="2"/>
  <c r="N36" i="2"/>
  <c r="R36" i="2"/>
  <c r="S32" i="2"/>
  <c r="Q36" i="2"/>
  <c r="P36" i="2"/>
  <c r="S31" i="2"/>
  <c r="S35" i="2"/>
  <c r="D24" i="1"/>
  <c r="D25" i="1"/>
  <c r="D26" i="1"/>
  <c r="D19" i="1"/>
  <c r="D20" i="1"/>
  <c r="D21" i="1"/>
  <c r="D22" i="1"/>
  <c r="D23" i="1"/>
  <c r="D18" i="1"/>
  <c r="C19" i="1"/>
  <c r="C20" i="1"/>
  <c r="C21" i="1"/>
  <c r="C22" i="1"/>
  <c r="C23" i="1"/>
  <c r="C24" i="1"/>
  <c r="E24" i="1" s="1"/>
  <c r="C25" i="1"/>
  <c r="E25" i="1" s="1"/>
  <c r="C26" i="1"/>
  <c r="E26" i="1" s="1"/>
  <c r="C18" i="1"/>
  <c r="A18" i="4" l="1"/>
  <c r="P3" i="4"/>
  <c r="B36" i="4"/>
  <c r="D20" i="4"/>
  <c r="B4" i="4" s="1"/>
  <c r="O40" i="2"/>
  <c r="O22" i="2"/>
  <c r="O23" i="2"/>
  <c r="O38" i="2"/>
  <c r="O39" i="2"/>
  <c r="O36" i="2"/>
  <c r="O37" i="2"/>
  <c r="O21" i="2"/>
  <c r="O20" i="2"/>
  <c r="F4" i="4" l="1"/>
  <c r="A4" i="3"/>
  <c r="A5" i="3" s="1"/>
  <c r="Q6" i="2" l="1"/>
  <c r="Q33" i="2" s="1"/>
  <c r="Q4" i="2"/>
  <c r="Q31" i="2" s="1"/>
  <c r="Q8" i="2"/>
  <c r="Q35" i="2" s="1"/>
  <c r="Q7" i="2"/>
  <c r="Q5" i="2"/>
  <c r="Q32" i="2" s="1"/>
  <c r="A6" i="3"/>
  <c r="A7" i="3" s="1"/>
  <c r="A8" i="3" s="1"/>
  <c r="A9" i="3" s="1"/>
  <c r="A10" i="3" s="1"/>
  <c r="E18" i="1"/>
  <c r="E19" i="1"/>
  <c r="E20" i="1"/>
  <c r="E21" i="1"/>
  <c r="E22" i="1"/>
  <c r="E23" i="1"/>
  <c r="D12" i="2"/>
  <c r="D13" i="2"/>
  <c r="D14" i="2"/>
  <c r="D11" i="2"/>
  <c r="A11" i="3" l="1"/>
  <c r="A12" i="3" s="1"/>
  <c r="N8" i="2"/>
  <c r="N6" i="2"/>
  <c r="N4" i="2"/>
  <c r="N7" i="2"/>
  <c r="N5" i="2"/>
  <c r="S40" i="1"/>
  <c r="S33" i="1"/>
  <c r="S41" i="1"/>
  <c r="S39" i="1"/>
  <c r="S35" i="1"/>
  <c r="S37" i="1"/>
  <c r="S36" i="1"/>
  <c r="S34" i="1"/>
  <c r="S38" i="1"/>
  <c r="A13" i="3"/>
  <c r="A14" i="3" s="1"/>
  <c r="A15" i="3" s="1"/>
  <c r="A16" i="3" s="1"/>
  <c r="R33" i="2"/>
  <c r="O18" i="2" s="1"/>
  <c r="R32" i="2"/>
  <c r="R34" i="2"/>
  <c r="O19" i="2" s="1"/>
  <c r="R31" i="2"/>
  <c r="F21" i="1"/>
  <c r="F22" i="1"/>
  <c r="F20" i="1"/>
  <c r="I7" i="4" s="1"/>
  <c r="F19" i="1"/>
  <c r="F18" i="1"/>
  <c r="I5" i="4" s="1"/>
  <c r="F27" i="1"/>
  <c r="F25" i="1"/>
  <c r="F24" i="1"/>
  <c r="F26" i="1"/>
  <c r="F23" i="1"/>
  <c r="D9" i="2"/>
  <c r="D6" i="2"/>
  <c r="D10" i="2"/>
  <c r="D5" i="2"/>
  <c r="D7" i="2"/>
  <c r="D8" i="2"/>
  <c r="I9" i="2"/>
  <c r="J9" i="2" s="1"/>
  <c r="I10" i="2"/>
  <c r="J10" i="2" s="1"/>
  <c r="I14" i="2"/>
  <c r="J14" i="2" s="1"/>
  <c r="H14" i="2"/>
  <c r="I13" i="2"/>
  <c r="J13" i="2" s="1"/>
  <c r="H13" i="2"/>
  <c r="I12" i="2"/>
  <c r="J12" i="2" s="1"/>
  <c r="H12" i="2"/>
  <c r="I11" i="2"/>
  <c r="J11" i="2" s="1"/>
  <c r="H11" i="2"/>
  <c r="H10" i="2"/>
  <c r="H9" i="2"/>
  <c r="H8" i="2"/>
  <c r="H7" i="2"/>
  <c r="I7" i="2"/>
  <c r="J7" i="2" s="1"/>
  <c r="H6" i="2"/>
  <c r="S32" i="1" l="1"/>
  <c r="I14" i="4"/>
  <c r="H27" i="1"/>
  <c r="A17" i="3"/>
  <c r="A18" i="3" s="1"/>
  <c r="H26" i="1"/>
  <c r="I13" i="4"/>
  <c r="H24" i="1"/>
  <c r="I11" i="4"/>
  <c r="H25" i="1"/>
  <c r="I12" i="4"/>
  <c r="I5" i="2"/>
  <c r="J5" i="2" s="1"/>
  <c r="I6" i="2"/>
  <c r="J6" i="2" s="1"/>
  <c r="I8" i="2"/>
  <c r="J8" i="2" s="1"/>
  <c r="E3" i="1"/>
  <c r="E4" i="1"/>
  <c r="E5" i="1"/>
  <c r="E6" i="1"/>
  <c r="E7" i="1"/>
  <c r="E9" i="1"/>
  <c r="E10" i="1"/>
  <c r="E11" i="1"/>
  <c r="E12" i="1"/>
  <c r="E13" i="1"/>
  <c r="E14" i="1"/>
  <c r="E2" i="1"/>
  <c r="J2" i="1"/>
  <c r="N6" i="1" s="1"/>
  <c r="J9" i="1"/>
  <c r="N13" i="1" s="1"/>
  <c r="A19" i="3" l="1"/>
  <c r="L6" i="4"/>
  <c r="I10" i="4"/>
  <c r="I8" i="4"/>
  <c r="I6" i="4"/>
  <c r="I9" i="4"/>
  <c r="F2" i="1"/>
  <c r="H2" i="1" s="1"/>
  <c r="E3" i="2"/>
  <c r="F5" i="1"/>
  <c r="H5" i="1" s="1"/>
  <c r="F4" i="1"/>
  <c r="H4" i="1" s="1"/>
  <c r="F3" i="1"/>
  <c r="H3" i="1" s="1"/>
  <c r="J6" i="1"/>
  <c r="G3" i="1" s="1"/>
  <c r="F6" i="1"/>
  <c r="H6" i="1" s="1"/>
  <c r="J13" i="1"/>
  <c r="F7" i="1"/>
  <c r="H7" i="1" s="1"/>
  <c r="F13" i="1"/>
  <c r="F10" i="1"/>
  <c r="F12" i="1"/>
  <c r="F14" i="1"/>
  <c r="F9" i="1"/>
  <c r="F11" i="1"/>
  <c r="A20" i="3" l="1"/>
  <c r="A21" i="3" s="1"/>
  <c r="A22" i="3" s="1"/>
  <c r="P5" i="2"/>
  <c r="P32" i="2" s="1"/>
  <c r="O17" i="2" s="1"/>
  <c r="P8" i="2"/>
  <c r="P35" i="2" s="1"/>
  <c r="P7" i="2"/>
  <c r="P34" i="2" s="1"/>
  <c r="P4" i="2"/>
  <c r="P31" i="2" s="1"/>
  <c r="P6" i="2"/>
  <c r="N6" i="4"/>
  <c r="H24" i="4"/>
  <c r="H26" i="4" s="1"/>
  <c r="I15" i="4"/>
  <c r="N35" i="2"/>
  <c r="N33" i="2"/>
  <c r="N32" i="2"/>
  <c r="N34" i="2"/>
  <c r="E6" i="2"/>
  <c r="E5" i="2"/>
  <c r="E13" i="2"/>
  <c r="E14" i="2"/>
  <c r="E11" i="2"/>
  <c r="E12" i="2"/>
  <c r="H23" i="1"/>
  <c r="H18" i="1"/>
  <c r="H22" i="1"/>
  <c r="H19" i="1"/>
  <c r="H21" i="1"/>
  <c r="H20" i="1"/>
  <c r="E10" i="2"/>
  <c r="E7" i="2"/>
  <c r="E8" i="2"/>
  <c r="E9" i="2"/>
  <c r="G2" i="1"/>
  <c r="G5" i="1"/>
  <c r="G6" i="1"/>
  <c r="G7" i="1"/>
  <c r="G4" i="1"/>
  <c r="G14" i="1"/>
  <c r="H14" i="1"/>
  <c r="H12" i="1"/>
  <c r="G12" i="1"/>
  <c r="G10" i="1"/>
  <c r="H10" i="1"/>
  <c r="G13" i="1"/>
  <c r="H13" i="1"/>
  <c r="G11" i="1"/>
  <c r="H11" i="1"/>
  <c r="H9" i="1"/>
  <c r="G9" i="1"/>
  <c r="A23" i="3" l="1"/>
  <c r="A24" i="3" s="1"/>
  <c r="A25" i="3" s="1"/>
  <c r="A26" i="3" s="1"/>
  <c r="A27" i="3" s="1"/>
  <c r="O6" i="2"/>
  <c r="O8" i="2"/>
  <c r="O4" i="2"/>
  <c r="O5" i="2"/>
  <c r="L18" i="4" s="1"/>
  <c r="O7" i="2"/>
  <c r="H29" i="4"/>
  <c r="H30" i="4"/>
  <c r="H28" i="4"/>
  <c r="H33" i="4"/>
  <c r="H34" i="4"/>
  <c r="H32" i="4"/>
  <c r="I24" i="4"/>
  <c r="H27" i="4"/>
  <c r="H25" i="4"/>
  <c r="H31" i="4"/>
  <c r="L4" i="4"/>
  <c r="A16" i="4" s="1"/>
  <c r="O34" i="2" l="1"/>
  <c r="L20" i="4"/>
  <c r="O35" i="2"/>
  <c r="L21" i="4"/>
  <c r="O33" i="2"/>
  <c r="L19" i="4"/>
  <c r="O31" i="2"/>
  <c r="O16" i="2" s="1"/>
  <c r="L8" i="4" s="1"/>
  <c r="L17" i="4"/>
  <c r="M11" i="4" l="1"/>
  <c r="M12" i="4"/>
  <c r="M10" i="4"/>
</calcChain>
</file>

<file path=xl/connections.xml><?xml version="1.0" encoding="utf-8"?>
<connections xmlns="http://schemas.openxmlformats.org/spreadsheetml/2006/main">
  <connection id="1" name="YangZhang HEA data" type="6" refreshedVersion="4" background="1" saveData="1">
    <textPr sourceFile="C:\Users\Patrick\Documents\PhD\YangZhang HEA data.txt" comma="1" qualifier="none">
      <textFields count="8">
        <textField type="text"/>
        <textField type="text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<sst xmlns="http://schemas.openxmlformats.org/spreadsheetml/2006/main" count="901" uniqueCount="401">
  <si>
    <t>Element</t>
  </si>
  <si>
    <t>at%</t>
  </si>
  <si>
    <t>Atomic wt</t>
  </si>
  <si>
    <t>Ti</t>
  </si>
  <si>
    <t>Al</t>
  </si>
  <si>
    <t>Co</t>
  </si>
  <si>
    <t>Cr</t>
  </si>
  <si>
    <t>Fe</t>
  </si>
  <si>
    <t>Ni</t>
  </si>
  <si>
    <t>Mg</t>
  </si>
  <si>
    <t>Li</t>
  </si>
  <si>
    <t>Zn</t>
  </si>
  <si>
    <t>Ga</t>
  </si>
  <si>
    <t>Ag</t>
  </si>
  <si>
    <t>Density</t>
  </si>
  <si>
    <t>wt%</t>
  </si>
  <si>
    <r>
      <t>Calculated density (g/cm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</si>
  <si>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t>at wt*at%</t>
  </si>
  <si>
    <r>
      <t>Required Volume (cm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</si>
  <si>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t xml:space="preserve">or </t>
  </si>
  <si>
    <t>Required wt</t>
  </si>
  <si>
    <t>g</t>
  </si>
  <si>
    <r>
      <t>cm</t>
    </r>
    <r>
      <rPr>
        <vertAlign val="superscript"/>
        <sz val="11"/>
        <color theme="1"/>
        <rFont val="Calibri"/>
        <family val="2"/>
        <scheme val="minor"/>
      </rPr>
      <t>3</t>
    </r>
  </si>
  <si>
    <t>wt (g) (V)</t>
  </si>
  <si>
    <t>wt(g) (wt)</t>
  </si>
  <si>
    <t>Lattice Misfit Calculator</t>
  </si>
  <si>
    <t>Entropy Calculator</t>
  </si>
  <si>
    <t>Enthalpy Calculator</t>
  </si>
  <si>
    <t>δ =</t>
  </si>
  <si>
    <t>%</t>
  </si>
  <si>
    <t>rbar =</t>
  </si>
  <si>
    <r>
      <t>ΔS</t>
    </r>
    <r>
      <rPr>
        <vertAlign val="subscript"/>
        <sz val="11"/>
        <color theme="1"/>
        <rFont val="Calibri"/>
        <family val="2"/>
      </rPr>
      <t xml:space="preserve">mix      </t>
    </r>
    <r>
      <rPr>
        <sz val="11"/>
        <color theme="1"/>
        <rFont val="Calibri"/>
        <family val="2"/>
      </rPr>
      <t>=</t>
    </r>
  </si>
  <si>
    <r>
      <t>J</t>
    </r>
    <r>
      <rPr>
        <sz val="11"/>
        <color theme="1"/>
        <rFont val="Calibri"/>
        <family val="2"/>
      </rPr>
      <t>·K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>·mol</t>
    </r>
    <r>
      <rPr>
        <vertAlign val="superscript"/>
        <sz val="11"/>
        <color theme="1"/>
        <rFont val="Calibri"/>
        <family val="2"/>
      </rPr>
      <t>-1</t>
    </r>
  </si>
  <si>
    <r>
      <rPr>
        <i/>
        <sz val="11"/>
        <color theme="1"/>
        <rFont val="Calibri"/>
        <family val="2"/>
        <scheme val="minor"/>
      </rPr>
      <t>r</t>
    </r>
    <r>
      <rPr>
        <i/>
        <vertAlign val="subscript"/>
        <sz val="11"/>
        <color theme="1"/>
        <rFont val="Calibri"/>
        <family val="2"/>
        <scheme val="minor"/>
      </rPr>
      <t>i</t>
    </r>
  </si>
  <si>
    <r>
      <t>c</t>
    </r>
    <r>
      <rPr>
        <i/>
        <vertAlign val="subscript"/>
        <sz val="11"/>
        <color theme="1"/>
        <rFont val="Calibri"/>
        <family val="2"/>
        <scheme val="minor"/>
      </rPr>
      <t>i</t>
    </r>
  </si>
  <si>
    <r>
      <t>c</t>
    </r>
    <r>
      <rPr>
        <i/>
        <vertAlign val="subscript"/>
        <sz val="11"/>
        <color theme="1"/>
        <rFont val="Calibri"/>
        <family val="2"/>
        <scheme val="minor"/>
      </rPr>
      <t>i</t>
    </r>
    <r>
      <rPr>
        <i/>
        <sz val="11"/>
        <color theme="1"/>
        <rFont val="Calibri"/>
        <family val="2"/>
        <scheme val="minor"/>
      </rPr>
      <t>r</t>
    </r>
    <r>
      <rPr>
        <i/>
        <vertAlign val="subscript"/>
        <sz val="11"/>
        <color theme="1"/>
        <rFont val="Calibri"/>
        <family val="2"/>
        <scheme val="minor"/>
      </rPr>
      <t>i</t>
    </r>
  </si>
  <si>
    <t>ci(1-ri/rbar)^2</t>
  </si>
  <si>
    <r>
      <rPr>
        <i/>
        <sz val="11"/>
        <color theme="1"/>
        <rFont val="Calibri"/>
        <family val="2"/>
        <scheme val="minor"/>
      </rPr>
      <t>c</t>
    </r>
    <r>
      <rPr>
        <i/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ln(</t>
    </r>
    <r>
      <rPr>
        <i/>
        <sz val="11"/>
        <color theme="1"/>
        <rFont val="Calibri"/>
        <family val="2"/>
        <scheme val="minor"/>
      </rPr>
      <t>c</t>
    </r>
    <r>
      <rPr>
        <i/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)</t>
    </r>
  </si>
  <si>
    <t>-</t>
  </si>
  <si>
    <r>
      <rPr>
        <sz val="11"/>
        <color theme="1"/>
        <rFont val="Calibri"/>
        <family val="2"/>
      </rPr>
      <t>Δ</t>
    </r>
    <r>
      <rPr>
        <sz val="11"/>
        <color theme="1"/>
        <rFont val="Calibri"/>
        <family val="2"/>
        <scheme val="minor"/>
      </rPr>
      <t>H for ith</t>
    </r>
  </si>
  <si>
    <r>
      <t>ΔH</t>
    </r>
    <r>
      <rPr>
        <vertAlign val="subscript"/>
        <sz val="11"/>
        <color theme="1"/>
        <rFont val="Calibri"/>
        <family val="2"/>
      </rPr>
      <t xml:space="preserve">mix      </t>
    </r>
    <r>
      <rPr>
        <sz val="11"/>
        <color theme="1"/>
        <rFont val="Calibri"/>
        <family val="2"/>
      </rPr>
      <t>=</t>
    </r>
  </si>
  <si>
    <r>
      <t>kJ</t>
    </r>
    <r>
      <rPr>
        <sz val="11"/>
        <color theme="1"/>
        <rFont val="Calibri"/>
        <family val="2"/>
      </rPr>
      <t>·</t>
    </r>
    <r>
      <rPr>
        <sz val="11"/>
        <color theme="1"/>
        <rFont val="Calibri"/>
        <family val="2"/>
      </rPr>
      <t>mol</t>
    </r>
    <r>
      <rPr>
        <vertAlign val="superscript"/>
        <sz val="11"/>
        <color theme="1"/>
        <rFont val="Calibri"/>
        <family val="2"/>
      </rPr>
      <t>-1</t>
    </r>
  </si>
  <si>
    <r>
      <t>r</t>
    </r>
    <r>
      <rPr>
        <i/>
        <vertAlign val="subscript"/>
        <sz val="11"/>
        <color theme="1"/>
        <rFont val="Calibri"/>
        <family val="2"/>
        <scheme val="minor"/>
      </rPr>
      <t>i</t>
    </r>
  </si>
  <si>
    <t>Atomic Radius</t>
  </si>
  <si>
    <t>Atomic Percent</t>
  </si>
  <si>
    <t>Input value</t>
  </si>
  <si>
    <t>Answer</t>
  </si>
  <si>
    <t>Symbol</t>
  </si>
  <si>
    <t>Radius/Å</t>
  </si>
  <si>
    <t>Be</t>
  </si>
  <si>
    <t>B</t>
  </si>
  <si>
    <t>C</t>
  </si>
  <si>
    <t>N</t>
  </si>
  <si>
    <t>O</t>
  </si>
  <si>
    <t>Na</t>
  </si>
  <si>
    <t>Si</t>
  </si>
  <si>
    <t>P</t>
  </si>
  <si>
    <t>S</t>
  </si>
  <si>
    <t>K</t>
  </si>
  <si>
    <t>Ca</t>
  </si>
  <si>
    <t>Sc</t>
  </si>
  <si>
    <t>V</t>
  </si>
  <si>
    <t>Mn</t>
  </si>
  <si>
    <t>Cu</t>
  </si>
  <si>
    <t>Ge</t>
  </si>
  <si>
    <t>Se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</si>
  <si>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</si>
  <si>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</si>
  <si>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</si>
  <si>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</si>
  <si>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</si>
  <si>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</si>
  <si>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</si>
  <si>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</si>
  <si>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</si>
  <si>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</si>
  <si>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Cd</t>
  </si>
  <si>
    <t>In</t>
  </si>
  <si>
    <t>Sn</t>
  </si>
  <si>
    <t>Te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</si>
  <si>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</si>
  <si>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</si>
  <si>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</si>
  <si>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</si>
  <si>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</si>
  <si>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</si>
  <si>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</si>
  <si>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</si>
  <si>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</si>
  <si>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</si>
  <si>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</si>
  <si>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</si>
  <si>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</si>
  <si>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</si>
  <si>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</si>
  <si>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</si>
  <si>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</si>
  <si>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</si>
  <si>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</si>
  <si>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</si>
  <si>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</si>
  <si>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</si>
  <si>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</si>
  <si>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</si>
  <si>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</si>
  <si>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Tl</t>
  </si>
  <si>
    <t>Pb</t>
  </si>
  <si>
    <t>Po</t>
  </si>
  <si>
    <t>Th</t>
  </si>
  <si>
    <t>Pa</t>
  </si>
  <si>
    <t>U</t>
  </si>
  <si>
    <t>density</t>
  </si>
  <si>
    <t>at wt</t>
  </si>
  <si>
    <t>Heat of mixing Values</t>
  </si>
  <si>
    <t>Gibbs Free Energy</t>
  </si>
  <si>
    <t>ΔG (kJ/mol) at 2000K</t>
  </si>
  <si>
    <t>ΔG (kJ/mol) at 1000K</t>
  </si>
  <si>
    <t>ΔG (kJ/mol) at 298K</t>
  </si>
  <si>
    <t>Delta H * Cj</t>
  </si>
  <si>
    <t>Charges</t>
  </si>
  <si>
    <t>wt (g)</t>
  </si>
  <si>
    <t>(Leave one blank)</t>
  </si>
  <si>
    <t>wt =</t>
  </si>
  <si>
    <t>V =</t>
  </si>
  <si>
    <t>Thermodynamics</t>
  </si>
  <si>
    <r>
      <t>ΔG</t>
    </r>
    <r>
      <rPr>
        <vertAlign val="subscript"/>
        <sz val="11"/>
        <color theme="1"/>
        <rFont val="Calibri"/>
        <family val="2"/>
      </rPr>
      <t>mix</t>
    </r>
    <r>
      <rPr>
        <sz val="11"/>
        <color theme="1"/>
        <rFont val="Calibri"/>
        <family val="2"/>
      </rPr>
      <t xml:space="preserve">(298K)          = </t>
    </r>
  </si>
  <si>
    <r>
      <t>ΔG</t>
    </r>
    <r>
      <rPr>
        <vertAlign val="subscript"/>
        <sz val="11"/>
        <color theme="1"/>
        <rFont val="Calibri"/>
        <family val="2"/>
      </rPr>
      <t>mix</t>
    </r>
    <r>
      <rPr>
        <sz val="11"/>
        <color theme="1"/>
        <rFont val="Calibri"/>
        <family val="2"/>
      </rPr>
      <t xml:space="preserve">(1000K)       = </t>
    </r>
  </si>
  <si>
    <r>
      <t>ΔG</t>
    </r>
    <r>
      <rPr>
        <vertAlign val="subscript"/>
        <sz val="11"/>
        <color theme="1"/>
        <rFont val="Calibri"/>
        <family val="2"/>
      </rPr>
      <t>mix</t>
    </r>
    <r>
      <rPr>
        <sz val="11"/>
        <color theme="1"/>
        <rFont val="Calibri"/>
        <family val="2"/>
      </rPr>
      <t xml:space="preserve">(2000K)       = </t>
    </r>
  </si>
  <si>
    <r>
      <t>kJ</t>
    </r>
    <r>
      <rPr>
        <sz val="11"/>
        <color theme="1"/>
        <rFont val="Calibri"/>
        <family val="2"/>
      </rPr>
      <t>·mol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  <scheme val="minor"/>
      </rPr>
      <t/>
    </r>
  </si>
  <si>
    <r>
      <t>kJ</t>
    </r>
    <r>
      <rPr>
        <sz val="11"/>
        <color theme="1"/>
        <rFont val="Calibri"/>
        <family val="2"/>
      </rPr>
      <t>·mol</t>
    </r>
    <r>
      <rPr>
        <vertAlign val="superscript"/>
        <sz val="11"/>
        <color theme="1"/>
        <rFont val="Calibri"/>
        <family val="2"/>
      </rPr>
      <t>-1</t>
    </r>
  </si>
  <si>
    <r>
      <t>Required Volume (cm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</si>
  <si>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t>Total Sol.</t>
  </si>
  <si>
    <r>
      <t>Total ΔH</t>
    </r>
    <r>
      <rPr>
        <vertAlign val="subscript"/>
        <sz val="11"/>
        <color theme="1"/>
        <rFont val="Calibri"/>
        <family val="2"/>
      </rPr>
      <t>mix</t>
    </r>
    <r>
      <rPr>
        <sz val="11"/>
        <color theme="1"/>
        <rFont val="Calibri"/>
        <family val="2"/>
      </rPr>
      <t xml:space="preserve"> of each Element in Solution</t>
    </r>
  </si>
  <si>
    <r>
      <rPr>
        <sz val="11"/>
        <color theme="1"/>
        <rFont val="Calibri"/>
        <family val="2"/>
      </rPr>
      <t xml:space="preserve">µ, </t>
    </r>
    <r>
      <rPr>
        <sz val="11"/>
        <color theme="1"/>
        <rFont val="Calibri"/>
        <family val="2"/>
        <scheme val="minor"/>
      </rPr>
      <t>Shear modulus (Pa)</t>
    </r>
  </si>
  <si>
    <t>K, Bulk modulus (Pa)</t>
  </si>
  <si>
    <t>ξ</t>
  </si>
  <si>
    <t>Radius (Å)</t>
  </si>
  <si>
    <r>
      <rPr>
        <sz val="11"/>
        <color theme="1"/>
        <rFont val="Calibri"/>
        <family val="2"/>
      </rPr>
      <t>µ</t>
    </r>
    <r>
      <rPr>
        <vertAlign val="subscript"/>
        <sz val="11"/>
        <color theme="1"/>
        <rFont val="Calibri"/>
        <family val="2"/>
      </rPr>
      <t>A</t>
    </r>
  </si>
  <si>
    <r>
      <t>v</t>
    </r>
    <r>
      <rPr>
        <vertAlign val="subscript"/>
        <sz val="11"/>
        <color theme="1"/>
        <rFont val="Calibri"/>
        <family val="2"/>
        <scheme val="minor"/>
      </rPr>
      <t>A</t>
    </r>
  </si>
  <si>
    <r>
      <t>Shear Modulus (</t>
    </r>
    <r>
      <rPr>
        <sz val="11"/>
        <color theme="1"/>
        <rFont val="Calibri"/>
        <family val="2"/>
      </rPr>
      <t>µ)</t>
    </r>
  </si>
  <si>
    <t>Bulk Modulus (K)</t>
  </si>
  <si>
    <t xml:space="preserve">Radius (R) </t>
  </si>
  <si>
    <r>
      <t>Atomic Volume (</t>
    </r>
    <r>
      <rPr>
        <i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)</t>
    </r>
  </si>
  <si>
    <t>η</t>
  </si>
  <si>
    <r>
      <t>R</t>
    </r>
    <r>
      <rPr>
        <vertAlign val="subscript"/>
        <sz val="11"/>
        <color theme="1"/>
        <rFont val="Calibri"/>
        <family val="2"/>
        <scheme val="minor"/>
      </rPr>
      <t>A</t>
    </r>
  </si>
  <si>
    <r>
      <rPr>
        <sz val="11"/>
        <color theme="1"/>
        <rFont val="Calibri"/>
        <family val="2"/>
      </rPr>
      <t>γ</t>
    </r>
    <r>
      <rPr>
        <vertAlign val="subscript"/>
        <sz val="11"/>
        <color theme="1"/>
        <rFont val="Calibri"/>
        <family val="2"/>
      </rPr>
      <t>j</t>
    </r>
  </si>
  <si>
    <r>
      <t>X</t>
    </r>
    <r>
      <rPr>
        <vertAlign val="subscript"/>
        <sz val="11"/>
        <color theme="1"/>
        <rFont val="Calibri"/>
        <family val="2"/>
      </rPr>
      <t>sj</t>
    </r>
  </si>
  <si>
    <r>
      <t>X</t>
    </r>
    <r>
      <rPr>
        <vertAlign val="subscript"/>
        <sz val="11"/>
        <color theme="1"/>
        <rFont val="Calibri"/>
        <family val="2"/>
      </rPr>
      <t>ij</t>
    </r>
  </si>
  <si>
    <r>
      <t>K</t>
    </r>
    <r>
      <rPr>
        <vertAlign val="subscript"/>
        <sz val="11"/>
        <color theme="1"/>
        <rFont val="Calibri"/>
        <family val="2"/>
        <scheme val="minor"/>
      </rPr>
      <t>A</t>
    </r>
  </si>
  <si>
    <t>k</t>
  </si>
  <si>
    <t>T</t>
  </si>
  <si>
    <t>0.74 for FCC</t>
  </si>
  <si>
    <t>α</t>
  </si>
  <si>
    <t>β</t>
  </si>
  <si>
    <t>For octahedral sites in a close-packed structure</t>
  </si>
  <si>
    <t xml:space="preserve"> for BCC</t>
  </si>
  <si>
    <t>a</t>
  </si>
  <si>
    <r>
      <t>a</t>
    </r>
    <r>
      <rPr>
        <vertAlign val="subscript"/>
        <sz val="11"/>
        <color theme="1"/>
        <rFont val="Calibri"/>
        <family val="2"/>
        <scheme val="minor"/>
      </rPr>
      <t>j</t>
    </r>
  </si>
  <si>
    <r>
      <t>α</t>
    </r>
    <r>
      <rPr>
        <vertAlign val="subscript"/>
        <sz val="11"/>
        <color theme="1"/>
        <rFont val="Calibri"/>
        <family val="2"/>
      </rPr>
      <t>j</t>
    </r>
  </si>
  <si>
    <r>
      <t>β</t>
    </r>
    <r>
      <rPr>
        <vertAlign val="subscript"/>
        <sz val="11"/>
        <color theme="1"/>
        <rFont val="Calibri"/>
        <family val="2"/>
      </rPr>
      <t>j</t>
    </r>
  </si>
  <si>
    <r>
      <t>R</t>
    </r>
    <r>
      <rPr>
        <vertAlign val="subscript"/>
        <sz val="11"/>
        <color theme="1"/>
        <rFont val="Calibri"/>
        <family val="2"/>
      </rPr>
      <t>j</t>
    </r>
  </si>
  <si>
    <t>Sum term top</t>
  </si>
  <si>
    <t>Sum term bottom</t>
  </si>
  <si>
    <t>Strain value</t>
  </si>
  <si>
    <t>Concentration (At)</t>
  </si>
  <si>
    <r>
      <t>v</t>
    </r>
    <r>
      <rPr>
        <sz val="11"/>
        <color theme="1"/>
        <rFont val="Calibri"/>
        <family val="2"/>
        <scheme val="minor"/>
      </rPr>
      <t>, Atomic volume (m^3)</t>
    </r>
  </si>
  <si>
    <t>Radius</t>
  </si>
  <si>
    <t>Master alloy</t>
  </si>
  <si>
    <t>wt(g)</t>
  </si>
  <si>
    <t>Alphabetical order</t>
  </si>
  <si>
    <t>for master alloy</t>
  </si>
  <si>
    <t>in alloy (at%)</t>
  </si>
  <si>
    <t>Lowest element</t>
  </si>
  <si>
    <t>input</t>
  </si>
  <si>
    <t>Pauling electronegativity</t>
  </si>
  <si>
    <t>no data</t>
  </si>
  <si>
    <t>Parts</t>
  </si>
  <si>
    <t>One of these</t>
  </si>
  <si>
    <t>Pauling Electronegativity</t>
  </si>
  <si>
    <t>Electronegativity</t>
  </si>
  <si>
    <t>χbar</t>
  </si>
  <si>
    <r>
      <t>Ci</t>
    </r>
    <r>
      <rPr>
        <sz val="11"/>
        <color theme="1"/>
        <rFont val="Calibri"/>
        <family val="2"/>
      </rPr>
      <t>χi</t>
    </r>
  </si>
  <si>
    <t>Δχ</t>
  </si>
  <si>
    <t>Ci(χi-χbar)^2</t>
  </si>
  <si>
    <t>Alloys</t>
  </si>
  <si>
    <t>Structure</t>
  </si>
  <si>
    <t>(%)</t>
  </si>
  <si>
    <t>Hmix (kJ mol−1)</t>
  </si>
  <si>
    <t>Smix (J K−1 mol−1)</t>
  </si>
  <si>
    <t>Tm (K)</t>
  </si>
  <si>
    <t>omega</t>
  </si>
  <si>
    <t>Ref</t>
  </si>
  <si>
    <t>CoCrFeNiAl</t>
  </si>
  <si>
    <t xml:space="preserve"> BCC</t>
  </si>
  <si>
    <t>−12.32</t>
  </si>
  <si>
    <t xml:space="preserve"> [1]</t>
  </si>
  <si>
    <t>CoCrFeNiCu</t>
  </si>
  <si>
    <t xml:space="preserve"> FCC</t>
  </si>
  <si>
    <t xml:space="preserve"> [2]</t>
  </si>
  <si>
    <t>CoCrFeNiCuAl0.3</t>
  </si>
  <si>
    <t>CoCrFeNiCuAl0.5</t>
  </si>
  <si>
    <t>−1.52</t>
  </si>
  <si>
    <t>CoCrFeNiCuAl0.8</t>
  </si>
  <si>
    <t xml:space="preserve"> BCC + FCC</t>
  </si>
  <si>
    <t>−3.61</t>
  </si>
  <si>
    <t>CoCrFeNiCuAl</t>
  </si>
  <si>
    <t>−4.78</t>
  </si>
  <si>
    <t>CoCrFeNiCuAl1.3</t>
  </si>
  <si>
    <t>−6.24</t>
  </si>
  <si>
    <t>CoCrFeNiCuAl1.5</t>
  </si>
  <si>
    <t>−7.04</t>
  </si>
  <si>
    <t>CoCrFeNiCuAl1.8</t>
  </si>
  <si>
    <t>−8.08</t>
  </si>
  <si>
    <t>CoCrFeNiCuAl2</t>
  </si>
  <si>
    <t>−8.65</t>
  </si>
  <si>
    <t>CoCrFeNiCuAl2.3</t>
  </si>
  <si>
    <t>−9.38</t>
  </si>
  <si>
    <t>CoCrFeNiCuAl2.5</t>
  </si>
  <si>
    <t>−9.78</t>
  </si>
  <si>
    <t>CoCrFeNiCuAl2.8</t>
  </si>
  <si>
    <t>−10.28</t>
  </si>
  <si>
    <t>CoCrFeNiCuAl3</t>
  </si>
  <si>
    <t>−10.56</t>
  </si>
  <si>
    <t>CoCrFeNiCuAlSi</t>
  </si>
  <si>
    <t>−18.86</t>
  </si>
  <si>
    <t xml:space="preserve"> [3]</t>
  </si>
  <si>
    <t>MnCrFeNiCuAl</t>
  </si>
  <si>
    <t>−5.11</t>
  </si>
  <si>
    <t xml:space="preserve"> [4]</t>
  </si>
  <si>
    <t>CoCrFeNiMnGe</t>
  </si>
  <si>
    <t>−15.17</t>
  </si>
  <si>
    <t xml:space="preserve"> [5]</t>
  </si>
  <si>
    <t>CoCrFeNiMn</t>
  </si>
  <si>
    <t>−4.16</t>
  </si>
  <si>
    <t>CoCrFeNiMnCu</t>
  </si>
  <si>
    <t>CoCrNiCu0.5Al</t>
  </si>
  <si>
    <t>−10.17</t>
  </si>
  <si>
    <t xml:space="preserve"> [6]</t>
  </si>
  <si>
    <t>TiCoCrFeNiCuAlV</t>
  </si>
  <si>
    <t>−13.94</t>
  </si>
  <si>
    <t>CoCrFeNiCu0.5</t>
  </si>
  <si>
    <t xml:space="preserve"> [7]</t>
  </si>
  <si>
    <t>CoCrNiCuAl</t>
  </si>
  <si>
    <t>−6.56</t>
  </si>
  <si>
    <t>CoCuNiAl</t>
  </si>
  <si>
    <t>−8.00</t>
  </si>
  <si>
    <t>CuNiAl</t>
  </si>
  <si>
    <t>−8.44</t>
  </si>
  <si>
    <t>CuNi</t>
  </si>
  <si>
    <t>Co0.5CrFeNiCuAl</t>
  </si>
  <si>
    <t>−4.50</t>
  </si>
  <si>
    <t xml:space="preserve"> [9]</t>
  </si>
  <si>
    <t>CoCr0.5FeNiCuAl</t>
  </si>
  <si>
    <t>−5.02</t>
  </si>
  <si>
    <t>CoCrFe0.5NiCuAl</t>
  </si>
  <si>
    <t>−5.55</t>
  </si>
  <si>
    <t>CoCrFeNi0.5CuAl</t>
  </si>
  <si>
    <t>−3.90</t>
  </si>
  <si>
    <t>CoCrFeNiCu0.5Al</t>
  </si>
  <si>
    <t>−7.93</t>
  </si>
  <si>
    <t>Ti0.5CoCrFeNiCu</t>
  </si>
  <si>
    <t>−3.70</t>
  </si>
  <si>
    <t xml:space="preserve"> [10]</t>
  </si>
  <si>
    <t>Ti0.5CoCrFeNiAl</t>
  </si>
  <si>
    <t xml:space="preserve"> BCC1 + BCC2</t>
  </si>
  <si>
    <t>−17.92</t>
  </si>
  <si>
    <t>TiCoCrFeNiAl</t>
  </si>
  <si>
    <t>−21.56</t>
  </si>
  <si>
    <t>Al11.1(TiCoCrFeNiCuVMn)88.9</t>
  </si>
  <si>
    <t>−12.74</t>
  </si>
  <si>
    <t xml:space="preserve"> [11]</t>
  </si>
  <si>
    <t>Al20(TiCoCrFeNiCuVMn)80</t>
  </si>
  <si>
    <t>−15.44</t>
  </si>
  <si>
    <t>TiCr0.5FeNiCuAl</t>
  </si>
  <si>
    <t>−15.40</t>
  </si>
  <si>
    <t xml:space="preserve"> [8]</t>
  </si>
  <si>
    <t>TiCrFeNiCuAl</t>
  </si>
  <si>
    <t>−13.67</t>
  </si>
  <si>
    <t>TiCr1.5FeNiCuAl</t>
  </si>
  <si>
    <t>−12.26</t>
  </si>
  <si>
    <t>TiCr2FeNiCuAl</t>
  </si>
  <si>
    <t>−11.10</t>
  </si>
  <si>
    <t>TiCr3FeNiCuAl</t>
  </si>
  <si>
    <t>−9.31</t>
  </si>
  <si>
    <t>TiCoCrFeNiCuAl</t>
  </si>
  <si>
    <t xml:space="preserve"> BCC1 + BCC2 + FCC</t>
  </si>
  <si>
    <t>−13.80</t>
  </si>
  <si>
    <t xml:space="preserve"> [12]</t>
  </si>
  <si>
    <t>CoCrFeNiCuAlV</t>
  </si>
  <si>
    <t>−7.76</t>
  </si>
  <si>
    <t>Ti0.5Co1.5CrFeNiAl</t>
  </si>
  <si>
    <t>−17.17</t>
  </si>
  <si>
    <t xml:space="preserve"> [13]</t>
  </si>
  <si>
    <t>Ti0.5Co2CrFeNiAl</t>
  </si>
  <si>
    <t>−16.43</t>
  </si>
  <si>
    <t>Ti0.5Co3CrFeNiAl</t>
  </si>
  <si>
    <t>−14.93</t>
  </si>
  <si>
    <t>Ti0.5CoCrFeNiCu0.75Al0.25</t>
  </si>
  <si>
    <t>−7.28</t>
  </si>
  <si>
    <t xml:space="preserve"> [14]</t>
  </si>
  <si>
    <t>Ti0.5CoCeFeNiCu0.5Al0.5</t>
  </si>
  <si>
    <t>−10.84</t>
  </si>
  <si>
    <t>Ti0.5CoCrFeNiCu0.25Al0.75</t>
  </si>
  <si>
    <t>−15.26</t>
  </si>
  <si>
    <t>CoCrFeNiCu0.25Al</t>
  </si>
  <si>
    <t>−9.94</t>
  </si>
  <si>
    <t xml:space="preserve"> [15]</t>
  </si>
  <si>
    <t>CoFeNiCuV</t>
  </si>
  <si>
    <t>−1.78</t>
  </si>
  <si>
    <t>CoCrFeNiCu0.75Al0.25</t>
  </si>
  <si>
    <t>−0.71</t>
  </si>
  <si>
    <t xml:space="preserve"> [16]</t>
  </si>
  <si>
    <t>CoCrFeNiCu0.5Al0.5</t>
  </si>
  <si>
    <t>−4.60</t>
  </si>
  <si>
    <t>CoCrFeNiCu0.25Al0.75</t>
  </si>
  <si>
    <t>−8.47</t>
  </si>
  <si>
    <t>Ti0.5CoCrFeNiCu0.25Al</t>
  </si>
  <si>
    <t>−15.50</t>
  </si>
  <si>
    <t xml:space="preserve"> [17]</t>
  </si>
  <si>
    <t>Ti0.5CoCrFeNiCu0.5Al</t>
  </si>
  <si>
    <t>−13.42</t>
  </si>
  <si>
    <t>CoCrFeNi</t>
  </si>
  <si>
    <t>−3.75</t>
  </si>
  <si>
    <t>CoCrFeNiAl0.25</t>
  </si>
  <si>
    <t>−6.75</t>
  </si>
  <si>
    <t xml:space="preserve"> [18]</t>
  </si>
  <si>
    <t>CoCrFeNiAl0.375</t>
  </si>
  <si>
    <t>−7.99</t>
  </si>
  <si>
    <t>CoCrFeNiAl0.5</t>
  </si>
  <si>
    <t>−9.09</t>
  </si>
  <si>
    <t>CoCrFeNiAl0.75</t>
  </si>
  <si>
    <t>−10.90</t>
  </si>
  <si>
    <t>CoCrFeNiAl0.875</t>
  </si>
  <si>
    <t>−11.66</t>
  </si>
  <si>
    <t>CoCrFeNiAl1.25</t>
  </si>
  <si>
    <t>CoCrFeNiAl1.5</t>
  </si>
  <si>
    <t>−14.28</t>
  </si>
  <si>
    <t>CoCrFeNiAl2</t>
  </si>
  <si>
    <t>CoCrFeNiAl2.5</t>
  </si>
  <si>
    <t>−16.09</t>
  </si>
  <si>
    <t xml:space="preserve"> [19]</t>
  </si>
  <si>
    <t>CoCrFeNiAl3</t>
  </si>
  <si>
    <t>−16.41</t>
  </si>
  <si>
    <t>MnCrFe1.5Ni0.5Al0.3</t>
  </si>
  <si>
    <t>−5.51</t>
  </si>
  <si>
    <t xml:space="preserve"> [20]</t>
  </si>
  <si>
    <t>MnCrFe1.5Ni0.5Al0.5</t>
  </si>
  <si>
    <t>−6.77</t>
  </si>
  <si>
    <t>MoCrFeNiCu</t>
  </si>
  <si>
    <t>Ti0.5Co1.5CrFeNi1.5</t>
  </si>
  <si>
    <t>−10.74</t>
  </si>
  <si>
    <t xml:space="preserve"> [21]</t>
  </si>
  <si>
    <t>Ti0.5Co1.5CrFeNi1.5Mo0.1</t>
  </si>
  <si>
    <t>−10.64</t>
  </si>
  <si>
    <t>CoCrFeNiCuAl0.5V0.2</t>
  </si>
  <si>
    <t>−2.50</t>
  </si>
  <si>
    <t xml:space="preserve"> [22]</t>
  </si>
  <si>
    <t>CoCrFeNiCuAl0.5V0.4</t>
  </si>
  <si>
    <t>CoCrFeNiCuAl0.5V1.2</t>
  </si>
  <si>
    <t>−5.73</t>
  </si>
  <si>
    <t>CoCrFeNiCuAl0.5V1.4</t>
  </si>
  <si>
    <t>−6.14</t>
  </si>
  <si>
    <t>CoCrFeNiCuAl0.5V1.6</t>
  </si>
  <si>
    <t>−6.50</t>
  </si>
  <si>
    <t>CoCrFeNiCuAl0.5V1.8</t>
  </si>
  <si>
    <t>−6.81</t>
  </si>
  <si>
    <t>CoCrFeNiCuAl0.5V2</t>
  </si>
  <si>
    <t>−7.08</t>
  </si>
  <si>
    <t>MnCrFeNiCu</t>
  </si>
  <si>
    <t>Mn2CrFeNi2Cu</t>
  </si>
  <si>
    <t xml:space="preserve"> [23]</t>
  </si>
  <si>
    <t>MnCr2Fe2NiCu</t>
  </si>
  <si>
    <t>Mn2Cr2Fe2Ni2Cu</t>
  </si>
  <si>
    <t>Mn2CrFe2NiCu2</t>
  </si>
  <si>
    <t>MnCrFe2Ni2Cu2</t>
  </si>
  <si>
    <t>Mn2Cr2FeNi2Cu2</t>
  </si>
  <si>
    <t>MnCr2Fe2Ni2Cu2</t>
  </si>
  <si>
    <t>W27.3Nb22.7Mo25.6Ta24.4</t>
  </si>
  <si>
    <t>−6.49</t>
  </si>
  <si>
    <t xml:space="preserve"> [24]</t>
  </si>
  <si>
    <t>W21.1Nb20.6Mo21.7Ta15.6V21</t>
  </si>
  <si>
    <t>−4.54</t>
  </si>
  <si>
    <t>Ti0.3CoCrFeNi</t>
  </si>
  <si>
    <t xml:space="preserve"> FCC + HCP</t>
  </si>
  <si>
    <t>−8.89</t>
  </si>
  <si>
    <t xml:space="preserve"> [25]</t>
  </si>
  <si>
    <t>Ti0.1CoCrFeNiAl0.3</t>
  </si>
  <si>
    <t>−8.93</t>
  </si>
  <si>
    <t xml:space="preserve"> [26]</t>
  </si>
  <si>
    <t>TiCoNiCuAlZn</t>
  </si>
  <si>
    <t>−17.89</t>
  </si>
  <si>
    <t xml:space="preserve"> [27]</t>
  </si>
  <si>
    <t>CoCrFeNiMo0.3</t>
  </si>
  <si>
    <t>−4.15</t>
  </si>
  <si>
    <t>CoCrFeNiAl0.3Mo0.1</t>
  </si>
  <si>
    <t>−7.26</t>
  </si>
  <si>
    <t>CoCrFeNiCuAlMo0.2</t>
  </si>
  <si>
    <t>−4.47</t>
  </si>
  <si>
    <t xml:space="preserve"> [28]</t>
  </si>
  <si>
    <t>li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</si>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</sst>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"/>
    <numFmt numFmtId="165" formatCode="0.0000E+00"/>
    <numFmt numFmtId="166" formatCode="0.0000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sz val="8"/>
      <color rgb="FF333333"/>
      <name val="Verdana"/>
      <family val="2"/>
    </font>
    <font>
      <sz val="11"/>
      <color rgb="FF333333"/>
      <name val="Calibri"/>
      <family val="2"/>
      <scheme val="minor"/>
    </font>
    <font>
      <sz val="11"/>
      <color rgb="FFB9FFB9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9FFB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FFFAF"/>
        <bgColor indexed="64"/>
      </patternFill>
    </fill>
    <fill>
      <patternFill patternType="solid">
        <fgColor rgb="FFEFFCFF"/>
        <bgColor indexed="64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F9F9F9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E7E7E7"/>
      </left>
      <right/>
      <top style="medium">
        <color rgb="FFE7E7E7"/>
      </top>
      <bottom/>
      <diagonal/>
    </border>
    <border>
      <left/>
      <right/>
      <top style="medium">
        <color rgb="FFE7E7E7"/>
      </top>
      <bottom/>
      <diagonal/>
    </border>
    <border>
      <left style="medium">
        <color rgb="FFE7E7E7"/>
      </left>
      <right/>
      <top/>
      <bottom/>
      <diagonal/>
    </border>
    <border>
      <left style="medium">
        <color rgb="FFE7E7E7"/>
      </left>
      <right/>
      <top/>
      <bottom style="medium">
        <color rgb="FFE7E7E7"/>
      </bottom>
      <diagonal/>
    </border>
    <border>
      <left/>
      <right/>
      <top/>
      <bottom style="medium">
        <color rgb="FFE7E7E7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/>
      <top style="medium">
        <color rgb="FFAAAAAA"/>
      </top>
      <bottom style="medium">
        <color rgb="FFAAAAAA"/>
      </bottom>
      <diagonal/>
    </border>
    <border>
      <left/>
      <right/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6" fillId="6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32">
    <xf numFmtId="0" fontId="0" fillId="0" borderId="0" xfId="0"/>
    <xf numFmtId="0" fontId="0" fillId="0" borderId="0" xfId="0" applyFill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0" fillId="2" borderId="1" xfId="0" applyFill="1" applyBorder="1"/>
    <xf numFmtId="0" fontId="0" fillId="0" borderId="5" xfId="0" applyBorder="1"/>
    <xf numFmtId="0" fontId="2" fillId="2" borderId="9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0" fillId="0" borderId="0" xfId="0" applyBorder="1"/>
    <xf numFmtId="0" fontId="2" fillId="2" borderId="12" xfId="0" applyFont="1" applyFill="1" applyBorder="1"/>
    <xf numFmtId="0" fontId="2" fillId="2" borderId="13" xfId="0" applyFont="1" applyFill="1" applyBorder="1"/>
    <xf numFmtId="0" fontId="2" fillId="2" borderId="14" xfId="0" applyFont="1" applyFill="1" applyBorder="1"/>
    <xf numFmtId="0" fontId="2" fillId="3" borderId="0" xfId="0" applyFont="1" applyFill="1" applyBorder="1"/>
    <xf numFmtId="0" fontId="1" fillId="0" borderId="0" xfId="0" applyFont="1"/>
    <xf numFmtId="0" fontId="4" fillId="4" borderId="12" xfId="0" applyFont="1" applyFill="1" applyBorder="1"/>
    <xf numFmtId="0" fontId="0" fillId="4" borderId="9" xfId="0" applyFill="1" applyBorder="1"/>
    <xf numFmtId="0" fontId="0" fillId="0" borderId="16" xfId="0" applyBorder="1"/>
    <xf numFmtId="0" fontId="4" fillId="4" borderId="16" xfId="0" applyFont="1" applyFill="1" applyBorder="1"/>
    <xf numFmtId="0" fontId="0" fillId="4" borderId="18" xfId="0" applyFill="1" applyBorder="1"/>
    <xf numFmtId="0" fontId="0" fillId="4" borderId="17" xfId="0" applyFill="1" applyBorder="1"/>
    <xf numFmtId="0" fontId="8" fillId="0" borderId="15" xfId="0" applyFont="1" applyBorder="1"/>
    <xf numFmtId="0" fontId="8" fillId="0" borderId="18" xfId="0" applyFont="1" applyBorder="1"/>
    <xf numFmtId="0" fontId="8" fillId="0" borderId="17" xfId="0" applyFont="1" applyBorder="1"/>
    <xf numFmtId="49" fontId="0" fillId="0" borderId="17" xfId="0" applyNumberFormat="1" applyBorder="1"/>
    <xf numFmtId="164" fontId="0" fillId="0" borderId="9" xfId="0" applyNumberFormat="1" applyBorder="1"/>
    <xf numFmtId="49" fontId="0" fillId="0" borderId="3" xfId="0" applyNumberFormat="1" applyBorder="1"/>
    <xf numFmtId="164" fontId="0" fillId="0" borderId="10" xfId="0" applyNumberFormat="1" applyBorder="1"/>
    <xf numFmtId="0" fontId="0" fillId="0" borderId="17" xfId="0" applyBorder="1"/>
    <xf numFmtId="164" fontId="0" fillId="4" borderId="18" xfId="0" applyNumberFormat="1" applyFill="1" applyBorder="1"/>
    <xf numFmtId="0" fontId="0" fillId="0" borderId="0" xfId="0" applyFill="1" applyBorder="1"/>
    <xf numFmtId="49" fontId="0" fillId="0" borderId="4" xfId="0" applyNumberFormat="1" applyBorder="1"/>
    <xf numFmtId="164" fontId="0" fillId="0" borderId="11" xfId="0" applyNumberFormat="1" applyBorder="1"/>
    <xf numFmtId="0" fontId="8" fillId="0" borderId="0" xfId="0" applyFont="1" applyBorder="1"/>
    <xf numFmtId="0" fontId="7" fillId="0" borderId="0" xfId="0" applyFont="1" applyBorder="1" applyAlignment="1">
      <alignment horizontal="center" vertical="center" wrapText="1"/>
    </xf>
    <xf numFmtId="0" fontId="0" fillId="4" borderId="0" xfId="0" applyFill="1"/>
    <xf numFmtId="0" fontId="4" fillId="0" borderId="0" xfId="0" applyFont="1" applyBorder="1" applyAlignment="1">
      <alignment horizontal="center" vertical="center" wrapText="1"/>
    </xf>
    <xf numFmtId="0" fontId="0" fillId="0" borderId="15" xfId="0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10" fillId="0" borderId="0" xfId="0" applyFont="1" applyAlignment="1">
      <alignment vertical="top" wrapText="1"/>
    </xf>
    <xf numFmtId="0" fontId="10" fillId="5" borderId="0" xfId="0" applyFont="1" applyFill="1" applyAlignment="1">
      <alignment vertical="top" wrapText="1"/>
    </xf>
    <xf numFmtId="0" fontId="0" fillId="0" borderId="20" xfId="0" applyBorder="1"/>
    <xf numFmtId="0" fontId="0" fillId="0" borderId="21" xfId="0" applyBorder="1"/>
    <xf numFmtId="0" fontId="10" fillId="0" borderId="22" xfId="0" applyFont="1" applyBorder="1" applyAlignment="1">
      <alignment vertical="top" wrapText="1"/>
    </xf>
    <xf numFmtId="0" fontId="10" fillId="5" borderId="22" xfId="0" applyFont="1" applyFill="1" applyBorder="1" applyAlignment="1">
      <alignment vertical="top" wrapText="1"/>
    </xf>
    <xf numFmtId="0" fontId="10" fillId="0" borderId="23" xfId="0" applyFont="1" applyBorder="1" applyAlignment="1">
      <alignment vertical="top" wrapText="1"/>
    </xf>
    <xf numFmtId="0" fontId="10" fillId="0" borderId="24" xfId="0" applyFont="1" applyBorder="1" applyAlignment="1">
      <alignment vertical="top" wrapText="1"/>
    </xf>
    <xf numFmtId="0" fontId="11" fillId="0" borderId="0" xfId="0" applyFont="1" applyAlignment="1">
      <alignment vertical="top" wrapText="1"/>
    </xf>
    <xf numFmtId="0" fontId="0" fillId="0" borderId="1" xfId="0" applyBorder="1"/>
    <xf numFmtId="165" fontId="0" fillId="0" borderId="10" xfId="0" applyNumberFormat="1" applyFill="1" applyBorder="1"/>
    <xf numFmtId="165" fontId="0" fillId="0" borderId="11" xfId="0" applyNumberFormat="1" applyFill="1" applyBorder="1"/>
    <xf numFmtId="0" fontId="0" fillId="0" borderId="17" xfId="0" applyFill="1" applyBorder="1"/>
    <xf numFmtId="0" fontId="0" fillId="0" borderId="10" xfId="0" applyFill="1" applyBorder="1"/>
    <xf numFmtId="0" fontId="0" fillId="0" borderId="11" xfId="0" applyFill="1" applyBorder="1"/>
    <xf numFmtId="0" fontId="10" fillId="0" borderId="0" xfId="0" applyFont="1" applyFill="1" applyAlignment="1">
      <alignment vertical="top" wrapText="1"/>
    </xf>
    <xf numFmtId="0" fontId="0" fillId="0" borderId="19" xfId="0" applyFill="1" applyBorder="1"/>
    <xf numFmtId="0" fontId="4" fillId="0" borderId="0" xfId="0" applyFont="1"/>
    <xf numFmtId="164" fontId="0" fillId="0" borderId="0" xfId="0" applyNumberFormat="1"/>
    <xf numFmtId="0" fontId="1" fillId="0" borderId="1" xfId="0" applyFont="1" applyBorder="1"/>
    <xf numFmtId="49" fontId="7" fillId="0" borderId="0" xfId="0" applyNumberFormat="1" applyFont="1" applyBorder="1" applyAlignment="1">
      <alignment horizontal="center" vertical="center" wrapText="1"/>
    </xf>
    <xf numFmtId="166" fontId="4" fillId="0" borderId="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Border="1" applyAlignment="1">
      <alignment vertical="center" wrapText="1"/>
    </xf>
    <xf numFmtId="164" fontId="0" fillId="0" borderId="0" xfId="0" applyNumberFormat="1" applyFill="1" applyBorder="1"/>
    <xf numFmtId="0" fontId="4" fillId="0" borderId="16" xfId="0" applyFont="1" applyFill="1" applyBorder="1" applyAlignment="1">
      <alignment vertical="center" wrapText="1"/>
    </xf>
    <xf numFmtId="0" fontId="0" fillId="0" borderId="0" xfId="0" applyAlignment="1">
      <alignment horizontal="right"/>
    </xf>
    <xf numFmtId="2" fontId="0" fillId="4" borderId="18" xfId="0" applyNumberFormat="1" applyFill="1" applyBorder="1"/>
    <xf numFmtId="0" fontId="4" fillId="4" borderId="14" xfId="0" applyFont="1" applyFill="1" applyBorder="1"/>
    <xf numFmtId="0" fontId="12" fillId="2" borderId="0" xfId="0" applyFont="1" applyFill="1" applyBorder="1"/>
    <xf numFmtId="0" fontId="0" fillId="2" borderId="0" xfId="0" applyFill="1" applyBorder="1"/>
    <xf numFmtId="0" fontId="12" fillId="2" borderId="15" xfId="0" applyFont="1" applyFill="1" applyBorder="1"/>
    <xf numFmtId="0" fontId="0" fillId="2" borderId="15" xfId="0" applyFill="1" applyBorder="1"/>
    <xf numFmtId="0" fontId="4" fillId="4" borderId="13" xfId="0" applyFont="1" applyFill="1" applyBorder="1"/>
    <xf numFmtId="0" fontId="0" fillId="4" borderId="10" xfId="0" applyFill="1" applyBorder="1"/>
    <xf numFmtId="0" fontId="12" fillId="2" borderId="19" xfId="0" applyFont="1" applyFill="1" applyBorder="1"/>
    <xf numFmtId="0" fontId="0" fillId="2" borderId="19" xfId="0" applyFill="1" applyBorder="1"/>
    <xf numFmtId="0" fontId="0" fillId="4" borderId="11" xfId="0" applyFill="1" applyBorder="1"/>
    <xf numFmtId="0" fontId="14" fillId="0" borderId="0" xfId="0" applyFont="1"/>
    <xf numFmtId="0" fontId="0" fillId="0" borderId="13" xfId="0" applyBorder="1"/>
    <xf numFmtId="0" fontId="0" fillId="0" borderId="10" xfId="0" applyBorder="1"/>
    <xf numFmtId="0" fontId="0" fillId="0" borderId="14" xfId="0" applyBorder="1"/>
    <xf numFmtId="0" fontId="0" fillId="0" borderId="11" xfId="0" applyBorder="1"/>
    <xf numFmtId="0" fontId="4" fillId="0" borderId="0" xfId="0" applyFont="1" applyFill="1" applyBorder="1"/>
    <xf numFmtId="0" fontId="0" fillId="0" borderId="3" xfId="0" applyBorder="1"/>
    <xf numFmtId="0" fontId="0" fillId="0" borderId="4" xfId="0" applyBorder="1"/>
    <xf numFmtId="0" fontId="8" fillId="0" borderId="0" xfId="0" applyFont="1"/>
    <xf numFmtId="0" fontId="0" fillId="7" borderId="0" xfId="0" applyFill="1"/>
    <xf numFmtId="0" fontId="16" fillId="6" borderId="0" xfId="1"/>
    <xf numFmtId="49" fontId="16" fillId="6" borderId="0" xfId="1" applyNumberFormat="1"/>
    <xf numFmtId="0" fontId="0" fillId="0" borderId="3" xfId="0" applyFill="1" applyBorder="1"/>
    <xf numFmtId="0" fontId="0" fillId="0" borderId="4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27" xfId="0" applyBorder="1"/>
    <xf numFmtId="0" fontId="0" fillId="0" borderId="12" xfId="0" applyBorder="1"/>
    <xf numFmtId="0" fontId="2" fillId="0" borderId="13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17" fillId="8" borderId="28" xfId="0" applyFont="1" applyFill="1" applyBorder="1" applyAlignment="1">
      <alignment vertical="center" wrapText="1"/>
    </xf>
    <xf numFmtId="0" fontId="18" fillId="8" borderId="28" xfId="2" applyFill="1" applyBorder="1" applyAlignment="1">
      <alignment vertical="center" wrapText="1"/>
    </xf>
    <xf numFmtId="0" fontId="17" fillId="8" borderId="29" xfId="0" applyFont="1" applyFill="1" applyBorder="1" applyAlignment="1">
      <alignment vertical="center" wrapText="1"/>
    </xf>
    <xf numFmtId="0" fontId="17" fillId="8" borderId="30" xfId="0" applyFont="1" applyFill="1" applyBorder="1" applyAlignment="1">
      <alignment vertical="center" wrapText="1"/>
    </xf>
    <xf numFmtId="0" fontId="17" fillId="8" borderId="31" xfId="0" applyFont="1" applyFill="1" applyBorder="1" applyAlignment="1">
      <alignment vertical="center" wrapText="1"/>
    </xf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19" fillId="0" borderId="0" xfId="0" applyFont="1"/>
    <xf numFmtId="0" fontId="1" fillId="0" borderId="5" xfId="0" applyFont="1" applyFill="1" applyBorder="1" applyAlignment="1">
      <alignment horizontal="center"/>
    </xf>
    <xf numFmtId="0" fontId="0" fillId="0" borderId="25" xfId="0" applyFill="1" applyBorder="1"/>
    <xf numFmtId="0" fontId="0" fillId="0" borderId="5" xfId="0" applyFill="1" applyBorder="1"/>
    <xf numFmtId="0" fontId="1" fillId="0" borderId="5" xfId="0" applyFont="1" applyFill="1" applyBorder="1"/>
    <xf numFmtId="0" fontId="0" fillId="2" borderId="6" xfId="0" applyNumberFormat="1" applyFill="1" applyBorder="1"/>
    <xf numFmtId="0" fontId="0" fillId="2" borderId="7" xfId="0" applyNumberFormat="1" applyFill="1" applyBorder="1"/>
    <xf numFmtId="0" fontId="0" fillId="2" borderId="8" xfId="0" applyNumberFormat="1" applyFill="1" applyBorder="1"/>
    <xf numFmtId="49" fontId="0" fillId="0" borderId="0" xfId="0" applyNumberFormat="1"/>
    <xf numFmtId="49" fontId="1" fillId="0" borderId="0" xfId="0" applyNumberFormat="1" applyFont="1"/>
    <xf numFmtId="2" fontId="0" fillId="0" borderId="0" xfId="0" applyNumberFormat="1"/>
    <xf numFmtId="0" fontId="4" fillId="4" borderId="12" xfId="0" applyFont="1" applyFill="1" applyBorder="1" applyAlignment="1">
      <alignment horizontal="center" wrapText="1"/>
    </xf>
    <xf numFmtId="0" fontId="4" fillId="4" borderId="9" xfId="0" applyFont="1" applyFill="1" applyBorder="1" applyAlignment="1">
      <alignment horizontal="center" wrapText="1"/>
    </xf>
    <xf numFmtId="0" fontId="4" fillId="4" borderId="14" xfId="0" applyFont="1" applyFill="1" applyBorder="1" applyAlignment="1">
      <alignment horizontal="center" wrapText="1"/>
    </xf>
    <xf numFmtId="0" fontId="4" fillId="4" borderId="11" xfId="0" applyFont="1" applyFill="1" applyBorder="1" applyAlignment="1">
      <alignment horizontal="center" wrapText="1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Medium9"/>
  <colors>
    <mruColors>
      <color rgb="FFB9FFB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Thermodynamics!$Z$5:$Z$7</c:f>
              <c:numCache>
                <c:formatCode>General</c:formatCode>
                <c:ptCount val="3"/>
                <c:pt idx="0">
                  <c:v>2000</c:v>
                </c:pt>
                <c:pt idx="1">
                  <c:v>1000</c:v>
                </c:pt>
                <c:pt idx="2">
                  <c:v>298</c:v>
                </c:pt>
              </c:numCache>
            </c:numRef>
          </c:xVal>
          <c:yVal>
            <c:numRef>
              <c:f>'Easy calculators'!$M$10:$M$12</c:f>
              <c:numCache>
                <c:formatCode>General</c:formatCode>
                <c:ptCount val="3"/>
                <c:pt idx="0">
                  <c:v>-35.56334304586666</c:v>
                </c:pt>
                <c:pt idx="1">
                  <c:v>-22.181671522933328</c:v>
                </c:pt>
                <c:pt idx="2">
                  <c:v>-12.787738113834132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164480"/>
        <c:axId val="96166656"/>
      </c:scatterChart>
      <c:valAx>
        <c:axId val="961644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 (K)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6166656"/>
        <c:crosses val="autoZero"/>
        <c:crossBetween val="midCat"/>
      </c:valAx>
      <c:valAx>
        <c:axId val="961666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Delta G (kJ/mol)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61644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962025</xdr:colOff>
      <xdr:row>4</xdr:row>
      <xdr:rowOff>9525</xdr:rowOff>
    </xdr:from>
    <xdr:to>
      <xdr:col>25</xdr:col>
      <xdr:colOff>361950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YangZhang HEA 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137"/>
  <sheetViews>
    <sheetView topLeftCell="A7" workbookViewId="0">
      <selection activeCell="O32" sqref="O32:O41"/>
    </sheetView>
  </sheetViews>
  <sheetFormatPr defaultRowHeight="15" x14ac:dyDescent="0.25"/>
  <cols>
    <col min="3" max="3" width="10" customWidth="1"/>
  </cols>
  <sheetData>
    <row r="1" spans="1:15" ht="18" thickBot="1" x14ac:dyDescent="0.3">
      <c r="A1" t="s">
        <v>0</v>
      </c>
      <c r="B1" t="s">
        <v>1</v>
      </c>
      <c r="C1" t="s">
        <v>2</v>
      </c>
      <c r="D1" t="s">
        <v>14</v>
      </c>
      <c r="E1" t="s">
        <v>17</v>
      </c>
      <c r="F1" t="s">
        <v>15</v>
      </c>
      <c r="G1" t="s">
        <v>23</v>
      </c>
      <c r="H1" t="s">
        <v>24</v>
      </c>
      <c r="J1" t="s">
        <v>16</v>
      </c>
    </row>
    <row r="2" spans="1:15" x14ac:dyDescent="0.25">
      <c r="A2" t="s">
        <v>4</v>
      </c>
      <c r="B2" s="3">
        <v>34</v>
      </c>
      <c r="C2">
        <v>26.981539999999999</v>
      </c>
      <c r="D2">
        <v>2.7</v>
      </c>
      <c r="E2">
        <f>B2*C2</f>
        <v>917.37235999999996</v>
      </c>
      <c r="F2" s="15">
        <f>(E2/SUM($E$2:$E$7))*100</f>
        <v>19.600087791553626</v>
      </c>
      <c r="G2" s="6">
        <f>(F2/100)*($J$6)</f>
        <v>1.2497995980284173</v>
      </c>
      <c r="H2" s="11">
        <f>(F2/100)*$N$5</f>
        <v>1.6505045768424511</v>
      </c>
      <c r="J2" s="9">
        <f>(B2/100)*D2+(B3/100)*D3+(B4/100)*D4+(B5/100)*D5+(B6/100)*D6+(B7/100)*D7</f>
        <v>6.3765000000000009</v>
      </c>
    </row>
    <row r="3" spans="1:15" x14ac:dyDescent="0.25">
      <c r="A3" t="s">
        <v>3</v>
      </c>
      <c r="B3" s="4">
        <v>6</v>
      </c>
      <c r="C3">
        <v>47.87</v>
      </c>
      <c r="D3">
        <v>4.54</v>
      </c>
      <c r="E3">
        <f t="shared" ref="E3:E14" si="0">B3*C3</f>
        <v>287.21999999999997</v>
      </c>
      <c r="F3" s="16">
        <f t="shared" ref="F3:F7" si="1">(E3/SUM($E$2:$E$7))*100</f>
        <v>6.1365890896146382</v>
      </c>
      <c r="G3" s="7">
        <f t="shared" ref="G3:G7" si="2">(F3/100)*($J$6)</f>
        <v>0.39129960329927749</v>
      </c>
      <c r="H3" s="12">
        <f t="shared" ref="H3:H7" si="3">(F3/100)*$N$5</f>
        <v>0.51675627611092267</v>
      </c>
    </row>
    <row r="4" spans="1:15" ht="18" thickBot="1" x14ac:dyDescent="0.3">
      <c r="A4" t="s">
        <v>5</v>
      </c>
      <c r="B4" s="4">
        <v>24</v>
      </c>
      <c r="C4">
        <v>58.933199999999999</v>
      </c>
      <c r="D4">
        <v>8.9</v>
      </c>
      <c r="E4">
        <f t="shared" si="0"/>
        <v>1414.3968</v>
      </c>
      <c r="F4" s="16">
        <f t="shared" si="1"/>
        <v>30.219246470530809</v>
      </c>
      <c r="G4" s="7">
        <f t="shared" si="2"/>
        <v>1.9269302511933972</v>
      </c>
      <c r="H4" s="12">
        <f t="shared" si="3"/>
        <v>2.5447337348067878</v>
      </c>
      <c r="J4" t="s">
        <v>18</v>
      </c>
      <c r="M4" t="s">
        <v>19</v>
      </c>
      <c r="N4" t="s">
        <v>20</v>
      </c>
    </row>
    <row r="5" spans="1:15" ht="15.75" thickBot="1" x14ac:dyDescent="0.3">
      <c r="A5" t="s">
        <v>6</v>
      </c>
      <c r="B5" s="4">
        <v>4.5</v>
      </c>
      <c r="C5">
        <v>51.996000000000002</v>
      </c>
      <c r="D5">
        <v>7.19</v>
      </c>
      <c r="E5">
        <f t="shared" si="0"/>
        <v>233.982</v>
      </c>
      <c r="F5" s="16">
        <f t="shared" si="1"/>
        <v>4.9991344208836868</v>
      </c>
      <c r="G5" s="7">
        <f t="shared" si="2"/>
        <v>0.31876980634764829</v>
      </c>
      <c r="H5" s="12">
        <f t="shared" si="3"/>
        <v>0.42097231041357119</v>
      </c>
      <c r="J5" s="10">
        <v>1</v>
      </c>
      <c r="N5" s="10">
        <v>8.4209040000000002</v>
      </c>
    </row>
    <row r="6" spans="1:15" ht="17.25" x14ac:dyDescent="0.25">
      <c r="A6" t="s">
        <v>7</v>
      </c>
      <c r="B6" s="4">
        <v>7.5</v>
      </c>
      <c r="C6">
        <v>55.844999999999999</v>
      </c>
      <c r="D6">
        <v>7.8739999999999997</v>
      </c>
      <c r="E6">
        <f t="shared" si="0"/>
        <v>418.83749999999998</v>
      </c>
      <c r="F6" s="16">
        <f t="shared" si="1"/>
        <v>8.9486582857094614</v>
      </c>
      <c r="G6" s="7">
        <f t="shared" si="2"/>
        <v>0.5706111955882639</v>
      </c>
      <c r="H6" s="12">
        <f t="shared" si="3"/>
        <v>0.75355792352763951</v>
      </c>
      <c r="J6">
        <f>J2*J5</f>
        <v>6.3765000000000009</v>
      </c>
      <c r="K6" t="s">
        <v>21</v>
      </c>
      <c r="N6">
        <f>N5/J2</f>
        <v>1.3206153846153845</v>
      </c>
      <c r="O6" t="s">
        <v>22</v>
      </c>
    </row>
    <row r="7" spans="1:15" ht="15.75" thickBot="1" x14ac:dyDescent="0.3">
      <c r="A7" t="s">
        <v>8</v>
      </c>
      <c r="B7" s="5">
        <v>24</v>
      </c>
      <c r="C7">
        <v>58.693399999999997</v>
      </c>
      <c r="D7">
        <v>8.9</v>
      </c>
      <c r="E7">
        <f t="shared" si="0"/>
        <v>1408.6415999999999</v>
      </c>
      <c r="F7" s="17">
        <f t="shared" si="1"/>
        <v>30.096283941707782</v>
      </c>
      <c r="G7" s="8">
        <f t="shared" si="2"/>
        <v>1.9190895455429968</v>
      </c>
      <c r="H7" s="13">
        <f t="shared" si="3"/>
        <v>2.5343791782986282</v>
      </c>
    </row>
    <row r="8" spans="1:15" ht="18" thickBot="1" x14ac:dyDescent="0.3">
      <c r="G8" s="18"/>
      <c r="H8" s="18"/>
      <c r="J8" t="s">
        <v>16</v>
      </c>
    </row>
    <row r="9" spans="1:15" x14ac:dyDescent="0.25">
      <c r="A9" s="1" t="s">
        <v>9</v>
      </c>
      <c r="B9" s="3">
        <v>25</v>
      </c>
      <c r="C9">
        <v>24.305</v>
      </c>
      <c r="D9">
        <v>1.74</v>
      </c>
      <c r="E9">
        <f t="shared" si="0"/>
        <v>607.625</v>
      </c>
      <c r="F9" s="15">
        <f>(E9/SUM($E$9:$E$14))*100</f>
        <v>17.600312366621786</v>
      </c>
      <c r="G9" s="6">
        <f>(F9/100)*($J$13)</f>
        <v>0.55542185750966711</v>
      </c>
      <c r="H9" s="11">
        <f>(F9/100)*$N$12</f>
        <v>1.0035698111447744</v>
      </c>
      <c r="J9" s="9">
        <f>(B9/100)*D9+(B10/100)*D10+(B11/100)*D11+(B12/100)*D12+(B13/100)*D13+(B14/100)*D14</f>
        <v>3.1557500000000003</v>
      </c>
      <c r="M9" s="14"/>
    </row>
    <row r="10" spans="1:15" x14ac:dyDescent="0.25">
      <c r="A10" s="1" t="s">
        <v>10</v>
      </c>
      <c r="B10" s="4">
        <v>25</v>
      </c>
      <c r="C10">
        <v>6.9409999999999998</v>
      </c>
      <c r="D10">
        <v>0.53</v>
      </c>
      <c r="E10">
        <f t="shared" si="0"/>
        <v>173.52500000000001</v>
      </c>
      <c r="F10" s="16">
        <f t="shared" ref="F10:F14" si="4">(E10/SUM($E$9:$E$14))*100</f>
        <v>5.0262813469130547</v>
      </c>
      <c r="G10" s="7">
        <f t="shared" ref="G10:G14" si="5">(F10/100)*($J$13)</f>
        <v>0.15861687360520874</v>
      </c>
      <c r="H10" s="12">
        <f>(F10/100)*$N$12</f>
        <v>0.28659856240098242</v>
      </c>
    </row>
    <row r="11" spans="1:15" ht="18" thickBot="1" x14ac:dyDescent="0.3">
      <c r="A11" s="1" t="s">
        <v>4</v>
      </c>
      <c r="B11" s="4">
        <v>25</v>
      </c>
      <c r="C11">
        <v>26.981539999999999</v>
      </c>
      <c r="D11">
        <v>2.7</v>
      </c>
      <c r="E11">
        <f t="shared" si="0"/>
        <v>674.5385</v>
      </c>
      <c r="F11" s="16">
        <f t="shared" si="4"/>
        <v>19.538511916580966</v>
      </c>
      <c r="G11" s="7">
        <f t="shared" si="5"/>
        <v>0.61658658980750392</v>
      </c>
      <c r="H11" s="12">
        <f t="shared" ref="H11:H14" si="6">(F11/100)*$N$12</f>
        <v>1.1140859494834467</v>
      </c>
      <c r="J11" t="s">
        <v>18</v>
      </c>
      <c r="M11" t="s">
        <v>19</v>
      </c>
      <c r="N11" t="s">
        <v>20</v>
      </c>
    </row>
    <row r="12" spans="1:15" ht="15.75" thickBot="1" x14ac:dyDescent="0.3">
      <c r="A12" s="1" t="s">
        <v>11</v>
      </c>
      <c r="B12" s="4">
        <v>7.5</v>
      </c>
      <c r="C12">
        <v>65.39</v>
      </c>
      <c r="D12">
        <v>7.13</v>
      </c>
      <c r="E12">
        <f t="shared" si="0"/>
        <v>490.42500000000001</v>
      </c>
      <c r="F12" s="16">
        <f t="shared" si="4"/>
        <v>14.205526751533409</v>
      </c>
      <c r="G12" s="7">
        <f t="shared" si="5"/>
        <v>0.44829091046151559</v>
      </c>
      <c r="H12" s="12">
        <f t="shared" si="6"/>
        <v>0.80999913537243495</v>
      </c>
      <c r="J12" s="10">
        <v>1</v>
      </c>
      <c r="N12" s="10">
        <v>5.702</v>
      </c>
    </row>
    <row r="13" spans="1:15" ht="17.25" x14ac:dyDescent="0.25">
      <c r="A13" s="1" t="s">
        <v>12</v>
      </c>
      <c r="B13" s="4">
        <v>10</v>
      </c>
      <c r="C13">
        <v>69.722999999999999</v>
      </c>
      <c r="D13">
        <v>5.91</v>
      </c>
      <c r="E13">
        <f t="shared" si="0"/>
        <v>697.23</v>
      </c>
      <c r="F13" s="16">
        <f t="shared" si="4"/>
        <v>20.195788177543232</v>
      </c>
      <c r="G13" s="7">
        <f t="shared" si="5"/>
        <v>0.63732858541282056</v>
      </c>
      <c r="H13" s="12">
        <f t="shared" si="6"/>
        <v>1.151563841883515</v>
      </c>
      <c r="J13">
        <f>J9*J12</f>
        <v>3.1557500000000003</v>
      </c>
      <c r="K13" t="s">
        <v>21</v>
      </c>
      <c r="N13">
        <f>N12/J9</f>
        <v>1.8068604927513268</v>
      </c>
      <c r="O13" t="s">
        <v>22</v>
      </c>
    </row>
    <row r="14" spans="1:15" ht="15.75" thickBot="1" x14ac:dyDescent="0.3">
      <c r="A14" s="1" t="s">
        <v>13</v>
      </c>
      <c r="B14" s="5">
        <v>7.5</v>
      </c>
      <c r="C14">
        <v>107.86799999999999</v>
      </c>
      <c r="D14">
        <v>10.5</v>
      </c>
      <c r="E14">
        <f t="shared" si="0"/>
        <v>809.01</v>
      </c>
      <c r="F14" s="17">
        <f t="shared" si="4"/>
        <v>23.433579440807552</v>
      </c>
      <c r="G14" s="8">
        <f t="shared" si="5"/>
        <v>0.7395051832032844</v>
      </c>
      <c r="H14" s="13">
        <f t="shared" si="6"/>
        <v>1.3361826997148467</v>
      </c>
    </row>
    <row r="17" spans="1:19" x14ac:dyDescent="0.25">
      <c r="C17" t="s">
        <v>2</v>
      </c>
      <c r="D17" t="s">
        <v>14</v>
      </c>
      <c r="E17" t="s">
        <v>17</v>
      </c>
      <c r="F17" t="s">
        <v>15</v>
      </c>
      <c r="G17" t="s">
        <v>23</v>
      </c>
      <c r="H17" t="s">
        <v>24</v>
      </c>
    </row>
    <row r="18" spans="1:19" x14ac:dyDescent="0.25">
      <c r="C18">
        <f>IF(ISBLANK('Easy calculators'!D8), 0, LOOKUP('Easy calculators'!D8, Thermodynamics!$A$28:$A$100, Thermodynamics!$C$28:$C$100))</f>
        <v>63.545999999999999</v>
      </c>
      <c r="D18">
        <f>IF(ISBLANK('Easy calculators'!D8), 0, LOOKUP('Easy calculators'!D8, Thermodynamics!$A$28:$A$100, Thermodynamics!$D$28:$D$100))</f>
        <v>8.9600000000000009</v>
      </c>
      <c r="E18">
        <f>'Easy calculators'!E8*C18</f>
        <v>1270.92</v>
      </c>
      <c r="F18" s="15">
        <f>(E18/SUM($E$18:$E$27))*100</f>
        <v>23.574943173576298</v>
      </c>
      <c r="H18" s="11">
        <f>(F18/100)*'Easy calculators'!$F$3</f>
        <v>0</v>
      </c>
    </row>
    <row r="19" spans="1:19" x14ac:dyDescent="0.25">
      <c r="C19">
        <f>IF(ISBLANK('Easy calculators'!D9), 0, LOOKUP('Easy calculators'!D9, Thermodynamics!$A$28:$A$100, Thermodynamics!$C$28:$C$100))</f>
        <v>58.693399999999997</v>
      </c>
      <c r="D19">
        <f>IF(ISBLANK('Easy calculators'!D9), 0, LOOKUP('Easy calculators'!D9, Thermodynamics!$A$28:$A$100, Thermodynamics!$D$28:$D$100))</f>
        <v>8.9</v>
      </c>
      <c r="E19">
        <f>'Easy calculators'!E9*C19</f>
        <v>1173.8679999999999</v>
      </c>
      <c r="F19" s="15">
        <f t="shared" ref="F19:F27" si="7">(E19/SUM($E$18:$E$27))*100</f>
        <v>21.774676134831193</v>
      </c>
      <c r="H19" s="12">
        <f>(F19/100)*'Easy calculators'!$F$3</f>
        <v>0</v>
      </c>
    </row>
    <row r="20" spans="1:19" x14ac:dyDescent="0.25">
      <c r="C20">
        <f>IF(ISBLANK('Easy calculators'!D10), 0, LOOKUP('Easy calculators'!D10, Thermodynamics!$A$28:$A$100, Thermodynamics!$C$28:$C$100))</f>
        <v>54.938000000000002</v>
      </c>
      <c r="D20">
        <f>IF(ISBLANK('Easy calculators'!D10), 0, LOOKUP('Easy calculators'!D10, Thermodynamics!$A$28:$A$100, Thermodynamics!$D$28:$D$100))</f>
        <v>7.43</v>
      </c>
      <c r="E20">
        <f>'Easy calculators'!E10*C20</f>
        <v>1098.76</v>
      </c>
      <c r="F20" s="15">
        <f t="shared" si="7"/>
        <v>20.381459542220355</v>
      </c>
      <c r="H20" s="12">
        <f>(F20/100)*'Easy calculators'!$F$3</f>
        <v>0</v>
      </c>
    </row>
    <row r="21" spans="1:19" x14ac:dyDescent="0.25">
      <c r="C21">
        <f>IF(ISBLANK('Easy calculators'!D11), 0, LOOKUP('Easy calculators'!D11, Thermodynamics!$A$28:$A$100, Thermodynamics!$C$28:$C$100))</f>
        <v>26.9815</v>
      </c>
      <c r="D21">
        <f>IF(ISBLANK('Easy calculators'!D11), 0, LOOKUP('Easy calculators'!D11, Thermodynamics!$A$28:$A$100, Thermodynamics!$D$28:$D$100))</f>
        <v>2.7</v>
      </c>
      <c r="E21">
        <f>'Easy calculators'!E11*C21</f>
        <v>539.63</v>
      </c>
      <c r="F21" s="15">
        <f t="shared" si="7"/>
        <v>10.009872049190333</v>
      </c>
      <c r="H21" s="12">
        <f>(F21/100)*'Easy calculators'!$F$3</f>
        <v>0</v>
      </c>
    </row>
    <row r="22" spans="1:19" x14ac:dyDescent="0.25">
      <c r="C22">
        <f>IF(ISBLANK('Easy calculators'!D12), 0, LOOKUP('Easy calculators'!D12, Thermodynamics!$A$28:$A$100, Thermodynamics!$C$28:$C$100))</f>
        <v>65.39</v>
      </c>
      <c r="D22">
        <f>IF(ISBLANK('Easy calculators'!D12), 0, LOOKUP('Easy calculators'!D12, Thermodynamics!$A$28:$A$100, Thermodynamics!$D$28:$D$100))</f>
        <v>7.13</v>
      </c>
      <c r="E22">
        <f>'Easy calculators'!E12*C22</f>
        <v>1307.8</v>
      </c>
      <c r="F22" s="15">
        <f t="shared" si="7"/>
        <v>24.259049100181819</v>
      </c>
      <c r="H22" s="12">
        <f>(F22/100)*'Easy calculators'!$F$3</f>
        <v>0</v>
      </c>
      <c r="L22">
        <f>SUM('Easy calculators'!E8:E17)</f>
        <v>100</v>
      </c>
    </row>
    <row r="23" spans="1:19" x14ac:dyDescent="0.25">
      <c r="C23">
        <f>IF(ISBLANK('Easy calculators'!D13), 0, LOOKUP('Easy calculators'!D13, Thermodynamics!$A$28:$A$100, Thermodynamics!$C$28:$C$100))</f>
        <v>0</v>
      </c>
      <c r="D23">
        <f>IF(ISBLANK('Easy calculators'!D13), 0, LOOKUP('Easy calculators'!D13, Thermodynamics!$A$28:$A$100, Thermodynamics!$D$28:$D$100))</f>
        <v>0</v>
      </c>
      <c r="E23">
        <f>'Easy calculators'!E13*C23</f>
        <v>0</v>
      </c>
      <c r="F23" s="15">
        <f t="shared" si="7"/>
        <v>0</v>
      </c>
      <c r="H23" s="12">
        <f>(F23/100)*'Easy calculators'!$F$3</f>
        <v>0</v>
      </c>
    </row>
    <row r="24" spans="1:19" x14ac:dyDescent="0.25">
      <c r="C24">
        <f>IF(ISBLANK('Easy calculators'!D14), 0, LOOKUP('Easy calculators'!D14, Thermodynamics!$A$28:$A$100, Thermodynamics!$C$28:$C$100))</f>
        <v>0</v>
      </c>
      <c r="D24">
        <f>IF(ISBLANK('Easy calculators'!D14), 0, LOOKUP('Easy calculators'!D14, Thermodynamics!$A$28:$A$100, Thermodynamics!$D$28:$D$100))</f>
        <v>0</v>
      </c>
      <c r="E24">
        <f>'Easy calculators'!E14*C24</f>
        <v>0</v>
      </c>
      <c r="F24" s="15">
        <f t="shared" si="7"/>
        <v>0</v>
      </c>
      <c r="H24" s="12">
        <f>(F24/100)*'Easy calculators'!$F$3</f>
        <v>0</v>
      </c>
    </row>
    <row r="25" spans="1:19" x14ac:dyDescent="0.25">
      <c r="C25">
        <f>IF(ISBLANK('Easy calculators'!D15), 0, LOOKUP('Easy calculators'!D15, Thermodynamics!$A$28:$A$100, Thermodynamics!$C$28:$C$100))</f>
        <v>0</v>
      </c>
      <c r="D25">
        <f>IF(ISBLANK('Easy calculators'!D15), 0, LOOKUP('Easy calculators'!D15, Thermodynamics!$A$28:$A$100, Thermodynamics!$D$28:$D$100))</f>
        <v>0</v>
      </c>
      <c r="E25">
        <f>'Easy calculators'!E15*C25</f>
        <v>0</v>
      </c>
      <c r="F25" s="15">
        <f t="shared" si="7"/>
        <v>0</v>
      </c>
      <c r="H25" s="12">
        <f>(F25/100)*'Easy calculators'!$F$3</f>
        <v>0</v>
      </c>
    </row>
    <row r="26" spans="1:19" x14ac:dyDescent="0.25">
      <c r="C26">
        <f>IF(ISBLANK('Easy calculators'!D16), 0, LOOKUP('Easy calculators'!D16, Thermodynamics!$A$28:$A$100, Thermodynamics!$C$28:$C$100))</f>
        <v>0</v>
      </c>
      <c r="D26">
        <f>IF(ISBLANK('Easy calculators'!D16), 0, LOOKUP('Easy calculators'!D16, Thermodynamics!$A$28:$A$100, Thermodynamics!$D$28:$D$100))</f>
        <v>0</v>
      </c>
      <c r="E26">
        <f>'Easy calculators'!E16*C26</f>
        <v>0</v>
      </c>
      <c r="F26" s="15">
        <f t="shared" si="7"/>
        <v>0</v>
      </c>
      <c r="H26" s="13">
        <f>(F26/100)*'Easy calculators'!$F$3</f>
        <v>0</v>
      </c>
    </row>
    <row r="27" spans="1:19" ht="15.75" thickBot="1" x14ac:dyDescent="0.3">
      <c r="C27">
        <f>IF(ISBLANK('Easy calculators'!D17), 0, LOOKUP('Easy calculators'!D17, Thermodynamics!$A$28:$A$100, Thermodynamics!$C$28:$C$100))</f>
        <v>0</v>
      </c>
      <c r="D27">
        <f>IF(ISBLANK('Easy calculators'!D17), 0, LOOKUP('Easy calculators'!D17, Thermodynamics!$A$28:$A$100, Thermodynamics!$D$28:$D$100))</f>
        <v>0</v>
      </c>
      <c r="E27">
        <f>'Easy calculators'!E17*C27</f>
        <v>0</v>
      </c>
      <c r="F27" s="15">
        <f t="shared" si="7"/>
        <v>0</v>
      </c>
      <c r="H27" s="13">
        <f>(F27/100)*'Easy calculators'!$F$3</f>
        <v>0</v>
      </c>
    </row>
    <row r="28" spans="1:19" x14ac:dyDescent="0.25">
      <c r="A28" s="48"/>
      <c r="B28" s="49"/>
      <c r="C28" s="49"/>
      <c r="D28" s="49"/>
      <c r="E28" s="49"/>
    </row>
    <row r="29" spans="1:19" x14ac:dyDescent="0.25">
      <c r="A29" s="50"/>
      <c r="B29" s="46"/>
      <c r="C29" s="46"/>
      <c r="D29" s="46"/>
      <c r="E29" s="46"/>
      <c r="H29" s="54"/>
      <c r="I29" s="54"/>
    </row>
    <row r="30" spans="1:19" x14ac:dyDescent="0.25">
      <c r="A30" s="51"/>
      <c r="B30" s="47"/>
      <c r="C30" s="47"/>
      <c r="D30" s="47"/>
      <c r="E30" s="47"/>
      <c r="H30" s="47"/>
      <c r="I30" s="47"/>
    </row>
    <row r="31" spans="1:19" x14ac:dyDescent="0.25">
      <c r="A31" s="50"/>
      <c r="B31" s="46"/>
      <c r="C31" s="46"/>
      <c r="D31" s="46"/>
      <c r="E31" s="46"/>
      <c r="H31" s="46"/>
      <c r="I31" s="46"/>
      <c r="N31" t="s">
        <v>2</v>
      </c>
      <c r="O31" t="s">
        <v>14</v>
      </c>
      <c r="P31" t="s">
        <v>17</v>
      </c>
      <c r="Q31" t="s">
        <v>15</v>
      </c>
      <c r="R31" t="s">
        <v>23</v>
      </c>
      <c r="S31" t="s">
        <v>24</v>
      </c>
    </row>
    <row r="32" spans="1:19" x14ac:dyDescent="0.25">
      <c r="A32" s="51"/>
      <c r="B32" s="47"/>
      <c r="C32" s="47"/>
      <c r="D32" s="47"/>
      <c r="E32" s="47"/>
      <c r="H32" s="47"/>
      <c r="I32" s="47"/>
      <c r="M32" s="2" t="str">
        <f>IF(ISBLANK('Easy calculators'!H5), "", 'Easy calculators'!H5)</f>
        <v>Cu</v>
      </c>
      <c r="N32">
        <f>IF(ISBLANK('Easy calculators'!D8), 0, LOOKUP('Easy calculators'!D8, Thermodynamics!$A$28:$A$100, Thermodynamics!$C$28:$C$100))</f>
        <v>63.545999999999999</v>
      </c>
      <c r="O32">
        <f>IF(ISBLANK('Easy calculators'!D8), 0, LOOKUP('Easy calculators'!D8, Thermodynamics!$A$28:$A$100, Thermodynamics!$D$28:$D$100))</f>
        <v>8.9600000000000009</v>
      </c>
      <c r="P32">
        <f>'Easy calculators'!C24*N32</f>
        <v>2118.2000000000003</v>
      </c>
      <c r="Q32" s="15">
        <f>(P32/SUM($P$32:$P$41))*100</f>
        <v>35.865748114601523</v>
      </c>
      <c r="S32" s="11">
        <f>(Q32/100)*'Easy calculators'!$F$3</f>
        <v>0</v>
      </c>
    </row>
    <row r="33" spans="1:23" x14ac:dyDescent="0.25">
      <c r="A33" s="50"/>
      <c r="B33" s="46"/>
      <c r="C33" s="46"/>
      <c r="D33" s="46"/>
      <c r="E33" s="46"/>
      <c r="H33" s="46"/>
      <c r="I33" s="46"/>
      <c r="M33" s="2" t="str">
        <f>IF(ISBLANK('Easy calculators'!H6), "", 'Easy calculators'!H6)</f>
        <v>Ni</v>
      </c>
      <c r="N33">
        <f>IF(ISBLANK('Easy calculators'!D9), 0, LOOKUP('Easy calculators'!D9, Thermodynamics!$A$28:$A$100, Thermodynamics!$C$28:$C$100))</f>
        <v>58.693399999999997</v>
      </c>
      <c r="O33">
        <f>IF(ISBLANK('Easy calculators'!D9), 0, LOOKUP('Easy calculators'!D9, Thermodynamics!$A$28:$A$100, Thermodynamics!$D$28:$D$100))</f>
        <v>8.9</v>
      </c>
      <c r="P33">
        <f>'Easy calculators'!C25*N33</f>
        <v>1956.4466666666667</v>
      </c>
      <c r="Q33" s="15">
        <f t="shared" ref="Q33:Q41" si="8">(P33/SUM($P$32:$P$41))*100</f>
        <v>33.126911220054026</v>
      </c>
      <c r="S33" s="12">
        <f>(Q33/100)*'Easy calculators'!$F$3</f>
        <v>0</v>
      </c>
    </row>
    <row r="34" spans="1:23" x14ac:dyDescent="0.25">
      <c r="A34" s="51"/>
      <c r="B34" s="47"/>
      <c r="C34" s="47"/>
      <c r="D34" s="47"/>
      <c r="E34" s="47"/>
      <c r="H34" s="47"/>
      <c r="I34" s="47"/>
      <c r="M34" s="2" t="str">
        <f>IF(ISBLANK('Easy calculators'!H7), "", 'Easy calculators'!H7)</f>
        <v>Mn</v>
      </c>
      <c r="N34">
        <f>IF(ISBLANK('Easy calculators'!D10), 0, LOOKUP('Easy calculators'!D10, Thermodynamics!$A$28:$A$100, Thermodynamics!$C$28:$C$100))</f>
        <v>54.938000000000002</v>
      </c>
      <c r="O34">
        <f>IF(ISBLANK('Easy calculators'!D10), 0, LOOKUP('Easy calculators'!D10, Thermodynamics!$A$28:$A$100, Thermodynamics!$D$28:$D$100))</f>
        <v>7.43</v>
      </c>
      <c r="P34">
        <f>'Easy calculators'!C26*N34</f>
        <v>1831.2666666666669</v>
      </c>
      <c r="Q34" s="15">
        <f t="shared" si="8"/>
        <v>31.007340665344451</v>
      </c>
      <c r="S34" s="12">
        <f>(Q34/100)*'Easy calculators'!$F$3</f>
        <v>0</v>
      </c>
    </row>
    <row r="35" spans="1:23" x14ac:dyDescent="0.25">
      <c r="A35" s="50"/>
      <c r="B35" s="46"/>
      <c r="C35" s="46"/>
      <c r="D35" s="46"/>
      <c r="E35" s="46"/>
      <c r="H35" s="46"/>
      <c r="I35" s="46"/>
      <c r="M35" s="2" t="str">
        <f>IF(ISBLANK('Easy calculators'!H8), "", 'Easy calculators'!H8)</f>
        <v>Al</v>
      </c>
      <c r="N35">
        <f>IF(ISBLANK('Easy calculators'!D11), 0, LOOKUP('Easy calculators'!D11, Thermodynamics!$A$28:$A$100, Thermodynamics!$C$28:$C$100))</f>
        <v>26.9815</v>
      </c>
      <c r="O35">
        <f>IF(ISBLANK('Easy calculators'!D11), 0, LOOKUP('Easy calculators'!D11, Thermodynamics!$A$28:$A$100, Thermodynamics!$D$28:$D$100))</f>
        <v>2.7</v>
      </c>
      <c r="P35">
        <f>'Easy calculators'!C27*N35</f>
        <v>0</v>
      </c>
      <c r="Q35" s="15">
        <f t="shared" si="8"/>
        <v>0</v>
      </c>
      <c r="S35" s="12">
        <f>(Q35/100)*'Easy calculators'!$F$3</f>
        <v>0</v>
      </c>
    </row>
    <row r="36" spans="1:23" x14ac:dyDescent="0.25">
      <c r="A36" s="51"/>
      <c r="B36" s="47"/>
      <c r="C36" s="47"/>
      <c r="D36" s="47"/>
      <c r="E36" s="47"/>
      <c r="H36" s="47"/>
      <c r="I36" s="47"/>
      <c r="M36" s="2" t="str">
        <f>IF(ISBLANK('Easy calculators'!H9), "", 'Easy calculators'!H9)</f>
        <v>Zn</v>
      </c>
      <c r="N36">
        <f>IF(ISBLANK('Easy calculators'!D12), 0, LOOKUP('Easy calculators'!D12, Thermodynamics!$A$28:$A$100, Thermodynamics!$C$28:$C$100))</f>
        <v>65.39</v>
      </c>
      <c r="O36">
        <f>IF(ISBLANK('Easy calculators'!D12), 0, LOOKUP('Easy calculators'!D12, Thermodynamics!$A$28:$A$100, Thermodynamics!$D$28:$D$100))</f>
        <v>7.13</v>
      </c>
      <c r="P36">
        <f>'Easy calculators'!C28*N36</f>
        <v>0</v>
      </c>
      <c r="Q36" s="15">
        <f t="shared" si="8"/>
        <v>0</v>
      </c>
      <c r="S36" s="12">
        <f>(Q36/100)*'Easy calculators'!$F$3</f>
        <v>0</v>
      </c>
      <c r="W36">
        <f>SUM('Easy calculators'!C24:C33)</f>
        <v>100</v>
      </c>
    </row>
    <row r="37" spans="1:23" x14ac:dyDescent="0.25">
      <c r="A37" s="50"/>
      <c r="B37" s="46"/>
      <c r="C37" s="46"/>
      <c r="D37" s="46"/>
      <c r="E37" s="46"/>
      <c r="H37" s="46"/>
      <c r="I37" s="46"/>
      <c r="M37" s="2" t="str">
        <f>IF(ISBLANK('Easy calculators'!H10), "", 'Easy calculators'!H10)</f>
        <v/>
      </c>
      <c r="N37">
        <f>IF(ISBLANK('Easy calculators'!D13), 0, LOOKUP('Easy calculators'!D13, Thermodynamics!$A$28:$A$100, Thermodynamics!$C$28:$C$100))</f>
        <v>0</v>
      </c>
      <c r="O37">
        <f>IF(ISBLANK('Easy calculators'!D13), 0, LOOKUP('Easy calculators'!D13, Thermodynamics!$A$28:$A$100, Thermodynamics!$D$28:$D$100))</f>
        <v>0</v>
      </c>
      <c r="P37">
        <f>'Easy calculators'!C29*N37</f>
        <v>0</v>
      </c>
      <c r="Q37" s="15">
        <f t="shared" si="8"/>
        <v>0</v>
      </c>
      <c r="S37" s="12">
        <f>(Q37/100)*'Easy calculators'!$F$3</f>
        <v>0</v>
      </c>
    </row>
    <row r="38" spans="1:23" x14ac:dyDescent="0.25">
      <c r="A38" s="51"/>
      <c r="B38" s="47"/>
      <c r="C38" s="47"/>
      <c r="D38" s="47"/>
      <c r="E38" s="47"/>
      <c r="H38" s="47"/>
      <c r="I38" s="47"/>
      <c r="M38" s="2" t="str">
        <f>IF(ISBLANK('Easy calculators'!H11), "", 'Easy calculators'!H11)</f>
        <v/>
      </c>
      <c r="N38">
        <f>IF(ISBLANK('Easy calculators'!D14), 0, LOOKUP('Easy calculators'!D14, Thermodynamics!$A$28:$A$100, Thermodynamics!$C$28:$C$100))</f>
        <v>0</v>
      </c>
      <c r="O38">
        <f>IF(ISBLANK('Easy calculators'!D14), 0, LOOKUP('Easy calculators'!D14, Thermodynamics!$A$28:$A$100, Thermodynamics!$D$28:$D$100))</f>
        <v>0</v>
      </c>
      <c r="P38">
        <f>'Easy calculators'!C30*N38</f>
        <v>0</v>
      </c>
      <c r="Q38" s="15">
        <f t="shared" si="8"/>
        <v>0</v>
      </c>
      <c r="S38" s="12">
        <f>(Q38/100)*'Easy calculators'!$F$3</f>
        <v>0</v>
      </c>
    </row>
    <row r="39" spans="1:23" x14ac:dyDescent="0.25">
      <c r="A39" s="50"/>
      <c r="B39" s="46"/>
      <c r="C39" s="46"/>
      <c r="D39" s="46"/>
      <c r="E39" s="46"/>
      <c r="H39" s="46"/>
      <c r="I39" s="46"/>
      <c r="M39" s="2" t="str">
        <f>IF(ISBLANK('Easy calculators'!H12), "", 'Easy calculators'!H12)</f>
        <v/>
      </c>
      <c r="N39">
        <f>IF(ISBLANK('Easy calculators'!D15), 0, LOOKUP('Easy calculators'!D15, Thermodynamics!$A$28:$A$100, Thermodynamics!$C$28:$C$100))</f>
        <v>0</v>
      </c>
      <c r="O39">
        <f>IF(ISBLANK('Easy calculators'!D15), 0, LOOKUP('Easy calculators'!D15, Thermodynamics!$A$28:$A$100, Thermodynamics!$D$28:$D$100))</f>
        <v>0</v>
      </c>
      <c r="P39">
        <f>'Easy calculators'!C31*N39</f>
        <v>0</v>
      </c>
      <c r="Q39" s="15">
        <f t="shared" si="8"/>
        <v>0</v>
      </c>
      <c r="S39" s="12">
        <f>(Q39/100)*'Easy calculators'!$F$3</f>
        <v>0</v>
      </c>
    </row>
    <row r="40" spans="1:23" x14ac:dyDescent="0.25">
      <c r="A40" s="51"/>
      <c r="B40" s="47"/>
      <c r="C40" s="47"/>
      <c r="D40" s="47"/>
      <c r="E40" s="47"/>
      <c r="H40" s="47"/>
      <c r="I40" s="47"/>
      <c r="M40" s="2" t="str">
        <f>IF(ISBLANK('Easy calculators'!H13), "", 'Easy calculators'!H13)</f>
        <v/>
      </c>
      <c r="N40">
        <f>IF(ISBLANK('Easy calculators'!D16), 0, LOOKUP('Easy calculators'!D16, Thermodynamics!$A$28:$A$100, Thermodynamics!$C$28:$C$100))</f>
        <v>0</v>
      </c>
      <c r="O40">
        <f>IF(ISBLANK('Easy calculators'!D16), 0, LOOKUP('Easy calculators'!D16, Thermodynamics!$A$28:$A$100, Thermodynamics!$D$28:$D$100))</f>
        <v>0</v>
      </c>
      <c r="P40">
        <f>'Easy calculators'!C32*N40</f>
        <v>0</v>
      </c>
      <c r="Q40" s="15">
        <f t="shared" si="8"/>
        <v>0</v>
      </c>
      <c r="S40" s="13">
        <f>(Q40/100)*'Easy calculators'!$F$3</f>
        <v>0</v>
      </c>
    </row>
    <row r="41" spans="1:23" x14ac:dyDescent="0.25">
      <c r="A41" s="50"/>
      <c r="B41" s="46"/>
      <c r="C41" s="46"/>
      <c r="D41" s="46"/>
      <c r="E41" s="46"/>
      <c r="H41" s="46"/>
      <c r="I41" s="46"/>
      <c r="M41" s="2" t="str">
        <f>IF(ISBLANK('Easy calculators'!H14), "", 'Easy calculators'!H14)</f>
        <v/>
      </c>
      <c r="N41">
        <f>IF(ISBLANK('Easy calculators'!D17), 0, LOOKUP('Easy calculators'!D17, Thermodynamics!$A$28:$A$100, Thermodynamics!$C$28:$C$100))</f>
        <v>0</v>
      </c>
      <c r="O41">
        <f>IF(ISBLANK('Easy calculators'!D17), 0, LOOKUP('Easy calculators'!D17, Thermodynamics!$A$28:$A$100, Thermodynamics!$D$28:$D$100))</f>
        <v>0</v>
      </c>
      <c r="P41">
        <f>'Easy calculators'!C33*N41</f>
        <v>0</v>
      </c>
      <c r="Q41" s="15">
        <f t="shared" si="8"/>
        <v>0</v>
      </c>
      <c r="S41" s="13">
        <f>(Q41/100)*'Easy calculators'!$F$3</f>
        <v>0</v>
      </c>
    </row>
    <row r="42" spans="1:23" x14ac:dyDescent="0.25">
      <c r="A42" s="51"/>
      <c r="B42" s="47"/>
      <c r="C42" s="47"/>
      <c r="D42" s="47"/>
      <c r="E42" s="47"/>
      <c r="H42" s="47"/>
      <c r="I42" s="47"/>
    </row>
    <row r="43" spans="1:23" x14ac:dyDescent="0.25">
      <c r="A43" s="50"/>
      <c r="B43" s="46"/>
      <c r="C43" s="46"/>
      <c r="D43" s="46"/>
      <c r="E43" s="46"/>
      <c r="H43" s="46"/>
      <c r="I43" s="46"/>
    </row>
    <row r="44" spans="1:23" x14ac:dyDescent="0.25">
      <c r="A44" s="51"/>
      <c r="B44" s="47"/>
      <c r="C44" s="47"/>
      <c r="D44" s="47"/>
      <c r="E44" s="47"/>
      <c r="H44" s="47"/>
      <c r="I44" s="47"/>
    </row>
    <row r="45" spans="1:23" x14ac:dyDescent="0.25">
      <c r="A45" s="50"/>
      <c r="B45" s="46"/>
      <c r="C45" s="46"/>
      <c r="D45" s="46"/>
      <c r="E45" s="46"/>
      <c r="H45" s="46"/>
      <c r="I45" s="46"/>
    </row>
    <row r="46" spans="1:23" x14ac:dyDescent="0.25">
      <c r="A46" s="51"/>
      <c r="B46" s="47"/>
      <c r="C46" s="47"/>
      <c r="D46" s="47"/>
      <c r="E46" s="47"/>
      <c r="H46" s="47"/>
      <c r="I46" s="47"/>
    </row>
    <row r="47" spans="1:23" x14ac:dyDescent="0.25">
      <c r="A47" s="50"/>
      <c r="B47" s="46"/>
      <c r="C47" s="46"/>
      <c r="D47" s="46"/>
      <c r="E47" s="46"/>
      <c r="H47" s="46"/>
      <c r="I47" s="46"/>
    </row>
    <row r="48" spans="1:23" x14ac:dyDescent="0.25">
      <c r="A48" s="51"/>
      <c r="B48" s="47"/>
      <c r="C48" s="47"/>
      <c r="D48" s="47"/>
      <c r="E48" s="47"/>
      <c r="H48" s="47"/>
      <c r="I48" s="47"/>
    </row>
    <row r="49" spans="1:9" x14ac:dyDescent="0.25">
      <c r="A49" s="50"/>
      <c r="B49" s="46"/>
      <c r="C49" s="46"/>
      <c r="D49" s="46"/>
      <c r="E49" s="46"/>
      <c r="H49" s="46"/>
      <c r="I49" s="46"/>
    </row>
    <row r="50" spans="1:9" x14ac:dyDescent="0.25">
      <c r="A50" s="51"/>
      <c r="B50" s="47"/>
      <c r="C50" s="47"/>
      <c r="D50" s="47"/>
      <c r="E50" s="47"/>
      <c r="H50" s="47"/>
      <c r="I50" s="47"/>
    </row>
    <row r="51" spans="1:9" x14ac:dyDescent="0.25">
      <c r="A51" s="50"/>
      <c r="B51" s="46"/>
      <c r="C51" s="46"/>
      <c r="D51" s="46"/>
      <c r="E51" s="46"/>
      <c r="H51" s="46"/>
      <c r="I51" s="46"/>
    </row>
    <row r="52" spans="1:9" x14ac:dyDescent="0.25">
      <c r="A52" s="51"/>
      <c r="B52" s="47"/>
      <c r="C52" s="47"/>
      <c r="D52" s="47"/>
      <c r="E52" s="47"/>
      <c r="H52" s="47"/>
      <c r="I52" s="47"/>
    </row>
    <row r="53" spans="1:9" x14ac:dyDescent="0.25">
      <c r="A53" s="50"/>
      <c r="B53" s="46"/>
      <c r="C53" s="46"/>
      <c r="D53" s="46"/>
      <c r="E53" s="46"/>
      <c r="H53" s="46"/>
      <c r="I53" s="46"/>
    </row>
    <row r="54" spans="1:9" x14ac:dyDescent="0.25">
      <c r="A54" s="51"/>
      <c r="B54" s="47"/>
      <c r="C54" s="47"/>
      <c r="D54" s="47"/>
      <c r="E54" s="47"/>
      <c r="H54" s="47"/>
      <c r="I54" s="47"/>
    </row>
    <row r="55" spans="1:9" x14ac:dyDescent="0.25">
      <c r="A55" s="50"/>
      <c r="B55" s="46"/>
      <c r="C55" s="46"/>
      <c r="D55" s="46"/>
      <c r="E55" s="46"/>
      <c r="H55" s="46"/>
      <c r="I55" s="46"/>
    </row>
    <row r="56" spans="1:9" x14ac:dyDescent="0.25">
      <c r="A56" s="51"/>
      <c r="B56" s="47"/>
      <c r="C56" s="47"/>
      <c r="D56" s="47"/>
      <c r="E56" s="47"/>
      <c r="H56" s="47"/>
      <c r="I56" s="47"/>
    </row>
    <row r="57" spans="1:9" x14ac:dyDescent="0.25">
      <c r="A57" s="50"/>
      <c r="B57" s="46"/>
      <c r="C57" s="46"/>
      <c r="D57" s="46"/>
      <c r="E57" s="46"/>
      <c r="H57" s="46"/>
      <c r="I57" s="46"/>
    </row>
    <row r="58" spans="1:9" x14ac:dyDescent="0.25">
      <c r="A58" s="51"/>
      <c r="B58" s="47"/>
      <c r="C58" s="47"/>
      <c r="D58" s="47"/>
      <c r="E58" s="47"/>
      <c r="H58" s="47"/>
      <c r="I58" s="47"/>
    </row>
    <row r="59" spans="1:9" x14ac:dyDescent="0.25">
      <c r="A59" s="50"/>
      <c r="B59" s="46"/>
      <c r="C59" s="46"/>
      <c r="D59" s="46"/>
      <c r="E59" s="46"/>
      <c r="H59" s="46"/>
      <c r="I59" s="46"/>
    </row>
    <row r="60" spans="1:9" x14ac:dyDescent="0.25">
      <c r="A60" s="51"/>
      <c r="B60" s="47"/>
      <c r="C60" s="47"/>
      <c r="D60" s="47"/>
      <c r="E60" s="47"/>
      <c r="H60" s="47"/>
      <c r="I60" s="47"/>
    </row>
    <row r="61" spans="1:9" x14ac:dyDescent="0.25">
      <c r="A61" s="50"/>
      <c r="B61" s="46"/>
      <c r="C61" s="46"/>
      <c r="D61" s="46"/>
      <c r="E61" s="46"/>
      <c r="H61" s="46"/>
      <c r="I61" s="46"/>
    </row>
    <row r="62" spans="1:9" x14ac:dyDescent="0.25">
      <c r="A62" s="51"/>
      <c r="B62" s="47"/>
      <c r="C62" s="47"/>
      <c r="D62" s="47"/>
      <c r="E62" s="47"/>
      <c r="H62" s="47"/>
      <c r="I62" s="47"/>
    </row>
    <row r="63" spans="1:9" x14ac:dyDescent="0.25">
      <c r="A63" s="50"/>
      <c r="B63" s="46"/>
      <c r="C63" s="46"/>
      <c r="D63" s="46"/>
      <c r="E63" s="46"/>
      <c r="H63" s="46"/>
      <c r="I63" s="46"/>
    </row>
    <row r="64" spans="1:9" x14ac:dyDescent="0.25">
      <c r="A64" s="51"/>
      <c r="B64" s="47"/>
      <c r="C64" s="47"/>
      <c r="D64" s="47"/>
      <c r="E64" s="47"/>
      <c r="H64" s="47"/>
      <c r="I64" s="47"/>
    </row>
    <row r="65" spans="1:9" x14ac:dyDescent="0.25">
      <c r="A65" s="50"/>
      <c r="B65" s="46"/>
      <c r="C65" s="46"/>
      <c r="D65" s="46"/>
      <c r="E65" s="46"/>
      <c r="H65" s="46"/>
      <c r="I65" s="46"/>
    </row>
    <row r="66" spans="1:9" x14ac:dyDescent="0.25">
      <c r="A66" s="51"/>
      <c r="B66" s="47"/>
      <c r="C66" s="47"/>
      <c r="D66" s="47"/>
      <c r="E66" s="47"/>
      <c r="H66" s="47"/>
      <c r="I66" s="47"/>
    </row>
    <row r="67" spans="1:9" x14ac:dyDescent="0.25">
      <c r="A67" s="50"/>
      <c r="B67" s="46"/>
      <c r="C67" s="46"/>
      <c r="D67" s="46"/>
      <c r="E67" s="46"/>
      <c r="H67" s="46"/>
      <c r="I67" s="46"/>
    </row>
    <row r="68" spans="1:9" x14ac:dyDescent="0.25">
      <c r="A68" s="51"/>
      <c r="B68" s="47"/>
      <c r="C68" s="47"/>
      <c r="D68" s="47"/>
      <c r="E68" s="47"/>
      <c r="H68" s="47"/>
      <c r="I68" s="47"/>
    </row>
    <row r="69" spans="1:9" x14ac:dyDescent="0.25">
      <c r="A69" s="50"/>
      <c r="B69" s="46"/>
      <c r="C69" s="46"/>
      <c r="D69" s="46"/>
      <c r="E69" s="46"/>
      <c r="H69" s="46"/>
      <c r="I69" s="46"/>
    </row>
    <row r="70" spans="1:9" x14ac:dyDescent="0.25">
      <c r="A70" s="51"/>
      <c r="B70" s="47"/>
      <c r="C70" s="47"/>
      <c r="D70" s="47"/>
      <c r="E70" s="47"/>
      <c r="H70" s="47"/>
      <c r="I70" s="47"/>
    </row>
    <row r="71" spans="1:9" x14ac:dyDescent="0.25">
      <c r="A71" s="50"/>
      <c r="B71" s="46"/>
      <c r="C71" s="46"/>
      <c r="D71" s="46"/>
      <c r="E71" s="46"/>
      <c r="H71" s="46"/>
      <c r="I71" s="46"/>
    </row>
    <row r="72" spans="1:9" x14ac:dyDescent="0.25">
      <c r="A72" s="51"/>
      <c r="B72" s="47"/>
      <c r="C72" s="47"/>
      <c r="D72" s="47"/>
      <c r="E72" s="47"/>
      <c r="H72" s="47"/>
      <c r="I72" s="47"/>
    </row>
    <row r="73" spans="1:9" x14ac:dyDescent="0.25">
      <c r="A73" s="50"/>
      <c r="B73" s="46"/>
      <c r="C73" s="46"/>
      <c r="D73" s="46"/>
      <c r="E73" s="46"/>
      <c r="H73" s="46"/>
      <c r="I73" s="46"/>
    </row>
    <row r="74" spans="1:9" x14ac:dyDescent="0.25">
      <c r="A74" s="51"/>
      <c r="B74" s="47"/>
      <c r="C74" s="47"/>
      <c r="D74" s="47"/>
      <c r="E74" s="47"/>
      <c r="H74" s="47"/>
      <c r="I74" s="47"/>
    </row>
    <row r="75" spans="1:9" x14ac:dyDescent="0.25">
      <c r="A75" s="50"/>
      <c r="B75" s="46"/>
      <c r="C75" s="46"/>
      <c r="D75" s="46"/>
      <c r="E75" s="46"/>
      <c r="H75" s="46"/>
      <c r="I75" s="46"/>
    </row>
    <row r="76" spans="1:9" x14ac:dyDescent="0.25">
      <c r="A76" s="51"/>
      <c r="B76" s="47"/>
      <c r="C76" s="47"/>
      <c r="D76" s="47"/>
      <c r="E76" s="47"/>
      <c r="H76" s="47"/>
      <c r="I76" s="47"/>
    </row>
    <row r="77" spans="1:9" x14ac:dyDescent="0.25">
      <c r="A77" s="50"/>
      <c r="B77" s="46"/>
      <c r="C77" s="46"/>
      <c r="D77" s="46"/>
      <c r="E77" s="46"/>
      <c r="H77" s="46"/>
      <c r="I77" s="46"/>
    </row>
    <row r="78" spans="1:9" x14ac:dyDescent="0.25">
      <c r="A78" s="51"/>
      <c r="B78" s="47"/>
      <c r="C78" s="47"/>
      <c r="D78" s="47"/>
      <c r="E78" s="47"/>
      <c r="H78" s="47"/>
      <c r="I78" s="47"/>
    </row>
    <row r="79" spans="1:9" x14ac:dyDescent="0.25">
      <c r="A79" s="50"/>
      <c r="B79" s="46"/>
      <c r="C79" s="46"/>
      <c r="D79" s="46"/>
      <c r="E79" s="46"/>
      <c r="H79" s="46"/>
      <c r="I79" s="46"/>
    </row>
    <row r="80" spans="1:9" x14ac:dyDescent="0.25">
      <c r="A80" s="51"/>
      <c r="B80" s="47"/>
      <c r="C80" s="47"/>
      <c r="D80" s="47"/>
      <c r="E80" s="47"/>
      <c r="H80" s="47"/>
      <c r="I80" s="47"/>
    </row>
    <row r="81" spans="1:9" x14ac:dyDescent="0.25">
      <c r="A81" s="50"/>
      <c r="B81" s="46"/>
      <c r="C81" s="46"/>
      <c r="D81" s="46"/>
      <c r="E81" s="46"/>
      <c r="H81" s="46"/>
      <c r="I81" s="46"/>
    </row>
    <row r="82" spans="1:9" x14ac:dyDescent="0.25">
      <c r="A82" s="51"/>
      <c r="B82" s="47"/>
      <c r="C82" s="47"/>
      <c r="D82" s="47"/>
      <c r="E82" s="47"/>
      <c r="H82" s="47"/>
      <c r="I82" s="47"/>
    </row>
    <row r="83" spans="1:9" x14ac:dyDescent="0.25">
      <c r="A83" s="50"/>
      <c r="B83" s="46"/>
      <c r="C83" s="46"/>
      <c r="D83" s="46"/>
      <c r="E83" s="46"/>
      <c r="H83" s="46"/>
      <c r="I83" s="46"/>
    </row>
    <row r="84" spans="1:9" x14ac:dyDescent="0.25">
      <c r="A84" s="51"/>
      <c r="B84" s="47"/>
      <c r="C84" s="47"/>
      <c r="D84" s="47"/>
      <c r="E84" s="47"/>
      <c r="H84" s="47"/>
      <c r="I84" s="47"/>
    </row>
    <row r="85" spans="1:9" x14ac:dyDescent="0.25">
      <c r="A85" s="50"/>
      <c r="B85" s="46"/>
      <c r="C85" s="46"/>
      <c r="D85" s="46"/>
      <c r="E85" s="46"/>
      <c r="H85" s="46"/>
      <c r="I85" s="46"/>
    </row>
    <row r="86" spans="1:9" x14ac:dyDescent="0.25">
      <c r="A86" s="51"/>
      <c r="B86" s="47"/>
      <c r="C86" s="47"/>
      <c r="D86" s="47"/>
      <c r="E86" s="47"/>
      <c r="H86" s="47"/>
      <c r="I86" s="47"/>
    </row>
    <row r="87" spans="1:9" x14ac:dyDescent="0.25">
      <c r="A87" s="50"/>
      <c r="B87" s="46"/>
      <c r="C87" s="46"/>
      <c r="D87" s="46"/>
      <c r="E87" s="46"/>
      <c r="H87" s="46"/>
      <c r="I87" s="46"/>
    </row>
    <row r="88" spans="1:9" x14ac:dyDescent="0.25">
      <c r="A88" s="51"/>
      <c r="B88" s="47"/>
      <c r="C88" s="47"/>
      <c r="D88" s="47"/>
      <c r="E88" s="47"/>
      <c r="H88" s="47"/>
      <c r="I88" s="47"/>
    </row>
    <row r="89" spans="1:9" x14ac:dyDescent="0.25">
      <c r="A89" s="50"/>
      <c r="B89" s="46"/>
      <c r="C89" s="46"/>
      <c r="D89" s="46"/>
      <c r="E89" s="46"/>
      <c r="H89" s="46"/>
      <c r="I89" s="46"/>
    </row>
    <row r="90" spans="1:9" x14ac:dyDescent="0.25">
      <c r="A90" s="51"/>
      <c r="B90" s="47"/>
      <c r="C90" s="47"/>
      <c r="D90" s="47"/>
      <c r="E90" s="47"/>
      <c r="H90" s="47"/>
      <c r="I90" s="47"/>
    </row>
    <row r="91" spans="1:9" x14ac:dyDescent="0.25">
      <c r="A91" s="50"/>
      <c r="B91" s="46"/>
      <c r="C91" s="46"/>
      <c r="D91" s="46"/>
      <c r="E91" s="46"/>
      <c r="H91" s="46"/>
      <c r="I91" s="46"/>
    </row>
    <row r="92" spans="1:9" x14ac:dyDescent="0.25">
      <c r="A92" s="51"/>
      <c r="B92" s="47"/>
      <c r="C92" s="47"/>
      <c r="D92" s="47"/>
      <c r="E92" s="47"/>
      <c r="H92" s="47"/>
      <c r="I92" s="47"/>
    </row>
    <row r="93" spans="1:9" x14ac:dyDescent="0.25">
      <c r="A93" s="50"/>
      <c r="B93" s="46"/>
      <c r="C93" s="46"/>
      <c r="D93" s="46"/>
      <c r="E93" s="46"/>
      <c r="H93" s="46"/>
      <c r="I93" s="46"/>
    </row>
    <row r="94" spans="1:9" x14ac:dyDescent="0.25">
      <c r="A94" s="51"/>
      <c r="B94" s="47"/>
      <c r="C94" s="47"/>
      <c r="D94" s="47"/>
      <c r="E94" s="47"/>
      <c r="H94" s="47"/>
      <c r="I94" s="47"/>
    </row>
    <row r="95" spans="1:9" x14ac:dyDescent="0.25">
      <c r="A95" s="50"/>
      <c r="B95" s="46"/>
      <c r="C95" s="46"/>
      <c r="D95" s="46"/>
      <c r="E95" s="46"/>
      <c r="H95" s="46"/>
      <c r="I95" s="46"/>
    </row>
    <row r="96" spans="1:9" x14ac:dyDescent="0.25">
      <c r="A96" s="51"/>
      <c r="B96" s="47"/>
      <c r="C96" s="47"/>
      <c r="D96" s="47"/>
      <c r="E96" s="47"/>
      <c r="H96" s="47"/>
      <c r="I96" s="47"/>
    </row>
    <row r="97" spans="1:9" x14ac:dyDescent="0.25">
      <c r="A97" s="50"/>
      <c r="B97" s="46"/>
      <c r="C97" s="46"/>
      <c r="D97" s="46"/>
      <c r="E97" s="46"/>
      <c r="H97" s="46"/>
      <c r="I97" s="46"/>
    </row>
    <row r="98" spans="1:9" x14ac:dyDescent="0.25">
      <c r="A98" s="51"/>
      <c r="B98" s="47"/>
      <c r="C98" s="47"/>
      <c r="D98" s="47"/>
      <c r="E98" s="47"/>
      <c r="H98" s="47"/>
      <c r="I98" s="47"/>
    </row>
    <row r="99" spans="1:9" x14ac:dyDescent="0.25">
      <c r="A99" s="50"/>
      <c r="B99" s="46"/>
      <c r="C99" s="46"/>
      <c r="D99" s="46"/>
      <c r="E99" s="46"/>
      <c r="H99" s="46"/>
      <c r="I99" s="46"/>
    </row>
    <row r="100" spans="1:9" x14ac:dyDescent="0.25">
      <c r="A100" s="51"/>
      <c r="B100" s="47"/>
      <c r="C100" s="47"/>
      <c r="D100" s="47"/>
      <c r="E100" s="47"/>
      <c r="H100" s="47"/>
      <c r="I100" s="47"/>
    </row>
    <row r="101" spans="1:9" x14ac:dyDescent="0.25">
      <c r="A101" s="50"/>
      <c r="B101" s="46"/>
      <c r="C101" s="46"/>
      <c r="D101" s="46"/>
      <c r="E101" s="46"/>
      <c r="H101" s="46"/>
      <c r="I101" s="46"/>
    </row>
    <row r="102" spans="1:9" x14ac:dyDescent="0.25">
      <c r="A102" s="51"/>
      <c r="B102" s="47"/>
      <c r="C102" s="47"/>
      <c r="D102" s="47"/>
      <c r="E102" s="47"/>
      <c r="H102" s="47"/>
      <c r="I102" s="47"/>
    </row>
    <row r="103" spans="1:9" x14ac:dyDescent="0.25">
      <c r="A103" s="50"/>
      <c r="B103" s="46"/>
      <c r="C103" s="46"/>
      <c r="D103" s="46"/>
      <c r="E103" s="46"/>
      <c r="H103" s="46"/>
      <c r="I103" s="46"/>
    </row>
    <row r="104" spans="1:9" x14ac:dyDescent="0.25">
      <c r="A104" s="51"/>
      <c r="B104" s="47"/>
      <c r="C104" s="47"/>
      <c r="D104" s="47"/>
      <c r="E104" s="47"/>
      <c r="H104" s="47"/>
      <c r="I104" s="47"/>
    </row>
    <row r="105" spans="1:9" x14ac:dyDescent="0.25">
      <c r="A105" s="50"/>
      <c r="B105" s="46"/>
      <c r="C105" s="46"/>
      <c r="D105" s="46"/>
      <c r="E105" s="46"/>
      <c r="H105" s="46"/>
      <c r="I105" s="46"/>
    </row>
    <row r="106" spans="1:9" x14ac:dyDescent="0.25">
      <c r="A106" s="51"/>
      <c r="B106" s="47"/>
      <c r="C106" s="47"/>
      <c r="D106" s="47"/>
      <c r="E106" s="47"/>
      <c r="H106" s="47"/>
      <c r="I106" s="47"/>
    </row>
    <row r="107" spans="1:9" x14ac:dyDescent="0.25">
      <c r="A107" s="50"/>
      <c r="B107" s="46"/>
      <c r="C107" s="46"/>
      <c r="D107" s="46"/>
      <c r="E107" s="46"/>
      <c r="H107" s="46"/>
      <c r="I107" s="46"/>
    </row>
    <row r="108" spans="1:9" x14ac:dyDescent="0.25">
      <c r="A108" s="51"/>
      <c r="B108" s="47"/>
      <c r="C108" s="47"/>
      <c r="D108" s="47"/>
      <c r="E108" s="47"/>
      <c r="H108" s="47"/>
      <c r="I108" s="47"/>
    </row>
    <row r="109" spans="1:9" x14ac:dyDescent="0.25">
      <c r="A109" s="50"/>
      <c r="B109" s="46"/>
      <c r="C109" s="46"/>
      <c r="D109" s="46"/>
      <c r="E109" s="46"/>
      <c r="H109" s="46"/>
      <c r="I109" s="46"/>
    </row>
    <row r="110" spans="1:9" x14ac:dyDescent="0.25">
      <c r="A110" s="51"/>
      <c r="B110" s="47"/>
      <c r="C110" s="47"/>
      <c r="D110" s="47"/>
      <c r="E110" s="47"/>
      <c r="H110" s="47"/>
      <c r="I110" s="47"/>
    </row>
    <row r="111" spans="1:9" x14ac:dyDescent="0.25">
      <c r="A111" s="50"/>
      <c r="B111" s="46"/>
      <c r="C111" s="46"/>
      <c r="D111" s="46"/>
      <c r="E111" s="46"/>
      <c r="H111" s="46"/>
      <c r="I111" s="46"/>
    </row>
    <row r="112" spans="1:9" x14ac:dyDescent="0.25">
      <c r="A112" s="51"/>
      <c r="B112" s="47"/>
      <c r="C112" s="47"/>
      <c r="D112" s="47"/>
      <c r="E112" s="47"/>
      <c r="H112" s="47"/>
      <c r="I112" s="47"/>
    </row>
    <row r="113" spans="1:9" x14ac:dyDescent="0.25">
      <c r="A113" s="50"/>
      <c r="B113" s="46"/>
      <c r="C113" s="46"/>
      <c r="D113" s="46"/>
      <c r="E113" s="46"/>
      <c r="H113" s="46"/>
      <c r="I113" s="46"/>
    </row>
    <row r="114" spans="1:9" x14ac:dyDescent="0.25">
      <c r="A114" s="51"/>
      <c r="B114" s="47"/>
      <c r="C114" s="47"/>
      <c r="D114" s="47"/>
      <c r="E114" s="47"/>
      <c r="H114" s="47"/>
      <c r="I114" s="47"/>
    </row>
    <row r="115" spans="1:9" x14ac:dyDescent="0.25">
      <c r="A115" s="50"/>
      <c r="B115" s="46"/>
      <c r="C115" s="46"/>
      <c r="D115" s="46"/>
      <c r="E115" s="46"/>
      <c r="H115" s="46"/>
      <c r="I115" s="46"/>
    </row>
    <row r="116" spans="1:9" x14ac:dyDescent="0.25">
      <c r="A116" s="51"/>
      <c r="B116" s="47"/>
      <c r="C116" s="47"/>
      <c r="D116" s="47"/>
      <c r="E116" s="47"/>
      <c r="H116" s="47"/>
      <c r="I116" s="47"/>
    </row>
    <row r="117" spans="1:9" x14ac:dyDescent="0.25">
      <c r="A117" s="50"/>
      <c r="B117" s="46"/>
      <c r="C117" s="46"/>
      <c r="D117" s="46"/>
      <c r="E117" s="46"/>
      <c r="H117" s="46"/>
      <c r="I117" s="46"/>
    </row>
    <row r="118" spans="1:9" x14ac:dyDescent="0.25">
      <c r="A118" s="51"/>
      <c r="B118" s="47"/>
      <c r="C118" s="47"/>
      <c r="D118" s="47"/>
      <c r="E118" s="47"/>
      <c r="H118" s="47"/>
      <c r="I118" s="47"/>
    </row>
    <row r="119" spans="1:9" x14ac:dyDescent="0.25">
      <c r="A119" s="50"/>
      <c r="B119" s="46"/>
      <c r="C119" s="46"/>
      <c r="D119" s="46"/>
      <c r="E119" s="46"/>
      <c r="H119" s="46"/>
      <c r="I119" s="46"/>
    </row>
    <row r="120" spans="1:9" x14ac:dyDescent="0.25">
      <c r="A120" s="51"/>
      <c r="B120" s="47"/>
      <c r="C120" s="47"/>
      <c r="D120" s="47"/>
      <c r="E120" s="47"/>
      <c r="H120" s="47"/>
      <c r="I120" s="47"/>
    </row>
    <row r="121" spans="1:9" x14ac:dyDescent="0.25">
      <c r="A121" s="50"/>
      <c r="B121" s="46"/>
      <c r="C121" s="46"/>
      <c r="D121" s="46"/>
      <c r="E121" s="46"/>
      <c r="H121" s="46"/>
      <c r="I121" s="46"/>
    </row>
    <row r="122" spans="1:9" x14ac:dyDescent="0.25">
      <c r="A122" s="51"/>
      <c r="B122" s="47"/>
      <c r="C122" s="47"/>
      <c r="D122" s="47"/>
      <c r="E122" s="47"/>
      <c r="H122" s="47"/>
      <c r="I122" s="47"/>
    </row>
    <row r="123" spans="1:9" x14ac:dyDescent="0.25">
      <c r="A123" s="50"/>
      <c r="B123" s="46"/>
      <c r="C123" s="46"/>
      <c r="D123" s="46"/>
      <c r="E123" s="46"/>
      <c r="H123" s="46"/>
      <c r="I123" s="46"/>
    </row>
    <row r="124" spans="1:9" x14ac:dyDescent="0.25">
      <c r="A124" s="51"/>
      <c r="B124" s="47"/>
      <c r="C124" s="47"/>
      <c r="D124" s="47"/>
      <c r="E124" s="47"/>
      <c r="H124" s="47"/>
      <c r="I124" s="47"/>
    </row>
    <row r="125" spans="1:9" x14ac:dyDescent="0.25">
      <c r="A125" s="50"/>
      <c r="B125" s="46"/>
      <c r="C125" s="46"/>
      <c r="D125" s="46"/>
      <c r="E125" s="46"/>
      <c r="H125" s="46"/>
      <c r="I125" s="46"/>
    </row>
    <row r="126" spans="1:9" x14ac:dyDescent="0.25">
      <c r="A126" s="51"/>
      <c r="B126" s="47"/>
      <c r="C126" s="47"/>
      <c r="D126" s="47"/>
      <c r="E126" s="47"/>
      <c r="H126" s="47"/>
      <c r="I126" s="47"/>
    </row>
    <row r="127" spans="1:9" x14ac:dyDescent="0.25">
      <c r="A127" s="50"/>
      <c r="B127" s="46"/>
      <c r="C127" s="46"/>
      <c r="D127" s="46"/>
      <c r="E127" s="46"/>
      <c r="H127" s="46"/>
      <c r="I127" s="46"/>
    </row>
    <row r="128" spans="1:9" x14ac:dyDescent="0.25">
      <c r="A128" s="51"/>
      <c r="B128" s="47"/>
      <c r="C128" s="47"/>
      <c r="D128" s="47"/>
      <c r="E128" s="47"/>
      <c r="H128" s="47"/>
      <c r="I128" s="47"/>
    </row>
    <row r="129" spans="1:9" x14ac:dyDescent="0.25">
      <c r="A129" s="50"/>
      <c r="B129" s="46"/>
      <c r="C129" s="46"/>
      <c r="D129" s="46"/>
      <c r="E129" s="46"/>
      <c r="H129" s="46"/>
      <c r="I129" s="46"/>
    </row>
    <row r="130" spans="1:9" x14ac:dyDescent="0.25">
      <c r="A130" s="51"/>
      <c r="B130" s="47"/>
      <c r="C130" s="47"/>
      <c r="D130" s="47"/>
      <c r="E130" s="47"/>
      <c r="H130" s="47"/>
      <c r="I130" s="47"/>
    </row>
    <row r="131" spans="1:9" x14ac:dyDescent="0.25">
      <c r="A131" s="50"/>
      <c r="B131" s="46"/>
      <c r="C131" s="46"/>
      <c r="D131" s="46"/>
      <c r="E131" s="46"/>
      <c r="H131" s="46"/>
      <c r="I131" s="46"/>
    </row>
    <row r="132" spans="1:9" x14ac:dyDescent="0.25">
      <c r="A132" s="51"/>
      <c r="B132" s="47"/>
      <c r="C132" s="47"/>
      <c r="D132" s="47"/>
      <c r="E132" s="47"/>
      <c r="H132" s="47"/>
      <c r="I132" s="47"/>
    </row>
    <row r="133" spans="1:9" x14ac:dyDescent="0.25">
      <c r="A133" s="50"/>
      <c r="B133" s="46"/>
      <c r="C133" s="46"/>
      <c r="D133" s="46"/>
      <c r="E133" s="46"/>
      <c r="H133" s="46"/>
      <c r="I133" s="46"/>
    </row>
    <row r="134" spans="1:9" x14ac:dyDescent="0.25">
      <c r="A134" s="51"/>
      <c r="B134" s="47"/>
      <c r="C134" s="47"/>
      <c r="D134" s="47"/>
      <c r="E134" s="47"/>
      <c r="H134" s="47"/>
      <c r="I134" s="47"/>
    </row>
    <row r="135" spans="1:9" x14ac:dyDescent="0.25">
      <c r="A135" s="50"/>
      <c r="B135" s="46"/>
      <c r="C135" s="46"/>
      <c r="D135" s="46"/>
      <c r="E135" s="46"/>
      <c r="H135" s="46"/>
      <c r="I135" s="46"/>
    </row>
    <row r="136" spans="1:9" x14ac:dyDescent="0.25">
      <c r="A136" s="51"/>
      <c r="B136" s="47"/>
      <c r="C136" s="47"/>
      <c r="D136" s="47"/>
      <c r="E136" s="47"/>
      <c r="H136" s="47"/>
      <c r="I136" s="47"/>
    </row>
    <row r="137" spans="1:9" ht="15.75" thickBot="1" x14ac:dyDescent="0.3">
      <c r="A137" s="52"/>
      <c r="B137" s="53"/>
      <c r="C137" s="53"/>
      <c r="D137" s="53"/>
      <c r="E137" s="53"/>
      <c r="H137" s="53"/>
      <c r="I137" s="53"/>
    </row>
  </sheetData>
  <dataValidations disablePrompts="1" count="1">
    <dataValidation type="whole" errorStyle="information" operator="equal" allowBlank="1" showErrorMessage="1" error="Total sum must equal 100at%" sqref="L22 W36">
      <formula1>100</formula1>
    </dataValidation>
  </dataValidations>
  <pageMargins left="0.7" right="0.7" top="0.75" bottom="0.75" header="0.3" footer="0.3"/>
  <pageSetup paperSize="9" orientation="portrait" verticalDpi="599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B229"/>
  <sheetViews>
    <sheetView workbookViewId="0">
      <selection activeCell="N5" sqref="N5"/>
    </sheetView>
  </sheetViews>
  <sheetFormatPr defaultRowHeight="15" x14ac:dyDescent="0.25"/>
  <cols>
    <col min="5" max="5" width="10.5703125" bestFit="1" customWidth="1"/>
    <col min="23" max="25" width="9.140625" customWidth="1"/>
    <col min="26" max="29" width="19.28515625" bestFit="1" customWidth="1"/>
    <col min="30" max="30" width="18.28515625" bestFit="1" customWidth="1"/>
  </cols>
  <sheetData>
    <row r="1" spans="1:28" x14ac:dyDescent="0.25">
      <c r="A1" s="19" t="s">
        <v>25</v>
      </c>
      <c r="H1" s="19" t="s">
        <v>26</v>
      </c>
      <c r="M1" s="19" t="s">
        <v>27</v>
      </c>
      <c r="Z1" s="19" t="s">
        <v>114</v>
      </c>
    </row>
    <row r="2" spans="1:28" x14ac:dyDescent="0.25">
      <c r="Z2">
        <v>2000</v>
      </c>
      <c r="AA2">
        <v>1000</v>
      </c>
      <c r="AB2">
        <v>298</v>
      </c>
    </row>
    <row r="3" spans="1:28" x14ac:dyDescent="0.25">
      <c r="D3" s="22" t="s">
        <v>30</v>
      </c>
      <c r="E3" s="58">
        <f>SUM(D5:D14)</f>
        <v>1.3401999999999998</v>
      </c>
      <c r="M3" s="55"/>
      <c r="N3" s="65" t="str">
        <f>IF(ISBLANK('Easy calculators'!$D$8), "", 'Easy calculators'!$D$8)</f>
        <v>Cu</v>
      </c>
      <c r="O3" s="65" t="str">
        <f>IF(ISBLANK('Easy calculators'!$D$9), "", 'Easy calculators'!$D$9)</f>
        <v>Ni</v>
      </c>
      <c r="P3" s="65" t="str">
        <f>IF(ISBLANK('Easy calculators'!$D$10), "", 'Easy calculators'!$D$10)</f>
        <v>Mn</v>
      </c>
      <c r="Q3" s="65" t="str">
        <f>IF(ISBLANK('Easy calculators'!$D$11), "", 'Easy calculators'!$D$11)</f>
        <v>Al</v>
      </c>
      <c r="R3" s="65" t="str">
        <f>IF(ISBLANK('Easy calculators'!$D$12), "", 'Easy calculators'!$D$12)</f>
        <v>Zn</v>
      </c>
      <c r="S3" s="65" t="str">
        <f>IF(ISBLANK('Easy calculators'!$D$13), "", 'Easy calculators'!$D$13)</f>
        <v/>
      </c>
      <c r="T3" s="65" t="str">
        <f>IF(ISBLANK('Easy calculators'!$D$14), "", 'Easy calculators'!$D$14)</f>
        <v/>
      </c>
      <c r="U3" s="65" t="str">
        <f>IF(ISBLANK('Easy calculators'!$D$15), "", 'Easy calculators'!$D$15)</f>
        <v/>
      </c>
      <c r="V3" s="65" t="str">
        <f>IF(ISBLANK('Easy calculators'!$D$16), "", 'Easy calculators'!$D$16)</f>
        <v/>
      </c>
      <c r="W3" s="65" t="str">
        <f>IF(ISBLANK('Easy calculators'!$D$17), "", 'Easy calculators'!$D$17)</f>
        <v/>
      </c>
      <c r="X3" t="s">
        <v>131</v>
      </c>
      <c r="Z3" s="63" t="s">
        <v>115</v>
      </c>
      <c r="AA3" s="63" t="s">
        <v>116</v>
      </c>
      <c r="AB3" s="63" t="s">
        <v>117</v>
      </c>
    </row>
    <row r="4" spans="1:28" ht="18.75" thickBot="1" x14ac:dyDescent="0.4">
      <c r="A4" s="2" t="s">
        <v>0</v>
      </c>
      <c r="B4" s="26" t="s">
        <v>34</v>
      </c>
      <c r="C4" s="26" t="s">
        <v>33</v>
      </c>
      <c r="D4" s="27" t="s">
        <v>35</v>
      </c>
      <c r="E4" s="28" t="s">
        <v>36</v>
      </c>
      <c r="H4" s="2" t="s">
        <v>0</v>
      </c>
      <c r="I4" s="26" t="s">
        <v>34</v>
      </c>
      <c r="J4" s="29" t="s">
        <v>37</v>
      </c>
      <c r="M4" s="65" t="str">
        <f>IF(ISBLANK('Easy calculators'!D8), "", 'Easy calculators'!D8)</f>
        <v>Cu</v>
      </c>
      <c r="N4" s="55" t="str">
        <f>IF(ISBLANK('Easy calculators'!$D8), 0, VLOOKUP($M4, HeatOfMixing!$B$3:$AF$33, LOOKUP(Thermodynamics!N$3, HeatOfMixing!$B$4:$B$33, HeatOfMixing!$A$4:$A$33), FALSE))</f>
        <v>-</v>
      </c>
      <c r="O4" s="55">
        <f>IF(ISBLANK('Easy calculators'!$D$9), 0, VLOOKUP($M4, HeatOfMixing!$B$3:$AF$33, LOOKUP(Thermodynamics!O$3, HeatOfMixing!$B$4:$B$33, HeatOfMixing!$A$4:$A$33), FALSE))</f>
        <v>4</v>
      </c>
      <c r="P4" s="55">
        <f>IF(ISBLANK('Easy calculators'!$D$10), 0, VLOOKUP($M4, HeatOfMixing!$B$3:$AF$33, LOOKUP(Thermodynamics!P$3, HeatOfMixing!$B$4:$B$33, HeatOfMixing!$A$4:$A$33), FALSE))</f>
        <v>4</v>
      </c>
      <c r="Q4" s="55">
        <f>IF(ISBLANK('Easy calculators'!$D$11), 0, VLOOKUP($M4, HeatOfMixing!$B$3:$AF$33, LOOKUP(Thermodynamics!Q$3, HeatOfMixing!$B$4:$B$33, HeatOfMixing!$A$4:$A$33), FALSE))</f>
        <v>-1</v>
      </c>
      <c r="R4" s="55">
        <f>IF(ISBLANK('Easy calculators'!$D$12), 0, VLOOKUP($M4, HeatOfMixing!$B$3:$AF$33, LOOKUP(Thermodynamics!R$3, HeatOfMixing!$B$4:$B$33, HeatOfMixing!$A$4:$A$33), FALSE))</f>
        <v>1</v>
      </c>
      <c r="S4" s="55">
        <f>IF(ISBLANK('Easy calculators'!$D$13), 0, VLOOKUP($M4, HeatOfMixing!$B$3:$AF$33, LOOKUP(Thermodynamics!S$3, HeatOfMixing!$B$4:$B$33, HeatOfMixing!$A$4:$A$33), FALSE))</f>
        <v>0</v>
      </c>
      <c r="T4" s="55">
        <f>IF(ISBLANK('Easy calculators'!$D$14), 0, VLOOKUP($M4, HeatOfMixing!$B$3:$AF$33, LOOKUP(Thermodynamics!T$3, HeatOfMixing!$B$4:$B$33, HeatOfMixing!$A$4:$A$33), FALSE))</f>
        <v>0</v>
      </c>
      <c r="U4" s="55">
        <f>IF(ISBLANK('Easy calculators'!$D$15), 0, VLOOKUP($M4, HeatOfMixing!$B$3:$AF$33, LOOKUP(Thermodynamics!U$3, HeatOfMixing!$B$4:$B$33, HeatOfMixing!$A$4:$A$33), FALSE))</f>
        <v>0</v>
      </c>
      <c r="V4" s="55">
        <f>IF(ISBLANK('Easy calculators'!$D$16), 0, VLOOKUP($M4, HeatOfMixing!$B$3:$AF$33, LOOKUP(Thermodynamics!V$3, HeatOfMixing!$B$4:$B$33, HeatOfMixing!$A$4:$A$33), FALSE))</f>
        <v>0</v>
      </c>
      <c r="W4" s="55">
        <f>IF(ISBLANK('Easy calculators'!$D$17), 0, VLOOKUP($M4, HeatOfMixing!$B$3:$AF$33, LOOKUP(Thermodynamics!W$3, HeatOfMixing!$B$4:$B$33, HeatOfMixing!$A$4:$A$33), FALSE))</f>
        <v>0</v>
      </c>
    </row>
    <row r="5" spans="1:28" x14ac:dyDescent="0.25">
      <c r="A5" t="str">
        <f>IF(ISBLANK('Easy calculators'!D8), "", 'Easy calculators'!D8)</f>
        <v>Cu</v>
      </c>
      <c r="B5" s="43">
        <f>'Easy calculators'!E8/100</f>
        <v>0.2</v>
      </c>
      <c r="C5" s="42">
        <f>IF(ISBLANK('Easy calculators'!D8), 0, LOOKUP(A5, $A$28:$A$100, $B$28:$B$100))</f>
        <v>1.278</v>
      </c>
      <c r="D5" s="35">
        <f>IF(ISBLANK(#REF!), 0, B5*C5)</f>
        <v>0.25559999999999999</v>
      </c>
      <c r="E5" s="56">
        <f>IF(ISBLANK(A5), 0, B5*((1-(C5/$E$3))^2))</f>
        <v>4.3079587668648728E-4</v>
      </c>
      <c r="H5" s="31" t="str">
        <f>A5</f>
        <v>Cu</v>
      </c>
      <c r="I5" s="30">
        <f>B5</f>
        <v>0.2</v>
      </c>
      <c r="J5" s="59">
        <f t="shared" ref="J5:J10" si="0">IF(I5=0,0,I5*LN(I5))</f>
        <v>-0.32188758248682009</v>
      </c>
      <c r="M5" s="65" t="str">
        <f>IF(ISBLANK('Easy calculators'!D9), "", 'Easy calculators'!D9)</f>
        <v>Ni</v>
      </c>
      <c r="N5" s="55">
        <f>IF(ISBLANK('Easy calculators'!$D9), 0, VLOOKUP($M5, HeatOfMixing!$B$3:$AF$33, LOOKUP(Thermodynamics!N$3, HeatOfMixing!$B$4:$B$33, HeatOfMixing!$A$4:$A$33), FALSE))</f>
        <v>4</v>
      </c>
      <c r="O5" s="55" t="str">
        <f>IF(ISBLANK('Easy calculators'!$D$9), 0, VLOOKUP($M5, HeatOfMixing!$B$3:$AF$33, LOOKUP(Thermodynamics!O$3, HeatOfMixing!$B$4:$B$33, HeatOfMixing!$A$4:$A$33), FALSE))</f>
        <v>-</v>
      </c>
      <c r="P5" s="55">
        <f>IF(ISBLANK('Easy calculators'!$D$10), 0, VLOOKUP($M5, HeatOfMixing!$B$3:$AF$33, LOOKUP(Thermodynamics!P$3, HeatOfMixing!$B$4:$B$33, HeatOfMixing!$A$4:$A$33), FALSE))</f>
        <v>-8</v>
      </c>
      <c r="Q5" s="55">
        <f>IF(ISBLANK('Easy calculators'!$D$11), 0, VLOOKUP($M5, HeatOfMixing!$B$3:$AF$33, LOOKUP(Thermodynamics!Q$3, HeatOfMixing!$B$4:$B$33, HeatOfMixing!$A$4:$A$33), FALSE))</f>
        <v>-22</v>
      </c>
      <c r="R5" s="55">
        <f>IF(ISBLANK('Easy calculators'!$D$12), 0, VLOOKUP($M5, HeatOfMixing!$B$3:$AF$33, LOOKUP(Thermodynamics!R$3, HeatOfMixing!$B$4:$B$33, HeatOfMixing!$A$4:$A$33), FALSE))</f>
        <v>-9</v>
      </c>
      <c r="S5" s="55">
        <f>IF(ISBLANK('Easy calculators'!$D$13), 0, VLOOKUP($M5, HeatOfMixing!$B$3:$AF$33, LOOKUP(Thermodynamics!S$3, HeatOfMixing!$B$4:$B$33, HeatOfMixing!$A$4:$A$33), FALSE))</f>
        <v>0</v>
      </c>
      <c r="T5" s="55">
        <f>IF(ISBLANK('Easy calculators'!$D$14), 0, VLOOKUP($M5, HeatOfMixing!$B$3:$AF$33, LOOKUP(Thermodynamics!T$3, HeatOfMixing!$B$4:$B$33, HeatOfMixing!$A$4:$A$33), FALSE))</f>
        <v>0</v>
      </c>
      <c r="U5" s="55">
        <f>IF(ISBLANK('Easy calculators'!$D$15), 0, VLOOKUP($M5, HeatOfMixing!$B$3:$AF$33, LOOKUP(Thermodynamics!U$3, HeatOfMixing!$B$4:$B$33, HeatOfMixing!$A$4:$A$33), FALSE))</f>
        <v>0</v>
      </c>
      <c r="V5" s="55">
        <f>IF(ISBLANK('Easy calculators'!$D$16), 0, VLOOKUP($M5, HeatOfMixing!$B$3:$AF$33, LOOKUP(Thermodynamics!V$3, HeatOfMixing!$B$4:$B$33, HeatOfMixing!$A$4:$A$33), FALSE))</f>
        <v>0</v>
      </c>
      <c r="W5" s="55">
        <f>IF(ISBLANK('Easy calculators'!$D$17), 0, VLOOKUP($M5, HeatOfMixing!$B$3:$AF$33, LOOKUP(Thermodynamics!W$3, HeatOfMixing!$B$4:$B$33, HeatOfMixing!$A$4:$A$33), FALSE))</f>
        <v>0</v>
      </c>
      <c r="Z5">
        <v>2000</v>
      </c>
    </row>
    <row r="6" spans="1:28" x14ac:dyDescent="0.25">
      <c r="A6" t="str">
        <f>IF(ISBLANK('Easy calculators'!D9), "", 'Easy calculators'!D9)</f>
        <v>Ni</v>
      </c>
      <c r="B6" s="44">
        <f>'Easy calculators'!E9/100</f>
        <v>0.2</v>
      </c>
      <c r="C6" s="42">
        <f>IF(ISBLANK('Easy calculators'!D9), 0, LOOKUP(A6, $A$28:$A$100, $B$28:$B$100))</f>
        <v>1.246</v>
      </c>
      <c r="D6" s="35">
        <f t="shared" ref="D6:D14" si="1">IF(ISBLANK(A6), 0, B6*C6)</f>
        <v>0.2492</v>
      </c>
      <c r="E6" s="56">
        <f>IF(ISBLANK(A6), 0, B6*((1-(C6/$E$3))^2))</f>
        <v>9.8808105871534815E-4</v>
      </c>
      <c r="H6" s="31" t="str">
        <f>A6</f>
        <v>Ni</v>
      </c>
      <c r="I6" s="32">
        <f>B6</f>
        <v>0.2</v>
      </c>
      <c r="J6" s="59">
        <f t="shared" si="0"/>
        <v>-0.32188758248682009</v>
      </c>
      <c r="M6" s="65" t="str">
        <f>IF(ISBLANK('Easy calculators'!D10), "", 'Easy calculators'!D10)</f>
        <v>Mn</v>
      </c>
      <c r="N6" s="55">
        <f>IF(ISBLANK('Easy calculators'!$D10), 0, VLOOKUP($M6, HeatOfMixing!$B$3:$AF$33, LOOKUP(Thermodynamics!N$3, HeatOfMixing!$B$4:$B$33, HeatOfMixing!$A$4:$A$33), FALSE))</f>
        <v>4</v>
      </c>
      <c r="O6" s="55">
        <f>IF(ISBLANK('Easy calculators'!$D10), 0, VLOOKUP($M6, HeatOfMixing!$B$3:$AF$33, LOOKUP(Thermodynamics!O$3, HeatOfMixing!$B$4:$B$33, HeatOfMixing!$A$4:$A$33), FALSE))</f>
        <v>-8</v>
      </c>
      <c r="P6" s="55" t="str">
        <f>IF(ISBLANK('Easy calculators'!$D$10), 0, VLOOKUP($M6, HeatOfMixing!$B$3:$AF$33, LOOKUP(Thermodynamics!P$3, HeatOfMixing!$B$4:$B$33, HeatOfMixing!$A$4:$A$33), FALSE))</f>
        <v>-</v>
      </c>
      <c r="Q6" s="55">
        <f>IF(ISBLANK('Easy calculators'!$D$11), 0, VLOOKUP($M6, HeatOfMixing!$B$3:$AF$33, LOOKUP(Thermodynamics!Q$3, HeatOfMixing!$B$4:$B$33, HeatOfMixing!$A$4:$A$33), FALSE))</f>
        <v>-19</v>
      </c>
      <c r="R6" s="55">
        <f>IF(ISBLANK('Easy calculators'!$D$12), 0, VLOOKUP($M6, HeatOfMixing!$B$3:$AF$33, LOOKUP(Thermodynamics!R$3, HeatOfMixing!$B$4:$B$33, HeatOfMixing!$A$4:$A$33), FALSE))</f>
        <v>-6</v>
      </c>
      <c r="S6" s="55">
        <f>IF(ISBLANK('Easy calculators'!$D$13), 0, VLOOKUP($M6, HeatOfMixing!$B$3:$AF$33, LOOKUP(Thermodynamics!S$3, HeatOfMixing!$B$4:$B$33, HeatOfMixing!$A$4:$A$33), FALSE))</f>
        <v>0</v>
      </c>
      <c r="T6" s="55">
        <f>IF(ISBLANK('Easy calculators'!$D$14), 0, VLOOKUP($M6, HeatOfMixing!$B$3:$AF$33, LOOKUP(Thermodynamics!T$3, HeatOfMixing!$B$4:$B$33, HeatOfMixing!$A$4:$A$33), FALSE))</f>
        <v>0</v>
      </c>
      <c r="U6" s="55">
        <f>IF(ISBLANK('Easy calculators'!$D$15), 0, VLOOKUP($M6, HeatOfMixing!$B$3:$AF$33, LOOKUP(Thermodynamics!U$3, HeatOfMixing!$B$4:$B$33, HeatOfMixing!$A$4:$A$33), FALSE))</f>
        <v>0</v>
      </c>
      <c r="V6" s="55">
        <f>IF(ISBLANK('Easy calculators'!$D$16), 0, VLOOKUP($M6, HeatOfMixing!$B$3:$AF$33, LOOKUP(Thermodynamics!V$3, HeatOfMixing!$B$4:$B$33, HeatOfMixing!$A$4:$A$33), FALSE))</f>
        <v>0</v>
      </c>
      <c r="W6" s="55">
        <f>IF(ISBLANK('Easy calculators'!$D$17), 0, VLOOKUP($M6, HeatOfMixing!$B$3:$AF$33, LOOKUP(Thermodynamics!W$3, HeatOfMixing!$B$4:$B$33, HeatOfMixing!$A$4:$A$33), FALSE))</f>
        <v>0</v>
      </c>
      <c r="Z6">
        <v>1000</v>
      </c>
    </row>
    <row r="7" spans="1:28" x14ac:dyDescent="0.25">
      <c r="A7" t="str">
        <f>IF(ISBLANK('Easy calculators'!D10), "", 'Easy calculators'!D10)</f>
        <v>Mn</v>
      </c>
      <c r="B7" s="44">
        <f>'Easy calculators'!E10/100</f>
        <v>0.2</v>
      </c>
      <c r="C7" s="42">
        <f>IF(ISBLANK('Easy calculators'!D10), 0, LOOKUP(A7, $A$28:$A$100, $B$28:$B$100))</f>
        <v>1.35</v>
      </c>
      <c r="D7" s="35">
        <f t="shared" si="1"/>
        <v>0.27</v>
      </c>
      <c r="E7" s="56">
        <f t="shared" ref="E7:E14" si="2">IF(ISBLANK(A7), 0, B7*((1-(C7/$E$3))^2))</f>
        <v>1.0694067471638273E-5</v>
      </c>
      <c r="H7" s="31" t="str">
        <f t="shared" ref="H7:H13" si="3">A7</f>
        <v>Mn</v>
      </c>
      <c r="I7" s="32">
        <f t="shared" ref="I7:I14" si="4">B7</f>
        <v>0.2</v>
      </c>
      <c r="J7" s="59">
        <f t="shared" si="0"/>
        <v>-0.32188758248682009</v>
      </c>
      <c r="M7" s="65" t="str">
        <f>IF(ISBLANK('Easy calculators'!D11), "", 'Easy calculators'!D11)</f>
        <v>Al</v>
      </c>
      <c r="N7" s="55">
        <f>IF(ISBLANK('Easy calculators'!$D11), 0, VLOOKUP($M7, HeatOfMixing!$B$3:$AF$33, LOOKUP(Thermodynamics!N$3, HeatOfMixing!$B$4:$B$33, HeatOfMixing!$A$4:$A$33), FALSE))</f>
        <v>-1</v>
      </c>
      <c r="O7" s="55">
        <f>IF(ISBLANK('Easy calculators'!$D11), 0, VLOOKUP($M7, HeatOfMixing!$B$3:$AF$33, LOOKUP(Thermodynamics!O$3, HeatOfMixing!$B$4:$B$33, HeatOfMixing!$A$4:$A$33), FALSE))</f>
        <v>-22</v>
      </c>
      <c r="P7" s="55">
        <f>IF(ISBLANK('Easy calculators'!$D11), 0, VLOOKUP($M7, HeatOfMixing!$B$3:$AF$33, LOOKUP(Thermodynamics!P$3, HeatOfMixing!$B$4:$B$33, HeatOfMixing!$A$4:$A$33), FALSE))</f>
        <v>-19</v>
      </c>
      <c r="Q7" s="55" t="str">
        <f>IF(ISBLANK('Easy calculators'!$D$11), 0, VLOOKUP($M7, HeatOfMixing!$B$3:$AF$33, LOOKUP(Thermodynamics!Q$3, HeatOfMixing!$B$4:$B$33, HeatOfMixing!$A$4:$A$33), FALSE))</f>
        <v>-</v>
      </c>
      <c r="R7" s="55">
        <f>IF(ISBLANK('Easy calculators'!$D$12), 0, VLOOKUP($M7, HeatOfMixing!$B$3:$AF$33, LOOKUP(Thermodynamics!R$3, HeatOfMixing!$B$4:$B$33, HeatOfMixing!$A$4:$A$33), FALSE))</f>
        <v>1</v>
      </c>
      <c r="S7" s="55">
        <f>IF(ISBLANK('Easy calculators'!$D$13), 0, VLOOKUP($M7, HeatOfMixing!$B$3:$AF$33, LOOKUP(Thermodynamics!S$3, HeatOfMixing!$B$4:$B$33, HeatOfMixing!$A$4:$A$33), FALSE))</f>
        <v>0</v>
      </c>
      <c r="T7" s="55">
        <f>IF(ISBLANK('Easy calculators'!$D$14), 0, VLOOKUP($M7, HeatOfMixing!$B$3:$AF$33, LOOKUP(Thermodynamics!T$3, HeatOfMixing!$B$4:$B$33, HeatOfMixing!$A$4:$A$33), FALSE))</f>
        <v>0</v>
      </c>
      <c r="U7" s="55">
        <f>IF(ISBLANK('Easy calculators'!$D$15), 0, VLOOKUP($M7, HeatOfMixing!$B$3:$AF$33, LOOKUP(Thermodynamics!U$3, HeatOfMixing!$B$4:$B$33, HeatOfMixing!$A$4:$A$33), FALSE))</f>
        <v>0</v>
      </c>
      <c r="V7" s="55">
        <f>IF(ISBLANK('Easy calculators'!$D$16), 0, VLOOKUP($M7, HeatOfMixing!$B$3:$AF$33, LOOKUP(Thermodynamics!V$3, HeatOfMixing!$B$4:$B$33, HeatOfMixing!$A$4:$A$33), FALSE))</f>
        <v>0</v>
      </c>
      <c r="W7" s="55">
        <f>IF(ISBLANK('Easy calculators'!$D$17), 0, VLOOKUP($M7, HeatOfMixing!$B$3:$AF$33, LOOKUP(Thermodynamics!W$3, HeatOfMixing!$B$4:$B$33, HeatOfMixing!$A$4:$A$33), FALSE))</f>
        <v>0</v>
      </c>
      <c r="Z7">
        <v>298</v>
      </c>
    </row>
    <row r="8" spans="1:28" x14ac:dyDescent="0.25">
      <c r="A8" t="str">
        <f>IF(ISBLANK('Easy calculators'!D11), "", 'Easy calculators'!D11)</f>
        <v>Al</v>
      </c>
      <c r="B8" s="44">
        <f>'Easy calculators'!E11/100</f>
        <v>0.2</v>
      </c>
      <c r="C8" s="42">
        <f>IF(ISBLANK('Easy calculators'!D11), 0, LOOKUP(A8, $A$28:$A$100, $B$28:$B$100))</f>
        <v>1.4319999999999999</v>
      </c>
      <c r="D8" s="35">
        <f t="shared" si="1"/>
        <v>0.28639999999999999</v>
      </c>
      <c r="E8" s="56">
        <f t="shared" si="2"/>
        <v>9.3837435609832862E-4</v>
      </c>
      <c r="H8" s="31" t="str">
        <f t="shared" si="3"/>
        <v>Al</v>
      </c>
      <c r="I8" s="32">
        <f t="shared" si="4"/>
        <v>0.2</v>
      </c>
      <c r="J8" s="59">
        <f t="shared" si="0"/>
        <v>-0.32188758248682009</v>
      </c>
      <c r="M8" s="65" t="str">
        <f>IF(ISBLANK('Easy calculators'!D12), "", 'Easy calculators'!D12)</f>
        <v>Zn</v>
      </c>
      <c r="N8" s="55">
        <f>IF(ISBLANK('Easy calculators'!$D12), 0, VLOOKUP($M8, HeatOfMixing!$B$3:$AF$33, LOOKUP(Thermodynamics!N$3, HeatOfMixing!$B$4:$B$33, HeatOfMixing!$A$4:$A$33), FALSE))</f>
        <v>1</v>
      </c>
      <c r="O8" s="55">
        <f>IF(ISBLANK('Easy calculators'!$D12), 0, VLOOKUP($M8, HeatOfMixing!$B$3:$AF$33, LOOKUP(Thermodynamics!O$3, HeatOfMixing!$B$4:$B$33, HeatOfMixing!$A$4:$A$33), FALSE))</f>
        <v>-9</v>
      </c>
      <c r="P8" s="55">
        <f>IF(ISBLANK('Easy calculators'!$D12), 0, VLOOKUP($M8, HeatOfMixing!$B$3:$AF$33, LOOKUP(Thermodynamics!P$3, HeatOfMixing!$B$4:$B$33, HeatOfMixing!$A$4:$A$33), FALSE))</f>
        <v>-6</v>
      </c>
      <c r="Q8" s="55">
        <f>IF(ISBLANK('Easy calculators'!$D12), 0, VLOOKUP($M8, HeatOfMixing!$B$3:$AF$33, LOOKUP(Thermodynamics!Q$3, HeatOfMixing!$B$4:$B$33, HeatOfMixing!$A$4:$A$33), FALSE))</f>
        <v>1</v>
      </c>
      <c r="R8" s="55" t="str">
        <f>IF(ISBLANK('Easy calculators'!$D$12), 0, VLOOKUP($M8, HeatOfMixing!$B$3:$AF$33, LOOKUP(Thermodynamics!R$3, HeatOfMixing!$B$4:$B$33, HeatOfMixing!$A$4:$A$33), FALSE))</f>
        <v>-</v>
      </c>
      <c r="S8" s="55">
        <f>IF(ISBLANK('Easy calculators'!$D$13), 0, VLOOKUP($M8, HeatOfMixing!$B$3:$AF$33, LOOKUP(Thermodynamics!S$3, HeatOfMixing!$B$4:$B$33, HeatOfMixing!$A$4:$A$33), FALSE))</f>
        <v>0</v>
      </c>
      <c r="T8" s="55">
        <f>IF(ISBLANK('Easy calculators'!$D$14), 0, VLOOKUP($M8, HeatOfMixing!$B$3:$AF$33, LOOKUP(Thermodynamics!T$3, HeatOfMixing!$B$4:$B$33, HeatOfMixing!$A$4:$A$33), FALSE))</f>
        <v>0</v>
      </c>
      <c r="U8" s="55">
        <f>IF(ISBLANK('Easy calculators'!$D$15), 0, VLOOKUP($M8, HeatOfMixing!$B$3:$AF$33, LOOKUP(Thermodynamics!U$3, HeatOfMixing!$B$4:$B$33, HeatOfMixing!$A$4:$A$33), FALSE))</f>
        <v>0</v>
      </c>
      <c r="V8" s="55">
        <f>IF(ISBLANK('Easy calculators'!$D$16), 0, VLOOKUP($M8, HeatOfMixing!$B$3:$AF$33, LOOKUP(Thermodynamics!V$3, HeatOfMixing!$B$4:$B$33, HeatOfMixing!$A$4:$A$33), FALSE))</f>
        <v>0</v>
      </c>
      <c r="W8" s="55">
        <f>IF(ISBLANK('Easy calculators'!$D$17), 0, VLOOKUP($M8, HeatOfMixing!$B$3:$AF$33, LOOKUP(Thermodynamics!W$3, HeatOfMixing!$B$4:$B$33, HeatOfMixing!$A$4:$A$33), FALSE))</f>
        <v>0</v>
      </c>
    </row>
    <row r="9" spans="1:28" x14ac:dyDescent="0.25">
      <c r="A9" t="str">
        <f>IF(ISBLANK('Easy calculators'!D12), "", 'Easy calculators'!D12)</f>
        <v>Zn</v>
      </c>
      <c r="B9" s="44">
        <f>'Easy calculators'!E12/100</f>
        <v>0.2</v>
      </c>
      <c r="C9" s="42">
        <f>IF(ISBLANK('Easy calculators'!D12), 0, LOOKUP(A9, $A$28:$A$100, $B$28:$B$100))</f>
        <v>1.395</v>
      </c>
      <c r="D9" s="35">
        <f t="shared" si="1"/>
        <v>0.27900000000000003</v>
      </c>
      <c r="E9" s="56">
        <f t="shared" si="2"/>
        <v>3.3438892523976292E-4</v>
      </c>
      <c r="H9" s="31" t="str">
        <f t="shared" si="3"/>
        <v>Zn</v>
      </c>
      <c r="I9" s="32">
        <f t="shared" si="4"/>
        <v>0.2</v>
      </c>
      <c r="J9" s="59">
        <f t="shared" si="0"/>
        <v>-0.32188758248682009</v>
      </c>
      <c r="M9" s="65" t="str">
        <f>IF(ISBLANK('Easy calculators'!D13), "", 'Easy calculators'!D13)</f>
        <v/>
      </c>
      <c r="N9" s="55">
        <f>IF(ISBLANK('Easy calculators'!$D13), 0, VLOOKUP($M9, HeatOfMixing!$B$3:$AF$33, LOOKUP(Thermodynamics!N$3, HeatOfMixing!$B$4:$B$33, HeatOfMixing!$A$4:$A$33), FALSE))</f>
        <v>0</v>
      </c>
      <c r="O9" s="55">
        <f>IF(ISBLANK('Easy calculators'!$D13), 0, VLOOKUP($M9, HeatOfMixing!$B$3:$AF$33, LOOKUP(Thermodynamics!O$3, HeatOfMixing!$B$4:$B$33, HeatOfMixing!$A$4:$A$33), FALSE))</f>
        <v>0</v>
      </c>
      <c r="P9" s="55">
        <f>IF(ISBLANK('Easy calculators'!$D13), 0, VLOOKUP($M9, HeatOfMixing!$B$3:$AF$33, LOOKUP(Thermodynamics!P$3, HeatOfMixing!$B$4:$B$33, HeatOfMixing!$A$4:$A$33), FALSE))</f>
        <v>0</v>
      </c>
      <c r="Q9" s="55">
        <f>IF(ISBLANK('Easy calculators'!$D13), 0, VLOOKUP($M9, HeatOfMixing!$B$3:$AF$33, LOOKUP(Thermodynamics!Q$3, HeatOfMixing!$B$4:$B$33, HeatOfMixing!$A$4:$A$33), FALSE))</f>
        <v>0</v>
      </c>
      <c r="R9" s="55">
        <f>IF(ISBLANK('Easy calculators'!$D13), 0, VLOOKUP($M9, HeatOfMixing!$B$3:$AF$33, LOOKUP(Thermodynamics!R$3, HeatOfMixing!$B$4:$B$33, HeatOfMixing!$A$4:$A$33), FALSE))</f>
        <v>0</v>
      </c>
      <c r="S9" s="55">
        <f>IF(ISBLANK('Easy calculators'!$D$13), 0, VLOOKUP($M9, HeatOfMixing!$B$3:$AF$33, LOOKUP(Thermodynamics!S$3, HeatOfMixing!$B$4:$B$33, HeatOfMixing!$A$4:$A$33), FALSE))</f>
        <v>0</v>
      </c>
      <c r="T9" s="55">
        <f>IF(ISBLANK('Easy calculators'!$D$14), 0, VLOOKUP($M9, HeatOfMixing!$B$3:$AF$33, LOOKUP(Thermodynamics!T$3, HeatOfMixing!$B$4:$B$33, HeatOfMixing!$A$4:$A$33), FALSE))</f>
        <v>0</v>
      </c>
      <c r="U9" s="55">
        <f>IF(ISBLANK('Easy calculators'!$D$15), 0, VLOOKUP($M9, HeatOfMixing!$B$3:$AF$33, LOOKUP(Thermodynamics!U$3, HeatOfMixing!$B$4:$B$33, HeatOfMixing!$A$4:$A$33), FALSE))</f>
        <v>0</v>
      </c>
      <c r="V9" s="55">
        <f>IF(ISBLANK('Easy calculators'!$D$16), 0, VLOOKUP($M9, HeatOfMixing!$B$3:$AF$33, LOOKUP(Thermodynamics!V$3, HeatOfMixing!$B$4:$B$33, HeatOfMixing!$A$4:$A$33), FALSE))</f>
        <v>0</v>
      </c>
      <c r="W9" s="55">
        <f>IF(ISBLANK('Easy calculators'!$D$17), 0, VLOOKUP($M9, HeatOfMixing!$B$3:$AF$33, LOOKUP(Thermodynamics!W$3, HeatOfMixing!$B$4:$B$33, HeatOfMixing!$A$4:$A$33), FALSE))</f>
        <v>0</v>
      </c>
    </row>
    <row r="10" spans="1:28" x14ac:dyDescent="0.25">
      <c r="A10" t="str">
        <f>IF(ISBLANK('Easy calculators'!D13), "", 'Easy calculators'!D13)</f>
        <v/>
      </c>
      <c r="B10" s="44">
        <f>'Easy calculators'!E13/100</f>
        <v>0</v>
      </c>
      <c r="C10" s="42">
        <f>IF(ISBLANK('Easy calculators'!D13), 0, LOOKUP(A10, $A$28:$A$100, $B$28:$B$100))</f>
        <v>0</v>
      </c>
      <c r="D10" s="35">
        <f t="shared" si="1"/>
        <v>0</v>
      </c>
      <c r="E10" s="56">
        <f t="shared" si="2"/>
        <v>0</v>
      </c>
      <c r="H10" s="31" t="str">
        <f t="shared" si="3"/>
        <v/>
      </c>
      <c r="I10" s="32">
        <f t="shared" si="4"/>
        <v>0</v>
      </c>
      <c r="J10" s="59">
        <f t="shared" si="0"/>
        <v>0</v>
      </c>
      <c r="M10" s="65" t="str">
        <f>IF(ISBLANK('Easy calculators'!D14), "", 'Easy calculators'!D14)</f>
        <v/>
      </c>
      <c r="N10" s="55">
        <f>IF(ISBLANK('Easy calculators'!$D14), 0, VLOOKUP($M10, HeatOfMixing!$B$3:$AF$33, LOOKUP(Thermodynamics!N$3, HeatOfMixing!$B$4:$B$33, HeatOfMixing!$A$4:$A$33), FALSE))</f>
        <v>0</v>
      </c>
      <c r="O10" s="55">
        <f>IF(ISBLANK('Easy calculators'!$D14), 0, VLOOKUP($M10, HeatOfMixing!$B$3:$AF$33, LOOKUP(Thermodynamics!O$3, HeatOfMixing!$B$4:$B$33, HeatOfMixing!$A$4:$A$33), FALSE))</f>
        <v>0</v>
      </c>
      <c r="P10" s="55">
        <f>IF(ISBLANK('Easy calculators'!$D14), 0, VLOOKUP($M10, HeatOfMixing!$B$3:$AF$33, LOOKUP(Thermodynamics!P$3, HeatOfMixing!$B$4:$B$33, HeatOfMixing!$A$4:$A$33), FALSE))</f>
        <v>0</v>
      </c>
      <c r="Q10" s="55">
        <f>IF(ISBLANK('Easy calculators'!$D14), 0, VLOOKUP($M10, HeatOfMixing!$B$3:$AF$33, LOOKUP(Thermodynamics!Q$3, HeatOfMixing!$B$4:$B$33, HeatOfMixing!$A$4:$A$33), FALSE))</f>
        <v>0</v>
      </c>
      <c r="R10" s="55">
        <f>IF(ISBLANK('Easy calculators'!$D14), 0, VLOOKUP($M10, HeatOfMixing!$B$3:$AF$33, LOOKUP(Thermodynamics!R$3, HeatOfMixing!$B$4:$B$33, HeatOfMixing!$A$4:$A$33), FALSE))</f>
        <v>0</v>
      </c>
      <c r="S10" s="55">
        <f>IF(ISBLANK('Easy calculators'!$D14), 0, VLOOKUP($M10, HeatOfMixing!$B$3:$AF$33, LOOKUP(Thermodynamics!S$3, HeatOfMixing!$B$4:$B$33, HeatOfMixing!$A$4:$A$33), FALSE))</f>
        <v>0</v>
      </c>
      <c r="T10" s="55">
        <f>IF(ISBLANK('Easy calculators'!$D$14), 0, VLOOKUP($M10, HeatOfMixing!$B$3:$AF$33, LOOKUP(Thermodynamics!T$3, HeatOfMixing!$B$4:$B$33, HeatOfMixing!$A$4:$A$33), FALSE))</f>
        <v>0</v>
      </c>
      <c r="U10" s="55">
        <f>IF(ISBLANK('Easy calculators'!$D$15), 0, VLOOKUP($M10, HeatOfMixing!$B$3:$AF$33, LOOKUP(Thermodynamics!U$3, HeatOfMixing!$B$4:$B$33, HeatOfMixing!$A$4:$A$33), FALSE))</f>
        <v>0</v>
      </c>
      <c r="V10" s="55">
        <f>IF(ISBLANK('Easy calculators'!$D$16), 0, VLOOKUP($M10, HeatOfMixing!$B$3:$AF$33, LOOKUP(Thermodynamics!V$3, HeatOfMixing!$B$4:$B$33, HeatOfMixing!$A$4:$A$33), FALSE))</f>
        <v>0</v>
      </c>
      <c r="W10" s="55">
        <f>IF(ISBLANK('Easy calculators'!$D$17), 0, VLOOKUP($M10, HeatOfMixing!$B$3:$AF$33, LOOKUP(Thermodynamics!W$3, HeatOfMixing!$B$4:$B$33, HeatOfMixing!$A$4:$A$33), FALSE))</f>
        <v>0</v>
      </c>
    </row>
    <row r="11" spans="1:28" x14ac:dyDescent="0.25">
      <c r="A11" t="str">
        <f>IF(ISBLANK('Easy calculators'!D14), "", 'Easy calculators'!D14)</f>
        <v/>
      </c>
      <c r="B11" s="44">
        <f>'Easy calculators'!E14/100</f>
        <v>0</v>
      </c>
      <c r="C11" s="42">
        <f>IF(ISBLANK('Easy calculators'!D14), 0, LOOKUP(A11, $A$28:$A$100, $B$28:$B$100))</f>
        <v>0</v>
      </c>
      <c r="D11" s="35">
        <f t="shared" si="1"/>
        <v>0</v>
      </c>
      <c r="E11" s="56">
        <f t="shared" si="2"/>
        <v>0</v>
      </c>
      <c r="H11" s="31" t="str">
        <f t="shared" si="3"/>
        <v/>
      </c>
      <c r="I11" s="32">
        <f t="shared" si="4"/>
        <v>0</v>
      </c>
      <c r="J11" s="59">
        <f>IF(I11=0,0,I11*LN(I11))</f>
        <v>0</v>
      </c>
      <c r="M11" s="65" t="str">
        <f>IF(ISBLANK('Easy calculators'!D15), "", 'Easy calculators'!D15)</f>
        <v/>
      </c>
      <c r="N11" s="55">
        <f>IF(ISBLANK('Easy calculators'!$D15), 0, VLOOKUP($M11, HeatOfMixing!$B$3:$AF$33, LOOKUP(Thermodynamics!N$3, HeatOfMixing!$B$4:$B$33, HeatOfMixing!$A$4:$A$33), FALSE))</f>
        <v>0</v>
      </c>
      <c r="O11" s="55">
        <f>IF(ISBLANK('Easy calculators'!$D15), 0, VLOOKUP($M11, HeatOfMixing!$B$3:$AF$33, LOOKUP(Thermodynamics!O$3, HeatOfMixing!$B$4:$B$33, HeatOfMixing!$A$4:$A$33), FALSE))</f>
        <v>0</v>
      </c>
      <c r="P11" s="55">
        <f>IF(ISBLANK('Easy calculators'!$D15), 0, VLOOKUP($M11, HeatOfMixing!$B$3:$AF$33, LOOKUP(Thermodynamics!P$3, HeatOfMixing!$B$4:$B$33, HeatOfMixing!$A$4:$A$33), FALSE))</f>
        <v>0</v>
      </c>
      <c r="Q11" s="55">
        <f>IF(ISBLANK('Easy calculators'!$D15), 0, VLOOKUP($M11, HeatOfMixing!$B$3:$AF$33, LOOKUP(Thermodynamics!Q$3, HeatOfMixing!$B$4:$B$33, HeatOfMixing!$A$4:$A$33), FALSE))</f>
        <v>0</v>
      </c>
      <c r="R11" s="55">
        <f>IF(ISBLANK('Easy calculators'!$D15), 0, VLOOKUP($M11, HeatOfMixing!$B$3:$AF$33, LOOKUP(Thermodynamics!R$3, HeatOfMixing!$B$4:$B$33, HeatOfMixing!$A$4:$A$33), FALSE))</f>
        <v>0</v>
      </c>
      <c r="S11" s="55">
        <f>IF(ISBLANK('Easy calculators'!$D15), 0, VLOOKUP($M11, HeatOfMixing!$B$3:$AF$33, LOOKUP(Thermodynamics!S$3, HeatOfMixing!$B$4:$B$33, HeatOfMixing!$A$4:$A$33), FALSE))</f>
        <v>0</v>
      </c>
      <c r="T11" s="55">
        <f>IF(ISBLANK('Easy calculators'!$D15), 0, VLOOKUP($M11, HeatOfMixing!$B$3:$AF$33, LOOKUP(Thermodynamics!T$3, HeatOfMixing!$B$4:$B$33, HeatOfMixing!$A$4:$A$33), FALSE))</f>
        <v>0</v>
      </c>
      <c r="U11" s="55">
        <f>IF(ISBLANK('Easy calculators'!$D$15), 0, VLOOKUP($M11, HeatOfMixing!$B$3:$AF$33, LOOKUP(Thermodynamics!U$3, HeatOfMixing!$B$4:$B$33, HeatOfMixing!$A$4:$A$33), FALSE))</f>
        <v>0</v>
      </c>
      <c r="V11" s="55">
        <f>IF(ISBLANK('Easy calculators'!$D$16), 0, VLOOKUP($M11, HeatOfMixing!$B$3:$AF$33, LOOKUP(Thermodynamics!V$3, HeatOfMixing!$B$4:$B$33, HeatOfMixing!$A$4:$A$33), FALSE))</f>
        <v>0</v>
      </c>
      <c r="W11" s="55">
        <f>IF(ISBLANK('Easy calculators'!$D$17), 0, VLOOKUP($M11, HeatOfMixing!$B$3:$AF$33, LOOKUP(Thermodynamics!W$3, HeatOfMixing!$B$4:$B$33, HeatOfMixing!$A$4:$A$33), FALSE))</f>
        <v>0</v>
      </c>
    </row>
    <row r="12" spans="1:28" x14ac:dyDescent="0.25">
      <c r="A12" t="str">
        <f>IF(ISBLANK('Easy calculators'!D15), "", 'Easy calculators'!D15)</f>
        <v/>
      </c>
      <c r="B12" s="44">
        <f>'Easy calculators'!E15/100</f>
        <v>0</v>
      </c>
      <c r="C12" s="42">
        <f>IF(ISBLANK('Easy calculators'!D15), 0, LOOKUP(A12, $A$28:$A$100, $B$28:$B$100))</f>
        <v>0</v>
      </c>
      <c r="D12" s="35">
        <f t="shared" si="1"/>
        <v>0</v>
      </c>
      <c r="E12" s="56">
        <f t="shared" si="2"/>
        <v>0</v>
      </c>
      <c r="H12" s="31" t="str">
        <f t="shared" si="3"/>
        <v/>
      </c>
      <c r="I12" s="32">
        <f t="shared" si="4"/>
        <v>0</v>
      </c>
      <c r="J12" s="59">
        <f t="shared" ref="J12:J14" si="5">IF(I12=0,0,I12*LN(I12))</f>
        <v>0</v>
      </c>
      <c r="M12" s="65" t="str">
        <f>IF(ISBLANK('Easy calculators'!D16), "", 'Easy calculators'!D16)</f>
        <v/>
      </c>
      <c r="N12" s="55">
        <f>IF(ISBLANK('Easy calculators'!$D16), 0, VLOOKUP($M12, HeatOfMixing!$B$3:$AF$33, LOOKUP(Thermodynamics!N$3, HeatOfMixing!$B$4:$B$33, HeatOfMixing!$A$4:$A$33), FALSE))</f>
        <v>0</v>
      </c>
      <c r="O12" s="55">
        <f>IF(ISBLANK('Easy calculators'!$D16), 0, VLOOKUP($M12, HeatOfMixing!$B$3:$AF$33, LOOKUP(Thermodynamics!O$3, HeatOfMixing!$B$4:$B$33, HeatOfMixing!$A$4:$A$33), FALSE))</f>
        <v>0</v>
      </c>
      <c r="P12" s="55">
        <f>IF(ISBLANK('Easy calculators'!$D16), 0, VLOOKUP($M12, HeatOfMixing!$B$3:$AF$33, LOOKUP(Thermodynamics!P$3, HeatOfMixing!$B$4:$B$33, HeatOfMixing!$A$4:$A$33), FALSE))</f>
        <v>0</v>
      </c>
      <c r="Q12" s="55">
        <f>IF(ISBLANK('Easy calculators'!$D16), 0, VLOOKUP($M12, HeatOfMixing!$B$3:$AF$33, LOOKUP(Thermodynamics!Q$3, HeatOfMixing!$B$4:$B$33, HeatOfMixing!$A$4:$A$33), FALSE))</f>
        <v>0</v>
      </c>
      <c r="R12" s="55">
        <f>IF(ISBLANK('Easy calculators'!$D16), 0, VLOOKUP($M12, HeatOfMixing!$B$3:$AF$33, LOOKUP(Thermodynamics!R$3, HeatOfMixing!$B$4:$B$33, HeatOfMixing!$A$4:$A$33), FALSE))</f>
        <v>0</v>
      </c>
      <c r="S12" s="55">
        <f>IF(ISBLANK('Easy calculators'!$D16), 0, VLOOKUP($M12, HeatOfMixing!$B$3:$AF$33, LOOKUP(Thermodynamics!S$3, HeatOfMixing!$B$4:$B$33, HeatOfMixing!$A$4:$A$33), FALSE))</f>
        <v>0</v>
      </c>
      <c r="T12" s="55">
        <f>IF(ISBLANK('Easy calculators'!$D16), 0, VLOOKUP($M12, HeatOfMixing!$B$3:$AF$33, LOOKUP(Thermodynamics!T$3, HeatOfMixing!$B$4:$B$33, HeatOfMixing!$A$4:$A$33), FALSE))</f>
        <v>0</v>
      </c>
      <c r="U12" s="55">
        <f>IF(ISBLANK('Easy calculators'!$D16), 0, VLOOKUP($M12, HeatOfMixing!$B$3:$AF$33, LOOKUP(Thermodynamics!U$3, HeatOfMixing!$B$4:$B$33, HeatOfMixing!$A$4:$A$33), FALSE))</f>
        <v>0</v>
      </c>
      <c r="V12" s="55">
        <f>IF(ISBLANK('Easy calculators'!$D$16), 0, VLOOKUP($M12, HeatOfMixing!$B$3:$AF$33, LOOKUP(Thermodynamics!V$3, HeatOfMixing!$B$4:$B$33, HeatOfMixing!$A$4:$A$33), FALSE))</f>
        <v>0</v>
      </c>
      <c r="W12" s="55">
        <f>IF(ISBLANK('Easy calculators'!$D$17), 0, VLOOKUP($M12, HeatOfMixing!$B$3:$AF$33, LOOKUP(Thermodynamics!W$3, HeatOfMixing!$B$4:$B$33, HeatOfMixing!$A$4:$A$33), FALSE))</f>
        <v>0</v>
      </c>
    </row>
    <row r="13" spans="1:28" x14ac:dyDescent="0.25">
      <c r="A13" t="str">
        <f>IF(ISBLANK('Easy calculators'!D16), "", 'Easy calculators'!D16)</f>
        <v/>
      </c>
      <c r="B13" s="44">
        <f>'Easy calculators'!E16/100</f>
        <v>0</v>
      </c>
      <c r="C13" s="42">
        <f>IF(ISBLANK('Easy calculators'!D16), 0, LOOKUP(A13, $A$28:$A$100, $B$28:$B$100))</f>
        <v>0</v>
      </c>
      <c r="D13" s="35">
        <f t="shared" si="1"/>
        <v>0</v>
      </c>
      <c r="E13" s="56">
        <f t="shared" si="2"/>
        <v>0</v>
      </c>
      <c r="H13" s="31" t="str">
        <f t="shared" si="3"/>
        <v/>
      </c>
      <c r="I13" s="32">
        <f t="shared" si="4"/>
        <v>0</v>
      </c>
      <c r="J13" s="59">
        <f t="shared" si="5"/>
        <v>0</v>
      </c>
      <c r="M13" s="65" t="str">
        <f>IF(ISBLANK('Easy calculators'!D17), "", 'Easy calculators'!D17)</f>
        <v/>
      </c>
      <c r="N13" s="55">
        <f>IF(ISBLANK('Easy calculators'!$D17), 0, VLOOKUP($M13, HeatOfMixing!$B$3:$AF$33, LOOKUP(Thermodynamics!N$3, HeatOfMixing!$B$4:$B$33, HeatOfMixing!$A$4:$A$33), FALSE))</f>
        <v>0</v>
      </c>
      <c r="O13" s="55">
        <f>IF(ISBLANK('Easy calculators'!$D17), 0, VLOOKUP($M13, HeatOfMixing!$B$3:$AF$33, LOOKUP(Thermodynamics!O$3, HeatOfMixing!$B$4:$B$33, HeatOfMixing!$A$4:$A$33), FALSE))</f>
        <v>0</v>
      </c>
      <c r="P13" s="55">
        <f>IF(ISBLANK('Easy calculators'!$D17), 0, VLOOKUP($M13, HeatOfMixing!$B$3:$AF$33, LOOKUP(Thermodynamics!P$3, HeatOfMixing!$B$4:$B$33, HeatOfMixing!$A$4:$A$33), FALSE))</f>
        <v>0</v>
      </c>
      <c r="Q13" s="55">
        <f>IF(ISBLANK('Easy calculators'!$D17), 0, VLOOKUP($M13, HeatOfMixing!$B$3:$AF$33, LOOKUP(Thermodynamics!Q$3, HeatOfMixing!$B$4:$B$33, HeatOfMixing!$A$4:$A$33), FALSE))</f>
        <v>0</v>
      </c>
      <c r="R13" s="55">
        <f>IF(ISBLANK('Easy calculators'!$D17), 0, VLOOKUP($M13, HeatOfMixing!$B$3:$AF$33, LOOKUP(Thermodynamics!R$3, HeatOfMixing!$B$4:$B$33, HeatOfMixing!$A$4:$A$33), FALSE))</f>
        <v>0</v>
      </c>
      <c r="S13" s="55">
        <f>IF(ISBLANK('Easy calculators'!$D17), 0, VLOOKUP($M13, HeatOfMixing!$B$3:$AF$33, LOOKUP(Thermodynamics!S$3, HeatOfMixing!$B$4:$B$33, HeatOfMixing!$A$4:$A$33), FALSE))</f>
        <v>0</v>
      </c>
      <c r="T13" s="55">
        <f>IF(ISBLANK('Easy calculators'!$D17), 0, VLOOKUP($M13, HeatOfMixing!$B$3:$AF$33, LOOKUP(Thermodynamics!T$3, HeatOfMixing!$B$4:$B$33, HeatOfMixing!$A$4:$A$33), FALSE))</f>
        <v>0</v>
      </c>
      <c r="U13" s="55">
        <f>IF(ISBLANK('Easy calculators'!$D17), 0, VLOOKUP($M13, HeatOfMixing!$B$3:$AF$33, LOOKUP(Thermodynamics!U$3, HeatOfMixing!$B$4:$B$33, HeatOfMixing!$A$4:$A$33), FALSE))</f>
        <v>0</v>
      </c>
      <c r="V13" s="55">
        <f>IF(ISBLANK('Easy calculators'!$D17), 0, VLOOKUP($M13, HeatOfMixing!$B$3:$AF$33, LOOKUP(Thermodynamics!V$3, HeatOfMixing!$B$4:$B$33, HeatOfMixing!$A$4:$A$33), FALSE))</f>
        <v>0</v>
      </c>
      <c r="W13" s="55">
        <f>IF(ISBLANK('Easy calculators'!$D$17), 0, VLOOKUP($M13, HeatOfMixing!$B$3:$AF$33, LOOKUP(Thermodynamics!W$3, HeatOfMixing!$B$4:$B$33, HeatOfMixing!$A$4:$A$33), FALSE))</f>
        <v>0</v>
      </c>
    </row>
    <row r="14" spans="1:28" ht="15.75" thickBot="1" x14ac:dyDescent="0.3">
      <c r="A14" t="str">
        <f>IF(ISBLANK('Easy calculators'!D17), "", 'Easy calculators'!D17)</f>
        <v/>
      </c>
      <c r="B14" s="45">
        <f>'Easy calculators'!E17/100</f>
        <v>0</v>
      </c>
      <c r="C14" s="42">
        <f>IF(ISBLANK('Easy calculators'!D17), 0, LOOKUP(A14, $A$28:$A$100, $B$28:$B$100))</f>
        <v>0</v>
      </c>
      <c r="D14" s="62">
        <f t="shared" si="1"/>
        <v>0</v>
      </c>
      <c r="E14" s="57">
        <f t="shared" si="2"/>
        <v>0</v>
      </c>
      <c r="H14" s="36" t="str">
        <f>A14</f>
        <v/>
      </c>
      <c r="I14" s="37">
        <f t="shared" si="4"/>
        <v>0</v>
      </c>
      <c r="J14" s="60">
        <f t="shared" si="5"/>
        <v>0</v>
      </c>
      <c r="M14" s="14"/>
      <c r="N14" s="69"/>
      <c r="O14" s="69"/>
      <c r="T14" s="35"/>
    </row>
    <row r="15" spans="1:28" ht="18" x14ac:dyDescent="0.35">
      <c r="M15" s="70" t="s">
        <v>0</v>
      </c>
      <c r="N15" s="27" t="s">
        <v>34</v>
      </c>
      <c r="O15" s="33" t="s">
        <v>39</v>
      </c>
      <c r="Q15" t="s">
        <v>179</v>
      </c>
      <c r="S15" t="s">
        <v>181</v>
      </c>
      <c r="T15" s="63" t="s">
        <v>180</v>
      </c>
      <c r="U15" s="88" t="s">
        <v>183</v>
      </c>
      <c r="V15" s="88" t="s">
        <v>182</v>
      </c>
    </row>
    <row r="16" spans="1:28" x14ac:dyDescent="0.25">
      <c r="F16" s="64">
        <f>SUM(B5:B13)</f>
        <v>1</v>
      </c>
      <c r="M16" s="55" t="str">
        <f t="shared" ref="M16:M25" si="6">IF(ISBLANK(A5), "", A5)</f>
        <v>Cu</v>
      </c>
      <c r="N16" s="55">
        <f t="shared" ref="N16:N25" si="7">IF(ISBLANK(B5), 0, B5)</f>
        <v>0.2</v>
      </c>
      <c r="O16" s="55">
        <f>4*N16*SUM(N31:W31)</f>
        <v>1.2800000000000002</v>
      </c>
      <c r="Q16" t="str">
        <f>IF(ISBLANK('Easy calculators'!D8),"",'Easy calculators'!D8)</f>
        <v>Cu</v>
      </c>
      <c r="R16">
        <f>IF(ISBLANK('Easy calculators'!D8),0,LOOKUP(Q16,$G$28:$G$100,$I$28:$I$100))</f>
        <v>1.9</v>
      </c>
      <c r="S16">
        <f>R16*B5</f>
        <v>0.38</v>
      </c>
      <c r="T16" s="35">
        <f>SUM(S16:S25)</f>
        <v>1.7240000000000002</v>
      </c>
      <c r="U16" s="64">
        <f>B5*(R16-$T$16)^2</f>
        <v>6.1951999999999806E-3</v>
      </c>
      <c r="V16">
        <f>SQRT(SUM(U16:U25))</f>
        <v>0.15120846537148636</v>
      </c>
    </row>
    <row r="17" spans="1:23" ht="18" x14ac:dyDescent="0.35">
      <c r="A17" s="38" t="s">
        <v>42</v>
      </c>
      <c r="B17" t="s">
        <v>43</v>
      </c>
      <c r="H17" s="38"/>
      <c r="M17" s="55" t="str">
        <f t="shared" si="6"/>
        <v>Ni</v>
      </c>
      <c r="N17" s="55">
        <f t="shared" si="7"/>
        <v>0.2</v>
      </c>
      <c r="O17" s="55">
        <f>4*N17*SUM(O32:W32)</f>
        <v>-6.24</v>
      </c>
      <c r="Q17" t="str">
        <f>IF(ISBLANK('Easy calculators'!D9),"",'Easy calculators'!D9)</f>
        <v>Ni</v>
      </c>
      <c r="R17">
        <f>IF(ISBLANK('Easy calculators'!D9),0,LOOKUP(Q17,$G$28:$G$100,$I$28:$I$100))</f>
        <v>1.91</v>
      </c>
      <c r="S17">
        <f t="shared" ref="S17:S25" si="8">R17*B6</f>
        <v>0.38200000000000001</v>
      </c>
      <c r="U17" s="64">
        <f t="shared" ref="U17:U25" si="9">B6*(R17-$T$16)^2</f>
        <v>6.9191999999999795E-3</v>
      </c>
    </row>
    <row r="18" spans="1:23" ht="18" x14ac:dyDescent="0.35">
      <c r="A18" s="38" t="s">
        <v>34</v>
      </c>
      <c r="B18" t="s">
        <v>44</v>
      </c>
      <c r="M18" s="55" t="str">
        <f t="shared" si="6"/>
        <v>Mn</v>
      </c>
      <c r="N18" s="55">
        <f t="shared" si="7"/>
        <v>0.2</v>
      </c>
      <c r="O18" s="55">
        <f>4*N18*SUM(P33:W33)</f>
        <v>-4</v>
      </c>
      <c r="Q18" t="str">
        <f>IF(ISBLANK('Easy calculators'!D10),"",'Easy calculators'!D10)</f>
        <v>Mn</v>
      </c>
      <c r="R18">
        <f>IF(ISBLANK('Easy calculators'!D10),0,LOOKUP(Q18,$G$28:$G$100,$I$28:$I$100))</f>
        <v>1.55</v>
      </c>
      <c r="S18">
        <f t="shared" si="8"/>
        <v>0.31000000000000005</v>
      </c>
      <c r="T18" s="35"/>
      <c r="U18" s="64">
        <f t="shared" si="9"/>
        <v>6.0552000000000106E-3</v>
      </c>
    </row>
    <row r="19" spans="1:23" x14ac:dyDescent="0.25">
      <c r="M19" s="55" t="str">
        <f t="shared" si="6"/>
        <v>Al</v>
      </c>
      <c r="N19" s="55">
        <f t="shared" si="7"/>
        <v>0.2</v>
      </c>
      <c r="O19" s="55">
        <f>4*N19*SUM(Q34:W34)</f>
        <v>0.16000000000000003</v>
      </c>
      <c r="Q19" t="str">
        <f>IF(ISBLANK('Easy calculators'!D11),"",'Easy calculators'!D11)</f>
        <v>Al</v>
      </c>
      <c r="R19">
        <f>IF(ISBLANK('Easy calculators'!D11),0,LOOKUP(Q19,$G$28:$G$100,$I$28:$I$100))</f>
        <v>1.61</v>
      </c>
      <c r="S19">
        <f t="shared" si="8"/>
        <v>0.32200000000000006</v>
      </c>
      <c r="U19" s="64">
        <f t="shared" si="9"/>
        <v>2.5992000000000046E-3</v>
      </c>
    </row>
    <row r="20" spans="1:23" ht="15.75" thickBot="1" x14ac:dyDescent="0.3">
      <c r="M20" s="55" t="str">
        <f t="shared" si="6"/>
        <v>Zn</v>
      </c>
      <c r="N20" s="55">
        <f t="shared" si="7"/>
        <v>0.2</v>
      </c>
      <c r="O20" s="55">
        <f>4*N20*SUM(R35:W35)</f>
        <v>0</v>
      </c>
      <c r="Q20" t="str">
        <f>IF(ISBLANK('Easy calculators'!D12),"",'Easy calculators'!D12)</f>
        <v>Zn</v>
      </c>
      <c r="R20">
        <f>IF(ISBLANK('Easy calculators'!D12),0,LOOKUP(Q20,$G$28:$G$100,$I$28:$I$100))</f>
        <v>1.65</v>
      </c>
      <c r="S20">
        <f t="shared" si="8"/>
        <v>0.33</v>
      </c>
      <c r="T20" s="14"/>
      <c r="U20" s="64">
        <f t="shared" si="9"/>
        <v>1.0952000000000086E-3</v>
      </c>
    </row>
    <row r="21" spans="1:23" ht="15.75" thickBot="1" x14ac:dyDescent="0.3">
      <c r="E21" s="10"/>
      <c r="F21" t="s">
        <v>45</v>
      </c>
      <c r="M21" s="55" t="str">
        <f t="shared" si="6"/>
        <v/>
      </c>
      <c r="N21" s="55">
        <f t="shared" si="7"/>
        <v>0</v>
      </c>
      <c r="O21" s="55">
        <f>4*N21*SUM(S36:W36)</f>
        <v>0</v>
      </c>
      <c r="P21" s="66"/>
      <c r="Q21" t="str">
        <f>IF(ISBLANK('Easy calculators'!D13),"",'Easy calculators'!D13)</f>
        <v/>
      </c>
      <c r="R21">
        <f>IF(ISBLANK('Easy calculators'!D13),0,LOOKUP(Q21,$G$28:$G$100,$I$28:$I$100))</f>
        <v>0</v>
      </c>
      <c r="S21">
        <f t="shared" si="8"/>
        <v>0</v>
      </c>
      <c r="T21" s="39"/>
      <c r="U21" s="64">
        <f t="shared" si="9"/>
        <v>0</v>
      </c>
    </row>
    <row r="22" spans="1:23" x14ac:dyDescent="0.25">
      <c r="E22" s="40"/>
      <c r="F22" t="s">
        <v>46</v>
      </c>
      <c r="M22" s="55" t="str">
        <f t="shared" si="6"/>
        <v/>
      </c>
      <c r="N22" s="55">
        <f t="shared" si="7"/>
        <v>0</v>
      </c>
      <c r="O22" s="55">
        <f>4*N22*SUM(T37:W37)</f>
        <v>0</v>
      </c>
      <c r="P22" s="67"/>
      <c r="Q22" t="str">
        <f>IF(ISBLANK('Easy calculators'!D14),"",'Easy calculators'!D14)</f>
        <v/>
      </c>
      <c r="R22">
        <f>IF(ISBLANK('Easy calculators'!D14),0,LOOKUP(Q22,$G$28:$G$100,$I$28:$I$100))</f>
        <v>0</v>
      </c>
      <c r="S22">
        <f t="shared" si="8"/>
        <v>0</v>
      </c>
      <c r="T22" s="41"/>
      <c r="U22" s="64">
        <f t="shared" si="9"/>
        <v>0</v>
      </c>
    </row>
    <row r="23" spans="1:23" x14ac:dyDescent="0.25">
      <c r="E23" s="1"/>
      <c r="F23" s="1"/>
      <c r="M23" s="55" t="str">
        <f t="shared" si="6"/>
        <v/>
      </c>
      <c r="N23" s="55">
        <f t="shared" si="7"/>
        <v>0</v>
      </c>
      <c r="O23" s="55">
        <f>4*N23*SUM(U38:W38)</f>
        <v>0</v>
      </c>
      <c r="P23" s="67"/>
      <c r="Q23" t="str">
        <f>IF(ISBLANK('Easy calculators'!D15),"",'Easy calculators'!D15)</f>
        <v/>
      </c>
      <c r="R23">
        <f>IF(ISBLANK('Easy calculators'!D15),0,LOOKUP(Q23,$G$28:$G$100,$I$28:$I$100))</f>
        <v>0</v>
      </c>
      <c r="S23">
        <f t="shared" si="8"/>
        <v>0</v>
      </c>
      <c r="T23" s="41"/>
      <c r="U23" s="64">
        <f t="shared" si="9"/>
        <v>0</v>
      </c>
    </row>
    <row r="24" spans="1:23" x14ac:dyDescent="0.25">
      <c r="M24" s="55" t="str">
        <f t="shared" si="6"/>
        <v/>
      </c>
      <c r="N24" s="55">
        <f t="shared" si="7"/>
        <v>0</v>
      </c>
      <c r="O24" s="55">
        <f>4*N24*SUM(V39:W39)</f>
        <v>0</v>
      </c>
      <c r="P24" s="67"/>
      <c r="Q24" t="str">
        <f>IF(ISBLANK('Easy calculators'!D16),"",'Easy calculators'!D16)</f>
        <v/>
      </c>
      <c r="R24">
        <f>IF(ISBLANK('Easy calculators'!D16),0,LOOKUP(Q24,$G$28:$G$100,$I$28:$I$100))</f>
        <v>0</v>
      </c>
      <c r="S24">
        <f t="shared" si="8"/>
        <v>0</v>
      </c>
      <c r="T24" s="41"/>
      <c r="U24" s="64">
        <f t="shared" si="9"/>
        <v>0</v>
      </c>
    </row>
    <row r="25" spans="1:23" x14ac:dyDescent="0.25">
      <c r="M25" s="55" t="str">
        <f t="shared" si="6"/>
        <v/>
      </c>
      <c r="N25" s="55">
        <f t="shared" si="7"/>
        <v>0</v>
      </c>
      <c r="O25" s="55">
        <f>4*N25*SUM(W40:W40)</f>
        <v>0</v>
      </c>
      <c r="P25" s="67"/>
      <c r="Q25" t="str">
        <f>IF(ISBLANK('Easy calculators'!D17),"",'Easy calculators'!D17)</f>
        <v/>
      </c>
      <c r="R25">
        <f>IF(ISBLANK('Easy calculators'!D17),0,LOOKUP(Q25,$G$28:$G$100,$I$28:$I$100))</f>
        <v>0</v>
      </c>
      <c r="S25">
        <f t="shared" si="8"/>
        <v>0</v>
      </c>
      <c r="T25" s="41"/>
      <c r="U25" s="64">
        <f t="shared" si="9"/>
        <v>0</v>
      </c>
    </row>
    <row r="26" spans="1:23" x14ac:dyDescent="0.25">
      <c r="M26" s="68"/>
      <c r="N26" s="67"/>
      <c r="O26" s="67"/>
      <c r="P26" s="67"/>
      <c r="Q26" s="67"/>
      <c r="R26" s="67"/>
      <c r="S26" s="67"/>
      <c r="T26" s="41"/>
    </row>
    <row r="27" spans="1:23" ht="15.75" thickBot="1" x14ac:dyDescent="0.3">
      <c r="A27" s="19" t="s">
        <v>47</v>
      </c>
      <c r="B27" s="19" t="s">
        <v>48</v>
      </c>
      <c r="C27" t="s">
        <v>112</v>
      </c>
      <c r="D27" t="s">
        <v>111</v>
      </c>
      <c r="I27" t="s">
        <v>174</v>
      </c>
      <c r="M27" s="68"/>
      <c r="N27" s="67"/>
      <c r="O27" s="67"/>
      <c r="P27" s="67"/>
      <c r="Q27" s="67"/>
      <c r="R27" s="67"/>
      <c r="S27" s="67"/>
      <c r="T27" s="41"/>
    </row>
    <row r="28" spans="1:23" ht="15.75" thickBot="1" x14ac:dyDescent="0.3">
      <c r="A28" s="19" t="s">
        <v>13</v>
      </c>
      <c r="B28">
        <v>1.4450000000000001</v>
      </c>
      <c r="C28" s="46">
        <v>107.8682</v>
      </c>
      <c r="D28" s="46">
        <v>10.5</v>
      </c>
      <c r="E28" s="46" t="s">
        <v>13</v>
      </c>
      <c r="F28" s="107">
        <v>47</v>
      </c>
      <c r="G28" s="107" t="s">
        <v>13</v>
      </c>
      <c r="H28" s="108"/>
      <c r="I28" s="107">
        <v>1.93</v>
      </c>
      <c r="T28" s="14"/>
    </row>
    <row r="29" spans="1:23" ht="15.75" thickBot="1" x14ac:dyDescent="0.3">
      <c r="A29" s="19" t="s">
        <v>4</v>
      </c>
      <c r="B29">
        <v>1.4319999999999999</v>
      </c>
      <c r="C29" s="61">
        <v>26.9815</v>
      </c>
      <c r="D29" s="61">
        <v>2.7</v>
      </c>
      <c r="E29" s="61" t="s">
        <v>4</v>
      </c>
      <c r="F29" s="107">
        <v>13</v>
      </c>
      <c r="G29" s="107" t="s">
        <v>4</v>
      </c>
      <c r="H29" s="108"/>
      <c r="I29" s="107">
        <v>1.61</v>
      </c>
      <c r="M29" t="s">
        <v>118</v>
      </c>
    </row>
    <row r="30" spans="1:23" ht="15.75" thickBot="1" x14ac:dyDescent="0.3">
      <c r="A30" s="19" t="s">
        <v>104</v>
      </c>
      <c r="B30">
        <v>1.4419999999999999</v>
      </c>
      <c r="C30" s="61">
        <v>196.9665</v>
      </c>
      <c r="D30" s="61">
        <v>19.32</v>
      </c>
      <c r="E30" s="61" t="s">
        <v>104</v>
      </c>
      <c r="F30" s="107">
        <v>79</v>
      </c>
      <c r="G30" s="107" t="s">
        <v>104</v>
      </c>
      <c r="H30" s="108"/>
      <c r="I30" s="107">
        <v>2.54</v>
      </c>
      <c r="M30" s="55"/>
      <c r="N30" s="65" t="str">
        <f>IF(ISBLANK($A5), "", $A5)</f>
        <v>Cu</v>
      </c>
      <c r="O30" s="65" t="str">
        <f>IF(ISBLANK($A6), "", $A6)</f>
        <v>Ni</v>
      </c>
      <c r="P30" s="65" t="str">
        <f>IF(ISBLANK($A7), "", $A7)</f>
        <v>Mn</v>
      </c>
      <c r="Q30" s="65" t="str">
        <f>IF(ISBLANK($A8), "", $A8)</f>
        <v>Al</v>
      </c>
      <c r="R30" s="65" t="str">
        <f>IF(ISBLANK($A9), "", $A9)</f>
        <v>Zn</v>
      </c>
      <c r="S30" s="65" t="str">
        <f>IF(ISBLANK($A10), "", $A10)</f>
        <v/>
      </c>
      <c r="T30" s="65" t="str">
        <f>IF(ISBLANK($A11), "", $A11)</f>
        <v/>
      </c>
      <c r="U30" s="65" t="str">
        <f>IF(ISBLANK($A12), "", $A12)</f>
        <v/>
      </c>
      <c r="V30" s="65" t="str">
        <f>IF(ISBLANK($A13), "", $A13)</f>
        <v/>
      </c>
      <c r="W30" s="65" t="str">
        <f>IF(ISBLANK($A14), "", $A14)</f>
        <v/>
      </c>
    </row>
    <row r="31" spans="1:23" ht="15.75" thickBot="1" x14ac:dyDescent="0.3">
      <c r="A31" t="s">
        <v>50</v>
      </c>
      <c r="B31">
        <v>0.82</v>
      </c>
      <c r="C31" s="61">
        <v>10.811</v>
      </c>
      <c r="D31" s="61">
        <v>2.34</v>
      </c>
      <c r="E31" s="61" t="s">
        <v>50</v>
      </c>
      <c r="F31" s="107">
        <v>5</v>
      </c>
      <c r="G31" s="107" t="s">
        <v>50</v>
      </c>
      <c r="H31" s="108"/>
      <c r="I31" s="107">
        <v>2.04</v>
      </c>
      <c r="M31" s="65" t="str">
        <f t="shared" ref="M31:M40" si="10">IF(ISBLANK(A5), "", A5)</f>
        <v>Cu</v>
      </c>
      <c r="N31" s="55" t="s">
        <v>38</v>
      </c>
      <c r="O31" s="55">
        <f>O4*$N$17</f>
        <v>0.8</v>
      </c>
      <c r="P31" s="55">
        <f>P4*$N$18</f>
        <v>0.8</v>
      </c>
      <c r="Q31" s="55">
        <f>Q4*$N$19</f>
        <v>-0.2</v>
      </c>
      <c r="R31" s="55">
        <f>R4*$N$20</f>
        <v>0.2</v>
      </c>
      <c r="S31" s="55">
        <f>S4*$N$21</f>
        <v>0</v>
      </c>
      <c r="T31" s="55">
        <f t="shared" ref="T31:T36" si="11">T4*$N$22</f>
        <v>0</v>
      </c>
      <c r="U31" s="55">
        <f t="shared" ref="U31:U37" si="12">U4*$N$23</f>
        <v>0</v>
      </c>
      <c r="V31" s="55">
        <f t="shared" ref="V31:V38" si="13">V4*$N$24</f>
        <v>0</v>
      </c>
      <c r="W31" s="55">
        <f t="shared" ref="W31:W39" si="14">W4*$N$25</f>
        <v>0</v>
      </c>
    </row>
    <row r="32" spans="1:23" ht="15.75" thickBot="1" x14ac:dyDescent="0.3">
      <c r="A32" t="s">
        <v>81</v>
      </c>
      <c r="B32">
        <v>2.1760000000000002</v>
      </c>
      <c r="C32" s="61">
        <v>137.327</v>
      </c>
      <c r="D32" s="61">
        <v>3.59</v>
      </c>
      <c r="E32" s="61" t="s">
        <v>81</v>
      </c>
      <c r="F32" s="107">
        <v>56</v>
      </c>
      <c r="G32" s="107" t="s">
        <v>81</v>
      </c>
      <c r="H32" s="108"/>
      <c r="I32" s="107">
        <v>0.89</v>
      </c>
      <c r="M32" s="65" t="str">
        <f t="shared" si="10"/>
        <v>Ni</v>
      </c>
      <c r="N32" s="55">
        <f t="shared" ref="N32:N40" si="15">N5*$N$16</f>
        <v>0.8</v>
      </c>
      <c r="O32" s="55" t="s">
        <v>38</v>
      </c>
      <c r="P32" s="55">
        <f>P5*$N$18</f>
        <v>-1.6</v>
      </c>
      <c r="Q32" s="55">
        <f>Q5*$N$19</f>
        <v>-4.4000000000000004</v>
      </c>
      <c r="R32" s="55">
        <f>R5*$N$20</f>
        <v>-1.8</v>
      </c>
      <c r="S32" s="55">
        <f>S5*$N$21</f>
        <v>0</v>
      </c>
      <c r="T32" s="55">
        <f t="shared" si="11"/>
        <v>0</v>
      </c>
      <c r="U32" s="55">
        <f t="shared" si="12"/>
        <v>0</v>
      </c>
      <c r="V32" s="55">
        <f t="shared" si="13"/>
        <v>0</v>
      </c>
      <c r="W32" s="55">
        <f t="shared" si="14"/>
        <v>0</v>
      </c>
    </row>
    <row r="33" spans="1:23" ht="15.75" thickBot="1" x14ac:dyDescent="0.3">
      <c r="A33" t="s">
        <v>49</v>
      </c>
      <c r="B33">
        <v>1.1279999999999999</v>
      </c>
      <c r="C33" s="61">
        <v>9.0122</v>
      </c>
      <c r="D33" s="61">
        <v>1.85</v>
      </c>
      <c r="E33" s="61" t="s">
        <v>49</v>
      </c>
      <c r="F33" s="107">
        <v>4</v>
      </c>
      <c r="G33" s="107" t="s">
        <v>49</v>
      </c>
      <c r="H33" s="108"/>
      <c r="I33" s="107">
        <v>1.57</v>
      </c>
      <c r="M33" s="65" t="str">
        <f t="shared" si="10"/>
        <v>Mn</v>
      </c>
      <c r="N33" s="55">
        <f t="shared" si="15"/>
        <v>0.8</v>
      </c>
      <c r="O33" s="55">
        <f t="shared" ref="O33:O40" si="16">O6*$N$17</f>
        <v>-1.6</v>
      </c>
      <c r="P33" s="55" t="s">
        <v>38</v>
      </c>
      <c r="Q33" s="55">
        <f>Q6*$N$19</f>
        <v>-3.8000000000000003</v>
      </c>
      <c r="R33" s="55">
        <f>R6*$N$20</f>
        <v>-1.2000000000000002</v>
      </c>
      <c r="S33" s="55">
        <f>S6*$N$21</f>
        <v>0</v>
      </c>
      <c r="T33" s="55">
        <f t="shared" si="11"/>
        <v>0</v>
      </c>
      <c r="U33" s="55">
        <f t="shared" si="12"/>
        <v>0</v>
      </c>
      <c r="V33" s="55">
        <f t="shared" si="13"/>
        <v>0</v>
      </c>
      <c r="W33" s="55">
        <f t="shared" si="14"/>
        <v>0</v>
      </c>
    </row>
    <row r="34" spans="1:23" ht="15.75" thickBot="1" x14ac:dyDescent="0.3">
      <c r="A34" t="s">
        <v>51</v>
      </c>
      <c r="B34">
        <v>0.77300000000000002</v>
      </c>
      <c r="C34" s="61">
        <v>12.0107</v>
      </c>
      <c r="D34" s="61">
        <v>2.2599999999999998</v>
      </c>
      <c r="E34" s="61" t="s">
        <v>51</v>
      </c>
      <c r="F34" s="107">
        <v>6</v>
      </c>
      <c r="G34" s="107" t="s">
        <v>51</v>
      </c>
      <c r="H34" s="108"/>
      <c r="I34" s="107">
        <v>2.5499999999999998</v>
      </c>
      <c r="M34" s="65" t="str">
        <f t="shared" si="10"/>
        <v>Al</v>
      </c>
      <c r="N34" s="55">
        <f t="shared" si="15"/>
        <v>-0.2</v>
      </c>
      <c r="O34" s="55">
        <f t="shared" si="16"/>
        <v>-4.4000000000000004</v>
      </c>
      <c r="P34" s="55">
        <f t="shared" ref="P34:P40" si="17">P7*$N$18</f>
        <v>-3.8000000000000003</v>
      </c>
      <c r="Q34" s="55" t="s">
        <v>38</v>
      </c>
      <c r="R34" s="55">
        <f>R7*$N$20</f>
        <v>0.2</v>
      </c>
      <c r="S34" s="55">
        <f>S7*$N$21</f>
        <v>0</v>
      </c>
      <c r="T34" s="55">
        <f t="shared" si="11"/>
        <v>0</v>
      </c>
      <c r="U34" s="55">
        <f t="shared" si="12"/>
        <v>0</v>
      </c>
      <c r="V34" s="55">
        <f t="shared" si="13"/>
        <v>0</v>
      </c>
      <c r="W34" s="55">
        <f t="shared" si="14"/>
        <v>0</v>
      </c>
    </row>
    <row r="35" spans="1:23" ht="15.75" thickBot="1" x14ac:dyDescent="0.3">
      <c r="A35" t="s">
        <v>59</v>
      </c>
      <c r="B35">
        <v>1.976</v>
      </c>
      <c r="C35" s="61">
        <v>40.078000000000003</v>
      </c>
      <c r="D35" s="61">
        <v>1.55</v>
      </c>
      <c r="E35" s="61" t="s">
        <v>59</v>
      </c>
      <c r="F35" s="107">
        <v>20</v>
      </c>
      <c r="G35" s="107" t="s">
        <v>59</v>
      </c>
      <c r="H35" s="108"/>
      <c r="I35" s="107">
        <v>1</v>
      </c>
      <c r="M35" s="65" t="str">
        <f t="shared" si="10"/>
        <v>Zn</v>
      </c>
      <c r="N35" s="55">
        <f t="shared" si="15"/>
        <v>0.2</v>
      </c>
      <c r="O35" s="55">
        <f t="shared" si="16"/>
        <v>-1.8</v>
      </c>
      <c r="P35" s="55">
        <f t="shared" si="17"/>
        <v>-1.2000000000000002</v>
      </c>
      <c r="Q35" s="55">
        <f t="shared" ref="Q35:Q40" si="18">Q8*$N$19</f>
        <v>0.2</v>
      </c>
      <c r="R35" s="55" t="s">
        <v>38</v>
      </c>
      <c r="S35" s="55">
        <f>S8*$N$21</f>
        <v>0</v>
      </c>
      <c r="T35" s="55">
        <f t="shared" si="11"/>
        <v>0</v>
      </c>
      <c r="U35" s="55">
        <f t="shared" si="12"/>
        <v>0</v>
      </c>
      <c r="V35" s="55">
        <f t="shared" si="13"/>
        <v>0</v>
      </c>
      <c r="W35" s="55">
        <f t="shared" si="14"/>
        <v>0</v>
      </c>
    </row>
    <row r="36" spans="1:23" ht="15.75" thickBot="1" x14ac:dyDescent="0.3">
      <c r="A36" s="19" t="s">
        <v>76</v>
      </c>
      <c r="B36">
        <v>1.5680000000000001</v>
      </c>
      <c r="C36" s="61">
        <v>112.411</v>
      </c>
      <c r="D36" s="61">
        <v>8.65</v>
      </c>
      <c r="E36" s="61" t="s">
        <v>76</v>
      </c>
      <c r="F36" s="107">
        <v>48</v>
      </c>
      <c r="G36" s="107" t="s">
        <v>76</v>
      </c>
      <c r="H36" s="108"/>
      <c r="I36" s="107">
        <v>1.69</v>
      </c>
      <c r="M36" s="65" t="str">
        <f t="shared" si="10"/>
        <v/>
      </c>
      <c r="N36" s="55">
        <f t="shared" si="15"/>
        <v>0</v>
      </c>
      <c r="O36" s="55">
        <f t="shared" si="16"/>
        <v>0</v>
      </c>
      <c r="P36" s="55">
        <f t="shared" si="17"/>
        <v>0</v>
      </c>
      <c r="Q36" s="55">
        <f t="shared" si="18"/>
        <v>0</v>
      </c>
      <c r="R36" s="55">
        <f>R9*$N$20</f>
        <v>0</v>
      </c>
      <c r="S36" s="55" t="s">
        <v>38</v>
      </c>
      <c r="T36" s="55">
        <f t="shared" si="11"/>
        <v>0</v>
      </c>
      <c r="U36" s="55">
        <f t="shared" si="12"/>
        <v>0</v>
      </c>
      <c r="V36" s="55">
        <f t="shared" si="13"/>
        <v>0</v>
      </c>
      <c r="W36" s="55">
        <f t="shared" si="14"/>
        <v>0</v>
      </c>
    </row>
    <row r="37" spans="1:23" ht="15.75" thickBot="1" x14ac:dyDescent="0.3">
      <c r="A37" t="s">
        <v>83</v>
      </c>
      <c r="B37">
        <v>1.825</v>
      </c>
      <c r="C37" s="61">
        <v>140.11600000000001</v>
      </c>
      <c r="D37" s="61">
        <v>6.77</v>
      </c>
      <c r="E37" s="61" t="s">
        <v>83</v>
      </c>
      <c r="F37" s="107">
        <v>58</v>
      </c>
      <c r="G37" s="107" t="s">
        <v>83</v>
      </c>
      <c r="H37" s="108"/>
      <c r="I37" s="107">
        <v>1.1200000000000001</v>
      </c>
      <c r="M37" s="65" t="str">
        <f t="shared" si="10"/>
        <v/>
      </c>
      <c r="N37" s="55">
        <f t="shared" si="15"/>
        <v>0</v>
      </c>
      <c r="O37" s="55">
        <f t="shared" si="16"/>
        <v>0</v>
      </c>
      <c r="P37" s="55">
        <f t="shared" si="17"/>
        <v>0</v>
      </c>
      <c r="Q37" s="55">
        <f t="shared" si="18"/>
        <v>0</v>
      </c>
      <c r="R37" s="55">
        <f>R10*$N$20</f>
        <v>0</v>
      </c>
      <c r="S37" s="55">
        <f>S10*$N$21</f>
        <v>0</v>
      </c>
      <c r="T37" s="55" t="s">
        <v>38</v>
      </c>
      <c r="U37" s="55">
        <f t="shared" si="12"/>
        <v>0</v>
      </c>
      <c r="V37" s="55">
        <f t="shared" si="13"/>
        <v>0</v>
      </c>
      <c r="W37" s="55">
        <f t="shared" si="14"/>
        <v>0</v>
      </c>
    </row>
    <row r="38" spans="1:23" ht="15.75" thickBot="1" x14ac:dyDescent="0.3">
      <c r="A38" t="s">
        <v>5</v>
      </c>
      <c r="B38">
        <v>1.2509999999999999</v>
      </c>
      <c r="C38" s="61">
        <v>58.933199999999999</v>
      </c>
      <c r="D38" s="61">
        <v>8.9</v>
      </c>
      <c r="E38" s="61" t="s">
        <v>5</v>
      </c>
      <c r="F38" s="107">
        <v>27</v>
      </c>
      <c r="G38" s="107" t="s">
        <v>5</v>
      </c>
      <c r="H38" s="108"/>
      <c r="I38" s="107">
        <v>1.88</v>
      </c>
      <c r="M38" s="65" t="str">
        <f t="shared" si="10"/>
        <v/>
      </c>
      <c r="N38" s="55">
        <f t="shared" si="15"/>
        <v>0</v>
      </c>
      <c r="O38" s="55">
        <f t="shared" si="16"/>
        <v>0</v>
      </c>
      <c r="P38" s="55">
        <f t="shared" si="17"/>
        <v>0</v>
      </c>
      <c r="Q38" s="55">
        <f t="shared" si="18"/>
        <v>0</v>
      </c>
      <c r="R38" s="55">
        <f>R11*$N$20</f>
        <v>0</v>
      </c>
      <c r="S38" s="55">
        <f>S11*$N$21</f>
        <v>0</v>
      </c>
      <c r="T38" s="55">
        <f>T11*$N$22</f>
        <v>0</v>
      </c>
      <c r="U38" s="55" t="s">
        <v>38</v>
      </c>
      <c r="V38" s="55">
        <f t="shared" si="13"/>
        <v>0</v>
      </c>
      <c r="W38" s="55">
        <f t="shared" si="14"/>
        <v>0</v>
      </c>
    </row>
    <row r="39" spans="1:23" ht="15.75" thickBot="1" x14ac:dyDescent="0.3">
      <c r="A39" t="s">
        <v>6</v>
      </c>
      <c r="B39">
        <v>1.2490000000000001</v>
      </c>
      <c r="C39" s="61">
        <v>51.996099999999998</v>
      </c>
      <c r="D39" s="61">
        <v>7.19</v>
      </c>
      <c r="E39" s="61" t="s">
        <v>6</v>
      </c>
      <c r="F39" s="107">
        <v>24</v>
      </c>
      <c r="G39" s="107" t="s">
        <v>6</v>
      </c>
      <c r="H39" s="108"/>
      <c r="I39" s="107">
        <v>1.66</v>
      </c>
      <c r="M39" s="65" t="str">
        <f t="shared" si="10"/>
        <v/>
      </c>
      <c r="N39" s="55">
        <f t="shared" si="15"/>
        <v>0</v>
      </c>
      <c r="O39" s="55">
        <f t="shared" si="16"/>
        <v>0</v>
      </c>
      <c r="P39" s="55">
        <f t="shared" si="17"/>
        <v>0</v>
      </c>
      <c r="Q39" s="55">
        <f t="shared" si="18"/>
        <v>0</v>
      </c>
      <c r="R39" s="55">
        <f>R12*$N$20</f>
        <v>0</v>
      </c>
      <c r="S39" s="55">
        <f>S12*$N$21</f>
        <v>0</v>
      </c>
      <c r="T39" s="55">
        <f>T12*$N$22</f>
        <v>0</v>
      </c>
      <c r="U39" s="55">
        <f>U12*$N$23</f>
        <v>0</v>
      </c>
      <c r="V39" s="55" t="s">
        <v>38</v>
      </c>
      <c r="W39" s="55">
        <f t="shared" si="14"/>
        <v>0</v>
      </c>
    </row>
    <row r="40" spans="1:23" ht="15.75" thickBot="1" x14ac:dyDescent="0.3">
      <c r="A40" t="s">
        <v>80</v>
      </c>
      <c r="B40">
        <v>2.65</v>
      </c>
      <c r="C40" s="61">
        <v>132.90549999999999</v>
      </c>
      <c r="D40" s="61">
        <v>1.87</v>
      </c>
      <c r="E40" s="61" t="s">
        <v>80</v>
      </c>
      <c r="F40" s="107">
        <v>55</v>
      </c>
      <c r="G40" s="107" t="s">
        <v>80</v>
      </c>
      <c r="H40" s="108"/>
      <c r="I40" s="107">
        <v>0.79</v>
      </c>
      <c r="M40" s="65" t="str">
        <f t="shared" si="10"/>
        <v/>
      </c>
      <c r="N40" s="55">
        <f t="shared" si="15"/>
        <v>0</v>
      </c>
      <c r="O40" s="55">
        <f t="shared" si="16"/>
        <v>0</v>
      </c>
      <c r="P40" s="55">
        <f t="shared" si="17"/>
        <v>0</v>
      </c>
      <c r="Q40" s="55">
        <f t="shared" si="18"/>
        <v>0</v>
      </c>
      <c r="R40" s="55">
        <f>R13*$N$20</f>
        <v>0</v>
      </c>
      <c r="S40" s="55">
        <f>S13*$N$21</f>
        <v>0</v>
      </c>
      <c r="T40" s="55">
        <f>T13*$N$22</f>
        <v>0</v>
      </c>
      <c r="U40" s="55">
        <f>U13*$N$23</f>
        <v>0</v>
      </c>
      <c r="V40" s="55">
        <f>V13*$N$24</f>
        <v>0</v>
      </c>
      <c r="W40" s="55" t="s">
        <v>38</v>
      </c>
    </row>
    <row r="41" spans="1:23" ht="15.75" thickBot="1" x14ac:dyDescent="0.3">
      <c r="A41" t="s">
        <v>63</v>
      </c>
      <c r="B41">
        <v>1.278</v>
      </c>
      <c r="C41" s="61">
        <v>63.545999999999999</v>
      </c>
      <c r="D41" s="61">
        <v>8.9600000000000009</v>
      </c>
      <c r="E41" s="61" t="s">
        <v>63</v>
      </c>
      <c r="F41" s="107">
        <v>29</v>
      </c>
      <c r="G41" s="107" t="s">
        <v>63</v>
      </c>
      <c r="H41" s="108"/>
      <c r="I41" s="107">
        <v>1.9</v>
      </c>
      <c r="W41" s="14"/>
    </row>
    <row r="42" spans="1:23" ht="15.75" thickBot="1" x14ac:dyDescent="0.3">
      <c r="A42" s="19" t="s">
        <v>91</v>
      </c>
      <c r="B42">
        <v>1.774</v>
      </c>
      <c r="C42" s="61">
        <v>162.5</v>
      </c>
      <c r="D42" s="61">
        <v>8.5500000000000007</v>
      </c>
      <c r="E42" s="61" t="s">
        <v>91</v>
      </c>
      <c r="F42" s="107">
        <v>66</v>
      </c>
      <c r="G42" s="107" t="s">
        <v>91</v>
      </c>
      <c r="H42" s="108"/>
      <c r="I42" s="107">
        <v>1.22</v>
      </c>
    </row>
    <row r="43" spans="1:23" ht="15.75" thickBot="1" x14ac:dyDescent="0.3">
      <c r="A43" s="19" t="s">
        <v>93</v>
      </c>
      <c r="B43">
        <v>1.756</v>
      </c>
      <c r="C43" s="61">
        <v>167.25899999999999</v>
      </c>
      <c r="D43" s="61">
        <v>9.07</v>
      </c>
      <c r="E43" s="61" t="s">
        <v>93</v>
      </c>
      <c r="F43" s="107">
        <v>68</v>
      </c>
      <c r="G43" s="107" t="s">
        <v>93</v>
      </c>
      <c r="H43" s="108"/>
      <c r="I43" s="107">
        <v>1.24</v>
      </c>
    </row>
    <row r="44" spans="1:23" ht="15.75" thickBot="1" x14ac:dyDescent="0.3">
      <c r="A44" t="s">
        <v>88</v>
      </c>
      <c r="B44">
        <v>1.984</v>
      </c>
      <c r="C44" s="61">
        <v>151.964</v>
      </c>
      <c r="D44" s="61">
        <v>5.24</v>
      </c>
      <c r="E44" s="61" t="s">
        <v>88</v>
      </c>
      <c r="F44" s="107">
        <v>63</v>
      </c>
      <c r="G44" s="107" t="s">
        <v>88</v>
      </c>
      <c r="H44" s="108"/>
      <c r="I44" s="107" t="s">
        <v>175</v>
      </c>
    </row>
    <row r="45" spans="1:23" ht="15.75" thickBot="1" x14ac:dyDescent="0.3">
      <c r="A45" t="s">
        <v>7</v>
      </c>
      <c r="B45">
        <v>1.2410000000000001</v>
      </c>
      <c r="C45" s="61">
        <v>55.844999999999999</v>
      </c>
      <c r="D45" s="61">
        <v>7.87</v>
      </c>
      <c r="E45" s="61" t="s">
        <v>7</v>
      </c>
      <c r="F45" s="107">
        <v>26</v>
      </c>
      <c r="G45" s="107" t="s">
        <v>7</v>
      </c>
      <c r="H45" s="108"/>
      <c r="I45" s="107">
        <v>1.83</v>
      </c>
    </row>
    <row r="46" spans="1:23" ht="15.75" thickBot="1" x14ac:dyDescent="0.3">
      <c r="A46" s="19" t="s">
        <v>12</v>
      </c>
      <c r="B46">
        <v>1.3919999999999999</v>
      </c>
      <c r="C46" s="61">
        <v>69.722999999999999</v>
      </c>
      <c r="D46" s="61">
        <v>5.91</v>
      </c>
      <c r="E46" s="61" t="s">
        <v>12</v>
      </c>
      <c r="F46" s="107">
        <v>31</v>
      </c>
      <c r="G46" s="107" t="s">
        <v>12</v>
      </c>
      <c r="H46" s="108"/>
      <c r="I46" s="107">
        <v>1.81</v>
      </c>
    </row>
    <row r="47" spans="1:23" ht="15.75" thickBot="1" x14ac:dyDescent="0.3">
      <c r="A47" t="s">
        <v>89</v>
      </c>
      <c r="B47">
        <v>1.8009999999999999</v>
      </c>
      <c r="C47" s="61">
        <v>157.25</v>
      </c>
      <c r="D47" s="61">
        <v>7.9</v>
      </c>
      <c r="E47" s="61" t="s">
        <v>89</v>
      </c>
      <c r="F47" s="107">
        <v>64</v>
      </c>
      <c r="G47" s="107" t="s">
        <v>89</v>
      </c>
      <c r="H47" s="108"/>
      <c r="I47" s="107">
        <v>1.2</v>
      </c>
    </row>
    <row r="48" spans="1:23" ht="15.75" thickBot="1" x14ac:dyDescent="0.3">
      <c r="A48" t="s">
        <v>64</v>
      </c>
      <c r="B48">
        <v>1.24</v>
      </c>
      <c r="C48" s="61">
        <v>72.64</v>
      </c>
      <c r="D48" s="61">
        <v>5.32</v>
      </c>
      <c r="E48" s="61" t="s">
        <v>64</v>
      </c>
      <c r="F48" s="107">
        <v>32</v>
      </c>
      <c r="G48" s="107" t="s">
        <v>64</v>
      </c>
      <c r="H48" s="108"/>
      <c r="I48" s="107">
        <v>2.0099999999999998</v>
      </c>
    </row>
    <row r="49" spans="1:9" ht="15.75" thickBot="1" x14ac:dyDescent="0.3">
      <c r="A49" s="19" t="s">
        <v>97</v>
      </c>
      <c r="B49">
        <v>1.5780000000000001</v>
      </c>
      <c r="C49" s="61">
        <v>178.49</v>
      </c>
      <c r="D49" s="61">
        <v>13.31</v>
      </c>
      <c r="E49" s="61" t="s">
        <v>97</v>
      </c>
      <c r="F49" s="107">
        <v>72</v>
      </c>
      <c r="G49" s="107" t="s">
        <v>97</v>
      </c>
      <c r="H49" s="108"/>
      <c r="I49" s="107">
        <v>1.3</v>
      </c>
    </row>
    <row r="50" spans="1:9" ht="15.75" thickBot="1" x14ac:dyDescent="0.3">
      <c r="A50" s="19" t="s">
        <v>92</v>
      </c>
      <c r="B50">
        <v>1.766</v>
      </c>
      <c r="C50" s="61">
        <v>164.93029999999999</v>
      </c>
      <c r="D50" s="61">
        <v>8.8000000000000007</v>
      </c>
      <c r="E50" s="61" t="s">
        <v>92</v>
      </c>
      <c r="F50" s="107">
        <v>67</v>
      </c>
      <c r="G50" s="107" t="s">
        <v>92</v>
      </c>
      <c r="H50" s="108"/>
      <c r="I50" s="107">
        <v>1.23</v>
      </c>
    </row>
    <row r="51" spans="1:9" ht="15.75" thickBot="1" x14ac:dyDescent="0.3">
      <c r="A51" s="19" t="s">
        <v>77</v>
      </c>
      <c r="B51">
        <v>1.659</v>
      </c>
      <c r="C51" s="61">
        <v>114.818</v>
      </c>
      <c r="D51" s="61">
        <v>7.31</v>
      </c>
      <c r="E51" s="61" t="s">
        <v>77</v>
      </c>
      <c r="F51" s="107">
        <v>49</v>
      </c>
      <c r="G51" s="107" t="s">
        <v>77</v>
      </c>
      <c r="H51" s="108"/>
      <c r="I51" s="107">
        <v>1.78</v>
      </c>
    </row>
    <row r="52" spans="1:9" ht="15.75" thickBot="1" x14ac:dyDescent="0.3">
      <c r="A52" s="19" t="s">
        <v>102</v>
      </c>
      <c r="B52">
        <v>1.357</v>
      </c>
      <c r="C52" s="61">
        <v>192.21700000000001</v>
      </c>
      <c r="D52" s="61">
        <v>22.4</v>
      </c>
      <c r="E52" s="61" t="s">
        <v>102</v>
      </c>
      <c r="F52" s="107">
        <v>77</v>
      </c>
      <c r="G52" s="107" t="s">
        <v>102</v>
      </c>
      <c r="H52" s="108"/>
      <c r="I52" s="107">
        <v>2.2000000000000002</v>
      </c>
    </row>
    <row r="53" spans="1:9" ht="15.75" thickBot="1" x14ac:dyDescent="0.3">
      <c r="A53" t="s">
        <v>58</v>
      </c>
      <c r="B53">
        <v>2.31</v>
      </c>
      <c r="C53" s="61">
        <v>39.098300000000002</v>
      </c>
      <c r="D53" s="61">
        <v>0.86</v>
      </c>
      <c r="E53" s="61" t="s">
        <v>58</v>
      </c>
      <c r="F53" s="107">
        <v>19</v>
      </c>
      <c r="G53" s="107" t="s">
        <v>58</v>
      </c>
      <c r="H53" s="108"/>
      <c r="I53" s="107">
        <v>0.82</v>
      </c>
    </row>
    <row r="54" spans="1:9" ht="15.75" thickBot="1" x14ac:dyDescent="0.3">
      <c r="A54" t="s">
        <v>82</v>
      </c>
      <c r="B54">
        <v>1.879</v>
      </c>
      <c r="C54" s="61">
        <v>138.90549999999999</v>
      </c>
      <c r="D54" s="61">
        <v>6.15</v>
      </c>
      <c r="E54" s="61" t="s">
        <v>82</v>
      </c>
      <c r="F54" s="107">
        <v>57</v>
      </c>
      <c r="G54" s="107" t="s">
        <v>82</v>
      </c>
      <c r="H54" s="108"/>
      <c r="I54" s="107">
        <v>1.1000000000000001</v>
      </c>
    </row>
    <row r="55" spans="1:9" ht="15.75" thickBot="1" x14ac:dyDescent="0.3">
      <c r="A55" s="19" t="s">
        <v>10</v>
      </c>
      <c r="B55">
        <v>1.5189999999999999</v>
      </c>
      <c r="C55" s="61">
        <v>6.9409999999999998</v>
      </c>
      <c r="D55" s="61">
        <v>0.53</v>
      </c>
      <c r="E55" s="61" t="s">
        <v>10</v>
      </c>
      <c r="F55" s="107">
        <v>3</v>
      </c>
      <c r="G55" s="107" t="s">
        <v>10</v>
      </c>
      <c r="H55" s="108"/>
      <c r="I55" s="107">
        <v>0.98</v>
      </c>
    </row>
    <row r="56" spans="1:9" ht="15.75" thickBot="1" x14ac:dyDescent="0.3">
      <c r="A56" s="19" t="s">
        <v>96</v>
      </c>
      <c r="B56">
        <v>1.7350000000000001</v>
      </c>
      <c r="C56" s="61">
        <v>174.96700000000001</v>
      </c>
      <c r="D56" s="61">
        <v>9.84</v>
      </c>
      <c r="E56" s="61" t="s">
        <v>96</v>
      </c>
      <c r="F56" s="107">
        <v>71</v>
      </c>
      <c r="G56" s="107" t="s">
        <v>96</v>
      </c>
      <c r="H56" s="108"/>
      <c r="I56" s="107">
        <v>1.27</v>
      </c>
    </row>
    <row r="57" spans="1:9" ht="15.75" thickBot="1" x14ac:dyDescent="0.3">
      <c r="A57" s="19" t="s">
        <v>9</v>
      </c>
      <c r="B57">
        <v>1.601</v>
      </c>
      <c r="C57" s="61">
        <v>24.305</v>
      </c>
      <c r="D57" s="61">
        <v>1.74</v>
      </c>
      <c r="E57" s="61" t="s">
        <v>9</v>
      </c>
      <c r="F57" s="107">
        <v>12</v>
      </c>
      <c r="G57" s="107" t="s">
        <v>9</v>
      </c>
      <c r="H57" s="108"/>
      <c r="I57" s="107">
        <v>1.31</v>
      </c>
    </row>
    <row r="58" spans="1:9" ht="15.75" thickBot="1" x14ac:dyDescent="0.3">
      <c r="A58" s="19" t="s">
        <v>62</v>
      </c>
      <c r="B58">
        <v>1.35</v>
      </c>
      <c r="C58" s="61">
        <v>54.938000000000002</v>
      </c>
      <c r="D58" s="61">
        <v>7.43</v>
      </c>
      <c r="E58" s="61" t="s">
        <v>62</v>
      </c>
      <c r="F58" s="107">
        <v>25</v>
      </c>
      <c r="G58" s="107" t="s">
        <v>62</v>
      </c>
      <c r="H58" s="108"/>
      <c r="I58" s="107">
        <v>1.55</v>
      </c>
    </row>
    <row r="59" spans="1:9" ht="15.75" thickBot="1" x14ac:dyDescent="0.3">
      <c r="A59" s="19" t="s">
        <v>71</v>
      </c>
      <c r="B59">
        <v>1.363</v>
      </c>
      <c r="C59" s="61">
        <v>95.94</v>
      </c>
      <c r="D59" s="61">
        <v>10.220000000000001</v>
      </c>
      <c r="E59" s="61" t="s">
        <v>71</v>
      </c>
      <c r="F59" s="107">
        <v>42</v>
      </c>
      <c r="G59" s="107" t="s">
        <v>71</v>
      </c>
      <c r="H59" s="108"/>
      <c r="I59" s="107">
        <v>2.16</v>
      </c>
    </row>
    <row r="60" spans="1:9" ht="15.75" thickBot="1" x14ac:dyDescent="0.3">
      <c r="A60" t="s">
        <v>52</v>
      </c>
      <c r="B60">
        <v>0.75</v>
      </c>
      <c r="C60" s="61">
        <v>14.0067</v>
      </c>
      <c r="D60" s="61">
        <v>1.25</v>
      </c>
      <c r="E60" s="61" t="s">
        <v>52</v>
      </c>
      <c r="F60" s="107">
        <v>7</v>
      </c>
      <c r="G60" s="107" t="s">
        <v>52</v>
      </c>
      <c r="H60" s="108"/>
      <c r="I60" s="107">
        <v>3.04</v>
      </c>
    </row>
    <row r="61" spans="1:9" ht="15.75" thickBot="1" x14ac:dyDescent="0.3">
      <c r="A61" t="s">
        <v>54</v>
      </c>
      <c r="B61">
        <v>1.857</v>
      </c>
      <c r="C61" s="61">
        <v>22.989699999999999</v>
      </c>
      <c r="D61" s="61">
        <v>0.97</v>
      </c>
      <c r="E61" s="61" t="s">
        <v>54</v>
      </c>
      <c r="F61" s="107">
        <v>11</v>
      </c>
      <c r="G61" s="107" t="s">
        <v>54</v>
      </c>
      <c r="H61" s="108"/>
      <c r="I61" s="107">
        <v>0.93</v>
      </c>
    </row>
    <row r="62" spans="1:9" ht="15.75" thickBot="1" x14ac:dyDescent="0.3">
      <c r="A62" s="19" t="s">
        <v>70</v>
      </c>
      <c r="B62">
        <v>1.429</v>
      </c>
      <c r="C62" s="61">
        <v>92.906400000000005</v>
      </c>
      <c r="D62" s="61">
        <v>8.57</v>
      </c>
      <c r="E62" s="61" t="s">
        <v>70</v>
      </c>
      <c r="F62" s="107">
        <v>41</v>
      </c>
      <c r="G62" s="107" t="s">
        <v>70</v>
      </c>
      <c r="H62" s="108"/>
      <c r="I62" s="107">
        <v>1.6</v>
      </c>
    </row>
    <row r="63" spans="1:9" ht="15.75" thickBot="1" x14ac:dyDescent="0.3">
      <c r="A63" s="19" t="s">
        <v>85</v>
      </c>
      <c r="B63">
        <v>1.64</v>
      </c>
      <c r="C63" s="61">
        <v>144.24</v>
      </c>
      <c r="D63" s="61">
        <v>7.01</v>
      </c>
      <c r="E63" s="61" t="s">
        <v>85</v>
      </c>
      <c r="F63" s="107">
        <v>60</v>
      </c>
      <c r="G63" s="107" t="s">
        <v>85</v>
      </c>
      <c r="H63" s="108"/>
      <c r="I63" s="107">
        <v>1.1399999999999999</v>
      </c>
    </row>
    <row r="64" spans="1:9" ht="15.75" thickBot="1" x14ac:dyDescent="0.3">
      <c r="A64" t="s">
        <v>8</v>
      </c>
      <c r="B64">
        <v>1.246</v>
      </c>
      <c r="C64" s="61">
        <v>58.693399999999997</v>
      </c>
      <c r="D64" s="61">
        <v>8.9</v>
      </c>
      <c r="E64" s="61" t="s">
        <v>8</v>
      </c>
      <c r="F64" s="107">
        <v>28</v>
      </c>
      <c r="G64" s="107" t="s">
        <v>8</v>
      </c>
      <c r="H64" s="108"/>
      <c r="I64" s="107">
        <v>1.91</v>
      </c>
    </row>
    <row r="65" spans="1:9" ht="15.75" thickBot="1" x14ac:dyDescent="0.3">
      <c r="A65" t="s">
        <v>53</v>
      </c>
      <c r="B65">
        <v>0.73</v>
      </c>
      <c r="C65" s="61">
        <v>15.9994</v>
      </c>
      <c r="D65" s="61">
        <v>1.43</v>
      </c>
      <c r="E65" s="61" t="s">
        <v>53</v>
      </c>
      <c r="F65" s="107">
        <v>8</v>
      </c>
      <c r="G65" s="107" t="s">
        <v>53</v>
      </c>
      <c r="H65" s="108"/>
      <c r="I65" s="107">
        <v>3.44</v>
      </c>
    </row>
    <row r="66" spans="1:9" ht="15.75" thickBot="1" x14ac:dyDescent="0.3">
      <c r="A66" t="s">
        <v>101</v>
      </c>
      <c r="B66">
        <v>1.3520000000000001</v>
      </c>
      <c r="C66" s="61">
        <v>190.23</v>
      </c>
      <c r="D66" s="61">
        <v>22.6</v>
      </c>
      <c r="E66" s="61" t="s">
        <v>101</v>
      </c>
      <c r="F66" s="107">
        <v>76</v>
      </c>
      <c r="G66" s="107" t="s">
        <v>101</v>
      </c>
      <c r="H66" s="108"/>
      <c r="I66" s="107">
        <v>2.2000000000000002</v>
      </c>
    </row>
    <row r="67" spans="1:9" ht="15.75" thickBot="1" x14ac:dyDescent="0.3">
      <c r="A67" t="s">
        <v>56</v>
      </c>
      <c r="B67">
        <v>1.06</v>
      </c>
      <c r="C67" s="61">
        <v>30.973800000000001</v>
      </c>
      <c r="D67" s="61">
        <v>1.82</v>
      </c>
      <c r="E67" s="61" t="s">
        <v>56</v>
      </c>
      <c r="F67" s="107">
        <v>15</v>
      </c>
      <c r="G67" s="107" t="s">
        <v>56</v>
      </c>
      <c r="H67" s="108"/>
      <c r="I67" s="107">
        <v>2.19</v>
      </c>
    </row>
    <row r="68" spans="1:9" ht="15.75" thickBot="1" x14ac:dyDescent="0.3">
      <c r="A68" s="19" t="s">
        <v>109</v>
      </c>
      <c r="B68">
        <v>1.61</v>
      </c>
      <c r="C68" s="61">
        <v>231.0359</v>
      </c>
      <c r="D68" s="61">
        <v>15.4</v>
      </c>
      <c r="E68" s="61" t="s">
        <v>109</v>
      </c>
      <c r="F68" s="107">
        <v>91</v>
      </c>
      <c r="G68" s="107" t="s">
        <v>109</v>
      </c>
      <c r="H68" s="108"/>
      <c r="I68" s="107">
        <v>1.5</v>
      </c>
    </row>
    <row r="69" spans="1:9" ht="15.75" thickBot="1" x14ac:dyDescent="0.3">
      <c r="A69" s="19" t="s">
        <v>106</v>
      </c>
      <c r="B69">
        <v>1.75</v>
      </c>
      <c r="C69" s="61">
        <v>207.2</v>
      </c>
      <c r="D69" s="61">
        <v>11.35</v>
      </c>
      <c r="E69" s="61" t="s">
        <v>106</v>
      </c>
      <c r="F69" s="107">
        <v>82</v>
      </c>
      <c r="G69" s="107" t="s">
        <v>106</v>
      </c>
      <c r="H69" s="108"/>
      <c r="I69" s="107">
        <v>2.33</v>
      </c>
    </row>
    <row r="70" spans="1:9" ht="15.75" thickBot="1" x14ac:dyDescent="0.3">
      <c r="A70" t="s">
        <v>75</v>
      </c>
      <c r="B70">
        <v>1.375</v>
      </c>
      <c r="C70" s="61">
        <v>106.42</v>
      </c>
      <c r="D70" s="61">
        <v>12.02</v>
      </c>
      <c r="E70" s="61" t="s">
        <v>75</v>
      </c>
      <c r="F70" s="107">
        <v>46</v>
      </c>
      <c r="G70" s="107" t="s">
        <v>75</v>
      </c>
      <c r="H70" s="108"/>
      <c r="I70" s="107">
        <v>2.2000000000000002</v>
      </c>
    </row>
    <row r="71" spans="1:9" ht="15.75" thickBot="1" x14ac:dyDescent="0.3">
      <c r="A71" s="19" t="s">
        <v>86</v>
      </c>
      <c r="B71">
        <v>1.63</v>
      </c>
      <c r="C71" s="61">
        <v>145</v>
      </c>
      <c r="D71" s="61">
        <v>7.3</v>
      </c>
      <c r="E71" s="61" t="s">
        <v>86</v>
      </c>
      <c r="F71" s="107">
        <v>61</v>
      </c>
      <c r="G71" s="107" t="s">
        <v>86</v>
      </c>
      <c r="H71" s="108"/>
      <c r="I71" s="107" t="s">
        <v>175</v>
      </c>
    </row>
    <row r="72" spans="1:9" ht="15.75" thickBot="1" x14ac:dyDescent="0.3">
      <c r="A72" s="19" t="s">
        <v>107</v>
      </c>
      <c r="B72">
        <v>1.53</v>
      </c>
      <c r="C72" s="61">
        <v>209</v>
      </c>
      <c r="D72" s="61">
        <v>9.3000000000000007</v>
      </c>
      <c r="E72" s="61" t="s">
        <v>107</v>
      </c>
      <c r="F72" s="107">
        <v>84</v>
      </c>
      <c r="G72" s="107" t="s">
        <v>107</v>
      </c>
      <c r="H72" s="108"/>
      <c r="I72" s="107">
        <v>2</v>
      </c>
    </row>
    <row r="73" spans="1:9" ht="15.75" thickBot="1" x14ac:dyDescent="0.3">
      <c r="A73" s="19" t="s">
        <v>84</v>
      </c>
      <c r="B73">
        <v>1.65</v>
      </c>
      <c r="C73" s="61">
        <v>140.90770000000001</v>
      </c>
      <c r="D73" s="61">
        <v>6.77</v>
      </c>
      <c r="E73" s="61" t="s">
        <v>84</v>
      </c>
      <c r="F73" s="107">
        <v>59</v>
      </c>
      <c r="G73" s="107" t="s">
        <v>84</v>
      </c>
      <c r="H73" s="108"/>
      <c r="I73" s="107">
        <v>1.1299999999999999</v>
      </c>
    </row>
    <row r="74" spans="1:9" ht="15.75" thickBot="1" x14ac:dyDescent="0.3">
      <c r="A74" t="s">
        <v>103</v>
      </c>
      <c r="B74">
        <v>1.387</v>
      </c>
      <c r="C74" s="61">
        <v>195.078</v>
      </c>
      <c r="D74" s="61">
        <v>21.45</v>
      </c>
      <c r="E74" s="61" t="s">
        <v>103</v>
      </c>
      <c r="F74" s="107">
        <v>78</v>
      </c>
      <c r="G74" s="107" t="s">
        <v>103</v>
      </c>
      <c r="H74" s="108"/>
      <c r="I74" s="107">
        <v>2.2799999999999998</v>
      </c>
    </row>
    <row r="75" spans="1:9" ht="15.75" thickBot="1" x14ac:dyDescent="0.3">
      <c r="A75" t="s">
        <v>66</v>
      </c>
      <c r="B75">
        <v>2.44</v>
      </c>
      <c r="C75" s="61">
        <v>85.467799999999997</v>
      </c>
      <c r="D75" s="61">
        <v>1.63</v>
      </c>
      <c r="E75" s="61" t="s">
        <v>66</v>
      </c>
      <c r="F75" s="107">
        <v>37</v>
      </c>
      <c r="G75" s="107" t="s">
        <v>66</v>
      </c>
      <c r="H75" s="108"/>
      <c r="I75" s="107">
        <v>0.82</v>
      </c>
    </row>
    <row r="76" spans="1:9" ht="15.75" thickBot="1" x14ac:dyDescent="0.3">
      <c r="A76" t="s">
        <v>100</v>
      </c>
      <c r="B76">
        <v>1.375</v>
      </c>
      <c r="C76" s="61">
        <v>186.20699999999999</v>
      </c>
      <c r="D76" s="61">
        <v>21.04</v>
      </c>
      <c r="E76" s="61" t="s">
        <v>100</v>
      </c>
      <c r="F76" s="107">
        <v>75</v>
      </c>
      <c r="G76" s="107" t="s">
        <v>100</v>
      </c>
      <c r="H76" s="108"/>
      <c r="I76" s="107">
        <v>1.9</v>
      </c>
    </row>
    <row r="77" spans="1:9" ht="15.75" thickBot="1" x14ac:dyDescent="0.3">
      <c r="A77" t="s">
        <v>74</v>
      </c>
      <c r="B77">
        <v>1.345</v>
      </c>
      <c r="C77" s="61">
        <v>102.9055</v>
      </c>
      <c r="D77" s="61">
        <v>12.41</v>
      </c>
      <c r="E77" s="61" t="s">
        <v>74</v>
      </c>
      <c r="F77" s="107">
        <v>45</v>
      </c>
      <c r="G77" s="107" t="s">
        <v>74</v>
      </c>
      <c r="H77" s="108"/>
      <c r="I77" s="107">
        <v>2.2799999999999998</v>
      </c>
    </row>
    <row r="78" spans="1:9" ht="15.75" thickBot="1" x14ac:dyDescent="0.3">
      <c r="A78" t="s">
        <v>73</v>
      </c>
      <c r="B78">
        <v>1.3380000000000001</v>
      </c>
      <c r="C78" s="61">
        <v>101.07</v>
      </c>
      <c r="D78" s="61">
        <v>12.37</v>
      </c>
      <c r="E78" s="61" t="s">
        <v>73</v>
      </c>
      <c r="F78" s="107">
        <v>44</v>
      </c>
      <c r="G78" s="107" t="s">
        <v>73</v>
      </c>
      <c r="H78" s="108"/>
      <c r="I78" s="107">
        <v>2.2000000000000002</v>
      </c>
    </row>
    <row r="79" spans="1:9" ht="15.75" thickBot="1" x14ac:dyDescent="0.3">
      <c r="A79" t="s">
        <v>57</v>
      </c>
      <c r="B79">
        <v>1.02</v>
      </c>
      <c r="C79" s="61">
        <v>32.064999999999998</v>
      </c>
      <c r="D79" s="61">
        <v>2.0699999999999998</v>
      </c>
      <c r="E79" s="61" t="s">
        <v>57</v>
      </c>
      <c r="F79" s="107">
        <v>16</v>
      </c>
      <c r="G79" s="107" t="s">
        <v>57</v>
      </c>
      <c r="H79" s="108"/>
      <c r="I79" s="107">
        <v>2.58</v>
      </c>
    </row>
    <row r="80" spans="1:9" ht="15.75" thickBot="1" x14ac:dyDescent="0.3">
      <c r="A80" s="19" t="s">
        <v>60</v>
      </c>
      <c r="B80">
        <v>1.641</v>
      </c>
      <c r="C80" s="61">
        <v>44.9559</v>
      </c>
      <c r="D80" s="61">
        <v>2.99</v>
      </c>
      <c r="E80" s="61" t="s">
        <v>60</v>
      </c>
      <c r="F80" s="107">
        <v>21</v>
      </c>
      <c r="G80" s="107" t="s">
        <v>60</v>
      </c>
      <c r="H80" s="108"/>
      <c r="I80" s="107">
        <v>1.36</v>
      </c>
    </row>
    <row r="81" spans="1:9" ht="15.75" thickBot="1" x14ac:dyDescent="0.3">
      <c r="A81" t="s">
        <v>65</v>
      </c>
      <c r="B81">
        <v>1.4</v>
      </c>
      <c r="C81" s="61">
        <v>78.959999999999994</v>
      </c>
      <c r="D81" s="61">
        <v>4.79</v>
      </c>
      <c r="E81" s="61" t="s">
        <v>65</v>
      </c>
      <c r="F81" s="107">
        <v>34</v>
      </c>
      <c r="G81" s="107" t="s">
        <v>65</v>
      </c>
      <c r="H81" s="108"/>
      <c r="I81" s="107">
        <v>2.5499999999999998</v>
      </c>
    </row>
    <row r="82" spans="1:9" ht="15.75" thickBot="1" x14ac:dyDescent="0.3">
      <c r="A82" t="s">
        <v>55</v>
      </c>
      <c r="B82">
        <v>1.153</v>
      </c>
      <c r="C82" s="61">
        <v>28.0855</v>
      </c>
      <c r="D82" s="61">
        <v>2.33</v>
      </c>
      <c r="E82" s="61" t="s">
        <v>55</v>
      </c>
      <c r="F82" s="107">
        <v>14</v>
      </c>
      <c r="G82" s="107" t="s">
        <v>55</v>
      </c>
      <c r="H82" s="108"/>
      <c r="I82" s="107">
        <v>1.9</v>
      </c>
    </row>
    <row r="83" spans="1:9" ht="15.75" thickBot="1" x14ac:dyDescent="0.3">
      <c r="A83" t="s">
        <v>87</v>
      </c>
      <c r="B83">
        <v>1.81</v>
      </c>
      <c r="C83" s="61">
        <v>150.36000000000001</v>
      </c>
      <c r="D83" s="61">
        <v>7.52</v>
      </c>
      <c r="E83" s="61" t="s">
        <v>87</v>
      </c>
      <c r="F83" s="107">
        <v>62</v>
      </c>
      <c r="G83" s="107" t="s">
        <v>87</v>
      </c>
      <c r="H83" s="108"/>
      <c r="I83" s="107">
        <v>1.17</v>
      </c>
    </row>
    <row r="84" spans="1:9" ht="15.75" thickBot="1" x14ac:dyDescent="0.3">
      <c r="A84" s="19" t="s">
        <v>78</v>
      </c>
      <c r="B84">
        <v>1.62</v>
      </c>
      <c r="C84" s="61">
        <v>118.71</v>
      </c>
      <c r="D84" s="61">
        <v>7.31</v>
      </c>
      <c r="E84" s="61" t="s">
        <v>78</v>
      </c>
      <c r="F84" s="107">
        <v>50</v>
      </c>
      <c r="G84" s="107" t="s">
        <v>78</v>
      </c>
      <c r="H84" s="108"/>
      <c r="I84" s="107">
        <v>1.96</v>
      </c>
    </row>
    <row r="85" spans="1:9" ht="15.75" thickBot="1" x14ac:dyDescent="0.3">
      <c r="A85" t="s">
        <v>67</v>
      </c>
      <c r="B85">
        <v>2.1520000000000001</v>
      </c>
      <c r="C85" s="61">
        <v>87.62</v>
      </c>
      <c r="D85" s="61">
        <v>2.54</v>
      </c>
      <c r="E85" s="61" t="s">
        <v>67</v>
      </c>
      <c r="F85" s="107">
        <v>38</v>
      </c>
      <c r="G85" s="107" t="s">
        <v>67</v>
      </c>
      <c r="H85" s="108"/>
      <c r="I85" s="107">
        <v>0.95</v>
      </c>
    </row>
    <row r="86" spans="1:9" ht="15.75" thickBot="1" x14ac:dyDescent="0.3">
      <c r="A86" s="19" t="s">
        <v>98</v>
      </c>
      <c r="B86">
        <v>1.43</v>
      </c>
      <c r="C86" s="61">
        <v>180.9479</v>
      </c>
      <c r="D86" s="61">
        <v>16.649999999999999</v>
      </c>
      <c r="E86" s="61" t="s">
        <v>98</v>
      </c>
      <c r="F86" s="107">
        <v>73</v>
      </c>
      <c r="G86" s="107" t="s">
        <v>98</v>
      </c>
      <c r="H86" s="108"/>
      <c r="I86" s="107">
        <v>1.5</v>
      </c>
    </row>
    <row r="87" spans="1:9" ht="15.75" thickBot="1" x14ac:dyDescent="0.3">
      <c r="A87" s="19" t="s">
        <v>90</v>
      </c>
      <c r="B87">
        <v>1.7809999999999999</v>
      </c>
      <c r="C87" s="61">
        <v>158.92529999999999</v>
      </c>
      <c r="D87" s="61">
        <v>8.23</v>
      </c>
      <c r="E87" s="61" t="s">
        <v>90</v>
      </c>
      <c r="F87" s="107">
        <v>65</v>
      </c>
      <c r="G87" s="107" t="s">
        <v>90</v>
      </c>
      <c r="H87" s="108"/>
      <c r="I87" s="107" t="s">
        <v>175</v>
      </c>
    </row>
    <row r="88" spans="1:9" ht="15.75" thickBot="1" x14ac:dyDescent="0.3">
      <c r="A88" t="s">
        <v>72</v>
      </c>
      <c r="B88">
        <v>1.36</v>
      </c>
      <c r="C88" s="61">
        <v>98</v>
      </c>
      <c r="D88" s="61">
        <v>11.5</v>
      </c>
      <c r="E88" s="61" t="s">
        <v>72</v>
      </c>
      <c r="F88" s="107">
        <v>43</v>
      </c>
      <c r="G88" s="107" t="s">
        <v>72</v>
      </c>
      <c r="H88" s="108"/>
      <c r="I88" s="107">
        <v>1.9</v>
      </c>
    </row>
    <row r="89" spans="1:9" ht="15.75" thickBot="1" x14ac:dyDescent="0.3">
      <c r="A89" s="19" t="s">
        <v>79</v>
      </c>
      <c r="B89">
        <v>1.452</v>
      </c>
      <c r="C89" s="61">
        <v>127.6</v>
      </c>
      <c r="D89" s="61">
        <v>6.24</v>
      </c>
      <c r="E89" s="61" t="s">
        <v>79</v>
      </c>
      <c r="F89" s="107">
        <v>52</v>
      </c>
      <c r="G89" s="107" t="s">
        <v>79</v>
      </c>
      <c r="H89" s="108"/>
      <c r="I89" s="107">
        <v>2.1</v>
      </c>
    </row>
    <row r="90" spans="1:9" ht="15.75" thickBot="1" x14ac:dyDescent="0.3">
      <c r="A90" t="s">
        <v>108</v>
      </c>
      <c r="B90">
        <v>1.8</v>
      </c>
      <c r="C90" s="61">
        <v>232.03809999999999</v>
      </c>
      <c r="D90" s="61">
        <v>11.72</v>
      </c>
      <c r="E90" s="61" t="s">
        <v>108</v>
      </c>
      <c r="F90" s="107">
        <v>90</v>
      </c>
      <c r="G90" s="107" t="s">
        <v>108</v>
      </c>
      <c r="H90" s="108"/>
      <c r="I90" s="107">
        <v>1.3</v>
      </c>
    </row>
    <row r="91" spans="1:9" ht="15.75" thickBot="1" x14ac:dyDescent="0.3">
      <c r="A91" s="19" t="s">
        <v>3</v>
      </c>
      <c r="B91">
        <v>1.462</v>
      </c>
      <c r="C91" s="61">
        <v>47.866999999999997</v>
      </c>
      <c r="D91" s="61">
        <v>4.54</v>
      </c>
      <c r="E91" s="61" t="s">
        <v>3</v>
      </c>
      <c r="F91" s="107">
        <v>22</v>
      </c>
      <c r="G91" s="107" t="s">
        <v>3</v>
      </c>
      <c r="H91" s="108"/>
      <c r="I91" s="107">
        <v>1.54</v>
      </c>
    </row>
    <row r="92" spans="1:9" ht="15.75" thickBot="1" x14ac:dyDescent="0.3">
      <c r="A92" s="19" t="s">
        <v>105</v>
      </c>
      <c r="B92">
        <v>1.716</v>
      </c>
      <c r="C92" s="61">
        <v>204.38329999999999</v>
      </c>
      <c r="D92" s="61">
        <v>11.85</v>
      </c>
      <c r="E92" s="61" t="s">
        <v>105</v>
      </c>
      <c r="F92" s="107">
        <v>81</v>
      </c>
      <c r="G92" s="107" t="s">
        <v>105</v>
      </c>
      <c r="H92" s="108"/>
      <c r="I92" s="107">
        <v>1.62</v>
      </c>
    </row>
    <row r="93" spans="1:9" ht="15.75" thickBot="1" x14ac:dyDescent="0.3">
      <c r="A93" s="19" t="s">
        <v>94</v>
      </c>
      <c r="B93">
        <v>1.56</v>
      </c>
      <c r="C93" s="61">
        <v>168.9342</v>
      </c>
      <c r="D93" s="61">
        <v>9.32</v>
      </c>
      <c r="E93" s="61" t="s">
        <v>94</v>
      </c>
      <c r="F93" s="107">
        <v>69</v>
      </c>
      <c r="G93" s="107" t="s">
        <v>94</v>
      </c>
      <c r="H93" s="108"/>
      <c r="I93" s="107">
        <v>1.25</v>
      </c>
    </row>
    <row r="94" spans="1:9" ht="15.75" thickBot="1" x14ac:dyDescent="0.3">
      <c r="A94" s="19" t="s">
        <v>110</v>
      </c>
      <c r="B94">
        <v>1.42</v>
      </c>
      <c r="C94" s="61">
        <v>238.02889999999999</v>
      </c>
      <c r="D94" s="61">
        <v>18.95</v>
      </c>
      <c r="E94" s="61" t="s">
        <v>110</v>
      </c>
      <c r="F94" s="107">
        <v>92</v>
      </c>
      <c r="G94" s="107" t="s">
        <v>110</v>
      </c>
      <c r="H94" s="108"/>
      <c r="I94" s="107">
        <v>1.38</v>
      </c>
    </row>
    <row r="95" spans="1:9" ht="15.75" thickBot="1" x14ac:dyDescent="0.3">
      <c r="A95" t="s">
        <v>61</v>
      </c>
      <c r="B95">
        <v>1.3160000000000001</v>
      </c>
      <c r="C95" s="61">
        <v>50.941499999999998</v>
      </c>
      <c r="D95" s="61">
        <v>6.11</v>
      </c>
      <c r="E95" s="61" t="s">
        <v>61</v>
      </c>
      <c r="F95" s="107">
        <v>23</v>
      </c>
      <c r="G95" s="107" t="s">
        <v>61</v>
      </c>
      <c r="H95" s="108"/>
      <c r="I95" s="107">
        <v>1.63</v>
      </c>
    </row>
    <row r="96" spans="1:9" ht="15.75" thickBot="1" x14ac:dyDescent="0.3">
      <c r="A96" t="s">
        <v>99</v>
      </c>
      <c r="B96">
        <v>1.367</v>
      </c>
      <c r="C96" s="61">
        <v>183.84</v>
      </c>
      <c r="D96" s="61">
        <v>19.350000000000001</v>
      </c>
      <c r="E96" s="61" t="s">
        <v>99</v>
      </c>
      <c r="F96" s="107">
        <v>74</v>
      </c>
      <c r="G96" s="107" t="s">
        <v>99</v>
      </c>
      <c r="H96" s="108"/>
      <c r="I96" s="107">
        <v>2.36</v>
      </c>
    </row>
    <row r="97" spans="1:9" ht="15.75" thickBot="1" x14ac:dyDescent="0.3">
      <c r="A97" t="s">
        <v>68</v>
      </c>
      <c r="B97">
        <v>1.802</v>
      </c>
      <c r="C97" s="61">
        <v>88.905900000000003</v>
      </c>
      <c r="D97" s="61">
        <v>4.47</v>
      </c>
      <c r="E97" s="61" t="s">
        <v>68</v>
      </c>
      <c r="F97" s="107">
        <v>39</v>
      </c>
      <c r="G97" s="107" t="s">
        <v>68</v>
      </c>
      <c r="H97" s="108"/>
      <c r="I97" s="107">
        <v>1.22</v>
      </c>
    </row>
    <row r="98" spans="1:9" ht="15.75" thickBot="1" x14ac:dyDescent="0.3">
      <c r="A98" s="19" t="s">
        <v>95</v>
      </c>
      <c r="B98">
        <v>1.7</v>
      </c>
      <c r="C98" s="61">
        <v>173.04</v>
      </c>
      <c r="D98" s="61">
        <v>6.9</v>
      </c>
      <c r="E98" s="61" t="s">
        <v>95</v>
      </c>
      <c r="F98" s="107">
        <v>70</v>
      </c>
      <c r="G98" s="107" t="s">
        <v>95</v>
      </c>
      <c r="H98" s="108"/>
      <c r="I98" s="107" t="s">
        <v>175</v>
      </c>
    </row>
    <row r="99" spans="1:9" ht="15.75" thickBot="1" x14ac:dyDescent="0.3">
      <c r="A99" t="s">
        <v>11</v>
      </c>
      <c r="B99">
        <v>1.395</v>
      </c>
      <c r="C99" s="61">
        <v>65.39</v>
      </c>
      <c r="D99" s="61">
        <v>7.13</v>
      </c>
      <c r="E99" s="61" t="s">
        <v>11</v>
      </c>
      <c r="F99" s="107">
        <v>30</v>
      </c>
      <c r="G99" s="107" t="s">
        <v>11</v>
      </c>
      <c r="H99" s="108"/>
      <c r="I99" s="107">
        <v>1.65</v>
      </c>
    </row>
    <row r="100" spans="1:9" ht="15.75" thickBot="1" x14ac:dyDescent="0.3">
      <c r="A100" s="19" t="s">
        <v>69</v>
      </c>
      <c r="B100">
        <v>1.603</v>
      </c>
      <c r="C100" s="61">
        <v>91.224000000000004</v>
      </c>
      <c r="D100" s="61">
        <v>6.51</v>
      </c>
      <c r="E100" s="61" t="s">
        <v>69</v>
      </c>
      <c r="F100" s="107">
        <v>40</v>
      </c>
      <c r="G100" s="107" t="s">
        <v>69</v>
      </c>
      <c r="H100" s="108"/>
      <c r="I100" s="107">
        <v>1.33</v>
      </c>
    </row>
    <row r="101" spans="1:9" x14ac:dyDescent="0.25">
      <c r="C101" s="1"/>
      <c r="D101" s="1"/>
      <c r="E101" s="1"/>
    </row>
    <row r="113" spans="3:9" x14ac:dyDescent="0.25">
      <c r="C113" s="47"/>
      <c r="D113" s="47"/>
      <c r="E113" s="47"/>
    </row>
    <row r="114" spans="3:9" x14ac:dyDescent="0.25">
      <c r="C114" s="46"/>
      <c r="D114" s="46"/>
      <c r="E114" s="46"/>
    </row>
    <row r="118" spans="3:9" x14ac:dyDescent="0.25">
      <c r="C118" s="46"/>
      <c r="D118" s="46"/>
    </row>
    <row r="119" spans="3:9" x14ac:dyDescent="0.25">
      <c r="C119" s="47"/>
      <c r="D119" s="47"/>
    </row>
    <row r="120" spans="3:9" x14ac:dyDescent="0.25">
      <c r="C120" s="46"/>
      <c r="D120" s="46"/>
    </row>
    <row r="121" spans="3:9" x14ac:dyDescent="0.25">
      <c r="C121" s="47"/>
      <c r="D121" s="47"/>
    </row>
    <row r="122" spans="3:9" x14ac:dyDescent="0.25">
      <c r="C122" s="46"/>
      <c r="D122" s="46"/>
    </row>
    <row r="123" spans="3:9" x14ac:dyDescent="0.25">
      <c r="C123" s="47"/>
      <c r="D123" s="47"/>
    </row>
    <row r="124" spans="3:9" x14ac:dyDescent="0.25">
      <c r="C124" s="46"/>
      <c r="D124" s="46"/>
    </row>
    <row r="125" spans="3:9" x14ac:dyDescent="0.25">
      <c r="C125" s="47"/>
      <c r="D125" s="47"/>
    </row>
    <row r="126" spans="3:9" x14ac:dyDescent="0.25">
      <c r="C126" s="46"/>
    </row>
    <row r="127" spans="3:9" ht="15.75" thickBot="1" x14ac:dyDescent="0.3">
      <c r="C127" s="47"/>
    </row>
    <row r="128" spans="3:9" ht="15.75" thickBot="1" x14ac:dyDescent="0.3">
      <c r="C128" s="46"/>
      <c r="G128" s="109"/>
      <c r="H128" s="110"/>
      <c r="I128" s="111"/>
    </row>
    <row r="129" spans="3:9" ht="15.75" thickBot="1" x14ac:dyDescent="0.3">
      <c r="C129" s="47"/>
      <c r="G129" s="109"/>
      <c r="H129" s="110"/>
      <c r="I129" s="111"/>
    </row>
    <row r="130" spans="3:9" ht="15.75" thickBot="1" x14ac:dyDescent="0.3">
      <c r="C130" s="46"/>
      <c r="G130" s="109"/>
      <c r="H130" s="110"/>
      <c r="I130" s="111"/>
    </row>
    <row r="131" spans="3:9" ht="15.75" thickBot="1" x14ac:dyDescent="0.3">
      <c r="C131" s="47"/>
      <c r="G131" s="107"/>
      <c r="H131" s="107"/>
      <c r="I131" s="107"/>
    </row>
    <row r="132" spans="3:9" ht="15.75" thickBot="1" x14ac:dyDescent="0.3">
      <c r="C132" s="46"/>
      <c r="G132" s="109"/>
      <c r="H132" s="110"/>
      <c r="I132" s="111"/>
    </row>
    <row r="133" spans="3:9" ht="15.75" thickBot="1" x14ac:dyDescent="0.3">
      <c r="C133" s="47"/>
      <c r="G133" s="109"/>
      <c r="H133" s="110"/>
      <c r="I133" s="111"/>
    </row>
    <row r="134" spans="3:9" ht="15.75" thickBot="1" x14ac:dyDescent="0.3">
      <c r="C134" s="46"/>
      <c r="G134" s="109"/>
      <c r="H134" s="110"/>
      <c r="I134" s="111"/>
    </row>
    <row r="135" spans="3:9" ht="15.75" thickBot="1" x14ac:dyDescent="0.3">
      <c r="C135" s="47"/>
      <c r="G135" s="107"/>
      <c r="H135" s="107"/>
      <c r="I135" s="107"/>
    </row>
    <row r="136" spans="3:9" ht="15.75" thickBot="1" x14ac:dyDescent="0.3">
      <c r="C136" s="53"/>
      <c r="G136" s="109"/>
      <c r="H136" s="110"/>
      <c r="I136" s="111"/>
    </row>
    <row r="137" spans="3:9" ht="15.75" thickBot="1" x14ac:dyDescent="0.3">
      <c r="G137" s="109"/>
      <c r="H137" s="110"/>
      <c r="I137" s="111"/>
    </row>
    <row r="138" spans="3:9" ht="15.75" thickBot="1" x14ac:dyDescent="0.3">
      <c r="G138" s="109"/>
      <c r="H138" s="110"/>
      <c r="I138" s="111"/>
    </row>
    <row r="139" spans="3:9" ht="15.75" thickBot="1" x14ac:dyDescent="0.3">
      <c r="G139" s="107"/>
      <c r="H139" s="107"/>
      <c r="I139" s="107"/>
    </row>
    <row r="140" spans="3:9" ht="15.75" thickBot="1" x14ac:dyDescent="0.3">
      <c r="G140" s="107"/>
      <c r="H140" s="107"/>
      <c r="I140" s="107"/>
    </row>
    <row r="141" spans="3:9" ht="15.75" thickBot="1" x14ac:dyDescent="0.3">
      <c r="G141" s="109"/>
      <c r="H141" s="110"/>
      <c r="I141" s="111"/>
    </row>
    <row r="142" spans="3:9" ht="15.75" thickBot="1" x14ac:dyDescent="0.3">
      <c r="G142" s="109"/>
      <c r="H142" s="110"/>
      <c r="I142" s="111"/>
    </row>
    <row r="143" spans="3:9" ht="15.75" thickBot="1" x14ac:dyDescent="0.3">
      <c r="G143" s="109"/>
      <c r="H143" s="110"/>
      <c r="I143" s="111"/>
    </row>
    <row r="144" spans="3:9" ht="15.75" thickBot="1" x14ac:dyDescent="0.3">
      <c r="G144" s="109"/>
      <c r="H144" s="110"/>
      <c r="I144" s="111"/>
    </row>
    <row r="145" spans="7:9" ht="15.75" thickBot="1" x14ac:dyDescent="0.3">
      <c r="G145" s="109"/>
      <c r="H145" s="110"/>
      <c r="I145" s="111"/>
    </row>
    <row r="146" spans="7:9" ht="15.75" thickBot="1" x14ac:dyDescent="0.3">
      <c r="G146" s="107"/>
      <c r="H146" s="107"/>
      <c r="I146" s="107"/>
    </row>
    <row r="147" spans="7:9" ht="15.75" thickBot="1" x14ac:dyDescent="0.3">
      <c r="G147" s="109"/>
      <c r="H147" s="110"/>
      <c r="I147" s="111"/>
    </row>
    <row r="148" spans="7:9" ht="15.75" thickBot="1" x14ac:dyDescent="0.3">
      <c r="G148" s="107"/>
      <c r="H148" s="107"/>
      <c r="I148" s="107"/>
    </row>
    <row r="149" spans="7:9" ht="15.75" thickBot="1" x14ac:dyDescent="0.3">
      <c r="G149" s="109"/>
      <c r="H149" s="110"/>
      <c r="I149" s="111"/>
    </row>
    <row r="150" spans="7:9" ht="15.75" thickBot="1" x14ac:dyDescent="0.3">
      <c r="G150" s="109"/>
      <c r="H150" s="110"/>
      <c r="I150" s="111"/>
    </row>
    <row r="151" spans="7:9" ht="15.75" thickBot="1" x14ac:dyDescent="0.3">
      <c r="G151" s="109"/>
      <c r="H151" s="110"/>
      <c r="I151" s="111"/>
    </row>
    <row r="152" spans="7:9" ht="15.75" thickBot="1" x14ac:dyDescent="0.3">
      <c r="G152" s="109"/>
      <c r="H152" s="110"/>
      <c r="I152" s="111"/>
    </row>
    <row r="153" spans="7:9" ht="15.75" thickBot="1" x14ac:dyDescent="0.3">
      <c r="G153" s="109"/>
      <c r="H153" s="110"/>
      <c r="I153" s="111"/>
    </row>
    <row r="154" spans="7:9" ht="15.75" thickBot="1" x14ac:dyDescent="0.3">
      <c r="G154" s="109"/>
      <c r="H154" s="110"/>
      <c r="I154" s="111"/>
    </row>
    <row r="155" spans="7:9" ht="15.75" thickBot="1" x14ac:dyDescent="0.3">
      <c r="G155" s="107"/>
      <c r="H155" s="107"/>
      <c r="I155" s="107"/>
    </row>
    <row r="156" spans="7:9" ht="15.75" thickBot="1" x14ac:dyDescent="0.3">
      <c r="G156" s="109"/>
      <c r="H156" s="110"/>
      <c r="I156" s="111"/>
    </row>
    <row r="157" spans="7:9" ht="15.75" thickBot="1" x14ac:dyDescent="0.3">
      <c r="G157" s="107"/>
      <c r="H157" s="107"/>
      <c r="I157" s="107"/>
    </row>
    <row r="158" spans="7:9" ht="15.75" thickBot="1" x14ac:dyDescent="0.3">
      <c r="G158" s="109"/>
      <c r="H158" s="110"/>
      <c r="I158" s="111"/>
    </row>
    <row r="159" spans="7:9" ht="15.75" thickBot="1" x14ac:dyDescent="0.3">
      <c r="G159" s="107"/>
      <c r="H159" s="107"/>
      <c r="I159" s="107"/>
    </row>
    <row r="160" spans="7:9" ht="15.75" thickBot="1" x14ac:dyDescent="0.3">
      <c r="G160" s="109"/>
      <c r="H160" s="110"/>
      <c r="I160" s="111"/>
    </row>
    <row r="161" spans="7:9" ht="15.75" thickBot="1" x14ac:dyDescent="0.3">
      <c r="G161" s="109"/>
      <c r="H161" s="110"/>
      <c r="I161" s="111"/>
    </row>
    <row r="162" spans="7:9" ht="15.75" thickBot="1" x14ac:dyDescent="0.3">
      <c r="G162" s="109"/>
      <c r="H162" s="110"/>
      <c r="I162" s="111"/>
    </row>
    <row r="163" spans="7:9" ht="15.75" thickBot="1" x14ac:dyDescent="0.3">
      <c r="G163" s="109"/>
      <c r="H163" s="110"/>
      <c r="I163" s="111"/>
    </row>
    <row r="164" spans="7:9" ht="15.75" thickBot="1" x14ac:dyDescent="0.3">
      <c r="G164" s="109"/>
      <c r="H164" s="110"/>
      <c r="I164" s="111"/>
    </row>
    <row r="165" spans="7:9" ht="15.75" thickBot="1" x14ac:dyDescent="0.3">
      <c r="G165" s="109"/>
      <c r="H165" s="110"/>
      <c r="I165" s="111"/>
    </row>
    <row r="166" spans="7:9" ht="15.75" thickBot="1" x14ac:dyDescent="0.3">
      <c r="G166" s="109"/>
      <c r="H166" s="110"/>
      <c r="I166" s="111"/>
    </row>
    <row r="167" spans="7:9" ht="15.75" thickBot="1" x14ac:dyDescent="0.3">
      <c r="G167" s="107"/>
      <c r="H167" s="107"/>
      <c r="I167" s="107"/>
    </row>
    <row r="168" spans="7:9" ht="15.75" thickBot="1" x14ac:dyDescent="0.3">
      <c r="G168" s="109"/>
      <c r="H168" s="110"/>
      <c r="I168" s="111"/>
    </row>
    <row r="169" spans="7:9" ht="15.75" thickBot="1" x14ac:dyDescent="0.3">
      <c r="G169" s="109"/>
      <c r="H169" s="110"/>
      <c r="I169" s="111"/>
    </row>
    <row r="170" spans="7:9" ht="15.75" thickBot="1" x14ac:dyDescent="0.3">
      <c r="G170" s="109"/>
      <c r="H170" s="110"/>
      <c r="I170" s="111"/>
    </row>
    <row r="171" spans="7:9" ht="15.75" thickBot="1" x14ac:dyDescent="0.3">
      <c r="G171" s="107"/>
      <c r="H171" s="107"/>
      <c r="I171" s="107"/>
    </row>
    <row r="172" spans="7:9" ht="15.75" thickBot="1" x14ac:dyDescent="0.3">
      <c r="G172" s="109"/>
      <c r="H172" s="110"/>
      <c r="I172" s="111"/>
    </row>
    <row r="173" spans="7:9" ht="15.75" thickBot="1" x14ac:dyDescent="0.3">
      <c r="G173" s="107"/>
      <c r="H173" s="107"/>
      <c r="I173" s="107"/>
    </row>
    <row r="174" spans="7:9" ht="15.75" thickBot="1" x14ac:dyDescent="0.3">
      <c r="G174" s="109"/>
      <c r="H174" s="110"/>
      <c r="I174" s="111"/>
    </row>
    <row r="175" spans="7:9" ht="15.75" thickBot="1" x14ac:dyDescent="0.3">
      <c r="G175" s="109"/>
      <c r="H175" s="110"/>
      <c r="I175" s="111"/>
    </row>
    <row r="176" spans="7:9" ht="15.75" thickBot="1" x14ac:dyDescent="0.3">
      <c r="G176" s="107"/>
      <c r="H176" s="107"/>
      <c r="I176" s="107"/>
    </row>
    <row r="177" spans="7:9" ht="15.75" thickBot="1" x14ac:dyDescent="0.3">
      <c r="G177" s="107"/>
      <c r="H177" s="107"/>
      <c r="I177" s="107"/>
    </row>
    <row r="178" spans="7:9" ht="15.75" thickBot="1" x14ac:dyDescent="0.3">
      <c r="G178" s="109"/>
      <c r="H178" s="110"/>
      <c r="I178" s="111"/>
    </row>
    <row r="179" spans="7:9" ht="15.75" thickBot="1" x14ac:dyDescent="0.3">
      <c r="G179" s="109"/>
      <c r="H179" s="110"/>
      <c r="I179" s="111"/>
    </row>
    <row r="180" spans="7:9" ht="15.75" thickBot="1" x14ac:dyDescent="0.3">
      <c r="G180" s="109"/>
      <c r="H180" s="110"/>
      <c r="I180" s="111"/>
    </row>
    <row r="181" spans="7:9" ht="15.75" thickBot="1" x14ac:dyDescent="0.3">
      <c r="G181" s="109"/>
      <c r="H181" s="110"/>
      <c r="I181" s="111"/>
    </row>
    <row r="182" spans="7:9" ht="15.75" thickBot="1" x14ac:dyDescent="0.3">
      <c r="G182" s="109"/>
      <c r="H182" s="110"/>
      <c r="I182" s="111"/>
    </row>
    <row r="183" spans="7:9" ht="15.75" thickBot="1" x14ac:dyDescent="0.3">
      <c r="G183" s="109"/>
      <c r="H183" s="110"/>
      <c r="I183" s="111"/>
    </row>
    <row r="184" spans="7:9" ht="15.75" thickBot="1" x14ac:dyDescent="0.3">
      <c r="G184" s="109"/>
      <c r="H184" s="110"/>
      <c r="I184" s="111"/>
    </row>
    <row r="185" spans="7:9" ht="15.75" thickBot="1" x14ac:dyDescent="0.3">
      <c r="G185" s="109"/>
      <c r="H185" s="110"/>
      <c r="I185" s="111"/>
    </row>
    <row r="186" spans="7:9" ht="15.75" thickBot="1" x14ac:dyDescent="0.3">
      <c r="G186" s="109"/>
      <c r="H186" s="110"/>
      <c r="I186" s="111"/>
    </row>
    <row r="187" spans="7:9" ht="15.75" thickBot="1" x14ac:dyDescent="0.3">
      <c r="G187" s="107"/>
      <c r="H187" s="107"/>
      <c r="I187" s="107"/>
    </row>
    <row r="188" spans="7:9" ht="15.75" thickBot="1" x14ac:dyDescent="0.3">
      <c r="G188" s="107"/>
      <c r="H188" s="107"/>
      <c r="I188" s="107"/>
    </row>
    <row r="189" spans="7:9" ht="15.75" thickBot="1" x14ac:dyDescent="0.3">
      <c r="G189" s="109"/>
      <c r="H189" s="110"/>
      <c r="I189" s="111"/>
    </row>
    <row r="190" spans="7:9" ht="15.75" thickBot="1" x14ac:dyDescent="0.3">
      <c r="G190" s="109"/>
      <c r="H190" s="110"/>
      <c r="I190" s="111"/>
    </row>
    <row r="191" spans="7:9" ht="15.75" thickBot="1" x14ac:dyDescent="0.3">
      <c r="G191" s="109"/>
      <c r="H191" s="110"/>
      <c r="I191" s="111"/>
    </row>
    <row r="192" spans="7:9" ht="15.75" thickBot="1" x14ac:dyDescent="0.3">
      <c r="G192" s="109"/>
      <c r="H192" s="110"/>
      <c r="I192" s="111"/>
    </row>
    <row r="193" spans="7:9" ht="15.75" thickBot="1" x14ac:dyDescent="0.3">
      <c r="G193" s="107"/>
      <c r="H193" s="107"/>
      <c r="I193" s="107"/>
    </row>
    <row r="194" spans="7:9" ht="15.75" thickBot="1" x14ac:dyDescent="0.3">
      <c r="G194" s="109"/>
      <c r="H194" s="110"/>
      <c r="I194" s="111"/>
    </row>
    <row r="195" spans="7:9" ht="15.75" thickBot="1" x14ac:dyDescent="0.3">
      <c r="G195" s="109"/>
      <c r="H195" s="110"/>
      <c r="I195" s="111"/>
    </row>
    <row r="196" spans="7:9" ht="15.75" thickBot="1" x14ac:dyDescent="0.3">
      <c r="G196" s="109"/>
      <c r="H196" s="110"/>
      <c r="I196" s="111"/>
    </row>
    <row r="197" spans="7:9" ht="15.75" thickBot="1" x14ac:dyDescent="0.3">
      <c r="G197" s="109"/>
      <c r="H197" s="110"/>
      <c r="I197" s="111"/>
    </row>
    <row r="198" spans="7:9" ht="15.75" thickBot="1" x14ac:dyDescent="0.3">
      <c r="G198" s="107"/>
      <c r="H198" s="107"/>
      <c r="I198" s="107"/>
    </row>
    <row r="199" spans="7:9" ht="15.75" thickBot="1" x14ac:dyDescent="0.3">
      <c r="G199" s="107"/>
      <c r="H199" s="107"/>
      <c r="I199" s="107"/>
    </row>
    <row r="200" spans="7:9" ht="15.75" thickBot="1" x14ac:dyDescent="0.3">
      <c r="G200" s="109"/>
      <c r="H200" s="110"/>
      <c r="I200" s="111"/>
    </row>
    <row r="201" spans="7:9" ht="15.75" thickBot="1" x14ac:dyDescent="0.3">
      <c r="G201" s="109"/>
      <c r="H201" s="110"/>
      <c r="I201" s="111"/>
    </row>
    <row r="202" spans="7:9" ht="15.75" thickBot="1" x14ac:dyDescent="0.3">
      <c r="G202" s="109"/>
      <c r="H202" s="110"/>
      <c r="I202" s="111"/>
    </row>
    <row r="203" spans="7:9" ht="15.75" thickBot="1" x14ac:dyDescent="0.3">
      <c r="G203" s="109"/>
      <c r="H203" s="110"/>
      <c r="I203" s="111"/>
    </row>
    <row r="204" spans="7:9" ht="15.75" thickBot="1" x14ac:dyDescent="0.3">
      <c r="G204" s="109"/>
      <c r="H204" s="110"/>
      <c r="I204" s="111"/>
    </row>
    <row r="205" spans="7:9" ht="15.75" thickBot="1" x14ac:dyDescent="0.3">
      <c r="G205" s="109"/>
      <c r="H205" s="110"/>
      <c r="I205" s="111"/>
    </row>
    <row r="206" spans="7:9" ht="15.75" thickBot="1" x14ac:dyDescent="0.3">
      <c r="G206" s="109"/>
      <c r="H206" s="110"/>
      <c r="I206" s="111"/>
    </row>
    <row r="207" spans="7:9" ht="15.75" thickBot="1" x14ac:dyDescent="0.3">
      <c r="G207" s="109"/>
      <c r="H207" s="110"/>
      <c r="I207" s="111"/>
    </row>
    <row r="208" spans="7:9" ht="15.75" thickBot="1" x14ac:dyDescent="0.3">
      <c r="G208" s="109"/>
      <c r="H208" s="110"/>
      <c r="I208" s="111"/>
    </row>
    <row r="209" spans="7:9" ht="15.75" thickBot="1" x14ac:dyDescent="0.3">
      <c r="G209" s="109"/>
      <c r="H209" s="110"/>
      <c r="I209" s="111"/>
    </row>
    <row r="210" spans="7:9" ht="15.75" thickBot="1" x14ac:dyDescent="0.3">
      <c r="G210" s="109"/>
      <c r="H210" s="110"/>
      <c r="I210" s="111"/>
    </row>
    <row r="211" spans="7:9" ht="15.75" thickBot="1" x14ac:dyDescent="0.3">
      <c r="G211" s="109"/>
      <c r="H211" s="110"/>
      <c r="I211" s="111"/>
    </row>
    <row r="212" spans="7:9" ht="15.75" thickBot="1" x14ac:dyDescent="0.3">
      <c r="G212" s="109"/>
      <c r="H212" s="110"/>
      <c r="I212" s="111"/>
    </row>
    <row r="213" spans="7:9" ht="15.75" thickBot="1" x14ac:dyDescent="0.3">
      <c r="G213" s="109"/>
      <c r="H213" s="110"/>
      <c r="I213" s="111"/>
    </row>
    <row r="214" spans="7:9" ht="15.75" thickBot="1" x14ac:dyDescent="0.3">
      <c r="G214" s="109"/>
      <c r="H214" s="110"/>
      <c r="I214" s="111"/>
    </row>
    <row r="215" spans="7:9" ht="15.75" thickBot="1" x14ac:dyDescent="0.3">
      <c r="G215" s="109"/>
      <c r="H215" s="110"/>
      <c r="I215" s="111"/>
    </row>
    <row r="216" spans="7:9" ht="15.75" thickBot="1" x14ac:dyDescent="0.3">
      <c r="G216" s="107"/>
      <c r="H216" s="107"/>
      <c r="I216" s="107"/>
    </row>
    <row r="217" spans="7:9" ht="15.75" thickBot="1" x14ac:dyDescent="0.3">
      <c r="G217" s="109"/>
      <c r="H217" s="110"/>
      <c r="I217" s="111"/>
    </row>
    <row r="218" spans="7:9" ht="15.75" thickBot="1" x14ac:dyDescent="0.3">
      <c r="G218" s="109"/>
      <c r="H218" s="110"/>
      <c r="I218" s="111"/>
    </row>
    <row r="219" spans="7:9" ht="15.75" thickBot="1" x14ac:dyDescent="0.3">
      <c r="G219" s="109"/>
      <c r="H219" s="110"/>
      <c r="I219" s="111"/>
    </row>
    <row r="220" spans="7:9" ht="15.75" thickBot="1" x14ac:dyDescent="0.3">
      <c r="G220" s="107"/>
      <c r="H220" s="107"/>
      <c r="I220" s="107"/>
    </row>
    <row r="221" spans="7:9" ht="15.75" thickBot="1" x14ac:dyDescent="0.3">
      <c r="G221" s="109"/>
      <c r="H221" s="110"/>
      <c r="I221" s="111"/>
    </row>
    <row r="222" spans="7:9" ht="15.75" thickBot="1" x14ac:dyDescent="0.3">
      <c r="G222" s="107"/>
      <c r="H222" s="107"/>
      <c r="I222" s="107"/>
    </row>
    <row r="223" spans="7:9" ht="15.75" thickBot="1" x14ac:dyDescent="0.3">
      <c r="G223" s="109"/>
      <c r="H223" s="110"/>
      <c r="I223" s="111"/>
    </row>
    <row r="224" spans="7:9" ht="15.75" thickBot="1" x14ac:dyDescent="0.3">
      <c r="G224" s="107"/>
      <c r="H224" s="107"/>
      <c r="I224" s="107"/>
    </row>
    <row r="225" spans="7:9" ht="15.75" thickBot="1" x14ac:dyDescent="0.3">
      <c r="G225" s="107"/>
      <c r="H225" s="107"/>
      <c r="I225" s="107"/>
    </row>
    <row r="226" spans="7:9" ht="15.75" thickBot="1" x14ac:dyDescent="0.3">
      <c r="G226" s="109"/>
      <c r="H226" s="110"/>
      <c r="I226" s="111"/>
    </row>
    <row r="227" spans="7:9" ht="15.75" thickBot="1" x14ac:dyDescent="0.3">
      <c r="G227" s="109"/>
      <c r="H227" s="110"/>
      <c r="I227" s="111"/>
    </row>
    <row r="228" spans="7:9" ht="15.75" thickBot="1" x14ac:dyDescent="0.3">
      <c r="G228" s="109"/>
      <c r="H228" s="110"/>
      <c r="I228" s="111"/>
    </row>
    <row r="229" spans="7:9" ht="15.75" thickBot="1" x14ac:dyDescent="0.3">
      <c r="G229" s="109"/>
      <c r="H229" s="110"/>
      <c r="I229" s="111"/>
    </row>
  </sheetData>
  <sortState ref="A28:E100">
    <sortCondition ref="A27"/>
  </sortState>
  <pageMargins left="0.7" right="0.7" top="0.75" bottom="0.75" header="0.3" footer="0.3"/>
  <pageSetup paperSize="9" orientation="portrait" verticalDpi="599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F34"/>
  <sheetViews>
    <sheetView topLeftCell="J1" workbookViewId="0">
      <selection activeCell="AE5" sqref="AE5"/>
    </sheetView>
  </sheetViews>
  <sheetFormatPr defaultRowHeight="15" x14ac:dyDescent="0.25"/>
  <sheetData>
    <row r="1" spans="1:32" x14ac:dyDescent="0.25">
      <c r="A1" t="s">
        <v>113</v>
      </c>
    </row>
    <row r="3" spans="1:32" x14ac:dyDescent="0.25">
      <c r="A3">
        <v>1</v>
      </c>
      <c r="C3" s="19" t="s">
        <v>13</v>
      </c>
      <c r="D3" s="19" t="s">
        <v>4</v>
      </c>
      <c r="E3" s="19" t="s">
        <v>104</v>
      </c>
      <c r="F3" s="19" t="s">
        <v>76</v>
      </c>
      <c r="G3" s="19" t="s">
        <v>5</v>
      </c>
      <c r="H3" s="19" t="s">
        <v>6</v>
      </c>
      <c r="I3" s="19" t="s">
        <v>63</v>
      </c>
      <c r="J3" s="19" t="s">
        <v>7</v>
      </c>
      <c r="K3" s="19" t="s">
        <v>12</v>
      </c>
      <c r="L3" s="19" t="s">
        <v>64</v>
      </c>
      <c r="M3" s="19" t="s">
        <v>97</v>
      </c>
      <c r="N3" s="19" t="s">
        <v>77</v>
      </c>
      <c r="O3" s="19" t="s">
        <v>10</v>
      </c>
      <c r="P3" s="19" t="s">
        <v>96</v>
      </c>
      <c r="Q3" s="19" t="s">
        <v>9</v>
      </c>
      <c r="R3" s="19" t="s">
        <v>62</v>
      </c>
      <c r="S3" s="19" t="s">
        <v>71</v>
      </c>
      <c r="T3" s="19" t="s">
        <v>70</v>
      </c>
      <c r="U3" s="19" t="s">
        <v>8</v>
      </c>
      <c r="V3" s="19" t="s">
        <v>75</v>
      </c>
      <c r="W3" s="19" t="s">
        <v>103</v>
      </c>
      <c r="X3" s="19" t="s">
        <v>60</v>
      </c>
      <c r="Y3" s="19" t="s">
        <v>55</v>
      </c>
      <c r="Z3" s="19" t="s">
        <v>78</v>
      </c>
      <c r="AA3" s="19" t="s">
        <v>98</v>
      </c>
      <c r="AB3" s="19" t="s">
        <v>3</v>
      </c>
      <c r="AC3" s="19" t="s">
        <v>61</v>
      </c>
      <c r="AD3" s="19" t="s">
        <v>99</v>
      </c>
      <c r="AE3" s="19" t="s">
        <v>11</v>
      </c>
      <c r="AF3" s="19" t="s">
        <v>69</v>
      </c>
    </row>
    <row r="4" spans="1:32" x14ac:dyDescent="0.25">
      <c r="A4">
        <f>A3+1</f>
        <v>2</v>
      </c>
      <c r="B4" s="19" t="s">
        <v>13</v>
      </c>
      <c r="C4" s="93" t="s">
        <v>38</v>
      </c>
      <c r="D4">
        <v>-4</v>
      </c>
      <c r="E4">
        <v>-6</v>
      </c>
      <c r="F4">
        <v>-2</v>
      </c>
      <c r="G4">
        <v>19</v>
      </c>
      <c r="H4">
        <v>27</v>
      </c>
      <c r="I4">
        <v>2</v>
      </c>
      <c r="J4">
        <v>28</v>
      </c>
      <c r="K4">
        <v>-5</v>
      </c>
      <c r="L4">
        <v>-17.5</v>
      </c>
      <c r="M4">
        <v>-13</v>
      </c>
      <c r="N4">
        <v>-2</v>
      </c>
      <c r="O4">
        <v>-16</v>
      </c>
      <c r="P4">
        <v>-30</v>
      </c>
      <c r="Q4">
        <v>-10</v>
      </c>
      <c r="R4">
        <v>13</v>
      </c>
      <c r="S4">
        <v>37</v>
      </c>
      <c r="T4">
        <v>16</v>
      </c>
      <c r="U4">
        <v>15</v>
      </c>
      <c r="V4">
        <v>-7</v>
      </c>
      <c r="W4">
        <v>-1</v>
      </c>
      <c r="X4">
        <v>-28</v>
      </c>
      <c r="Y4">
        <v>-20</v>
      </c>
      <c r="Z4">
        <v>-3</v>
      </c>
      <c r="AA4">
        <v>15</v>
      </c>
      <c r="AB4">
        <v>-2</v>
      </c>
      <c r="AC4">
        <v>17</v>
      </c>
      <c r="AD4">
        <v>43</v>
      </c>
      <c r="AE4">
        <v>-4</v>
      </c>
      <c r="AF4">
        <v>-20</v>
      </c>
    </row>
    <row r="5" spans="1:32" x14ac:dyDescent="0.25">
      <c r="A5">
        <f>A4+1</f>
        <v>3</v>
      </c>
      <c r="B5" s="19" t="s">
        <v>4</v>
      </c>
      <c r="C5">
        <v>-4</v>
      </c>
      <c r="D5" s="93" t="s">
        <v>38</v>
      </c>
      <c r="E5">
        <v>-22</v>
      </c>
      <c r="F5">
        <v>3</v>
      </c>
      <c r="G5">
        <v>-19</v>
      </c>
      <c r="H5">
        <v>-10</v>
      </c>
      <c r="I5">
        <v>-1</v>
      </c>
      <c r="J5">
        <v>-11</v>
      </c>
      <c r="K5">
        <v>1</v>
      </c>
      <c r="L5">
        <v>-14.5</v>
      </c>
      <c r="M5">
        <v>-39</v>
      </c>
      <c r="N5">
        <v>7</v>
      </c>
      <c r="O5">
        <v>-4</v>
      </c>
      <c r="P5">
        <v>-39</v>
      </c>
      <c r="Q5">
        <v>-2</v>
      </c>
      <c r="R5">
        <v>-19</v>
      </c>
      <c r="S5">
        <v>-5</v>
      </c>
      <c r="T5">
        <v>-18</v>
      </c>
      <c r="U5">
        <v>-22</v>
      </c>
      <c r="V5">
        <v>-46</v>
      </c>
      <c r="W5">
        <v>-44</v>
      </c>
      <c r="X5">
        <v>-38</v>
      </c>
      <c r="Y5">
        <v>-19</v>
      </c>
      <c r="Z5">
        <v>4</v>
      </c>
      <c r="AA5">
        <v>-19</v>
      </c>
      <c r="AB5">
        <v>-30</v>
      </c>
      <c r="AC5">
        <v>-16</v>
      </c>
      <c r="AD5">
        <v>-2</v>
      </c>
      <c r="AE5">
        <v>1</v>
      </c>
      <c r="AF5">
        <v>-44</v>
      </c>
    </row>
    <row r="6" spans="1:32" x14ac:dyDescent="0.25">
      <c r="A6">
        <f t="shared" ref="A6:A27" si="0">A5+1</f>
        <v>4</v>
      </c>
      <c r="B6" s="19" t="s">
        <v>104</v>
      </c>
      <c r="C6">
        <v>-6</v>
      </c>
      <c r="D6">
        <v>-22</v>
      </c>
      <c r="E6" s="93" t="s">
        <v>38</v>
      </c>
      <c r="F6">
        <v>-11</v>
      </c>
      <c r="G6">
        <v>7</v>
      </c>
      <c r="H6">
        <v>0</v>
      </c>
      <c r="I6">
        <v>-9</v>
      </c>
      <c r="J6">
        <v>8</v>
      </c>
      <c r="K6">
        <v>-19</v>
      </c>
      <c r="L6">
        <v>-21.5</v>
      </c>
      <c r="M6">
        <v>-63</v>
      </c>
      <c r="N6">
        <v>-11</v>
      </c>
      <c r="O6">
        <v>-37</v>
      </c>
      <c r="P6">
        <v>-75</v>
      </c>
      <c r="Q6">
        <v>-32</v>
      </c>
      <c r="R6">
        <v>-11</v>
      </c>
      <c r="S6">
        <v>3</v>
      </c>
      <c r="T6">
        <v>-32</v>
      </c>
      <c r="U6">
        <v>7</v>
      </c>
      <c r="V6">
        <v>0</v>
      </c>
      <c r="W6">
        <v>4</v>
      </c>
      <c r="X6">
        <v>-74</v>
      </c>
      <c r="Y6">
        <v>-30</v>
      </c>
      <c r="Z6">
        <v>-10</v>
      </c>
      <c r="AA6">
        <v>-32</v>
      </c>
      <c r="AB6">
        <v>-47</v>
      </c>
      <c r="AC6">
        <v>-19</v>
      </c>
      <c r="AD6">
        <v>12</v>
      </c>
      <c r="AE6">
        <v>-16</v>
      </c>
      <c r="AF6">
        <v>-74</v>
      </c>
    </row>
    <row r="7" spans="1:32" x14ac:dyDescent="0.25">
      <c r="A7">
        <f t="shared" si="0"/>
        <v>5</v>
      </c>
      <c r="B7" s="19" t="s">
        <v>76</v>
      </c>
      <c r="C7">
        <v>-2</v>
      </c>
      <c r="D7">
        <v>3</v>
      </c>
      <c r="E7">
        <v>-11</v>
      </c>
      <c r="F7" s="94" t="s">
        <v>38</v>
      </c>
      <c r="G7">
        <v>6</v>
      </c>
      <c r="H7">
        <v>17</v>
      </c>
      <c r="I7">
        <v>6</v>
      </c>
      <c r="J7">
        <v>17</v>
      </c>
      <c r="K7">
        <v>1</v>
      </c>
      <c r="L7">
        <v>-14.5</v>
      </c>
      <c r="M7">
        <v>-19</v>
      </c>
      <c r="N7">
        <v>0</v>
      </c>
      <c r="O7">
        <v>-13</v>
      </c>
      <c r="P7">
        <v>-33</v>
      </c>
      <c r="Q7">
        <v>-6</v>
      </c>
      <c r="R7">
        <v>2</v>
      </c>
      <c r="S7">
        <v>28</v>
      </c>
      <c r="T7">
        <v>11</v>
      </c>
      <c r="U7">
        <v>2</v>
      </c>
      <c r="V7">
        <v>-26</v>
      </c>
      <c r="W7">
        <v>-18</v>
      </c>
      <c r="X7">
        <v>-30</v>
      </c>
      <c r="Y7">
        <v>-13</v>
      </c>
      <c r="Z7">
        <v>0</v>
      </c>
      <c r="AA7">
        <v>9</v>
      </c>
      <c r="AB7">
        <v>-8</v>
      </c>
      <c r="AC7">
        <v>9</v>
      </c>
      <c r="AD7">
        <v>33</v>
      </c>
      <c r="AE7">
        <v>1</v>
      </c>
      <c r="AF7">
        <v>-26</v>
      </c>
    </row>
    <row r="8" spans="1:32" x14ac:dyDescent="0.25">
      <c r="A8">
        <f t="shared" si="0"/>
        <v>6</v>
      </c>
      <c r="B8" s="19" t="s">
        <v>5</v>
      </c>
      <c r="C8">
        <v>19</v>
      </c>
      <c r="D8">
        <v>-19</v>
      </c>
      <c r="E8">
        <v>7</v>
      </c>
      <c r="F8">
        <v>6</v>
      </c>
      <c r="G8" s="93" t="s">
        <v>38</v>
      </c>
      <c r="H8">
        <v>-4</v>
      </c>
      <c r="I8">
        <v>6</v>
      </c>
      <c r="J8">
        <v>-1</v>
      </c>
      <c r="K8">
        <v>-11</v>
      </c>
      <c r="L8">
        <v>-21.5</v>
      </c>
      <c r="M8">
        <v>-35</v>
      </c>
      <c r="N8">
        <v>7</v>
      </c>
      <c r="O8">
        <v>8</v>
      </c>
      <c r="P8">
        <v>-27</v>
      </c>
      <c r="Q8">
        <v>3</v>
      </c>
      <c r="R8">
        <v>-5</v>
      </c>
      <c r="S8">
        <v>-5</v>
      </c>
      <c r="T8">
        <v>-41</v>
      </c>
      <c r="U8">
        <v>0</v>
      </c>
      <c r="V8">
        <v>-1</v>
      </c>
      <c r="W8">
        <v>-7</v>
      </c>
      <c r="X8">
        <v>-30</v>
      </c>
      <c r="Y8">
        <v>-38</v>
      </c>
      <c r="Z8">
        <v>0</v>
      </c>
      <c r="AA8">
        <v>-24</v>
      </c>
      <c r="AB8">
        <v>-28</v>
      </c>
      <c r="AC8">
        <v>-14</v>
      </c>
      <c r="AD8">
        <v>-1</v>
      </c>
      <c r="AE8">
        <v>-5</v>
      </c>
      <c r="AF8">
        <v>-41</v>
      </c>
    </row>
    <row r="9" spans="1:32" x14ac:dyDescent="0.25">
      <c r="A9">
        <f t="shared" si="0"/>
        <v>7</v>
      </c>
      <c r="B9" s="19" t="s">
        <v>6</v>
      </c>
      <c r="C9">
        <v>27</v>
      </c>
      <c r="D9">
        <v>-10</v>
      </c>
      <c r="E9">
        <v>0</v>
      </c>
      <c r="F9">
        <v>17</v>
      </c>
      <c r="G9">
        <v>-4</v>
      </c>
      <c r="H9" s="93" t="s">
        <v>38</v>
      </c>
      <c r="I9">
        <v>12</v>
      </c>
      <c r="J9">
        <v>-1</v>
      </c>
      <c r="K9">
        <v>-1</v>
      </c>
      <c r="L9">
        <v>-18.5</v>
      </c>
      <c r="M9">
        <v>-9</v>
      </c>
      <c r="N9">
        <v>20</v>
      </c>
      <c r="O9">
        <v>35</v>
      </c>
      <c r="P9">
        <v>5</v>
      </c>
      <c r="Q9">
        <v>24</v>
      </c>
      <c r="R9">
        <v>2</v>
      </c>
      <c r="S9">
        <v>0</v>
      </c>
      <c r="T9">
        <v>-7</v>
      </c>
      <c r="U9">
        <v>-7</v>
      </c>
      <c r="V9">
        <v>-15</v>
      </c>
      <c r="W9">
        <v>-24</v>
      </c>
      <c r="X9">
        <v>1</v>
      </c>
      <c r="Y9">
        <v>-37</v>
      </c>
      <c r="Z9">
        <v>10</v>
      </c>
      <c r="AA9">
        <v>-7</v>
      </c>
      <c r="AB9">
        <v>-7</v>
      </c>
      <c r="AC9">
        <v>-2</v>
      </c>
      <c r="AD9">
        <v>1</v>
      </c>
      <c r="AE9">
        <v>5</v>
      </c>
      <c r="AF9">
        <v>-12</v>
      </c>
    </row>
    <row r="10" spans="1:32" x14ac:dyDescent="0.25">
      <c r="A10">
        <f t="shared" si="0"/>
        <v>8</v>
      </c>
      <c r="B10" s="19" t="s">
        <v>63</v>
      </c>
      <c r="C10">
        <v>2</v>
      </c>
      <c r="D10">
        <v>-1</v>
      </c>
      <c r="E10">
        <v>-9</v>
      </c>
      <c r="F10">
        <v>6</v>
      </c>
      <c r="G10">
        <v>6</v>
      </c>
      <c r="H10">
        <v>12</v>
      </c>
      <c r="I10" s="93" t="s">
        <v>38</v>
      </c>
      <c r="J10">
        <v>13</v>
      </c>
      <c r="K10">
        <v>1</v>
      </c>
      <c r="L10">
        <v>-11.5</v>
      </c>
      <c r="M10">
        <v>-17</v>
      </c>
      <c r="N10">
        <v>10</v>
      </c>
      <c r="O10">
        <v>-5</v>
      </c>
      <c r="P10">
        <v>-24</v>
      </c>
      <c r="Q10">
        <v>-3</v>
      </c>
      <c r="R10">
        <v>4</v>
      </c>
      <c r="S10">
        <v>19</v>
      </c>
      <c r="T10">
        <v>3</v>
      </c>
      <c r="U10">
        <v>4</v>
      </c>
      <c r="V10">
        <v>-14</v>
      </c>
      <c r="W10">
        <v>-12</v>
      </c>
      <c r="X10">
        <v>-24</v>
      </c>
      <c r="Y10">
        <v>-19</v>
      </c>
      <c r="Z10">
        <v>7</v>
      </c>
      <c r="AA10">
        <v>2</v>
      </c>
      <c r="AB10">
        <v>-9</v>
      </c>
      <c r="AC10">
        <v>5</v>
      </c>
      <c r="AD10">
        <v>22</v>
      </c>
      <c r="AE10">
        <v>1</v>
      </c>
      <c r="AF10">
        <v>-23</v>
      </c>
    </row>
    <row r="11" spans="1:32" x14ac:dyDescent="0.25">
      <c r="A11">
        <f t="shared" si="0"/>
        <v>9</v>
      </c>
      <c r="B11" s="19" t="s">
        <v>7</v>
      </c>
      <c r="C11">
        <v>28</v>
      </c>
      <c r="D11">
        <v>-11</v>
      </c>
      <c r="E11">
        <v>8</v>
      </c>
      <c r="F11">
        <v>17</v>
      </c>
      <c r="G11">
        <v>-1</v>
      </c>
      <c r="H11">
        <v>-1</v>
      </c>
      <c r="I11">
        <v>13</v>
      </c>
      <c r="J11" s="93" t="s">
        <v>38</v>
      </c>
      <c r="K11">
        <v>-2</v>
      </c>
      <c r="L11">
        <v>-15.5</v>
      </c>
      <c r="M11">
        <v>-21</v>
      </c>
      <c r="N11">
        <v>19</v>
      </c>
      <c r="O11">
        <v>26</v>
      </c>
      <c r="P11">
        <v>-7</v>
      </c>
      <c r="Q11">
        <v>18</v>
      </c>
      <c r="R11">
        <v>0</v>
      </c>
      <c r="S11">
        <v>-2</v>
      </c>
      <c r="T11">
        <v>-16</v>
      </c>
      <c r="U11">
        <v>-2</v>
      </c>
      <c r="V11">
        <v>-4</v>
      </c>
      <c r="W11">
        <v>-13</v>
      </c>
      <c r="X11">
        <v>-11</v>
      </c>
      <c r="Y11">
        <v>-35</v>
      </c>
      <c r="Z11">
        <v>11</v>
      </c>
      <c r="AA11">
        <v>-15</v>
      </c>
      <c r="AB11">
        <v>-17</v>
      </c>
      <c r="AC11">
        <v>-7</v>
      </c>
      <c r="AD11">
        <v>0</v>
      </c>
      <c r="AE11">
        <v>4</v>
      </c>
      <c r="AF11">
        <v>-25</v>
      </c>
    </row>
    <row r="12" spans="1:32" x14ac:dyDescent="0.25">
      <c r="A12">
        <f t="shared" si="0"/>
        <v>10</v>
      </c>
      <c r="B12" s="19" t="s">
        <v>12</v>
      </c>
      <c r="C12">
        <v>-5</v>
      </c>
      <c r="D12">
        <v>1</v>
      </c>
      <c r="E12">
        <v>-19</v>
      </c>
      <c r="F12">
        <v>1</v>
      </c>
      <c r="G12">
        <v>-11</v>
      </c>
      <c r="H12">
        <v>-1</v>
      </c>
      <c r="I12">
        <v>1</v>
      </c>
      <c r="J12">
        <v>-2</v>
      </c>
      <c r="K12" s="93" t="s">
        <v>38</v>
      </c>
      <c r="L12">
        <v>-15.5</v>
      </c>
      <c r="M12">
        <v>-34</v>
      </c>
      <c r="N12">
        <v>3</v>
      </c>
      <c r="O12">
        <v>-9</v>
      </c>
      <c r="P12">
        <v>-40</v>
      </c>
      <c r="Q12">
        <v>-4</v>
      </c>
      <c r="R12">
        <v>-13</v>
      </c>
      <c r="S12">
        <v>7</v>
      </c>
      <c r="T12">
        <v>-8</v>
      </c>
      <c r="U12">
        <v>-15</v>
      </c>
      <c r="V12">
        <v>-42</v>
      </c>
      <c r="W12">
        <v>-38</v>
      </c>
      <c r="X12">
        <v>-38</v>
      </c>
      <c r="Y12">
        <v>-17</v>
      </c>
      <c r="Z12">
        <v>1</v>
      </c>
      <c r="AA12">
        <v>-10</v>
      </c>
      <c r="AB12">
        <v>-23</v>
      </c>
      <c r="AC12">
        <v>-8</v>
      </c>
      <c r="AD12">
        <v>11</v>
      </c>
      <c r="AE12">
        <v>0</v>
      </c>
      <c r="AF12">
        <v>-40</v>
      </c>
    </row>
    <row r="13" spans="1:32" x14ac:dyDescent="0.25">
      <c r="A13">
        <f t="shared" si="0"/>
        <v>11</v>
      </c>
      <c r="B13" s="19" t="s">
        <v>64</v>
      </c>
      <c r="C13">
        <v>-17.5</v>
      </c>
      <c r="D13">
        <v>-14.5</v>
      </c>
      <c r="E13">
        <v>-21.5</v>
      </c>
      <c r="F13">
        <v>-14.5</v>
      </c>
      <c r="G13">
        <v>-21.5</v>
      </c>
      <c r="H13">
        <v>-18.5</v>
      </c>
      <c r="I13">
        <v>-11.5</v>
      </c>
      <c r="J13">
        <v>-15.5</v>
      </c>
      <c r="K13">
        <v>-15.5</v>
      </c>
      <c r="L13" s="93" t="s">
        <v>38</v>
      </c>
      <c r="M13">
        <v>-65.5</v>
      </c>
      <c r="N13">
        <v>-13.5</v>
      </c>
      <c r="O13">
        <v>-34.5</v>
      </c>
      <c r="P13">
        <v>-71.5</v>
      </c>
      <c r="Q13">
        <v>-26.5</v>
      </c>
      <c r="R13">
        <v>-31.5</v>
      </c>
      <c r="S13">
        <v>-13.5</v>
      </c>
      <c r="T13">
        <v>-36.5</v>
      </c>
      <c r="U13">
        <v>-23.5</v>
      </c>
      <c r="V13">
        <v>-43.5</v>
      </c>
      <c r="W13">
        <v>-37.5</v>
      </c>
      <c r="X13">
        <v>-69.5</v>
      </c>
      <c r="Y13">
        <v>-14.5</v>
      </c>
      <c r="Z13">
        <v>-12.5</v>
      </c>
      <c r="AA13">
        <v>-37.5</v>
      </c>
      <c r="AB13">
        <v>-51.5</v>
      </c>
      <c r="AC13">
        <v>-31.5</v>
      </c>
      <c r="AD13">
        <v>-7.5</v>
      </c>
      <c r="AE13">
        <v>-15.5</v>
      </c>
      <c r="AF13">
        <v>-72.5</v>
      </c>
    </row>
    <row r="14" spans="1:32" x14ac:dyDescent="0.25">
      <c r="A14">
        <f t="shared" si="0"/>
        <v>12</v>
      </c>
      <c r="B14" s="19" t="s">
        <v>97</v>
      </c>
      <c r="C14">
        <v>-13</v>
      </c>
      <c r="D14">
        <v>-39</v>
      </c>
      <c r="E14">
        <v>-63</v>
      </c>
      <c r="F14">
        <v>-19</v>
      </c>
      <c r="G14">
        <v>-35</v>
      </c>
      <c r="H14">
        <v>-9</v>
      </c>
      <c r="I14">
        <v>-17</v>
      </c>
      <c r="J14">
        <v>-21</v>
      </c>
      <c r="K14">
        <v>-34</v>
      </c>
      <c r="L14">
        <v>-65.5</v>
      </c>
      <c r="M14" s="93" t="s">
        <v>38</v>
      </c>
      <c r="N14">
        <v>-18</v>
      </c>
      <c r="O14">
        <v>30</v>
      </c>
      <c r="P14">
        <v>8</v>
      </c>
      <c r="Q14">
        <v>10</v>
      </c>
      <c r="R14">
        <v>-12</v>
      </c>
      <c r="S14">
        <v>-4</v>
      </c>
      <c r="T14">
        <v>4</v>
      </c>
      <c r="U14">
        <v>-42</v>
      </c>
      <c r="V14">
        <v>-80</v>
      </c>
      <c r="W14">
        <v>-90</v>
      </c>
      <c r="X14">
        <v>16</v>
      </c>
      <c r="Y14">
        <v>-77</v>
      </c>
      <c r="Z14">
        <v>-35</v>
      </c>
      <c r="AA14">
        <v>3</v>
      </c>
      <c r="AB14">
        <v>0</v>
      </c>
      <c r="AC14">
        <v>-2</v>
      </c>
      <c r="AD14">
        <v>-6</v>
      </c>
      <c r="AE14">
        <v>-24</v>
      </c>
      <c r="AF14">
        <v>0</v>
      </c>
    </row>
    <row r="15" spans="1:32" x14ac:dyDescent="0.25">
      <c r="A15">
        <f t="shared" si="0"/>
        <v>13</v>
      </c>
      <c r="B15" s="19" t="s">
        <v>77</v>
      </c>
      <c r="C15">
        <v>-2</v>
      </c>
      <c r="D15">
        <v>7</v>
      </c>
      <c r="E15">
        <v>-11</v>
      </c>
      <c r="F15">
        <v>0</v>
      </c>
      <c r="G15">
        <v>7</v>
      </c>
      <c r="H15">
        <v>20</v>
      </c>
      <c r="I15">
        <v>10</v>
      </c>
      <c r="J15">
        <v>19</v>
      </c>
      <c r="K15">
        <v>3</v>
      </c>
      <c r="L15">
        <v>-13.5</v>
      </c>
      <c r="M15">
        <v>-18</v>
      </c>
      <c r="N15" s="93" t="s">
        <v>38</v>
      </c>
      <c r="O15">
        <v>-12</v>
      </c>
      <c r="P15">
        <v>-34</v>
      </c>
      <c r="Q15">
        <v>-4</v>
      </c>
      <c r="R15">
        <v>3</v>
      </c>
      <c r="S15">
        <v>33</v>
      </c>
      <c r="T15">
        <v>15</v>
      </c>
      <c r="U15">
        <v>2</v>
      </c>
      <c r="V15">
        <v>-31</v>
      </c>
      <c r="W15">
        <v>-21</v>
      </c>
      <c r="X15">
        <v>-30</v>
      </c>
      <c r="Y15">
        <v>-10</v>
      </c>
      <c r="Z15">
        <v>0</v>
      </c>
      <c r="AA15">
        <v>13</v>
      </c>
      <c r="AB15">
        <v>-5</v>
      </c>
      <c r="AC15">
        <v>12</v>
      </c>
      <c r="AD15">
        <v>38</v>
      </c>
      <c r="AE15">
        <v>3</v>
      </c>
      <c r="AF15">
        <v>-25</v>
      </c>
    </row>
    <row r="16" spans="1:32" x14ac:dyDescent="0.25">
      <c r="A16">
        <f t="shared" si="0"/>
        <v>14</v>
      </c>
      <c r="B16" s="19" t="s">
        <v>10</v>
      </c>
      <c r="C16">
        <v>-16</v>
      </c>
      <c r="D16">
        <v>-4</v>
      </c>
      <c r="E16">
        <v>-37</v>
      </c>
      <c r="F16">
        <v>-13</v>
      </c>
      <c r="G16">
        <v>8</v>
      </c>
      <c r="H16">
        <v>35</v>
      </c>
      <c r="I16">
        <v>-5</v>
      </c>
      <c r="J16">
        <v>26</v>
      </c>
      <c r="K16">
        <v>-9</v>
      </c>
      <c r="L16">
        <v>-34.5</v>
      </c>
      <c r="M16">
        <v>30</v>
      </c>
      <c r="N16">
        <v>-12</v>
      </c>
      <c r="O16" s="93" t="s">
        <v>38</v>
      </c>
      <c r="P16">
        <v>10</v>
      </c>
      <c r="Q16">
        <v>0</v>
      </c>
      <c r="R16">
        <v>19</v>
      </c>
      <c r="S16">
        <v>49</v>
      </c>
      <c r="T16">
        <v>51</v>
      </c>
      <c r="U16">
        <v>1</v>
      </c>
      <c r="V16">
        <v>-40</v>
      </c>
      <c r="W16">
        <v>-33</v>
      </c>
      <c r="X16">
        <v>12</v>
      </c>
      <c r="Y16">
        <v>-30</v>
      </c>
      <c r="Z16">
        <v>-18</v>
      </c>
      <c r="AA16">
        <v>48</v>
      </c>
      <c r="AB16">
        <v>34</v>
      </c>
      <c r="AC16">
        <v>37</v>
      </c>
      <c r="AD16">
        <v>50</v>
      </c>
      <c r="AE16">
        <v>-7</v>
      </c>
      <c r="AF16">
        <v>27</v>
      </c>
    </row>
    <row r="17" spans="1:32" x14ac:dyDescent="0.25">
      <c r="A17">
        <f t="shared" si="0"/>
        <v>15</v>
      </c>
      <c r="B17" s="19" t="s">
        <v>96</v>
      </c>
      <c r="C17">
        <v>-30</v>
      </c>
      <c r="D17">
        <v>-39</v>
      </c>
      <c r="E17">
        <v>-75</v>
      </c>
      <c r="F17">
        <v>-33</v>
      </c>
      <c r="G17">
        <v>-27</v>
      </c>
      <c r="H17">
        <v>5</v>
      </c>
      <c r="I17">
        <v>-24</v>
      </c>
      <c r="J17">
        <v>-7</v>
      </c>
      <c r="K17">
        <v>-40</v>
      </c>
      <c r="L17">
        <v>-71.5</v>
      </c>
      <c r="M17">
        <v>8</v>
      </c>
      <c r="N17">
        <v>-34</v>
      </c>
      <c r="O17">
        <v>10</v>
      </c>
      <c r="P17" s="93" t="s">
        <v>38</v>
      </c>
      <c r="Q17">
        <v>-5</v>
      </c>
      <c r="R17">
        <v>-6</v>
      </c>
      <c r="S17">
        <v>17</v>
      </c>
      <c r="T17">
        <v>23</v>
      </c>
      <c r="U17">
        <v>-36</v>
      </c>
      <c r="V17">
        <v>-87</v>
      </c>
      <c r="W17">
        <v>-88</v>
      </c>
      <c r="X17">
        <v>0</v>
      </c>
      <c r="Y17">
        <v>-75</v>
      </c>
      <c r="Z17">
        <v>-49</v>
      </c>
      <c r="AA17">
        <v>21</v>
      </c>
      <c r="AB17">
        <v>11</v>
      </c>
      <c r="AC17">
        <v>11</v>
      </c>
      <c r="AD17">
        <v>16</v>
      </c>
      <c r="AE17">
        <v>-31</v>
      </c>
      <c r="AF17">
        <v>6</v>
      </c>
    </row>
    <row r="18" spans="1:32" x14ac:dyDescent="0.25">
      <c r="A18">
        <f t="shared" si="0"/>
        <v>16</v>
      </c>
      <c r="B18" s="19" t="s">
        <v>9</v>
      </c>
      <c r="C18">
        <v>-10</v>
      </c>
      <c r="D18">
        <v>-2</v>
      </c>
      <c r="E18">
        <v>-32</v>
      </c>
      <c r="F18">
        <v>-6</v>
      </c>
      <c r="G18">
        <v>3</v>
      </c>
      <c r="H18">
        <v>24</v>
      </c>
      <c r="I18">
        <v>-3</v>
      </c>
      <c r="J18">
        <v>18</v>
      </c>
      <c r="K18">
        <v>-4</v>
      </c>
      <c r="L18">
        <v>-26.5</v>
      </c>
      <c r="M18">
        <v>10</v>
      </c>
      <c r="N18">
        <v>-4</v>
      </c>
      <c r="O18">
        <v>0</v>
      </c>
      <c r="P18">
        <v>-5</v>
      </c>
      <c r="Q18" s="93" t="s">
        <v>38</v>
      </c>
      <c r="R18">
        <v>10</v>
      </c>
      <c r="S18">
        <v>36</v>
      </c>
      <c r="T18">
        <v>32</v>
      </c>
      <c r="U18">
        <v>-4</v>
      </c>
      <c r="V18">
        <v>-40</v>
      </c>
      <c r="W18">
        <v>-35</v>
      </c>
      <c r="X18">
        <v>-3</v>
      </c>
      <c r="Y18">
        <v>-26</v>
      </c>
      <c r="Z18">
        <v>-9</v>
      </c>
      <c r="AA18">
        <v>30</v>
      </c>
      <c r="AB18">
        <v>16</v>
      </c>
      <c r="AC18">
        <v>23</v>
      </c>
      <c r="AD18">
        <v>38</v>
      </c>
      <c r="AE18">
        <v>-4</v>
      </c>
      <c r="AF18">
        <v>6</v>
      </c>
    </row>
    <row r="19" spans="1:32" x14ac:dyDescent="0.25">
      <c r="A19">
        <f t="shared" si="0"/>
        <v>17</v>
      </c>
      <c r="B19" s="19" t="s">
        <v>62</v>
      </c>
      <c r="C19">
        <v>13</v>
      </c>
      <c r="D19">
        <v>-19</v>
      </c>
      <c r="E19">
        <v>-11</v>
      </c>
      <c r="F19">
        <v>2</v>
      </c>
      <c r="G19">
        <v>-5</v>
      </c>
      <c r="H19">
        <v>2</v>
      </c>
      <c r="I19">
        <v>4</v>
      </c>
      <c r="J19">
        <v>0</v>
      </c>
      <c r="K19">
        <v>-13</v>
      </c>
      <c r="L19">
        <v>-31.5</v>
      </c>
      <c r="M19">
        <v>-12</v>
      </c>
      <c r="N19">
        <v>3</v>
      </c>
      <c r="O19">
        <v>19</v>
      </c>
      <c r="P19">
        <v>-6</v>
      </c>
      <c r="Q19">
        <v>10</v>
      </c>
      <c r="R19" s="93" t="s">
        <v>38</v>
      </c>
      <c r="S19">
        <v>5</v>
      </c>
      <c r="T19">
        <v>-4</v>
      </c>
      <c r="U19">
        <v>-8</v>
      </c>
      <c r="V19">
        <v>-23</v>
      </c>
      <c r="W19">
        <v>-28</v>
      </c>
      <c r="X19">
        <v>-8</v>
      </c>
      <c r="Y19">
        <v>-45</v>
      </c>
      <c r="Z19">
        <v>-7</v>
      </c>
      <c r="AA19">
        <v>-4</v>
      </c>
      <c r="AB19">
        <v>-8</v>
      </c>
      <c r="AC19">
        <v>-1</v>
      </c>
      <c r="AD19">
        <v>6</v>
      </c>
      <c r="AE19">
        <v>-6</v>
      </c>
      <c r="AF19">
        <v>-15</v>
      </c>
    </row>
    <row r="20" spans="1:32" x14ac:dyDescent="0.25">
      <c r="A20">
        <f t="shared" si="0"/>
        <v>18</v>
      </c>
      <c r="B20" s="19" t="s">
        <v>71</v>
      </c>
      <c r="C20">
        <v>37</v>
      </c>
      <c r="D20">
        <v>-5</v>
      </c>
      <c r="E20">
        <v>3</v>
      </c>
      <c r="F20">
        <v>28</v>
      </c>
      <c r="G20">
        <v>-5</v>
      </c>
      <c r="H20">
        <v>0</v>
      </c>
      <c r="I20">
        <v>19</v>
      </c>
      <c r="J20">
        <v>-2</v>
      </c>
      <c r="K20">
        <v>7</v>
      </c>
      <c r="L20">
        <v>-13.5</v>
      </c>
      <c r="M20">
        <v>-4</v>
      </c>
      <c r="N20">
        <v>33</v>
      </c>
      <c r="O20">
        <v>49</v>
      </c>
      <c r="P20">
        <v>17</v>
      </c>
      <c r="Q20">
        <v>36</v>
      </c>
      <c r="R20">
        <v>5</v>
      </c>
      <c r="S20" s="93" t="s">
        <v>38</v>
      </c>
      <c r="T20">
        <v>-6</v>
      </c>
      <c r="U20">
        <v>-7</v>
      </c>
      <c r="V20">
        <v>-15</v>
      </c>
      <c r="W20">
        <v>-28</v>
      </c>
      <c r="X20">
        <v>11</v>
      </c>
      <c r="Y20">
        <v>-35</v>
      </c>
      <c r="Z20">
        <v>20</v>
      </c>
      <c r="AA20">
        <v>-5</v>
      </c>
      <c r="AB20">
        <v>-4</v>
      </c>
      <c r="AC20">
        <v>0</v>
      </c>
      <c r="AD20">
        <v>0</v>
      </c>
      <c r="AE20">
        <v>12</v>
      </c>
      <c r="AF20">
        <v>-6</v>
      </c>
    </row>
    <row r="21" spans="1:32" x14ac:dyDescent="0.25">
      <c r="A21">
        <f t="shared" si="0"/>
        <v>19</v>
      </c>
      <c r="B21" s="19" t="s">
        <v>70</v>
      </c>
      <c r="C21">
        <v>16</v>
      </c>
      <c r="D21">
        <v>-18</v>
      </c>
      <c r="E21">
        <v>-32</v>
      </c>
      <c r="F21">
        <v>11</v>
      </c>
      <c r="G21">
        <v>-41</v>
      </c>
      <c r="H21">
        <v>-7</v>
      </c>
      <c r="I21">
        <v>3</v>
      </c>
      <c r="J21">
        <v>-16</v>
      </c>
      <c r="K21">
        <v>-8</v>
      </c>
      <c r="L21">
        <v>-36.5</v>
      </c>
      <c r="M21">
        <v>4</v>
      </c>
      <c r="N21">
        <v>15</v>
      </c>
      <c r="O21">
        <v>51</v>
      </c>
      <c r="P21">
        <v>23</v>
      </c>
      <c r="Q21">
        <v>32</v>
      </c>
      <c r="R21">
        <v>-4</v>
      </c>
      <c r="S21">
        <v>-6</v>
      </c>
      <c r="T21" s="93" t="s">
        <v>38</v>
      </c>
      <c r="U21">
        <v>-30</v>
      </c>
      <c r="V21">
        <v>-53</v>
      </c>
      <c r="W21">
        <v>-67</v>
      </c>
      <c r="X21">
        <v>18</v>
      </c>
      <c r="Y21">
        <v>-56</v>
      </c>
      <c r="Z21">
        <v>-1</v>
      </c>
      <c r="AA21">
        <v>0</v>
      </c>
      <c r="AB21">
        <v>2</v>
      </c>
      <c r="AC21">
        <v>-1</v>
      </c>
      <c r="AD21">
        <v>-8</v>
      </c>
      <c r="AE21">
        <v>-1</v>
      </c>
      <c r="AF21">
        <v>4</v>
      </c>
    </row>
    <row r="22" spans="1:32" x14ac:dyDescent="0.25">
      <c r="A22">
        <f t="shared" si="0"/>
        <v>20</v>
      </c>
      <c r="B22" s="19" t="s">
        <v>8</v>
      </c>
      <c r="C22">
        <v>15</v>
      </c>
      <c r="D22">
        <v>-22</v>
      </c>
      <c r="E22">
        <v>7</v>
      </c>
      <c r="F22">
        <v>2</v>
      </c>
      <c r="G22">
        <v>0</v>
      </c>
      <c r="H22">
        <v>-7</v>
      </c>
      <c r="I22">
        <v>4</v>
      </c>
      <c r="J22">
        <v>-2</v>
      </c>
      <c r="K22">
        <v>-15</v>
      </c>
      <c r="L22">
        <v>-23.5</v>
      </c>
      <c r="M22">
        <v>-42</v>
      </c>
      <c r="N22">
        <v>2</v>
      </c>
      <c r="O22">
        <v>1</v>
      </c>
      <c r="P22">
        <v>-36</v>
      </c>
      <c r="Q22">
        <v>-4</v>
      </c>
      <c r="R22">
        <v>-8</v>
      </c>
      <c r="S22">
        <v>-7</v>
      </c>
      <c r="T22">
        <v>-30</v>
      </c>
      <c r="U22" s="93" t="s">
        <v>38</v>
      </c>
      <c r="V22">
        <v>0</v>
      </c>
      <c r="W22">
        <v>-5</v>
      </c>
      <c r="X22">
        <v>-39</v>
      </c>
      <c r="Y22">
        <v>-40</v>
      </c>
      <c r="Z22">
        <v>-4</v>
      </c>
      <c r="AA22">
        <v>-29</v>
      </c>
      <c r="AB22">
        <v>-35</v>
      </c>
      <c r="AC22">
        <v>-18</v>
      </c>
      <c r="AD22">
        <v>-3</v>
      </c>
      <c r="AE22">
        <v>-9</v>
      </c>
      <c r="AF22">
        <v>-49</v>
      </c>
    </row>
    <row r="23" spans="1:32" x14ac:dyDescent="0.25">
      <c r="A23">
        <f t="shared" si="0"/>
        <v>21</v>
      </c>
      <c r="B23" s="19" t="s">
        <v>75</v>
      </c>
      <c r="C23">
        <v>-7</v>
      </c>
      <c r="D23">
        <v>-46</v>
      </c>
      <c r="E23">
        <v>0</v>
      </c>
      <c r="F23">
        <v>-26</v>
      </c>
      <c r="G23">
        <v>-1</v>
      </c>
      <c r="H23">
        <v>-15</v>
      </c>
      <c r="I23">
        <v>-14</v>
      </c>
      <c r="J23">
        <v>-4</v>
      </c>
      <c r="K23">
        <v>-42</v>
      </c>
      <c r="L23">
        <v>-43.5</v>
      </c>
      <c r="M23">
        <v>-80</v>
      </c>
      <c r="N23">
        <v>-31</v>
      </c>
      <c r="O23">
        <v>-40</v>
      </c>
      <c r="P23">
        <v>-87</v>
      </c>
      <c r="Q23">
        <v>-40</v>
      </c>
      <c r="R23">
        <v>-23</v>
      </c>
      <c r="S23">
        <v>-15</v>
      </c>
      <c r="T23">
        <v>-53</v>
      </c>
      <c r="U23">
        <v>0</v>
      </c>
      <c r="V23" s="93" t="s">
        <v>38</v>
      </c>
      <c r="W23">
        <v>-5</v>
      </c>
      <c r="X23">
        <v>-86</v>
      </c>
      <c r="Y23">
        <v>-55</v>
      </c>
      <c r="Z23">
        <v>-34</v>
      </c>
      <c r="AA23">
        <v>-52</v>
      </c>
      <c r="AB23">
        <v>-65</v>
      </c>
      <c r="AC23">
        <v>-35</v>
      </c>
      <c r="AD23">
        <v>-6</v>
      </c>
      <c r="AE23">
        <v>-33</v>
      </c>
      <c r="AF23">
        <v>-91</v>
      </c>
    </row>
    <row r="24" spans="1:32" x14ac:dyDescent="0.25">
      <c r="A24">
        <f t="shared" si="0"/>
        <v>22</v>
      </c>
      <c r="B24" s="19" t="s">
        <v>103</v>
      </c>
      <c r="C24">
        <v>-1</v>
      </c>
      <c r="D24">
        <v>-44</v>
      </c>
      <c r="E24">
        <v>4</v>
      </c>
      <c r="F24">
        <v>-18</v>
      </c>
      <c r="G24">
        <v>-7</v>
      </c>
      <c r="H24">
        <v>-24</v>
      </c>
      <c r="I24">
        <v>-12</v>
      </c>
      <c r="J24">
        <v>-13</v>
      </c>
      <c r="K24">
        <v>-38</v>
      </c>
      <c r="L24">
        <v>-37.5</v>
      </c>
      <c r="M24">
        <v>-90</v>
      </c>
      <c r="N24">
        <v>-21</v>
      </c>
      <c r="O24">
        <v>-33</v>
      </c>
      <c r="P24">
        <v>-88</v>
      </c>
      <c r="Q24">
        <v>-35</v>
      </c>
      <c r="R24">
        <v>-28</v>
      </c>
      <c r="S24">
        <v>-28</v>
      </c>
      <c r="T24">
        <v>-67</v>
      </c>
      <c r="U24">
        <v>-5</v>
      </c>
      <c r="V24">
        <v>-5</v>
      </c>
      <c r="W24" s="93" t="s">
        <v>38</v>
      </c>
      <c r="X24">
        <v>-89</v>
      </c>
      <c r="Y24">
        <v>-53</v>
      </c>
      <c r="Z24">
        <v>-25</v>
      </c>
      <c r="AA24">
        <v>-66</v>
      </c>
      <c r="AB24">
        <v>-74</v>
      </c>
      <c r="AC24">
        <v>-45</v>
      </c>
      <c r="AD24">
        <v>-20</v>
      </c>
      <c r="AE24">
        <v>-29</v>
      </c>
      <c r="AF24">
        <v>-100</v>
      </c>
    </row>
    <row r="25" spans="1:32" x14ac:dyDescent="0.25">
      <c r="A25">
        <f t="shared" si="0"/>
        <v>23</v>
      </c>
      <c r="B25" s="19" t="s">
        <v>60</v>
      </c>
      <c r="C25">
        <v>-28</v>
      </c>
      <c r="D25">
        <v>-38</v>
      </c>
      <c r="E25">
        <v>-74</v>
      </c>
      <c r="F25">
        <v>-30</v>
      </c>
      <c r="G25">
        <v>-30</v>
      </c>
      <c r="H25">
        <v>1</v>
      </c>
      <c r="I25">
        <v>-24</v>
      </c>
      <c r="J25">
        <v>-11</v>
      </c>
      <c r="K25">
        <v>-38</v>
      </c>
      <c r="L25">
        <v>-69.5</v>
      </c>
      <c r="M25">
        <v>16</v>
      </c>
      <c r="N25">
        <v>-30</v>
      </c>
      <c r="O25">
        <v>12</v>
      </c>
      <c r="P25">
        <v>0</v>
      </c>
      <c r="Q25">
        <v>-3</v>
      </c>
      <c r="R25">
        <v>-8</v>
      </c>
      <c r="S25">
        <v>11</v>
      </c>
      <c r="T25">
        <v>18</v>
      </c>
      <c r="U25">
        <v>-39</v>
      </c>
      <c r="V25">
        <v>-86</v>
      </c>
      <c r="W25">
        <v>-89</v>
      </c>
      <c r="X25" s="93" t="s">
        <v>38</v>
      </c>
      <c r="Y25">
        <v>-74</v>
      </c>
      <c r="Z25">
        <v>-45</v>
      </c>
      <c r="AA25">
        <v>16</v>
      </c>
      <c r="AB25">
        <v>8</v>
      </c>
      <c r="AC25">
        <v>7</v>
      </c>
      <c r="AD25">
        <v>9</v>
      </c>
      <c r="AE25">
        <v>-29</v>
      </c>
      <c r="AF25">
        <v>4</v>
      </c>
    </row>
    <row r="26" spans="1:32" x14ac:dyDescent="0.25">
      <c r="A26">
        <f t="shared" si="0"/>
        <v>24</v>
      </c>
      <c r="B26" s="19" t="s">
        <v>55</v>
      </c>
      <c r="C26">
        <v>-20</v>
      </c>
      <c r="D26">
        <v>-19</v>
      </c>
      <c r="E26">
        <v>-30</v>
      </c>
      <c r="F26">
        <v>-13</v>
      </c>
      <c r="G26">
        <v>-38</v>
      </c>
      <c r="H26">
        <v>-37</v>
      </c>
      <c r="I26">
        <v>-19</v>
      </c>
      <c r="J26">
        <v>-35</v>
      </c>
      <c r="K26">
        <v>-17</v>
      </c>
      <c r="L26">
        <v>-14.5</v>
      </c>
      <c r="M26">
        <v>-77</v>
      </c>
      <c r="N26">
        <v>-10</v>
      </c>
      <c r="O26">
        <v>-30</v>
      </c>
      <c r="P26">
        <v>-75</v>
      </c>
      <c r="Q26">
        <v>-26</v>
      </c>
      <c r="R26">
        <v>-45</v>
      </c>
      <c r="S26">
        <v>-35</v>
      </c>
      <c r="T26">
        <v>-56</v>
      </c>
      <c r="U26">
        <v>-40</v>
      </c>
      <c r="V26">
        <v>-55</v>
      </c>
      <c r="W26">
        <v>-53</v>
      </c>
      <c r="X26">
        <v>-74</v>
      </c>
      <c r="Y26" s="93" t="s">
        <v>38</v>
      </c>
      <c r="Z26">
        <v>-11</v>
      </c>
      <c r="AA26">
        <v>-56</v>
      </c>
      <c r="AB26">
        <v>-66</v>
      </c>
      <c r="AC26">
        <v>-48</v>
      </c>
      <c r="AD26">
        <v>-31</v>
      </c>
      <c r="AE26">
        <v>-18</v>
      </c>
      <c r="AF26">
        <v>-84</v>
      </c>
    </row>
    <row r="27" spans="1:32" x14ac:dyDescent="0.25">
      <c r="A27">
        <f t="shared" si="0"/>
        <v>25</v>
      </c>
      <c r="B27" s="19" t="s">
        <v>78</v>
      </c>
      <c r="C27">
        <v>-3</v>
      </c>
      <c r="D27">
        <v>4</v>
      </c>
      <c r="E27">
        <v>-10</v>
      </c>
      <c r="F27">
        <v>0</v>
      </c>
      <c r="G27">
        <v>0</v>
      </c>
      <c r="H27">
        <v>10</v>
      </c>
      <c r="I27">
        <v>7</v>
      </c>
      <c r="J27">
        <v>11</v>
      </c>
      <c r="K27">
        <v>1</v>
      </c>
      <c r="L27">
        <v>-12.5</v>
      </c>
      <c r="M27">
        <v>-35</v>
      </c>
      <c r="N27">
        <v>0</v>
      </c>
      <c r="O27">
        <v>-18</v>
      </c>
      <c r="P27">
        <v>-49</v>
      </c>
      <c r="Q27">
        <v>-9</v>
      </c>
      <c r="R27">
        <v>-7</v>
      </c>
      <c r="S27">
        <v>20</v>
      </c>
      <c r="T27">
        <v>-1</v>
      </c>
      <c r="U27">
        <v>-4</v>
      </c>
      <c r="V27">
        <v>-34</v>
      </c>
      <c r="W27">
        <v>-25</v>
      </c>
      <c r="X27">
        <v>-45</v>
      </c>
      <c r="Y27">
        <v>-11</v>
      </c>
      <c r="Z27" s="93" t="s">
        <v>38</v>
      </c>
      <c r="AA27">
        <v>-3</v>
      </c>
      <c r="AB27">
        <v>-21</v>
      </c>
      <c r="AC27">
        <v>-1</v>
      </c>
      <c r="AD27">
        <v>27</v>
      </c>
      <c r="AE27">
        <v>1</v>
      </c>
      <c r="AF27">
        <v>-43</v>
      </c>
    </row>
    <row r="28" spans="1:32" x14ac:dyDescent="0.25">
      <c r="A28" s="92">
        <v>26</v>
      </c>
      <c r="B28" s="19" t="s">
        <v>98</v>
      </c>
      <c r="C28">
        <v>15</v>
      </c>
      <c r="D28">
        <v>-19</v>
      </c>
      <c r="E28">
        <v>-32</v>
      </c>
      <c r="F28">
        <v>9</v>
      </c>
      <c r="G28">
        <v>-24</v>
      </c>
      <c r="H28">
        <v>-7</v>
      </c>
      <c r="I28">
        <v>2</v>
      </c>
      <c r="J28">
        <v>-15</v>
      </c>
      <c r="K28">
        <v>-10</v>
      </c>
      <c r="L28">
        <v>-37.5</v>
      </c>
      <c r="M28">
        <v>3</v>
      </c>
      <c r="N28">
        <v>13</v>
      </c>
      <c r="O28">
        <v>48</v>
      </c>
      <c r="P28">
        <v>21</v>
      </c>
      <c r="Q28">
        <v>30</v>
      </c>
      <c r="R28">
        <v>-4</v>
      </c>
      <c r="S28">
        <v>-5</v>
      </c>
      <c r="T28">
        <v>0</v>
      </c>
      <c r="U28">
        <v>-29</v>
      </c>
      <c r="V28">
        <v>-52</v>
      </c>
      <c r="W28">
        <v>-66</v>
      </c>
      <c r="X28">
        <v>16</v>
      </c>
      <c r="Y28">
        <v>-56</v>
      </c>
      <c r="Z28">
        <v>-3</v>
      </c>
      <c r="AA28" s="93" t="s">
        <v>38</v>
      </c>
      <c r="AB28">
        <v>1</v>
      </c>
      <c r="AC28">
        <v>-1</v>
      </c>
      <c r="AD28">
        <v>-7</v>
      </c>
      <c r="AE28">
        <v>-3</v>
      </c>
      <c r="AF28">
        <v>3</v>
      </c>
    </row>
    <row r="29" spans="1:32" x14ac:dyDescent="0.25">
      <c r="A29" s="92">
        <v>27</v>
      </c>
      <c r="B29" s="19" t="s">
        <v>3</v>
      </c>
      <c r="C29">
        <v>-2</v>
      </c>
      <c r="D29">
        <v>-30</v>
      </c>
      <c r="E29">
        <v>-47</v>
      </c>
      <c r="F29">
        <v>-8</v>
      </c>
      <c r="G29">
        <v>-28</v>
      </c>
      <c r="H29">
        <v>-7</v>
      </c>
      <c r="I29">
        <v>-9</v>
      </c>
      <c r="J29">
        <v>-17</v>
      </c>
      <c r="K29">
        <v>-23</v>
      </c>
      <c r="L29">
        <v>-51.5</v>
      </c>
      <c r="M29">
        <v>0</v>
      </c>
      <c r="N29">
        <v>-5</v>
      </c>
      <c r="O29">
        <v>34</v>
      </c>
      <c r="P29">
        <v>11</v>
      </c>
      <c r="Q29">
        <v>16</v>
      </c>
      <c r="R29">
        <v>-8</v>
      </c>
      <c r="S29">
        <v>-4</v>
      </c>
      <c r="T29">
        <v>2</v>
      </c>
      <c r="U29">
        <v>-35</v>
      </c>
      <c r="V29">
        <v>-65</v>
      </c>
      <c r="W29">
        <v>-74</v>
      </c>
      <c r="X29">
        <v>8</v>
      </c>
      <c r="Y29">
        <v>-66</v>
      </c>
      <c r="Z29">
        <v>-21</v>
      </c>
      <c r="AA29">
        <v>1</v>
      </c>
      <c r="AB29" s="93" t="s">
        <v>38</v>
      </c>
      <c r="AC29">
        <v>-2</v>
      </c>
      <c r="AD29">
        <v>-6</v>
      </c>
      <c r="AE29">
        <v>-15</v>
      </c>
      <c r="AF29">
        <v>0</v>
      </c>
    </row>
    <row r="30" spans="1:32" x14ac:dyDescent="0.25">
      <c r="A30" s="92">
        <v>28</v>
      </c>
      <c r="B30" s="19" t="s">
        <v>61</v>
      </c>
      <c r="C30">
        <v>17</v>
      </c>
      <c r="D30">
        <v>-16</v>
      </c>
      <c r="E30">
        <v>-19</v>
      </c>
      <c r="F30">
        <v>9</v>
      </c>
      <c r="G30">
        <v>-14</v>
      </c>
      <c r="H30">
        <v>-2</v>
      </c>
      <c r="I30">
        <v>5</v>
      </c>
      <c r="J30">
        <v>-7</v>
      </c>
      <c r="K30">
        <v>-8</v>
      </c>
      <c r="L30">
        <v>-31.5</v>
      </c>
      <c r="M30">
        <v>-2</v>
      </c>
      <c r="N30">
        <v>12</v>
      </c>
      <c r="O30">
        <v>37</v>
      </c>
      <c r="P30">
        <v>11</v>
      </c>
      <c r="Q30">
        <v>23</v>
      </c>
      <c r="R30">
        <v>-1</v>
      </c>
      <c r="S30">
        <v>0</v>
      </c>
      <c r="T30">
        <v>-1</v>
      </c>
      <c r="U30">
        <v>-18</v>
      </c>
      <c r="V30">
        <v>-35</v>
      </c>
      <c r="W30">
        <v>-45</v>
      </c>
      <c r="X30">
        <v>7</v>
      </c>
      <c r="Y30">
        <v>-48</v>
      </c>
      <c r="Z30">
        <v>-1</v>
      </c>
      <c r="AA30">
        <v>-1</v>
      </c>
      <c r="AB30">
        <v>-2</v>
      </c>
      <c r="AC30" s="93" t="s">
        <v>38</v>
      </c>
      <c r="AD30">
        <v>-1</v>
      </c>
      <c r="AE30">
        <v>-2</v>
      </c>
      <c r="AF30">
        <v>-4</v>
      </c>
    </row>
    <row r="31" spans="1:32" x14ac:dyDescent="0.25">
      <c r="A31" s="92">
        <v>29</v>
      </c>
      <c r="B31" s="19" t="s">
        <v>99</v>
      </c>
      <c r="C31">
        <v>43</v>
      </c>
      <c r="D31">
        <v>-2</v>
      </c>
      <c r="E31">
        <v>12</v>
      </c>
      <c r="F31">
        <v>33</v>
      </c>
      <c r="G31">
        <v>-1</v>
      </c>
      <c r="H31">
        <v>1</v>
      </c>
      <c r="I31">
        <v>22</v>
      </c>
      <c r="J31">
        <v>0</v>
      </c>
      <c r="K31">
        <v>11</v>
      </c>
      <c r="L31">
        <v>-7.5</v>
      </c>
      <c r="M31">
        <v>-6</v>
      </c>
      <c r="N31">
        <v>38</v>
      </c>
      <c r="O31">
        <v>50</v>
      </c>
      <c r="P31">
        <v>16</v>
      </c>
      <c r="Q31">
        <v>38</v>
      </c>
      <c r="R31">
        <v>6</v>
      </c>
      <c r="S31">
        <v>0</v>
      </c>
      <c r="T31">
        <v>-8</v>
      </c>
      <c r="U31">
        <v>-3</v>
      </c>
      <c r="V31">
        <v>-6</v>
      </c>
      <c r="W31">
        <v>-20</v>
      </c>
      <c r="X31">
        <v>9</v>
      </c>
      <c r="Y31">
        <v>-31</v>
      </c>
      <c r="Z31">
        <v>27</v>
      </c>
      <c r="AA31">
        <v>-7</v>
      </c>
      <c r="AB31">
        <v>-6</v>
      </c>
      <c r="AC31">
        <v>-1</v>
      </c>
      <c r="AD31" s="93" t="s">
        <v>38</v>
      </c>
      <c r="AE31">
        <v>15</v>
      </c>
      <c r="AF31">
        <v>-9</v>
      </c>
    </row>
    <row r="32" spans="1:32" x14ac:dyDescent="0.25">
      <c r="A32" s="92">
        <v>30</v>
      </c>
      <c r="B32" s="19" t="s">
        <v>11</v>
      </c>
      <c r="C32">
        <v>-4</v>
      </c>
      <c r="D32">
        <v>1</v>
      </c>
      <c r="E32">
        <v>-16</v>
      </c>
      <c r="F32">
        <v>1</v>
      </c>
      <c r="G32">
        <v>-5</v>
      </c>
      <c r="H32">
        <v>5</v>
      </c>
      <c r="I32">
        <v>1</v>
      </c>
      <c r="J32">
        <v>4</v>
      </c>
      <c r="K32">
        <v>0</v>
      </c>
      <c r="L32">
        <v>-15.5</v>
      </c>
      <c r="M32">
        <v>-24</v>
      </c>
      <c r="N32">
        <v>3</v>
      </c>
      <c r="O32">
        <v>-7</v>
      </c>
      <c r="P32">
        <v>-31</v>
      </c>
      <c r="Q32">
        <v>-4</v>
      </c>
      <c r="R32">
        <v>-6</v>
      </c>
      <c r="S32">
        <v>12</v>
      </c>
      <c r="T32">
        <v>-1</v>
      </c>
      <c r="U32">
        <v>-9</v>
      </c>
      <c r="V32">
        <v>-33</v>
      </c>
      <c r="W32">
        <v>-29</v>
      </c>
      <c r="X32">
        <v>-29</v>
      </c>
      <c r="Y32">
        <v>-18</v>
      </c>
      <c r="Z32">
        <v>1</v>
      </c>
      <c r="AA32">
        <v>-3</v>
      </c>
      <c r="AB32">
        <v>-15</v>
      </c>
      <c r="AC32">
        <v>-2</v>
      </c>
      <c r="AD32">
        <v>15</v>
      </c>
      <c r="AE32" s="93" t="s">
        <v>38</v>
      </c>
      <c r="AF32">
        <v>-29</v>
      </c>
    </row>
    <row r="33" spans="1:32" x14ac:dyDescent="0.25">
      <c r="A33" s="92">
        <v>31</v>
      </c>
      <c r="B33" s="19" t="s">
        <v>69</v>
      </c>
      <c r="C33">
        <v>-20</v>
      </c>
      <c r="D33">
        <v>-44</v>
      </c>
      <c r="E33">
        <v>-74</v>
      </c>
      <c r="F33">
        <v>-26</v>
      </c>
      <c r="G33">
        <v>-41</v>
      </c>
      <c r="H33">
        <v>-12</v>
      </c>
      <c r="I33">
        <v>-23</v>
      </c>
      <c r="J33">
        <v>-25</v>
      </c>
      <c r="K33">
        <v>-40</v>
      </c>
      <c r="L33">
        <v>-72.5</v>
      </c>
      <c r="M33">
        <v>0</v>
      </c>
      <c r="N33">
        <v>-25</v>
      </c>
      <c r="O33">
        <v>27</v>
      </c>
      <c r="P33">
        <v>6</v>
      </c>
      <c r="Q33">
        <v>6</v>
      </c>
      <c r="R33">
        <v>-15</v>
      </c>
      <c r="S33">
        <v>-6</v>
      </c>
      <c r="T33">
        <v>4</v>
      </c>
      <c r="U33">
        <v>-49</v>
      </c>
      <c r="V33">
        <v>-91</v>
      </c>
      <c r="W33">
        <v>-100</v>
      </c>
      <c r="X33">
        <v>4</v>
      </c>
      <c r="Y33">
        <v>-84</v>
      </c>
      <c r="Z33">
        <v>-43</v>
      </c>
      <c r="AA33">
        <v>3</v>
      </c>
      <c r="AB33">
        <v>0</v>
      </c>
      <c r="AC33">
        <v>-4</v>
      </c>
      <c r="AD33">
        <v>-9</v>
      </c>
      <c r="AE33">
        <v>-29</v>
      </c>
      <c r="AF33" s="93" t="s">
        <v>38</v>
      </c>
    </row>
    <row r="34" spans="1:32" x14ac:dyDescent="0.25"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</row>
  </sheetData>
  <sortState ref="B4:Z27">
    <sortCondition ref="C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6"/>
  <sheetViews>
    <sheetView tabSelected="1" workbookViewId="0">
      <selection activeCell="P6" sqref="P6"/>
    </sheetView>
  </sheetViews>
  <sheetFormatPr defaultRowHeight="15" x14ac:dyDescent="0.25"/>
  <cols>
    <col min="1" max="1" width="18.7109375" customWidth="1"/>
    <col min="7" max="7" width="12.28515625" customWidth="1"/>
    <col min="15" max="15" width="12" customWidth="1"/>
    <col min="17" max="17" width="22.5703125" customWidth="1"/>
    <col min="18" max="18" width="11.85546875" customWidth="1"/>
  </cols>
  <sheetData>
    <row r="2" spans="1:16" ht="18" thickBot="1" x14ac:dyDescent="0.3">
      <c r="B2" s="19" t="s">
        <v>130</v>
      </c>
      <c r="E2" s="83" t="s">
        <v>19</v>
      </c>
      <c r="F2" s="19" t="s">
        <v>20</v>
      </c>
      <c r="I2" s="19" t="s">
        <v>119</v>
      </c>
      <c r="K2" s="19" t="s">
        <v>124</v>
      </c>
      <c r="P2" s="19" t="s">
        <v>178</v>
      </c>
    </row>
    <row r="3" spans="1:16" ht="18" thickBot="1" x14ac:dyDescent="0.3">
      <c r="B3" s="10">
        <v>15</v>
      </c>
      <c r="C3" t="s">
        <v>22</v>
      </c>
      <c r="E3" s="14"/>
      <c r="F3" s="10"/>
      <c r="G3" s="14" t="s">
        <v>21</v>
      </c>
      <c r="P3">
        <f>Thermodynamics!V16</f>
        <v>0.15120846537148636</v>
      </c>
    </row>
    <row r="4" spans="1:16" ht="17.25" x14ac:dyDescent="0.25">
      <c r="A4" s="71" t="s">
        <v>122</v>
      </c>
      <c r="B4">
        <f>'Easy calculators'!D20*B3</f>
        <v>105.36000000000001</v>
      </c>
      <c r="C4" t="s">
        <v>21</v>
      </c>
      <c r="E4" s="71" t="s">
        <v>123</v>
      </c>
      <c r="F4" s="14">
        <f>F3/'Easy calculators'!D20</f>
        <v>0</v>
      </c>
      <c r="G4" t="s">
        <v>22</v>
      </c>
      <c r="I4" s="2" t="s">
        <v>120</v>
      </c>
      <c r="K4" s="23" t="s">
        <v>28</v>
      </c>
      <c r="L4" s="72">
        <f>100*SQRT(SUM(Thermodynamics!E5:E14))</f>
        <v>5.1983981034656876</v>
      </c>
      <c r="M4" s="25" t="s">
        <v>29</v>
      </c>
    </row>
    <row r="5" spans="1:16" ht="15.75" thickBot="1" x14ac:dyDescent="0.3">
      <c r="D5" t="s">
        <v>121</v>
      </c>
      <c r="H5" s="2" t="str">
        <f>IF(ISBLANK(D8), "", D8)</f>
        <v>Cu</v>
      </c>
      <c r="I5" s="6">
        <f>IF(ISBLANK($B$3), (Charges!F18/100)*$F$3, (Charges!F18/100)*('Easy calculators'!$B$4))</f>
        <v>24.83856012767999</v>
      </c>
      <c r="P5" s="19"/>
    </row>
    <row r="6" spans="1:16" ht="19.5" thickBot="1" x14ac:dyDescent="0.4">
      <c r="B6" s="130" t="s">
        <v>177</v>
      </c>
      <c r="C6" s="131"/>
      <c r="H6" s="89" t="str">
        <f t="shared" ref="H6:H14" si="0">IF(ISBLANK(D9), "", D9)</f>
        <v>Ni</v>
      </c>
      <c r="I6" s="7">
        <f>IF(ISBLANK($B$3), (Charges!F19/100)*$F$3, (Charges!F19/100)*('Easy calculators'!$B$4))</f>
        <v>22.941798775658146</v>
      </c>
      <c r="K6" s="23" t="s">
        <v>31</v>
      </c>
      <c r="L6" s="24">
        <f>-8.3145*SUM(Thermodynamics!J5:J14)</f>
        <v>13.381671522933329</v>
      </c>
      <c r="M6" s="25" t="s">
        <v>32</v>
      </c>
      <c r="N6">
        <f>L6/8.3145</f>
        <v>1.6094379124341005</v>
      </c>
      <c r="O6" t="s">
        <v>400</v>
      </c>
    </row>
    <row r="7" spans="1:16" ht="15.75" thickBot="1" x14ac:dyDescent="0.3">
      <c r="A7" t="s">
        <v>169</v>
      </c>
      <c r="B7" s="117" t="s">
        <v>176</v>
      </c>
      <c r="C7" s="118" t="s">
        <v>1</v>
      </c>
      <c r="D7" s="119" t="s">
        <v>0</v>
      </c>
      <c r="E7" s="116" t="s">
        <v>1</v>
      </c>
      <c r="F7" t="s">
        <v>166</v>
      </c>
      <c r="H7" s="89" t="str">
        <f t="shared" si="0"/>
        <v>Mn</v>
      </c>
      <c r="I7" s="7">
        <f>IF(ISBLANK($B$3), (Charges!F20/100)*$F$3, (Charges!F20/100)*('Easy calculators'!$B$4))</f>
        <v>21.47390577368337</v>
      </c>
    </row>
    <row r="8" spans="1:16" ht="18.75" x14ac:dyDescent="0.35">
      <c r="A8" t="s">
        <v>170</v>
      </c>
      <c r="B8" s="99">
        <v>1</v>
      </c>
      <c r="C8" s="4"/>
      <c r="D8" s="113" t="s">
        <v>63</v>
      </c>
      <c r="E8" s="120">
        <f>IF(ISBLANK(B8),C8,(B8/$B$18)*100)</f>
        <v>20</v>
      </c>
      <c r="F8">
        <f>IF(ISBLANK(D8), 0, LOOKUP('Easy calculators'!D8, Thermodynamics!$A$28:$A$100, Thermodynamics!$B$28:$B$100))</f>
        <v>1.278</v>
      </c>
      <c r="H8" s="89" t="str">
        <f t="shared" si="0"/>
        <v>Al</v>
      </c>
      <c r="I8" s="7">
        <f>IF(ISBLANK($B$3), (Charges!F21/100)*$F$3, (Charges!F21/100)*('Easy calculators'!$B$4))</f>
        <v>10.546401191026936</v>
      </c>
      <c r="K8" s="23" t="s">
        <v>40</v>
      </c>
      <c r="L8" s="34">
        <f>SUM(Thermodynamics!O16:O25)</f>
        <v>-8.8000000000000007</v>
      </c>
      <c r="M8" s="25" t="s">
        <v>41</v>
      </c>
      <c r="P8" s="115"/>
    </row>
    <row r="9" spans="1:16" x14ac:dyDescent="0.25">
      <c r="A9" s="14"/>
      <c r="B9" s="99">
        <v>1</v>
      </c>
      <c r="C9" s="4"/>
      <c r="D9" s="35" t="s">
        <v>8</v>
      </c>
      <c r="E9" s="121">
        <f t="shared" ref="E9:E17" si="1">IF(ISBLANK(B9),C9,(B9/$B$18)*100)</f>
        <v>20</v>
      </c>
      <c r="F9">
        <f>IF(ISBLANK(D9), 0, LOOKUP('Easy calculators'!D9, Thermodynamics!$A$28:$A$100, Thermodynamics!$B$28:$B$100))</f>
        <v>1.246</v>
      </c>
      <c r="H9" s="89" t="str">
        <f t="shared" si="0"/>
        <v>Zn</v>
      </c>
      <c r="I9" s="7">
        <f>IF(ISBLANK($B$3), (Charges!F22/100)*$F$3, (Charges!F22/100)*('Easy calculators'!$B$4))</f>
        <v>25.559334131951569</v>
      </c>
    </row>
    <row r="10" spans="1:16" ht="18.75" x14ac:dyDescent="0.35">
      <c r="B10" s="99">
        <v>1</v>
      </c>
      <c r="C10" s="4"/>
      <c r="D10" s="35" t="s">
        <v>62</v>
      </c>
      <c r="E10" s="121">
        <f t="shared" si="1"/>
        <v>20</v>
      </c>
      <c r="F10">
        <f>IF(ISBLANK(D10), 0, LOOKUP('Easy calculators'!D10, Thermodynamics!$A$28:$A$100, Thermodynamics!$B$28:$B$100))</f>
        <v>1.35</v>
      </c>
      <c r="H10" s="89" t="str">
        <f t="shared" si="0"/>
        <v/>
      </c>
      <c r="I10" s="7">
        <f>IF(ISBLANK($B$3), (Charges!F23/100)*$F$3, (Charges!F23/100)*('Easy calculators'!$B$4))</f>
        <v>0</v>
      </c>
      <c r="K10" s="20" t="s">
        <v>127</v>
      </c>
      <c r="L10" s="76"/>
      <c r="M10" s="77">
        <f>'Easy calculators'!$L$8-2000*('Easy calculators'!$L$6/1000)</f>
        <v>-35.56334304586666</v>
      </c>
      <c r="N10" s="21" t="s">
        <v>41</v>
      </c>
    </row>
    <row r="11" spans="1:16" ht="18.75" x14ac:dyDescent="0.35">
      <c r="B11" s="99">
        <v>1</v>
      </c>
      <c r="C11" s="4"/>
      <c r="D11" s="35" t="s">
        <v>4</v>
      </c>
      <c r="E11" s="121">
        <f t="shared" si="1"/>
        <v>20</v>
      </c>
      <c r="F11">
        <f>IF(ISBLANK(D11), 0, LOOKUP('Easy calculators'!D11, Thermodynamics!$A$28:$A$100, Thermodynamics!$B$28:$B$100))</f>
        <v>1.4319999999999999</v>
      </c>
      <c r="H11" s="89" t="str">
        <f t="shared" si="0"/>
        <v/>
      </c>
      <c r="I11" s="7">
        <f>IF(ISBLANK($B$3), (Charges!F24/100)*$F$3, (Charges!F24/100)*('Easy calculators'!$B$4))</f>
        <v>0</v>
      </c>
      <c r="K11" s="78" t="s">
        <v>126</v>
      </c>
      <c r="L11" s="74"/>
      <c r="M11" s="75">
        <f>'Easy calculators'!$L$8-1000*('Easy calculators'!$L$6/1000)</f>
        <v>-22.181671522933328</v>
      </c>
      <c r="N11" s="79" t="s">
        <v>128</v>
      </c>
    </row>
    <row r="12" spans="1:16" ht="18.75" x14ac:dyDescent="0.35">
      <c r="B12" s="99">
        <v>1</v>
      </c>
      <c r="C12" s="4"/>
      <c r="D12" s="35" t="s">
        <v>11</v>
      </c>
      <c r="E12" s="121">
        <f t="shared" si="1"/>
        <v>20</v>
      </c>
      <c r="F12">
        <f>IF(ISBLANK(D12), 0, LOOKUP('Easy calculators'!D12, Thermodynamics!$A$28:$A$100, Thermodynamics!$B$28:$B$100))</f>
        <v>1.395</v>
      </c>
      <c r="H12" s="89" t="str">
        <f t="shared" si="0"/>
        <v/>
      </c>
      <c r="I12" s="7">
        <f>IF(ISBLANK($B$3), (Charges!F25/100)*$F$3, (Charges!F25/100)*('Easy calculators'!$B$4))</f>
        <v>0</v>
      </c>
      <c r="K12" s="73" t="s">
        <v>125</v>
      </c>
      <c r="L12" s="80"/>
      <c r="M12" s="81">
        <f>'Easy calculators'!$L$8-298*('Easy calculators'!$L$6/1000)</f>
        <v>-12.787738113834132</v>
      </c>
      <c r="N12" s="82" t="s">
        <v>129</v>
      </c>
    </row>
    <row r="13" spans="1:16" x14ac:dyDescent="0.25">
      <c r="B13" s="99"/>
      <c r="C13" s="4"/>
      <c r="D13" s="35"/>
      <c r="E13" s="121">
        <f t="shared" si="1"/>
        <v>0</v>
      </c>
      <c r="F13">
        <f>IF(ISBLANK(D13), 0, LOOKUP('Easy calculators'!D13, Thermodynamics!$A$28:$A$100, Thermodynamics!$B$28:$B$100))</f>
        <v>0</v>
      </c>
      <c r="H13" s="89" t="str">
        <f t="shared" si="0"/>
        <v/>
      </c>
      <c r="I13" s="7">
        <f>IF(ISBLANK($B$3), (Charges!F26/100)*$F$3, (Charges!F26/100)*('Easy calculators'!$B$4))</f>
        <v>0</v>
      </c>
    </row>
    <row r="14" spans="1:16" x14ac:dyDescent="0.25">
      <c r="B14" s="99"/>
      <c r="C14" s="4"/>
      <c r="D14" s="35"/>
      <c r="E14" s="121">
        <f t="shared" si="1"/>
        <v>0</v>
      </c>
      <c r="F14">
        <f>IF(ISBLANK(D14), 0, LOOKUP('Easy calculators'!D14, Thermodynamics!$A$28:$A$100, Thermodynamics!$B$28:$B$100))</f>
        <v>0</v>
      </c>
      <c r="H14" s="90" t="str">
        <f t="shared" si="0"/>
        <v/>
      </c>
      <c r="I14" s="8">
        <f>IF(ISBLANK($B$3), (Charges!F27/100)*$F$3, (Charges!F27/100)*('Easy calculators'!$B$4))</f>
        <v>0</v>
      </c>
    </row>
    <row r="15" spans="1:16" ht="15" customHeight="1" x14ac:dyDescent="0.25">
      <c r="B15" s="99"/>
      <c r="C15" s="4"/>
      <c r="D15" s="35"/>
      <c r="E15" s="121">
        <f t="shared" si="1"/>
        <v>0</v>
      </c>
      <c r="F15">
        <f>IF(ISBLANK(D15), 0, LOOKUP('Easy calculators'!D15, Thermodynamics!$A$28:$A$100, Thermodynamics!$B$28:$B$100))</f>
        <v>0</v>
      </c>
      <c r="I15">
        <f>SUM(I5:I8)</f>
        <v>79.800665868048441</v>
      </c>
      <c r="K15" s="126" t="s">
        <v>132</v>
      </c>
      <c r="L15" s="127"/>
      <c r="M15" s="88"/>
      <c r="N15" s="88"/>
    </row>
    <row r="16" spans="1:16" x14ac:dyDescent="0.25">
      <c r="A16" s="125">
        <f>L4</f>
        <v>5.1983981034656876</v>
      </c>
      <c r="B16" s="99"/>
      <c r="C16" s="4"/>
      <c r="D16" s="35"/>
      <c r="E16" s="121">
        <f t="shared" si="1"/>
        <v>0</v>
      </c>
      <c r="F16">
        <f>IF(ISBLANK(D16), 0, LOOKUP('Easy calculators'!D16, Thermodynamics!$A$28:$A$100, Thermodynamics!$B$28:$B$100))</f>
        <v>0</v>
      </c>
      <c r="K16" s="128"/>
      <c r="L16" s="129"/>
    </row>
    <row r="17" spans="1:12" ht="15.75" thickBot="1" x14ac:dyDescent="0.3">
      <c r="B17" s="112"/>
      <c r="C17" s="5"/>
      <c r="D17" s="114"/>
      <c r="E17" s="122">
        <f t="shared" si="1"/>
        <v>0</v>
      </c>
      <c r="F17">
        <f>IF(ISBLANK(D17), 0, LOOKUP('Easy calculators'!D17, Thermodynamics!$A$28:$A$100, Thermodynamics!$B$28:$B$100))</f>
        <v>0</v>
      </c>
      <c r="K17" s="84" t="str">
        <f t="shared" ref="K17:K26" si="2">IF(ISBLANK(D8), "", D8)</f>
        <v>Cu</v>
      </c>
      <c r="L17" s="85">
        <f>SUM(Thermodynamics!N4:W4)</f>
        <v>8</v>
      </c>
    </row>
    <row r="18" spans="1:12" x14ac:dyDescent="0.25">
      <c r="A18">
        <f>Thermodynamics!V16</f>
        <v>0.15120846537148636</v>
      </c>
      <c r="B18">
        <f>SUM(B8:B17)</f>
        <v>5</v>
      </c>
      <c r="E18">
        <f>SUM(E8:E17)</f>
        <v>100</v>
      </c>
      <c r="K18" s="84" t="str">
        <f t="shared" si="2"/>
        <v>Ni</v>
      </c>
      <c r="L18" s="85">
        <f>SUM(Thermodynamics!N5:W5)</f>
        <v>-35</v>
      </c>
    </row>
    <row r="19" spans="1:12" ht="15" customHeight="1" x14ac:dyDescent="0.25">
      <c r="D19" t="s">
        <v>16</v>
      </c>
      <c r="K19" s="84" t="str">
        <f t="shared" si="2"/>
        <v>Mn</v>
      </c>
      <c r="L19" s="85">
        <f>SUM(Thermodynamics!N6:W6)</f>
        <v>-29</v>
      </c>
    </row>
    <row r="20" spans="1:12" x14ac:dyDescent="0.25">
      <c r="D20" s="9">
        <f>('Easy calculators'!E8/100)*Charges!D18+('Easy calculators'!E9/100)*Charges!D19+('Easy calculators'!E10/100)*Charges!D20+('Easy calculators'!E11/100)*Charges!D21+('Easy calculators'!E12/100)*Charges!D22+('Easy calculators'!E13/100)*Charges!D23+('Easy calculators'!E14/100)*Charges!D24+('Easy calculators'!E15/100)*Charges!D25+('Easy calculators'!E16/100)*Charges!D26+(E17/100)*Charges!D27</f>
        <v>7.0240000000000009</v>
      </c>
      <c r="K20" s="84" t="str">
        <f t="shared" si="2"/>
        <v>Al</v>
      </c>
      <c r="L20" s="85">
        <f>SUM(Thermodynamics!N7:W7)</f>
        <v>-41</v>
      </c>
    </row>
    <row r="21" spans="1:12" x14ac:dyDescent="0.25">
      <c r="K21" s="84" t="str">
        <f t="shared" si="2"/>
        <v>Zn</v>
      </c>
      <c r="L21" s="85">
        <f>SUM(Thermodynamics!N8:W8)</f>
        <v>-13</v>
      </c>
    </row>
    <row r="22" spans="1:12" ht="15.75" thickBot="1" x14ac:dyDescent="0.3">
      <c r="C22" t="s">
        <v>173</v>
      </c>
      <c r="E22" t="s">
        <v>172</v>
      </c>
      <c r="K22" s="84" t="str">
        <f t="shared" si="2"/>
        <v/>
      </c>
      <c r="L22" s="85">
        <f>SUM(Thermodynamics!N9:W9)</f>
        <v>0</v>
      </c>
    </row>
    <row r="23" spans="1:12" ht="15.75" thickBot="1" x14ac:dyDescent="0.3">
      <c r="B23" s="10" t="s">
        <v>167</v>
      </c>
      <c r="C23" s="10" t="s">
        <v>1</v>
      </c>
      <c r="E23" t="s">
        <v>171</v>
      </c>
      <c r="H23" s="2" t="s">
        <v>168</v>
      </c>
      <c r="I23" s="97" t="s">
        <v>61</v>
      </c>
      <c r="K23" s="84" t="str">
        <f t="shared" si="2"/>
        <v/>
      </c>
      <c r="L23" s="85">
        <f>SUM(Thermodynamics!N10:W10)</f>
        <v>0</v>
      </c>
    </row>
    <row r="24" spans="1:12" ht="15.75" thickBot="1" x14ac:dyDescent="0.3">
      <c r="B24" s="102" t="str">
        <f t="shared" ref="B24:B33" si="3">IF(ISBLANK(D8),"",D8)</f>
        <v>Cu</v>
      </c>
      <c r="C24" s="4">
        <f>100/3</f>
        <v>33.333333333333336</v>
      </c>
      <c r="E24" s="10" t="s">
        <v>399</v>
      </c>
      <c r="G24" s="2" t="str">
        <f>B23</f>
        <v>Master alloy</v>
      </c>
      <c r="H24" s="9" t="e">
        <f>(VLOOKUP(E24,H5:I14,2,FALSE)/(VLOOKUP('Easy calculators'!E24,Charges!M32:Q41,5,FALSE)/100))</f>
        <v>#N/A</v>
      </c>
      <c r="I24" s="6" t="e">
        <f>H24/B36</f>
        <v>#N/A</v>
      </c>
      <c r="K24" s="84" t="str">
        <f t="shared" si="2"/>
        <v/>
      </c>
      <c r="L24" s="85">
        <f>SUM(Thermodynamics!N11:W11)</f>
        <v>0</v>
      </c>
    </row>
    <row r="25" spans="1:12" x14ac:dyDescent="0.25">
      <c r="B25" s="102" t="str">
        <f t="shared" si="3"/>
        <v>Ni</v>
      </c>
      <c r="C25" s="4">
        <f>100/3</f>
        <v>33.333333333333336</v>
      </c>
      <c r="G25" s="98" t="str">
        <f t="shared" ref="G25:G34" si="4">IF(ISBLANK(B24),"",B24)</f>
        <v>Cu</v>
      </c>
      <c r="H25" s="104" t="e">
        <f>I5-$H$24*(VLOOKUP(G25,Charges!$M$32:$Q$41,5,FALSE)/100)</f>
        <v>#N/A</v>
      </c>
      <c r="I25" s="100"/>
      <c r="K25" s="84" t="str">
        <f t="shared" si="2"/>
        <v/>
      </c>
      <c r="L25" s="85">
        <f>SUM(Thermodynamics!N12:W12)</f>
        <v>0</v>
      </c>
    </row>
    <row r="26" spans="1:12" x14ac:dyDescent="0.25">
      <c r="B26" s="102" t="str">
        <f t="shared" si="3"/>
        <v>Mn</v>
      </c>
      <c r="C26" s="4">
        <f>100/3</f>
        <v>33.333333333333336</v>
      </c>
      <c r="G26" s="95" t="str">
        <f t="shared" si="4"/>
        <v>Ni</v>
      </c>
      <c r="H26" s="105" t="e">
        <f>I6-$H$24*(VLOOKUP(G26,Charges!$M$32:$Q$41,5,FALSE)/100)</f>
        <v>#N/A</v>
      </c>
      <c r="I26" s="101"/>
      <c r="K26" s="86" t="str">
        <f t="shared" si="2"/>
        <v/>
      </c>
      <c r="L26" s="87">
        <f>SUM(Thermodynamics!N13:W13)</f>
        <v>0</v>
      </c>
    </row>
    <row r="27" spans="1:12" x14ac:dyDescent="0.25">
      <c r="B27" s="102" t="str">
        <f t="shared" si="3"/>
        <v>Al</v>
      </c>
      <c r="C27" s="4">
        <v>0</v>
      </c>
      <c r="G27" s="95" t="str">
        <f t="shared" si="4"/>
        <v>Mn</v>
      </c>
      <c r="H27" s="105" t="e">
        <f>I7-$H$24*(VLOOKUP(G27,Charges!$M$32:$Q$41,5,FALSE)/100)</f>
        <v>#N/A</v>
      </c>
      <c r="I27" s="84"/>
    </row>
    <row r="28" spans="1:12" x14ac:dyDescent="0.25">
      <c r="B28" s="102" t="str">
        <f t="shared" si="3"/>
        <v>Zn</v>
      </c>
      <c r="C28" s="4">
        <v>0</v>
      </c>
      <c r="G28" s="95" t="str">
        <f t="shared" si="4"/>
        <v>Al</v>
      </c>
      <c r="H28" s="105" t="e">
        <f>I8-$H$24*(VLOOKUP(G28,Charges!$M$32:$Q$41,5,FALSE)/100)</f>
        <v>#N/A</v>
      </c>
      <c r="I28" s="84"/>
    </row>
    <row r="29" spans="1:12" x14ac:dyDescent="0.25">
      <c r="B29" s="102" t="str">
        <f t="shared" si="3"/>
        <v/>
      </c>
      <c r="C29" s="4"/>
      <c r="G29" s="95" t="str">
        <f t="shared" si="4"/>
        <v>Zn</v>
      </c>
      <c r="H29" s="105" t="e">
        <f>I9-$H$24*(VLOOKUP(G29,Charges!$M$32:$Q$41,5,FALSE)/100)</f>
        <v>#N/A</v>
      </c>
      <c r="I29" s="84"/>
    </row>
    <row r="30" spans="1:12" x14ac:dyDescent="0.25">
      <c r="B30" s="102" t="str">
        <f t="shared" si="3"/>
        <v/>
      </c>
      <c r="C30" s="4"/>
      <c r="G30" s="95" t="str">
        <f t="shared" si="4"/>
        <v/>
      </c>
      <c r="H30" s="105" t="e">
        <f>I10-$H$24*(VLOOKUP(G30,Charges!$M$32:$Q$41,5,FALSE)/100)</f>
        <v>#N/A</v>
      </c>
      <c r="I30" s="84"/>
    </row>
    <row r="31" spans="1:12" x14ac:dyDescent="0.25">
      <c r="B31" s="102" t="str">
        <f t="shared" si="3"/>
        <v/>
      </c>
      <c r="C31" s="4"/>
      <c r="G31" s="95" t="str">
        <f t="shared" si="4"/>
        <v/>
      </c>
      <c r="H31" s="105" t="e">
        <f>I11-$H$24*(VLOOKUP(G31,Charges!$M$32:$Q$41,5,FALSE)/100)</f>
        <v>#N/A</v>
      </c>
      <c r="I31" s="84"/>
    </row>
    <row r="32" spans="1:12" x14ac:dyDescent="0.25">
      <c r="B32" s="102" t="str">
        <f t="shared" si="3"/>
        <v/>
      </c>
      <c r="C32" s="4"/>
      <c r="G32" s="95" t="str">
        <f t="shared" si="4"/>
        <v/>
      </c>
      <c r="H32" s="105" t="e">
        <f>I12-$H$24*(VLOOKUP(G32,Charges!$M$32:$Q$41,5,FALSE)/100)</f>
        <v>#N/A</v>
      </c>
      <c r="I32" s="84"/>
    </row>
    <row r="33" spans="2:9" ht="15.75" thickBot="1" x14ac:dyDescent="0.3">
      <c r="B33" s="103" t="str">
        <f t="shared" si="3"/>
        <v/>
      </c>
      <c r="C33" s="5"/>
      <c r="G33" s="95" t="str">
        <f t="shared" si="4"/>
        <v/>
      </c>
      <c r="H33" s="105" t="e">
        <f>I13-$H$24*(VLOOKUP(G33,Charges!$M$32:$Q$41,5,FALSE)/100)</f>
        <v>#N/A</v>
      </c>
      <c r="I33" s="84"/>
    </row>
    <row r="34" spans="2:9" x14ac:dyDescent="0.25">
      <c r="G34" s="96" t="str">
        <f t="shared" si="4"/>
        <v/>
      </c>
      <c r="H34" s="106" t="e">
        <f>I14-$H$24*(VLOOKUP(G34,Charges!$M$32:$Q$41,5,FALSE)/100)</f>
        <v>#N/A</v>
      </c>
      <c r="I34" s="84"/>
    </row>
    <row r="35" spans="2:9" x14ac:dyDescent="0.25">
      <c r="E35" s="35"/>
    </row>
    <row r="36" spans="2:9" x14ac:dyDescent="0.25">
      <c r="B36" s="9">
        <f>('Easy calculators'!C24/100)*Charges!D18+('Easy calculators'!C25/100)*Charges!D19+('Easy calculators'!C26/100)*Charges!D20+('Easy calculators'!C27/100)*Charges!D21+('Easy calculators'!C28/100)*Charges!D22+('Easy calculators'!C29/100)*Charges!D23+('Easy calculators'!C30/100)*Charges!D24+('Easy calculators'!C31/100)*Charges!OD25+('Easy calculators'!C32/100)*Charges!D26+(C33/100)*Charges!D27</f>
        <v>8.4300000000000015</v>
      </c>
    </row>
  </sheetData>
  <dataConsolidate/>
  <mergeCells count="2">
    <mergeCell ref="K15:L16"/>
    <mergeCell ref="B6:C6"/>
  </mergeCells>
  <pageMargins left="0.7" right="0.7" top="0.75" bottom="0.75" header="0.3" footer="0.3"/>
  <pageSetup paperSize="9" orientation="portrait" verticalDpi="599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M6" sqref="M6"/>
    </sheetView>
  </sheetViews>
  <sheetFormatPr defaultRowHeight="15" x14ac:dyDescent="0.25"/>
  <cols>
    <col min="2" max="2" width="22" bestFit="1" customWidth="1"/>
    <col min="3" max="3" width="20.7109375" bestFit="1" customWidth="1"/>
    <col min="4" max="4" width="23.85546875" bestFit="1" customWidth="1"/>
    <col min="5" max="5" width="10" bestFit="1" customWidth="1"/>
  </cols>
  <sheetData>
    <row r="1" spans="1:10" x14ac:dyDescent="0.25">
      <c r="A1" t="s">
        <v>0</v>
      </c>
      <c r="B1" t="s">
        <v>133</v>
      </c>
      <c r="C1" t="s">
        <v>134</v>
      </c>
      <c r="D1" s="91" t="s">
        <v>165</v>
      </c>
      <c r="E1" t="s">
        <v>136</v>
      </c>
    </row>
    <row r="2" spans="1:10" x14ac:dyDescent="0.25">
      <c r="A2" s="19" t="s">
        <v>13</v>
      </c>
      <c r="B2">
        <f>H2</f>
        <v>30</v>
      </c>
      <c r="C2">
        <f>I2</f>
        <v>100</v>
      </c>
      <c r="D2">
        <f>J2</f>
        <v>10.27</v>
      </c>
      <c r="E2">
        <v>1.4450000000000001</v>
      </c>
      <c r="H2">
        <v>30</v>
      </c>
      <c r="I2">
        <v>100</v>
      </c>
      <c r="J2">
        <v>10.27</v>
      </c>
    </row>
    <row r="3" spans="1:10" x14ac:dyDescent="0.25">
      <c r="A3" s="19" t="s">
        <v>4</v>
      </c>
      <c r="B3">
        <f t="shared" ref="B3:B25" si="0">H3</f>
        <v>26</v>
      </c>
      <c r="C3">
        <f t="shared" ref="C3:C25" si="1">I3</f>
        <v>76</v>
      </c>
      <c r="D3">
        <f t="shared" ref="D3:D25" si="2">J3</f>
        <v>10</v>
      </c>
      <c r="E3">
        <v>1.4319999999999999</v>
      </c>
      <c r="H3">
        <v>26</v>
      </c>
      <c r="I3">
        <v>76</v>
      </c>
      <c r="J3">
        <v>10</v>
      </c>
    </row>
    <row r="4" spans="1:10" x14ac:dyDescent="0.25">
      <c r="A4" s="19" t="s">
        <v>104</v>
      </c>
      <c r="B4">
        <f t="shared" si="0"/>
        <v>27</v>
      </c>
      <c r="C4">
        <f t="shared" si="1"/>
        <v>220</v>
      </c>
      <c r="D4">
        <f t="shared" si="2"/>
        <v>10.210000000000001</v>
      </c>
      <c r="E4">
        <v>1.4419999999999999</v>
      </c>
      <c r="H4">
        <v>27</v>
      </c>
      <c r="I4">
        <v>220</v>
      </c>
      <c r="J4">
        <v>10.210000000000001</v>
      </c>
    </row>
    <row r="5" spans="1:10" x14ac:dyDescent="0.25">
      <c r="A5" s="19" t="s">
        <v>5</v>
      </c>
      <c r="B5">
        <f t="shared" si="0"/>
        <v>75</v>
      </c>
      <c r="C5">
        <f t="shared" si="1"/>
        <v>180</v>
      </c>
      <c r="D5">
        <f t="shared" si="2"/>
        <v>6.67</v>
      </c>
      <c r="E5">
        <v>1.2509999999999999</v>
      </c>
      <c r="H5">
        <v>75</v>
      </c>
      <c r="I5">
        <v>180</v>
      </c>
      <c r="J5">
        <v>6.67</v>
      </c>
    </row>
    <row r="6" spans="1:10" x14ac:dyDescent="0.25">
      <c r="A6" s="19" t="s">
        <v>6</v>
      </c>
      <c r="B6">
        <f t="shared" si="0"/>
        <v>115</v>
      </c>
      <c r="C6">
        <f t="shared" si="1"/>
        <v>160</v>
      </c>
      <c r="D6">
        <f t="shared" si="2"/>
        <v>7.23</v>
      </c>
      <c r="E6">
        <v>1.2490000000000001</v>
      </c>
      <c r="H6">
        <v>115</v>
      </c>
      <c r="I6">
        <v>160</v>
      </c>
      <c r="J6">
        <v>7.23</v>
      </c>
    </row>
    <row r="7" spans="1:10" x14ac:dyDescent="0.25">
      <c r="A7" s="19" t="s">
        <v>63</v>
      </c>
      <c r="B7">
        <f t="shared" si="0"/>
        <v>48</v>
      </c>
      <c r="C7">
        <f t="shared" si="1"/>
        <v>140</v>
      </c>
      <c r="D7">
        <f t="shared" si="2"/>
        <v>7.11</v>
      </c>
      <c r="E7">
        <v>1.278</v>
      </c>
      <c r="H7">
        <v>48</v>
      </c>
      <c r="I7">
        <v>140</v>
      </c>
      <c r="J7">
        <v>7.11</v>
      </c>
    </row>
    <row r="8" spans="1:10" x14ac:dyDescent="0.25">
      <c r="A8" s="19" t="s">
        <v>7</v>
      </c>
      <c r="B8">
        <f t="shared" si="0"/>
        <v>82</v>
      </c>
      <c r="C8">
        <f t="shared" si="1"/>
        <v>170</v>
      </c>
      <c r="D8">
        <f t="shared" si="2"/>
        <v>7.09</v>
      </c>
      <c r="E8">
        <v>1.2410000000000001</v>
      </c>
      <c r="H8">
        <v>82</v>
      </c>
      <c r="I8">
        <v>170</v>
      </c>
      <c r="J8">
        <v>7.09</v>
      </c>
    </row>
    <row r="9" spans="1:10" x14ac:dyDescent="0.25">
      <c r="A9" s="19" t="s">
        <v>12</v>
      </c>
      <c r="B9" t="str">
        <f t="shared" si="0"/>
        <v>-</v>
      </c>
      <c r="C9" t="str">
        <f t="shared" si="1"/>
        <v>-</v>
      </c>
      <c r="D9">
        <f t="shared" si="2"/>
        <v>11.8</v>
      </c>
      <c r="E9">
        <v>1.3919999999999999</v>
      </c>
      <c r="H9" t="s">
        <v>38</v>
      </c>
      <c r="I9" t="s">
        <v>38</v>
      </c>
      <c r="J9">
        <v>11.8</v>
      </c>
    </row>
    <row r="10" spans="1:10" x14ac:dyDescent="0.25">
      <c r="A10" s="19" t="s">
        <v>64</v>
      </c>
      <c r="B10" t="str">
        <f t="shared" si="0"/>
        <v>-</v>
      </c>
      <c r="C10" t="str">
        <f t="shared" si="1"/>
        <v>-</v>
      </c>
      <c r="D10">
        <f t="shared" si="2"/>
        <v>13.63</v>
      </c>
      <c r="E10">
        <v>1.24</v>
      </c>
      <c r="H10" t="s">
        <v>38</v>
      </c>
      <c r="I10" t="s">
        <v>38</v>
      </c>
      <c r="J10">
        <v>13.63</v>
      </c>
    </row>
    <row r="11" spans="1:10" x14ac:dyDescent="0.25">
      <c r="A11" s="19" t="s">
        <v>97</v>
      </c>
      <c r="B11">
        <f t="shared" si="0"/>
        <v>30</v>
      </c>
      <c r="C11">
        <f t="shared" si="1"/>
        <v>110</v>
      </c>
      <c r="D11">
        <f t="shared" si="2"/>
        <v>13.44</v>
      </c>
      <c r="E11">
        <v>1.5780000000000001</v>
      </c>
      <c r="H11">
        <v>30</v>
      </c>
      <c r="I11">
        <v>110</v>
      </c>
      <c r="J11">
        <v>13.44</v>
      </c>
    </row>
    <row r="12" spans="1:10" x14ac:dyDescent="0.25">
      <c r="A12" s="19" t="s">
        <v>10</v>
      </c>
      <c r="B12">
        <f t="shared" si="0"/>
        <v>4.2</v>
      </c>
      <c r="C12">
        <f t="shared" si="1"/>
        <v>11</v>
      </c>
      <c r="D12">
        <f t="shared" si="2"/>
        <v>13.02</v>
      </c>
      <c r="E12">
        <v>1.5189999999999999</v>
      </c>
      <c r="H12">
        <v>4.2</v>
      </c>
      <c r="I12">
        <v>11</v>
      </c>
      <c r="J12">
        <v>13.02</v>
      </c>
    </row>
    <row r="13" spans="1:10" x14ac:dyDescent="0.25">
      <c r="A13" s="19" t="s">
        <v>9</v>
      </c>
      <c r="B13">
        <f t="shared" si="0"/>
        <v>17</v>
      </c>
      <c r="C13">
        <f t="shared" si="1"/>
        <v>45</v>
      </c>
      <c r="D13">
        <f t="shared" si="2"/>
        <v>14</v>
      </c>
      <c r="E13">
        <v>1.601</v>
      </c>
      <c r="H13">
        <v>17</v>
      </c>
      <c r="I13">
        <v>45</v>
      </c>
      <c r="J13">
        <v>14</v>
      </c>
    </row>
    <row r="14" spans="1:10" x14ac:dyDescent="0.25">
      <c r="A14" s="19" t="s">
        <v>62</v>
      </c>
      <c r="B14" t="str">
        <f t="shared" si="0"/>
        <v>-</v>
      </c>
      <c r="C14">
        <f t="shared" si="1"/>
        <v>120</v>
      </c>
      <c r="D14">
        <f t="shared" si="2"/>
        <v>7.35</v>
      </c>
      <c r="E14">
        <v>1.35</v>
      </c>
      <c r="H14" t="s">
        <v>38</v>
      </c>
      <c r="I14">
        <v>120</v>
      </c>
      <c r="J14">
        <v>7.35</v>
      </c>
    </row>
    <row r="15" spans="1:10" x14ac:dyDescent="0.25">
      <c r="A15" s="19" t="s">
        <v>71</v>
      </c>
      <c r="B15">
        <f t="shared" si="0"/>
        <v>20</v>
      </c>
      <c r="C15">
        <f t="shared" si="1"/>
        <v>230</v>
      </c>
      <c r="D15">
        <f t="shared" si="2"/>
        <v>9.3800000000000008</v>
      </c>
      <c r="E15">
        <v>1.363</v>
      </c>
      <c r="H15">
        <v>20</v>
      </c>
      <c r="I15">
        <v>230</v>
      </c>
      <c r="J15">
        <v>9.3800000000000008</v>
      </c>
    </row>
    <row r="16" spans="1:10" x14ac:dyDescent="0.25">
      <c r="A16" s="19" t="s">
        <v>70</v>
      </c>
      <c r="B16">
        <f t="shared" si="0"/>
        <v>38</v>
      </c>
      <c r="C16">
        <f t="shared" si="1"/>
        <v>170</v>
      </c>
      <c r="D16">
        <f t="shared" si="2"/>
        <v>10.83</v>
      </c>
      <c r="E16">
        <v>1.429</v>
      </c>
      <c r="H16">
        <v>38</v>
      </c>
      <c r="I16">
        <v>170</v>
      </c>
      <c r="J16">
        <v>10.83</v>
      </c>
    </row>
    <row r="17" spans="1:10" x14ac:dyDescent="0.25">
      <c r="A17" s="19" t="s">
        <v>8</v>
      </c>
      <c r="B17">
        <f t="shared" si="0"/>
        <v>76</v>
      </c>
      <c r="C17">
        <f t="shared" si="1"/>
        <v>180</v>
      </c>
      <c r="D17">
        <f t="shared" si="2"/>
        <v>6.59</v>
      </c>
      <c r="E17">
        <v>1.246</v>
      </c>
      <c r="H17">
        <v>76</v>
      </c>
      <c r="I17">
        <v>180</v>
      </c>
      <c r="J17">
        <v>6.59</v>
      </c>
    </row>
    <row r="18" spans="1:10" x14ac:dyDescent="0.25">
      <c r="A18" s="19" t="s">
        <v>75</v>
      </c>
      <c r="B18">
        <f t="shared" si="0"/>
        <v>44</v>
      </c>
      <c r="C18">
        <f t="shared" si="1"/>
        <v>180</v>
      </c>
      <c r="D18">
        <f t="shared" si="2"/>
        <v>8.56</v>
      </c>
      <c r="E18">
        <v>1.375</v>
      </c>
      <c r="H18">
        <v>44</v>
      </c>
      <c r="I18">
        <v>180</v>
      </c>
      <c r="J18">
        <v>8.56</v>
      </c>
    </row>
    <row r="19" spans="1:10" x14ac:dyDescent="0.25">
      <c r="A19" s="19" t="s">
        <v>55</v>
      </c>
      <c r="B19" t="str">
        <f t="shared" si="0"/>
        <v>-</v>
      </c>
      <c r="C19">
        <f t="shared" si="1"/>
        <v>100</v>
      </c>
      <c r="D19">
        <f t="shared" si="2"/>
        <v>12.06</v>
      </c>
      <c r="E19">
        <v>1.153</v>
      </c>
      <c r="H19" t="s">
        <v>38</v>
      </c>
      <c r="I19">
        <v>100</v>
      </c>
      <c r="J19">
        <v>12.06</v>
      </c>
    </row>
    <row r="20" spans="1:10" x14ac:dyDescent="0.25">
      <c r="A20" s="19" t="s">
        <v>98</v>
      </c>
      <c r="B20">
        <f t="shared" si="0"/>
        <v>69</v>
      </c>
      <c r="C20">
        <f t="shared" si="1"/>
        <v>200</v>
      </c>
      <c r="D20">
        <f t="shared" si="2"/>
        <v>10.85</v>
      </c>
      <c r="E20">
        <v>1.43</v>
      </c>
      <c r="H20">
        <v>69</v>
      </c>
      <c r="I20">
        <v>200</v>
      </c>
      <c r="J20">
        <v>10.85</v>
      </c>
    </row>
    <row r="21" spans="1:10" x14ac:dyDescent="0.25">
      <c r="A21" s="19" t="s">
        <v>3</v>
      </c>
      <c r="B21">
        <f t="shared" si="0"/>
        <v>44</v>
      </c>
      <c r="C21">
        <f t="shared" si="1"/>
        <v>110</v>
      </c>
      <c r="D21">
        <f t="shared" si="2"/>
        <v>10.64</v>
      </c>
      <c r="E21">
        <v>1.462</v>
      </c>
      <c r="H21">
        <v>44</v>
      </c>
      <c r="I21">
        <v>110</v>
      </c>
      <c r="J21">
        <v>10.64</v>
      </c>
    </row>
    <row r="22" spans="1:10" x14ac:dyDescent="0.25">
      <c r="A22" s="19" t="s">
        <v>61</v>
      </c>
      <c r="B22">
        <f t="shared" si="0"/>
        <v>47</v>
      </c>
      <c r="C22">
        <f t="shared" si="1"/>
        <v>160</v>
      </c>
      <c r="D22">
        <f t="shared" si="2"/>
        <v>8.32</v>
      </c>
      <c r="E22">
        <v>1.3160000000000001</v>
      </c>
      <c r="H22">
        <v>47</v>
      </c>
      <c r="I22">
        <v>160</v>
      </c>
      <c r="J22">
        <v>8.32</v>
      </c>
    </row>
    <row r="23" spans="1:10" x14ac:dyDescent="0.25">
      <c r="A23" s="19" t="s">
        <v>99</v>
      </c>
      <c r="B23">
        <f t="shared" si="0"/>
        <v>161</v>
      </c>
      <c r="C23">
        <f t="shared" si="1"/>
        <v>310</v>
      </c>
      <c r="D23">
        <f t="shared" si="2"/>
        <v>9.4700000000000006</v>
      </c>
      <c r="E23">
        <v>1.367</v>
      </c>
      <c r="H23">
        <v>161</v>
      </c>
      <c r="I23">
        <v>310</v>
      </c>
      <c r="J23">
        <v>9.4700000000000006</v>
      </c>
    </row>
    <row r="24" spans="1:10" x14ac:dyDescent="0.25">
      <c r="A24" s="19" t="s">
        <v>11</v>
      </c>
      <c r="B24">
        <f t="shared" si="0"/>
        <v>43</v>
      </c>
      <c r="C24">
        <f t="shared" si="1"/>
        <v>70</v>
      </c>
      <c r="D24">
        <f t="shared" si="2"/>
        <v>9.16</v>
      </c>
      <c r="E24">
        <v>1.395</v>
      </c>
      <c r="H24">
        <v>43</v>
      </c>
      <c r="I24">
        <v>70</v>
      </c>
      <c r="J24">
        <v>9.16</v>
      </c>
    </row>
    <row r="25" spans="1:10" x14ac:dyDescent="0.25">
      <c r="A25" s="19" t="s">
        <v>69</v>
      </c>
      <c r="B25">
        <f t="shared" si="0"/>
        <v>33</v>
      </c>
      <c r="C25" t="str">
        <f t="shared" si="1"/>
        <v>-</v>
      </c>
      <c r="D25">
        <f t="shared" si="2"/>
        <v>14.02</v>
      </c>
      <c r="E25">
        <v>1.603</v>
      </c>
      <c r="H25">
        <v>33</v>
      </c>
      <c r="I25" t="s">
        <v>38</v>
      </c>
      <c r="J25">
        <v>14.02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5"/>
  <sheetViews>
    <sheetView workbookViewId="0">
      <selection activeCell="J15" sqref="J15"/>
    </sheetView>
  </sheetViews>
  <sheetFormatPr defaultRowHeight="15" x14ac:dyDescent="0.25"/>
  <cols>
    <col min="1" max="1" width="11.42578125" bestFit="1" customWidth="1"/>
    <col min="2" max="2" width="21.42578125" bestFit="1" customWidth="1"/>
    <col min="3" max="3" width="17.42578125" bestFit="1" customWidth="1"/>
    <col min="4" max="4" width="16.140625" bestFit="1" customWidth="1"/>
    <col min="5" max="5" width="10.28515625" bestFit="1" customWidth="1"/>
    <col min="6" max="6" width="18.140625" bestFit="1" customWidth="1"/>
    <col min="7" max="7" width="16.42578125" bestFit="1" customWidth="1"/>
    <col min="12" max="12" width="31.5703125" customWidth="1"/>
    <col min="14" max="14" width="13.140625" bestFit="1" customWidth="1"/>
    <col min="15" max="15" width="16.7109375" bestFit="1" customWidth="1"/>
  </cols>
  <sheetData>
    <row r="2" spans="1:15" ht="18" x14ac:dyDescent="0.35">
      <c r="A2" s="55" t="s">
        <v>0</v>
      </c>
      <c r="B2" s="55" t="s">
        <v>164</v>
      </c>
      <c r="C2" t="s">
        <v>139</v>
      </c>
      <c r="D2" t="s">
        <v>140</v>
      </c>
      <c r="E2" t="s">
        <v>141</v>
      </c>
      <c r="F2" t="s">
        <v>142</v>
      </c>
      <c r="G2" s="63" t="s">
        <v>145</v>
      </c>
      <c r="H2" s="88" t="s">
        <v>146</v>
      </c>
      <c r="I2" s="88" t="s">
        <v>147</v>
      </c>
      <c r="J2" s="91" t="s">
        <v>157</v>
      </c>
      <c r="K2" s="88" t="s">
        <v>158</v>
      </c>
      <c r="L2" s="88" t="s">
        <v>159</v>
      </c>
      <c r="M2" s="88" t="s">
        <v>160</v>
      </c>
      <c r="N2" t="s">
        <v>161</v>
      </c>
      <c r="O2" t="s">
        <v>162</v>
      </c>
    </row>
    <row r="3" spans="1:15" x14ac:dyDescent="0.25">
      <c r="A3" s="89" t="s">
        <v>3</v>
      </c>
      <c r="B3" s="89">
        <v>0.12</v>
      </c>
      <c r="C3">
        <f>IF(ISBLANK(A3), A3, LOOKUP(A3, Sheet1!$A$2:$A$25, Sheet1!$B$2:$B$25))</f>
        <v>44</v>
      </c>
      <c r="D3">
        <f>IF(ISBLANK(A3), A3, LOOKUP(A3, Sheet1!$A$2:$A$25, Sheet1!$C$2:$C$25))</f>
        <v>110</v>
      </c>
      <c r="E3">
        <f>IF(ISBLANK(A3), A3, LOOKUP(A3, Sheet1!$A$2:$A$25, Sheet1!$E$2:$E$25))</f>
        <v>1.462</v>
      </c>
      <c r="F3">
        <f>IF(ISBLANK(A3), A3, LOOKUP(A3, Sheet1!$A$2:$A$25, Sheet1!$D$2:$D$25))</f>
        <v>10.64</v>
      </c>
      <c r="G3">
        <f>IF(ISBLANK(A3), A3, (1+4*$G$17/3*$G$20)/(1+4*$G$17/3*D3))</f>
        <v>1.2802409479174539</v>
      </c>
      <c r="H3" t="e">
        <f>IF(ISBLANK(A3), A3, (1+EXP(K3/(M3^3))/L3)^(-1))</f>
        <v>#NUM!</v>
      </c>
      <c r="I3" t="e">
        <f>IF(ISBLANK(A3), A3, (1+L3/EXP(K3/(M3^3)))^(-1))</f>
        <v>#NUM!</v>
      </c>
      <c r="J3">
        <f>IF(ISBLANK(A3),A3,(2*$G$17*D3/(3*D3+4*$G$17)))</f>
        <v>23.185801928133213</v>
      </c>
      <c r="K3">
        <f>IF(ISBLANK(A3), A3, J3*$G$18*(1-$G$24)/$G$23*$G$25)</f>
        <v>2.3793709372350634E+27</v>
      </c>
      <c r="L3" t="e">
        <f>IF(ISBLANK(A3), A3, EXP(2*J3*$G$18*(1-($G$24)^3)/$G$23*$G$25))</f>
        <v>#NUM!</v>
      </c>
      <c r="M3">
        <f>IF(ISBLANK(A3), A3, E3/$G$19)</f>
        <v>0.20841233139556431</v>
      </c>
      <c r="N3" t="e">
        <f>IF(ISBLANK(A3),A3,B3*G3*$G$22*(H3*((M3^3)-1)+I3*((M3^3)-($G$24^3))))</f>
        <v>#NUM!</v>
      </c>
      <c r="O3" t="e">
        <f>IF(ISBLANK(A3), A3, B3*H3*((M3^3)-1))</f>
        <v>#NUM!</v>
      </c>
    </row>
    <row r="4" spans="1:15" x14ac:dyDescent="0.25">
      <c r="A4" s="89" t="s">
        <v>4</v>
      </c>
      <c r="B4" s="89">
        <v>0.28000000000000003</v>
      </c>
      <c r="C4">
        <f>IF(ISBLANK(A4), A4, LOOKUP(A4, Sheet1!$A$2:$A$25, Sheet1!$B$2:$B$25))</f>
        <v>26</v>
      </c>
      <c r="D4">
        <f>IF(ISBLANK(A4), A4, LOOKUP(A4, Sheet1!$A$2:$A$25, Sheet1!$C$2:$C$25))</f>
        <v>76</v>
      </c>
      <c r="E4">
        <f>IF(ISBLANK(A4), A4, LOOKUP(A4, Sheet1!$A$2:$A$25, Sheet1!$J$2:$J$25))</f>
        <v>10</v>
      </c>
      <c r="F4">
        <f>IF(ISBLANK(A4), A4, LOOKUP(A4, Sheet1!$A$2:$A$25, Sheet1!$D$2:$D$25))</f>
        <v>10</v>
      </c>
      <c r="G4">
        <f t="shared" ref="G4:G12" si="0">IF(ISBLANK(A4), A4, (1+4*$G$17/3*$G$20)/(1+4*$G$17/3*D4))</f>
        <v>1.8528863300694709</v>
      </c>
      <c r="H4" t="e">
        <f t="shared" ref="H4:H12" si="1">IF(ISBLANK(A4), A4, (1+EXP(K4/(M4^3))/L4)^(-1))</f>
        <v>#NUM!</v>
      </c>
      <c r="I4" t="e">
        <f t="shared" ref="I4:I12" si="2">IF(ISBLANK(A4), A4, (1+L4/EXP(K4/(M4^3)))^(-1))</f>
        <v>#NUM!</v>
      </c>
      <c r="J4">
        <f t="shared" ref="J4:J12" si="3">IF(ISBLANK(A4),A4,(2*$G$17*D4/(3*D4+4*$G$17)))</f>
        <v>19.506937033084309</v>
      </c>
      <c r="K4">
        <f t="shared" ref="K4:K12" si="4">IF(ISBLANK(A4), A4, J4*$G$18*(1-$G$24)/$G$23*$G$25)</f>
        <v>2.0018388492604617E+27</v>
      </c>
      <c r="L4" t="e">
        <f t="shared" ref="L4:L12" si="5">IF(ISBLANK(A4), A4, EXP(2*J4*$G$18*(1-($G$24)^3)/$G$23*$G$25))</f>
        <v>#NUM!</v>
      </c>
      <c r="M4">
        <f t="shared" ref="M4:M12" si="6">IF(ISBLANK(A4), A4, E4/$G$19)</f>
        <v>1.4255289425141198</v>
      </c>
      <c r="N4" t="e">
        <f t="shared" ref="N4:N12" si="7">IF(ISBLANK(A4),A4,B4*G4*$G$22*(H4*((M4^3)-1)+I4*((M4^3)-($G$24^3))))</f>
        <v>#NUM!</v>
      </c>
      <c r="O4" t="e">
        <f t="shared" ref="O4:O12" si="8">IF(ISBLANK(A4), A4, B4*H4*((M4^3)-1))</f>
        <v>#NUM!</v>
      </c>
    </row>
    <row r="5" spans="1:15" x14ac:dyDescent="0.25">
      <c r="A5" s="89" t="s">
        <v>8</v>
      </c>
      <c r="B5" s="89">
        <v>0.24</v>
      </c>
      <c r="C5">
        <f>IF(ISBLANK(A5), A5, LOOKUP(A5, Sheet1!$A$2:$A$25, Sheet1!$B$2:$B$25))</f>
        <v>76</v>
      </c>
      <c r="D5">
        <f>IF(ISBLANK(A5), A5, LOOKUP(A5, Sheet1!$A$2:$A$25, Sheet1!$C$2:$C$25))</f>
        <v>180</v>
      </c>
      <c r="E5">
        <f>IF(ISBLANK(A5), A5, LOOKUP(A5, Sheet1!$A$2:$A$25, Sheet1!$J$2:$J$25))</f>
        <v>6.59</v>
      </c>
      <c r="F5">
        <f>IF(ISBLANK(A5), A5, LOOKUP(A5, Sheet1!$A$2:$A$25, Sheet1!$D$2:$D$25))</f>
        <v>6.59</v>
      </c>
      <c r="G5">
        <f t="shared" si="0"/>
        <v>0.78240396830896441</v>
      </c>
      <c r="H5" t="e">
        <f t="shared" si="1"/>
        <v>#NUM!</v>
      </c>
      <c r="I5" t="e">
        <f t="shared" si="2"/>
        <v>#NUM!</v>
      </c>
      <c r="J5">
        <f t="shared" si="3"/>
        <v>27.732222934016651</v>
      </c>
      <c r="K5">
        <f t="shared" si="4"/>
        <v>2.8459332775571447E+27</v>
      </c>
      <c r="L5" t="e">
        <f t="shared" si="5"/>
        <v>#NUM!</v>
      </c>
      <c r="M5">
        <f t="shared" si="6"/>
        <v>0.93942357311680491</v>
      </c>
      <c r="N5" t="e">
        <f t="shared" si="7"/>
        <v>#NUM!</v>
      </c>
      <c r="O5" t="e">
        <f t="shared" si="8"/>
        <v>#NUM!</v>
      </c>
    </row>
    <row r="6" spans="1:15" x14ac:dyDescent="0.25">
      <c r="A6" s="89" t="s">
        <v>5</v>
      </c>
      <c r="B6" s="89">
        <v>0.24</v>
      </c>
      <c r="C6">
        <f>IF(ISBLANK(A6), A6, LOOKUP(A6, Sheet1!$A$2:$A$25, Sheet1!$B$2:$B$25))</f>
        <v>75</v>
      </c>
      <c r="D6">
        <f>IF(ISBLANK(A6), A6, LOOKUP(A6, Sheet1!$A$2:$A$25, Sheet1!$C$2:$C$25))</f>
        <v>180</v>
      </c>
      <c r="E6">
        <f>IF(ISBLANK(A6), A6, LOOKUP(A6, Sheet1!$A$2:$A$25, Sheet1!$J$2:$J$25))</f>
        <v>6.67</v>
      </c>
      <c r="F6">
        <f>IF(ISBLANK(A6), A6, LOOKUP(A6, Sheet1!$A$2:$A$25, Sheet1!$D$2:$D$25))</f>
        <v>6.67</v>
      </c>
      <c r="G6">
        <f t="shared" si="0"/>
        <v>0.78240396830896441</v>
      </c>
      <c r="H6" t="e">
        <f t="shared" si="1"/>
        <v>#NUM!</v>
      </c>
      <c r="I6" t="e">
        <f t="shared" si="2"/>
        <v>#NUM!</v>
      </c>
      <c r="J6">
        <f t="shared" si="3"/>
        <v>27.732222934016651</v>
      </c>
      <c r="K6">
        <f t="shared" si="4"/>
        <v>2.8459332775571447E+27</v>
      </c>
      <c r="L6" t="e">
        <f t="shared" si="5"/>
        <v>#NUM!</v>
      </c>
      <c r="M6">
        <f t="shared" si="6"/>
        <v>0.95082780465691796</v>
      </c>
      <c r="N6" t="e">
        <f t="shared" si="7"/>
        <v>#NUM!</v>
      </c>
      <c r="O6" t="e">
        <f t="shared" si="8"/>
        <v>#NUM!</v>
      </c>
    </row>
    <row r="7" spans="1:15" x14ac:dyDescent="0.25">
      <c r="A7" s="89" t="s">
        <v>6</v>
      </c>
      <c r="B7" s="89">
        <v>4.4999999999999998E-2</v>
      </c>
      <c r="C7">
        <f>IF(ISBLANK(A7), A7, LOOKUP(A7, Sheet1!$A$2:$A$25, Sheet1!$B$2:$B$25))</f>
        <v>115</v>
      </c>
      <c r="D7">
        <f>IF(ISBLANK(A7), A7, LOOKUP(A7, Sheet1!$A$2:$A$25, Sheet1!$C$2:$C$25))</f>
        <v>160</v>
      </c>
      <c r="E7">
        <f>IF(ISBLANK(A7), A7, LOOKUP(A7, Sheet1!$A$2:$A$25, Sheet1!$J$2:$J$25))</f>
        <v>7.23</v>
      </c>
      <c r="F7">
        <f>IF(ISBLANK(A7), A7, LOOKUP(A7, Sheet1!$A$2:$A$25, Sheet1!$D$2:$D$25))</f>
        <v>7.23</v>
      </c>
      <c r="G7">
        <f t="shared" si="0"/>
        <v>0.88019684016318889</v>
      </c>
      <c r="H7" t="e">
        <f t="shared" si="1"/>
        <v>#NUM!</v>
      </c>
      <c r="I7" t="e">
        <f t="shared" si="2"/>
        <v>#NUM!</v>
      </c>
      <c r="J7">
        <f t="shared" si="3"/>
        <v>26.703678001387921</v>
      </c>
      <c r="K7">
        <f t="shared" si="4"/>
        <v>2.7403820471997553E+27</v>
      </c>
      <c r="L7" t="e">
        <f t="shared" si="5"/>
        <v>#NUM!</v>
      </c>
      <c r="M7">
        <f t="shared" si="6"/>
        <v>1.0306574254377088</v>
      </c>
      <c r="N7" t="e">
        <f t="shared" si="7"/>
        <v>#NUM!</v>
      </c>
      <c r="O7" t="e">
        <f t="shared" si="8"/>
        <v>#NUM!</v>
      </c>
    </row>
    <row r="8" spans="1:15" x14ac:dyDescent="0.25">
      <c r="A8" s="89" t="s">
        <v>7</v>
      </c>
      <c r="B8" s="89">
        <v>7.4999999999999997E-2</v>
      </c>
      <c r="C8">
        <f>IF(ISBLANK(A8), A8, LOOKUP(A8, Sheet1!$A$2:$A$25, Sheet1!$B$2:$B$25))</f>
        <v>82</v>
      </c>
      <c r="D8">
        <f>IF(ISBLANK(A8), A8, LOOKUP(A8, Sheet1!$A$2:$A$25, Sheet1!$C$2:$C$25))</f>
        <v>170</v>
      </c>
      <c r="E8">
        <f>IF(ISBLANK(A8), A8, LOOKUP(A8, Sheet1!$A$2:$A$25, Sheet1!$J$2:$J$25))</f>
        <v>7.09</v>
      </c>
      <c r="F8">
        <f>IF(ISBLANK(A8), A8, LOOKUP(A8, Sheet1!$A$2:$A$25, Sheet1!$D$2:$D$25))</f>
        <v>7.09</v>
      </c>
      <c r="G8">
        <f t="shared" si="0"/>
        <v>0.8284243543337898</v>
      </c>
      <c r="H8" t="e">
        <f t="shared" si="1"/>
        <v>#NUM!</v>
      </c>
      <c r="I8" t="e">
        <f t="shared" si="2"/>
        <v>#NUM!</v>
      </c>
      <c r="J8">
        <f t="shared" si="3"/>
        <v>27.238507661558955</v>
      </c>
      <c r="K8">
        <f t="shared" si="4"/>
        <v>2.7952672805734676E+27</v>
      </c>
      <c r="L8" t="e">
        <f t="shared" si="5"/>
        <v>#NUM!</v>
      </c>
      <c r="M8">
        <f t="shared" si="6"/>
        <v>1.0107000202425109</v>
      </c>
      <c r="N8" t="e">
        <f t="shared" si="7"/>
        <v>#NUM!</v>
      </c>
      <c r="O8" t="e">
        <f t="shared" si="8"/>
        <v>#NUM!</v>
      </c>
    </row>
    <row r="9" spans="1:15" x14ac:dyDescent="0.25">
      <c r="A9" s="89"/>
      <c r="B9" s="89"/>
      <c r="C9">
        <f>IF(ISBLANK(A9), A9, LOOKUP(A9, Sheet1!$A$2:$A$25, Sheet1!$B$2:$B$25))</f>
        <v>0</v>
      </c>
      <c r="D9">
        <f>IF(ISBLANK(A9), A9, LOOKUP(A9, Sheet1!$A$2:$A$25, Sheet1!$C$2:$C$25))</f>
        <v>0</v>
      </c>
      <c r="E9">
        <f>IF(ISBLANK(A9), A9, LOOKUP(A9, Sheet1!$A$2:$A$25, Sheet1!$J$2:$J$25))</f>
        <v>0</v>
      </c>
      <c r="F9">
        <f>IF(ISBLANK(A9), A9, LOOKUP(A9, Sheet1!$A$2:$A$25, Sheet1!$D$2:$D$25))</f>
        <v>0</v>
      </c>
      <c r="G9">
        <f t="shared" si="0"/>
        <v>0</v>
      </c>
      <c r="H9">
        <f t="shared" si="1"/>
        <v>0</v>
      </c>
      <c r="I9">
        <f t="shared" si="2"/>
        <v>0</v>
      </c>
      <c r="J9">
        <f t="shared" si="3"/>
        <v>0</v>
      </c>
      <c r="K9">
        <f t="shared" si="4"/>
        <v>0</v>
      </c>
      <c r="L9">
        <f t="shared" si="5"/>
        <v>0</v>
      </c>
      <c r="M9">
        <f t="shared" si="6"/>
        <v>0</v>
      </c>
      <c r="N9">
        <f t="shared" si="7"/>
        <v>0</v>
      </c>
      <c r="O9">
        <f t="shared" si="8"/>
        <v>0</v>
      </c>
    </row>
    <row r="10" spans="1:15" x14ac:dyDescent="0.25">
      <c r="A10" s="89"/>
      <c r="B10" s="89"/>
      <c r="C10">
        <f>IF(ISBLANK(A10), A10, LOOKUP(A10, Sheet1!$A$2:$A$25, Sheet1!$B$2:$B$25))</f>
        <v>0</v>
      </c>
      <c r="D10">
        <f>IF(ISBLANK(A10), A10, LOOKUP(A10, Sheet1!$A$2:$A$25, Sheet1!$C$2:$C$25))</f>
        <v>0</v>
      </c>
      <c r="E10">
        <f>IF(ISBLANK(A10), A10, LOOKUP(A10, Sheet1!$A$2:$A$25, Sheet1!$J$2:$J$25))</f>
        <v>0</v>
      </c>
      <c r="F10">
        <f>IF(ISBLANK(A10), A10, LOOKUP(A10, Sheet1!$A$2:$A$25, Sheet1!$D$2:$D$25))</f>
        <v>0</v>
      </c>
      <c r="G10">
        <f t="shared" si="0"/>
        <v>0</v>
      </c>
      <c r="H10">
        <f t="shared" si="1"/>
        <v>0</v>
      </c>
      <c r="I10">
        <f t="shared" si="2"/>
        <v>0</v>
      </c>
      <c r="J10">
        <f t="shared" si="3"/>
        <v>0</v>
      </c>
      <c r="K10">
        <f t="shared" si="4"/>
        <v>0</v>
      </c>
      <c r="L10">
        <f t="shared" si="5"/>
        <v>0</v>
      </c>
      <c r="M10">
        <f t="shared" si="6"/>
        <v>0</v>
      </c>
      <c r="N10">
        <f t="shared" si="7"/>
        <v>0</v>
      </c>
      <c r="O10">
        <f t="shared" si="8"/>
        <v>0</v>
      </c>
    </row>
    <row r="11" spans="1:15" x14ac:dyDescent="0.25">
      <c r="A11" s="89"/>
      <c r="B11" s="89"/>
      <c r="C11">
        <f>IF(ISBLANK(A11), A11, LOOKUP(A11, Sheet1!$A$2:$A$25, Sheet1!$B$2:$B$25))</f>
        <v>0</v>
      </c>
      <c r="D11">
        <f>IF(ISBLANK(A11), A11, LOOKUP(A11, Sheet1!$A$2:$A$25, Sheet1!$C$2:$C$25))</f>
        <v>0</v>
      </c>
      <c r="E11">
        <f>IF(ISBLANK(A11), A11, LOOKUP(A11, Sheet1!$A$2:$A$25, Sheet1!$J$2:$J$25))</f>
        <v>0</v>
      </c>
      <c r="F11">
        <f>IF(ISBLANK(A11), A11, LOOKUP(A11, Sheet1!$A$2:$A$25, Sheet1!$D$2:$D$25))</f>
        <v>0</v>
      </c>
      <c r="G11">
        <f t="shared" si="0"/>
        <v>0</v>
      </c>
      <c r="H11">
        <f t="shared" si="1"/>
        <v>0</v>
      </c>
      <c r="I11">
        <f t="shared" si="2"/>
        <v>0</v>
      </c>
      <c r="J11">
        <f t="shared" si="3"/>
        <v>0</v>
      </c>
      <c r="K11">
        <f t="shared" si="4"/>
        <v>0</v>
      </c>
      <c r="L11">
        <f t="shared" si="5"/>
        <v>0</v>
      </c>
      <c r="M11">
        <f t="shared" si="6"/>
        <v>0</v>
      </c>
      <c r="N11">
        <f t="shared" si="7"/>
        <v>0</v>
      </c>
      <c r="O11">
        <f t="shared" si="8"/>
        <v>0</v>
      </c>
    </row>
    <row r="12" spans="1:15" x14ac:dyDescent="0.25">
      <c r="A12" s="90"/>
      <c r="B12" s="90"/>
      <c r="C12">
        <f>IF(ISBLANK(A12), A12, LOOKUP(A12, Sheet1!$A$2:$A$25, Sheet1!$B$2:$B$25))</f>
        <v>0</v>
      </c>
      <c r="D12">
        <f>IF(ISBLANK(A12), A12, LOOKUP(A12, Sheet1!$A$2:$A$25, Sheet1!$C$2:$C$25))</f>
        <v>0</v>
      </c>
      <c r="E12">
        <f>IF(ISBLANK(A12), A12, LOOKUP(A12, Sheet1!$A$2:$A$25, Sheet1!$J$2:$J$25))</f>
        <v>0</v>
      </c>
      <c r="F12">
        <f>IF(ISBLANK(A12), A12, LOOKUP(A12, Sheet1!$A$2:$A$25, Sheet1!$D$2:$D$25))</f>
        <v>0</v>
      </c>
      <c r="G12">
        <f t="shared" si="0"/>
        <v>0</v>
      </c>
      <c r="H12">
        <f t="shared" si="1"/>
        <v>0</v>
      </c>
      <c r="I12">
        <f t="shared" si="2"/>
        <v>0</v>
      </c>
      <c r="J12">
        <f t="shared" si="3"/>
        <v>0</v>
      </c>
      <c r="K12">
        <f t="shared" si="4"/>
        <v>0</v>
      </c>
      <c r="L12">
        <f t="shared" si="5"/>
        <v>0</v>
      </c>
      <c r="M12">
        <f t="shared" si="6"/>
        <v>0</v>
      </c>
      <c r="N12">
        <f t="shared" si="7"/>
        <v>0</v>
      </c>
      <c r="O12">
        <f t="shared" si="8"/>
        <v>0</v>
      </c>
    </row>
    <row r="15" spans="1:15" x14ac:dyDescent="0.25">
      <c r="A15" t="s">
        <v>163</v>
      </c>
      <c r="B15" t="e">
        <f>(SUM(N3:N12)/(1+SUM(O3:O12)))</f>
        <v>#NUM!</v>
      </c>
    </row>
    <row r="17" spans="6:9" ht="18" x14ac:dyDescent="0.35">
      <c r="F17" s="63" t="s">
        <v>137</v>
      </c>
      <c r="G17">
        <f>(B3*C3+B4*C4+B5*C5+B6*C6+B7*C7+B8*C8+B9*C9+B10*C10+B11*C11+B12*C12)</f>
        <v>60.124999999999993</v>
      </c>
      <c r="I17" s="91" t="s">
        <v>156</v>
      </c>
    </row>
    <row r="18" spans="6:9" ht="18" x14ac:dyDescent="0.35">
      <c r="F18" s="91" t="s">
        <v>138</v>
      </c>
      <c r="G18">
        <f>(B3*F3+B4*F4+B5*F5+B6*F6+B7*F7+B8*F8+B9*F9+B10*F10+B11*F11+B12*F12)</f>
        <v>8.1163000000000007</v>
      </c>
      <c r="I18" s="63" t="s">
        <v>152</v>
      </c>
    </row>
    <row r="19" spans="6:9" ht="18" x14ac:dyDescent="0.35">
      <c r="F19" t="s">
        <v>144</v>
      </c>
      <c r="G19">
        <f>(B3*E3+B4*E4+B5*E5+B6*E6+B7*E7+B8*E8+B9*E9+B10*E10+B11*E11+B12*E12)</f>
        <v>7.0149400000000002</v>
      </c>
      <c r="I19" s="63" t="s">
        <v>153</v>
      </c>
    </row>
    <row r="20" spans="6:9" ht="18" x14ac:dyDescent="0.35">
      <c r="F20" t="s">
        <v>148</v>
      </c>
      <c r="G20">
        <f>(B3*D3+B4*D4+B5*D5+B6*D6+B7*D7+B8*D8+B9*D9+B10*D10+B11*D11+B12*D12)</f>
        <v>140.82999999999998</v>
      </c>
    </row>
    <row r="22" spans="6:9" x14ac:dyDescent="0.25">
      <c r="F22" s="63" t="s">
        <v>135</v>
      </c>
      <c r="G22">
        <v>0.68</v>
      </c>
      <c r="H22" t="s">
        <v>155</v>
      </c>
      <c r="I22" t="s">
        <v>151</v>
      </c>
    </row>
    <row r="23" spans="6:9" x14ac:dyDescent="0.25">
      <c r="F23" s="91" t="s">
        <v>149</v>
      </c>
      <c r="G23">
        <f>1.3806503*10^(-23)</f>
        <v>1.3806503000000004E-23</v>
      </c>
    </row>
    <row r="24" spans="6:9" x14ac:dyDescent="0.25">
      <c r="F24" s="63" t="s">
        <v>143</v>
      </c>
      <c r="G24">
        <v>0.41420000000000001</v>
      </c>
      <c r="H24" t="s">
        <v>154</v>
      </c>
    </row>
    <row r="25" spans="6:9" x14ac:dyDescent="0.25">
      <c r="F25" s="91" t="s">
        <v>150</v>
      </c>
      <c r="G25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7"/>
  <sheetViews>
    <sheetView workbookViewId="0">
      <selection activeCell="A2" sqref="A2:H97"/>
    </sheetView>
  </sheetViews>
  <sheetFormatPr defaultRowHeight="15" x14ac:dyDescent="0.25"/>
  <cols>
    <col min="1" max="1" width="28.42578125" bestFit="1" customWidth="1"/>
    <col min="2" max="2" width="17.5703125" bestFit="1" customWidth="1"/>
    <col min="3" max="3" width="5" bestFit="1" customWidth="1"/>
    <col min="4" max="4" width="15.140625" bestFit="1" customWidth="1"/>
    <col min="5" max="5" width="17.5703125" bestFit="1" customWidth="1"/>
    <col min="6" max="6" width="8" bestFit="1" customWidth="1"/>
    <col min="7" max="7" width="7" bestFit="1" customWidth="1"/>
    <col min="8" max="8" width="4.85546875" bestFit="1" customWidth="1"/>
  </cols>
  <sheetData>
    <row r="2" spans="1:10" x14ac:dyDescent="0.25">
      <c r="A2" s="124" t="s">
        <v>184</v>
      </c>
      <c r="B2" s="124" t="s">
        <v>185</v>
      </c>
      <c r="C2" s="19" t="s">
        <v>186</v>
      </c>
      <c r="D2" s="19" t="s">
        <v>187</v>
      </c>
      <c r="E2" s="19" t="s">
        <v>188</v>
      </c>
      <c r="F2" s="19" t="s">
        <v>189</v>
      </c>
      <c r="G2" s="19" t="s">
        <v>190</v>
      </c>
      <c r="H2" s="19" t="s">
        <v>191</v>
      </c>
      <c r="J2" s="19" t="s">
        <v>179</v>
      </c>
    </row>
    <row r="3" spans="1:10" x14ac:dyDescent="0.25">
      <c r="A3" s="123" t="s">
        <v>192</v>
      </c>
      <c r="B3" s="123" t="s">
        <v>193</v>
      </c>
      <c r="C3">
        <v>5.25</v>
      </c>
      <c r="D3" t="s">
        <v>194</v>
      </c>
      <c r="E3">
        <v>13.38</v>
      </c>
      <c r="F3">
        <v>1675.1</v>
      </c>
      <c r="G3">
        <v>1.83</v>
      </c>
      <c r="H3" t="s">
        <v>195</v>
      </c>
    </row>
    <row r="4" spans="1:10" x14ac:dyDescent="0.25">
      <c r="A4" s="123" t="s">
        <v>196</v>
      </c>
      <c r="B4" s="123" t="s">
        <v>197</v>
      </c>
      <c r="C4">
        <v>1.07</v>
      </c>
      <c r="D4">
        <v>3.2</v>
      </c>
      <c r="E4">
        <v>13.38</v>
      </c>
      <c r="F4">
        <v>1760</v>
      </c>
      <c r="G4">
        <v>7.36</v>
      </c>
      <c r="H4" t="s">
        <v>198</v>
      </c>
    </row>
    <row r="5" spans="1:10" x14ac:dyDescent="0.25">
      <c r="A5" s="123" t="s">
        <v>199</v>
      </c>
      <c r="B5" s="123" t="s">
        <v>197</v>
      </c>
      <c r="C5">
        <v>3.15</v>
      </c>
      <c r="D5">
        <v>1.56</v>
      </c>
      <c r="E5">
        <v>14.43</v>
      </c>
      <c r="F5">
        <v>1713.22</v>
      </c>
      <c r="G5">
        <v>15.85</v>
      </c>
      <c r="H5" t="s">
        <v>198</v>
      </c>
    </row>
    <row r="6" spans="1:10" x14ac:dyDescent="0.25">
      <c r="A6" s="123" t="s">
        <v>200</v>
      </c>
      <c r="B6" s="123" t="s">
        <v>197</v>
      </c>
      <c r="C6">
        <v>3.82</v>
      </c>
      <c r="D6" t="s">
        <v>201</v>
      </c>
      <c r="E6">
        <v>14.7</v>
      </c>
      <c r="F6">
        <v>1684.86</v>
      </c>
      <c r="G6">
        <v>16.29</v>
      </c>
      <c r="H6" t="s">
        <v>198</v>
      </c>
    </row>
    <row r="7" spans="1:10" x14ac:dyDescent="0.25">
      <c r="A7" s="123" t="s">
        <v>202</v>
      </c>
      <c r="B7" s="123" t="s">
        <v>203</v>
      </c>
      <c r="C7">
        <v>4.49</v>
      </c>
      <c r="D7" t="s">
        <v>204</v>
      </c>
      <c r="E7">
        <v>14.87</v>
      </c>
      <c r="F7">
        <v>1646</v>
      </c>
      <c r="G7">
        <v>6.78</v>
      </c>
      <c r="H7" t="s">
        <v>198</v>
      </c>
    </row>
    <row r="8" spans="1:10" x14ac:dyDescent="0.25">
      <c r="A8" s="123" t="s">
        <v>205</v>
      </c>
      <c r="B8" s="123" t="s">
        <v>203</v>
      </c>
      <c r="C8">
        <v>4.82</v>
      </c>
      <c r="D8" t="s">
        <v>206</v>
      </c>
      <c r="E8">
        <v>14.9</v>
      </c>
      <c r="F8">
        <v>1622.25</v>
      </c>
      <c r="G8">
        <v>5.0599999999999996</v>
      </c>
      <c r="H8" t="s">
        <v>198</v>
      </c>
    </row>
    <row r="9" spans="1:10" x14ac:dyDescent="0.25">
      <c r="A9" s="123" t="s">
        <v>207</v>
      </c>
      <c r="B9" s="123" t="s">
        <v>203</v>
      </c>
      <c r="C9">
        <v>5.19</v>
      </c>
      <c r="D9" t="s">
        <v>208</v>
      </c>
      <c r="E9">
        <v>14.85</v>
      </c>
      <c r="F9">
        <v>1589.45</v>
      </c>
      <c r="G9">
        <v>3.78</v>
      </c>
      <c r="H9" t="s">
        <v>198</v>
      </c>
    </row>
    <row r="10" spans="1:10" x14ac:dyDescent="0.25">
      <c r="A10" s="123" t="s">
        <v>209</v>
      </c>
      <c r="B10" s="123" t="s">
        <v>203</v>
      </c>
      <c r="C10">
        <v>5.38</v>
      </c>
      <c r="D10" t="s">
        <v>210</v>
      </c>
      <c r="E10">
        <v>14.78</v>
      </c>
      <c r="F10">
        <v>1569.27</v>
      </c>
      <c r="G10">
        <v>3.3</v>
      </c>
      <c r="H10" t="s">
        <v>198</v>
      </c>
    </row>
    <row r="11" spans="1:10" x14ac:dyDescent="0.25">
      <c r="A11" s="123" t="s">
        <v>211</v>
      </c>
      <c r="B11" s="123" t="s">
        <v>203</v>
      </c>
      <c r="C11">
        <v>5.54</v>
      </c>
      <c r="D11" t="s">
        <v>212</v>
      </c>
      <c r="E11">
        <v>14.65</v>
      </c>
      <c r="F11">
        <v>1541.22</v>
      </c>
      <c r="G11">
        <v>2.79</v>
      </c>
      <c r="H11" t="s">
        <v>198</v>
      </c>
    </row>
    <row r="12" spans="1:10" x14ac:dyDescent="0.25">
      <c r="A12" s="123" t="s">
        <v>213</v>
      </c>
      <c r="B12" s="123" t="s">
        <v>203</v>
      </c>
      <c r="C12">
        <v>5.71</v>
      </c>
      <c r="D12" t="s">
        <v>214</v>
      </c>
      <c r="E12">
        <v>14.53</v>
      </c>
      <c r="F12">
        <v>1523.86</v>
      </c>
      <c r="G12">
        <v>2.56</v>
      </c>
      <c r="H12" t="s">
        <v>198</v>
      </c>
    </row>
    <row r="13" spans="1:10" x14ac:dyDescent="0.25">
      <c r="A13" s="123" t="s">
        <v>215</v>
      </c>
      <c r="B13" s="123" t="s">
        <v>193</v>
      </c>
      <c r="C13">
        <v>5.84</v>
      </c>
      <c r="D13" t="s">
        <v>216</v>
      </c>
      <c r="E13">
        <v>14.35</v>
      </c>
      <c r="F13">
        <v>1499.6</v>
      </c>
      <c r="G13">
        <v>2.29</v>
      </c>
      <c r="H13" t="s">
        <v>198</v>
      </c>
    </row>
    <row r="14" spans="1:10" x14ac:dyDescent="0.25">
      <c r="A14" s="123" t="s">
        <v>217</v>
      </c>
      <c r="B14" s="123" t="s">
        <v>193</v>
      </c>
      <c r="C14">
        <v>5.91</v>
      </c>
      <c r="D14" t="s">
        <v>218</v>
      </c>
      <c r="E14">
        <v>14.21</v>
      </c>
      <c r="F14">
        <v>1484.5</v>
      </c>
      <c r="G14">
        <v>2.15</v>
      </c>
      <c r="H14" t="s">
        <v>198</v>
      </c>
    </row>
    <row r="15" spans="1:10" x14ac:dyDescent="0.25">
      <c r="A15" s="123" t="s">
        <v>219</v>
      </c>
      <c r="B15" s="123" t="s">
        <v>193</v>
      </c>
      <c r="C15">
        <v>5.99</v>
      </c>
      <c r="D15" t="s">
        <v>220</v>
      </c>
      <c r="E15">
        <v>14.01</v>
      </c>
      <c r="F15">
        <v>1463.31</v>
      </c>
      <c r="G15">
        <v>1.99</v>
      </c>
      <c r="H15" t="s">
        <v>198</v>
      </c>
    </row>
    <row r="16" spans="1:10" x14ac:dyDescent="0.25">
      <c r="A16" s="123" t="s">
        <v>221</v>
      </c>
      <c r="B16" s="123" t="s">
        <v>193</v>
      </c>
      <c r="C16">
        <v>6.09</v>
      </c>
      <c r="D16" t="s">
        <v>222</v>
      </c>
      <c r="E16">
        <v>13.86</v>
      </c>
      <c r="F16">
        <v>1450.06</v>
      </c>
      <c r="G16">
        <v>1.9</v>
      </c>
      <c r="H16" t="s">
        <v>198</v>
      </c>
    </row>
    <row r="17" spans="1:8" x14ac:dyDescent="0.25">
      <c r="A17" s="123" t="s">
        <v>223</v>
      </c>
      <c r="B17" s="123" t="s">
        <v>203</v>
      </c>
      <c r="C17">
        <v>4.51</v>
      </c>
      <c r="D17" t="s">
        <v>224</v>
      </c>
      <c r="E17">
        <v>16.18</v>
      </c>
      <c r="F17">
        <v>1631.5</v>
      </c>
      <c r="G17">
        <v>1.4</v>
      </c>
      <c r="H17" t="s">
        <v>225</v>
      </c>
    </row>
    <row r="18" spans="1:8" x14ac:dyDescent="0.25">
      <c r="A18" s="123" t="s">
        <v>226</v>
      </c>
      <c r="B18" s="123" t="s">
        <v>193</v>
      </c>
      <c r="C18">
        <v>4.7300000000000004</v>
      </c>
      <c r="D18" t="s">
        <v>227</v>
      </c>
      <c r="E18">
        <v>14.9</v>
      </c>
      <c r="F18">
        <v>1580.58</v>
      </c>
      <c r="G18">
        <v>4.62</v>
      </c>
      <c r="H18" t="s">
        <v>228</v>
      </c>
    </row>
    <row r="19" spans="1:8" x14ac:dyDescent="0.25">
      <c r="A19" s="123" t="s">
        <v>229</v>
      </c>
      <c r="B19" s="123" t="s">
        <v>203</v>
      </c>
      <c r="C19">
        <v>3.25</v>
      </c>
      <c r="D19" t="s">
        <v>230</v>
      </c>
      <c r="E19">
        <v>14.9</v>
      </c>
      <c r="F19">
        <v>1695.5</v>
      </c>
      <c r="G19">
        <v>1.67</v>
      </c>
      <c r="H19" t="s">
        <v>231</v>
      </c>
    </row>
    <row r="20" spans="1:8" x14ac:dyDescent="0.25">
      <c r="A20" s="123" t="s">
        <v>232</v>
      </c>
      <c r="B20" s="123" t="s">
        <v>197</v>
      </c>
      <c r="C20">
        <v>0.92</v>
      </c>
      <c r="D20" t="s">
        <v>233</v>
      </c>
      <c r="E20">
        <v>13.38</v>
      </c>
      <c r="F20">
        <v>1792.4</v>
      </c>
      <c r="G20">
        <v>5.77</v>
      </c>
      <c r="H20" t="s">
        <v>231</v>
      </c>
    </row>
    <row r="21" spans="1:8" x14ac:dyDescent="0.25">
      <c r="A21" s="123" t="s">
        <v>234</v>
      </c>
      <c r="B21" s="123" t="s">
        <v>197</v>
      </c>
      <c r="C21">
        <v>0.99</v>
      </c>
      <c r="D21">
        <v>1.44</v>
      </c>
      <c r="E21">
        <v>14.9</v>
      </c>
      <c r="F21">
        <v>1720</v>
      </c>
      <c r="G21">
        <v>17.8</v>
      </c>
      <c r="H21" t="s">
        <v>231</v>
      </c>
    </row>
    <row r="22" spans="1:8" x14ac:dyDescent="0.25">
      <c r="A22" s="123" t="s">
        <v>235</v>
      </c>
      <c r="B22" s="123" t="s">
        <v>193</v>
      </c>
      <c r="C22">
        <v>5.74</v>
      </c>
      <c r="D22" t="s">
        <v>236</v>
      </c>
      <c r="E22">
        <v>13.15</v>
      </c>
      <c r="F22">
        <v>1609.67</v>
      </c>
      <c r="G22">
        <v>2.08</v>
      </c>
      <c r="H22" t="s">
        <v>237</v>
      </c>
    </row>
    <row r="23" spans="1:8" x14ac:dyDescent="0.25">
      <c r="A23" s="123" t="s">
        <v>238</v>
      </c>
      <c r="B23" s="123" t="s">
        <v>203</v>
      </c>
      <c r="C23">
        <v>5.87</v>
      </c>
      <c r="D23" t="s">
        <v>239</v>
      </c>
      <c r="E23">
        <v>17.29</v>
      </c>
      <c r="F23">
        <v>1735.19</v>
      </c>
      <c r="G23">
        <v>2.15</v>
      </c>
      <c r="H23" t="s">
        <v>237</v>
      </c>
    </row>
    <row r="24" spans="1:8" x14ac:dyDescent="0.25">
      <c r="A24" s="123" t="s">
        <v>240</v>
      </c>
      <c r="B24" s="123" t="s">
        <v>197</v>
      </c>
      <c r="C24">
        <v>1.06</v>
      </c>
      <c r="D24">
        <v>0.49</v>
      </c>
      <c r="E24">
        <v>13.15</v>
      </c>
      <c r="F24">
        <v>1804.67</v>
      </c>
      <c r="G24">
        <v>48.44</v>
      </c>
      <c r="H24" t="s">
        <v>241</v>
      </c>
    </row>
    <row r="25" spans="1:8" x14ac:dyDescent="0.25">
      <c r="A25" s="123" t="s">
        <v>242</v>
      </c>
      <c r="B25" s="123" t="s">
        <v>203</v>
      </c>
      <c r="C25">
        <v>5.19</v>
      </c>
      <c r="D25" t="s">
        <v>243</v>
      </c>
      <c r="E25">
        <v>13.38</v>
      </c>
      <c r="F25">
        <v>1584.5</v>
      </c>
      <c r="G25">
        <v>3.23</v>
      </c>
      <c r="H25" t="s">
        <v>225</v>
      </c>
    </row>
    <row r="26" spans="1:8" x14ac:dyDescent="0.25">
      <c r="A26" s="123" t="s">
        <v>244</v>
      </c>
      <c r="B26" s="123" t="s">
        <v>203</v>
      </c>
      <c r="C26">
        <v>5.77</v>
      </c>
      <c r="D26" t="s">
        <v>245</v>
      </c>
      <c r="E26">
        <v>11.52</v>
      </c>
      <c r="F26">
        <v>1447.4</v>
      </c>
      <c r="G26">
        <v>2.08</v>
      </c>
      <c r="H26" t="s">
        <v>225</v>
      </c>
    </row>
    <row r="27" spans="1:8" x14ac:dyDescent="0.25">
      <c r="A27" s="123" t="s">
        <v>246</v>
      </c>
      <c r="B27" s="123" t="s">
        <v>203</v>
      </c>
      <c r="C27">
        <v>6.2</v>
      </c>
      <c r="D27" t="s">
        <v>247</v>
      </c>
      <c r="E27">
        <v>9.1300000000000008</v>
      </c>
      <c r="F27">
        <v>1339.8</v>
      </c>
      <c r="G27">
        <v>1.45</v>
      </c>
      <c r="H27" t="s">
        <v>225</v>
      </c>
    </row>
    <row r="28" spans="1:8" x14ac:dyDescent="0.25">
      <c r="A28" s="123" t="s">
        <v>248</v>
      </c>
      <c r="B28" s="123" t="s">
        <v>197</v>
      </c>
      <c r="C28">
        <v>1.63</v>
      </c>
      <c r="D28">
        <v>4</v>
      </c>
      <c r="E28">
        <v>5.76</v>
      </c>
      <c r="F28">
        <v>1543</v>
      </c>
      <c r="G28">
        <v>2.2200000000000002</v>
      </c>
      <c r="H28" t="s">
        <v>225</v>
      </c>
    </row>
    <row r="29" spans="1:8" x14ac:dyDescent="0.25">
      <c r="A29" s="123" t="s">
        <v>249</v>
      </c>
      <c r="B29" s="123" t="s">
        <v>203</v>
      </c>
      <c r="C29">
        <v>4.91</v>
      </c>
      <c r="D29" t="s">
        <v>250</v>
      </c>
      <c r="E29">
        <v>14.7</v>
      </c>
      <c r="F29">
        <v>1608.82</v>
      </c>
      <c r="G29">
        <v>5.26</v>
      </c>
      <c r="H29" t="s">
        <v>251</v>
      </c>
    </row>
    <row r="30" spans="1:8" x14ac:dyDescent="0.25">
      <c r="A30" s="123" t="s">
        <v>252</v>
      </c>
      <c r="B30" s="123" t="s">
        <v>203</v>
      </c>
      <c r="C30">
        <v>5.0199999999999996</v>
      </c>
      <c r="D30" t="s">
        <v>253</v>
      </c>
      <c r="E30">
        <v>14.7</v>
      </c>
      <c r="F30">
        <v>1572.82</v>
      </c>
      <c r="G30">
        <v>4.6100000000000003</v>
      </c>
      <c r="H30" t="s">
        <v>251</v>
      </c>
    </row>
    <row r="31" spans="1:8" x14ac:dyDescent="0.25">
      <c r="A31" s="123" t="s">
        <v>254</v>
      </c>
      <c r="B31" s="123" t="s">
        <v>203</v>
      </c>
      <c r="C31">
        <v>5</v>
      </c>
      <c r="D31" t="s">
        <v>255</v>
      </c>
      <c r="E31">
        <v>14.7</v>
      </c>
      <c r="F31">
        <v>1605.09</v>
      </c>
      <c r="G31">
        <v>4.25</v>
      </c>
      <c r="H31" t="s">
        <v>251</v>
      </c>
    </row>
    <row r="32" spans="1:8" x14ac:dyDescent="0.25">
      <c r="A32" s="123" t="s">
        <v>256</v>
      </c>
      <c r="B32" s="123" t="s">
        <v>203</v>
      </c>
      <c r="C32">
        <v>4.91</v>
      </c>
      <c r="D32" t="s">
        <v>257</v>
      </c>
      <c r="E32">
        <v>14.7</v>
      </c>
      <c r="F32">
        <v>1612.64</v>
      </c>
      <c r="G32">
        <v>6.08</v>
      </c>
      <c r="H32" t="s">
        <v>251</v>
      </c>
    </row>
    <row r="33" spans="1:8" x14ac:dyDescent="0.25">
      <c r="A33" s="123" t="s">
        <v>258</v>
      </c>
      <c r="B33" s="123" t="s">
        <v>193</v>
      </c>
      <c r="C33">
        <v>5.0199999999999996</v>
      </c>
      <c r="D33" t="s">
        <v>259</v>
      </c>
      <c r="E33">
        <v>14.7</v>
      </c>
      <c r="F33">
        <v>1646.27</v>
      </c>
      <c r="G33">
        <v>3.05</v>
      </c>
      <c r="H33" t="s">
        <v>251</v>
      </c>
    </row>
    <row r="34" spans="1:8" x14ac:dyDescent="0.25">
      <c r="A34" s="123" t="s">
        <v>260</v>
      </c>
      <c r="B34" s="123" t="s">
        <v>197</v>
      </c>
      <c r="C34">
        <v>4.46</v>
      </c>
      <c r="D34" t="s">
        <v>261</v>
      </c>
      <c r="E34">
        <v>14.7</v>
      </c>
      <c r="F34">
        <v>1776.91</v>
      </c>
      <c r="G34">
        <v>7.05</v>
      </c>
      <c r="H34" t="s">
        <v>262</v>
      </c>
    </row>
    <row r="35" spans="1:8" x14ac:dyDescent="0.25">
      <c r="A35" s="123" t="s">
        <v>263</v>
      </c>
      <c r="B35" s="123" t="s">
        <v>264</v>
      </c>
      <c r="C35">
        <v>6.11</v>
      </c>
      <c r="D35" t="s">
        <v>265</v>
      </c>
      <c r="E35">
        <v>14.7</v>
      </c>
      <c r="F35">
        <v>1699.73</v>
      </c>
      <c r="G35">
        <v>1.39</v>
      </c>
      <c r="H35" t="s">
        <v>195</v>
      </c>
    </row>
    <row r="36" spans="1:8" x14ac:dyDescent="0.25">
      <c r="A36" s="123" t="s">
        <v>266</v>
      </c>
      <c r="B36" s="123" t="s">
        <v>264</v>
      </c>
      <c r="C36">
        <v>6.58</v>
      </c>
      <c r="D36" t="s">
        <v>267</v>
      </c>
      <c r="E36">
        <v>14.9</v>
      </c>
      <c r="F36">
        <v>1720.25</v>
      </c>
      <c r="G36">
        <v>1.19</v>
      </c>
      <c r="H36" t="s">
        <v>195</v>
      </c>
    </row>
    <row r="37" spans="1:8" x14ac:dyDescent="0.25">
      <c r="A37" s="123" t="s">
        <v>268</v>
      </c>
      <c r="B37" s="123" t="s">
        <v>203</v>
      </c>
      <c r="C37">
        <v>5.75</v>
      </c>
      <c r="D37" t="s">
        <v>269</v>
      </c>
      <c r="E37">
        <v>18.27</v>
      </c>
      <c r="F37">
        <v>1711.28</v>
      </c>
      <c r="G37">
        <v>2.4500000000000002</v>
      </c>
      <c r="H37" t="s">
        <v>270</v>
      </c>
    </row>
    <row r="38" spans="1:8" x14ac:dyDescent="0.25">
      <c r="A38" s="123" t="s">
        <v>271</v>
      </c>
      <c r="B38" s="123" t="s">
        <v>193</v>
      </c>
      <c r="C38">
        <v>6.01</v>
      </c>
      <c r="D38" t="s">
        <v>272</v>
      </c>
      <c r="E38">
        <v>17.989999999999998</v>
      </c>
      <c r="F38">
        <v>1633.5</v>
      </c>
      <c r="G38">
        <v>1.91</v>
      </c>
      <c r="H38" t="s">
        <v>270</v>
      </c>
    </row>
    <row r="39" spans="1:8" x14ac:dyDescent="0.25">
      <c r="A39" s="123" t="s">
        <v>273</v>
      </c>
      <c r="B39" s="123" t="s">
        <v>203</v>
      </c>
      <c r="C39">
        <v>6.45</v>
      </c>
      <c r="D39" t="s">
        <v>274</v>
      </c>
      <c r="E39">
        <v>14.7</v>
      </c>
      <c r="F39">
        <v>1640.55</v>
      </c>
      <c r="G39">
        <v>1.56</v>
      </c>
      <c r="H39" t="s">
        <v>275</v>
      </c>
    </row>
    <row r="40" spans="1:8" x14ac:dyDescent="0.25">
      <c r="A40" s="123" t="s">
        <v>276</v>
      </c>
      <c r="B40" s="123" t="s">
        <v>203</v>
      </c>
      <c r="C40">
        <v>6.29</v>
      </c>
      <c r="D40" t="s">
        <v>277</v>
      </c>
      <c r="E40">
        <v>14.9</v>
      </c>
      <c r="F40">
        <v>1681.58</v>
      </c>
      <c r="G40">
        <v>1.83</v>
      </c>
      <c r="H40" t="s">
        <v>275</v>
      </c>
    </row>
    <row r="41" spans="1:8" x14ac:dyDescent="0.25">
      <c r="A41" s="123" t="s">
        <v>278</v>
      </c>
      <c r="B41" s="123" t="s">
        <v>203</v>
      </c>
      <c r="C41">
        <v>6.14</v>
      </c>
      <c r="D41" t="s">
        <v>279</v>
      </c>
      <c r="E41">
        <v>14.78</v>
      </c>
      <c r="F41">
        <v>1716.31</v>
      </c>
      <c r="G41">
        <v>2.08</v>
      </c>
      <c r="H41" t="s">
        <v>275</v>
      </c>
    </row>
    <row r="42" spans="1:8" x14ac:dyDescent="0.25">
      <c r="A42" s="123" t="s">
        <v>280</v>
      </c>
      <c r="B42" s="123" t="s">
        <v>203</v>
      </c>
      <c r="C42">
        <v>5.99</v>
      </c>
      <c r="D42" t="s">
        <v>281</v>
      </c>
      <c r="E42">
        <v>14.53</v>
      </c>
      <c r="F42">
        <v>1746.07</v>
      </c>
      <c r="G42">
        <v>2.29</v>
      </c>
      <c r="H42" t="s">
        <v>275</v>
      </c>
    </row>
    <row r="43" spans="1:8" x14ac:dyDescent="0.25">
      <c r="A43" s="123" t="s">
        <v>282</v>
      </c>
      <c r="B43" s="123" t="s">
        <v>203</v>
      </c>
      <c r="C43">
        <v>5.72</v>
      </c>
      <c r="D43" t="s">
        <v>283</v>
      </c>
      <c r="E43">
        <v>13.86</v>
      </c>
      <c r="F43">
        <v>1794.44</v>
      </c>
      <c r="G43">
        <v>2.67</v>
      </c>
      <c r="H43" t="s">
        <v>275</v>
      </c>
    </row>
    <row r="44" spans="1:8" x14ac:dyDescent="0.25">
      <c r="A44" s="123" t="s">
        <v>284</v>
      </c>
      <c r="B44" s="123" t="s">
        <v>285</v>
      </c>
      <c r="C44">
        <v>6.23</v>
      </c>
      <c r="D44" t="s">
        <v>286</v>
      </c>
      <c r="E44">
        <v>16.18</v>
      </c>
      <c r="F44">
        <v>1668.5</v>
      </c>
      <c r="G44">
        <v>1.95</v>
      </c>
      <c r="H44" t="s">
        <v>287</v>
      </c>
    </row>
    <row r="45" spans="1:8" x14ac:dyDescent="0.25">
      <c r="A45" s="123" t="s">
        <v>288</v>
      </c>
      <c r="B45" s="123" t="s">
        <v>203</v>
      </c>
      <c r="C45">
        <v>4.6900000000000004</v>
      </c>
      <c r="D45" t="s">
        <v>289</v>
      </c>
      <c r="E45">
        <v>16.18</v>
      </c>
      <c r="F45">
        <v>1705.07</v>
      </c>
      <c r="G45">
        <v>3.56</v>
      </c>
      <c r="H45" t="s">
        <v>287</v>
      </c>
    </row>
    <row r="46" spans="1:8" x14ac:dyDescent="0.25">
      <c r="A46" s="123" t="s">
        <v>290</v>
      </c>
      <c r="B46" s="123" t="s">
        <v>203</v>
      </c>
      <c r="C46">
        <v>6.02</v>
      </c>
      <c r="D46" t="s">
        <v>291</v>
      </c>
      <c r="E46">
        <v>14.54</v>
      </c>
      <c r="F46">
        <v>1705.58</v>
      </c>
      <c r="G46">
        <v>1.45</v>
      </c>
      <c r="H46" t="s">
        <v>292</v>
      </c>
    </row>
    <row r="47" spans="1:8" x14ac:dyDescent="0.25">
      <c r="A47" s="123" t="s">
        <v>293</v>
      </c>
      <c r="B47" s="123" t="s">
        <v>203</v>
      </c>
      <c r="C47">
        <v>5.91</v>
      </c>
      <c r="D47" t="s">
        <v>294</v>
      </c>
      <c r="E47">
        <v>14.23</v>
      </c>
      <c r="F47">
        <v>1710.54</v>
      </c>
      <c r="G47">
        <v>1.49</v>
      </c>
      <c r="H47" t="s">
        <v>292</v>
      </c>
    </row>
    <row r="48" spans="1:8" x14ac:dyDescent="0.25">
      <c r="A48" s="123" t="s">
        <v>295</v>
      </c>
      <c r="B48" s="123" t="s">
        <v>203</v>
      </c>
      <c r="C48">
        <v>5.69</v>
      </c>
      <c r="D48" t="s">
        <v>296</v>
      </c>
      <c r="E48">
        <v>13.49</v>
      </c>
      <c r="F48">
        <v>1718.47</v>
      </c>
      <c r="G48">
        <v>1.55</v>
      </c>
      <c r="H48" t="s">
        <v>292</v>
      </c>
    </row>
    <row r="49" spans="1:8" x14ac:dyDescent="0.25">
      <c r="A49" s="123" t="s">
        <v>297</v>
      </c>
      <c r="B49" s="123" t="s">
        <v>197</v>
      </c>
      <c r="C49">
        <v>5.03</v>
      </c>
      <c r="D49" t="s">
        <v>298</v>
      </c>
      <c r="E49">
        <v>15.55</v>
      </c>
      <c r="F49">
        <v>1757.61</v>
      </c>
      <c r="G49">
        <v>3.76</v>
      </c>
      <c r="H49" t="s">
        <v>299</v>
      </c>
    </row>
    <row r="50" spans="1:8" x14ac:dyDescent="0.25">
      <c r="A50" s="123" t="s">
        <v>300</v>
      </c>
      <c r="B50" s="123" t="s">
        <v>203</v>
      </c>
      <c r="C50">
        <v>5.25</v>
      </c>
      <c r="D50" t="s">
        <v>301</v>
      </c>
      <c r="E50">
        <v>15.75</v>
      </c>
      <c r="F50">
        <v>1738.32</v>
      </c>
      <c r="G50">
        <v>2.52</v>
      </c>
      <c r="H50" t="s">
        <v>299</v>
      </c>
    </row>
    <row r="51" spans="1:8" x14ac:dyDescent="0.25">
      <c r="A51" s="123" t="s">
        <v>302</v>
      </c>
      <c r="B51" s="123" t="s">
        <v>264</v>
      </c>
      <c r="C51">
        <v>5.83</v>
      </c>
      <c r="D51" t="s">
        <v>303</v>
      </c>
      <c r="E51">
        <v>15.55</v>
      </c>
      <c r="F51">
        <v>1719.02</v>
      </c>
      <c r="G51">
        <v>1.75</v>
      </c>
      <c r="H51" t="s">
        <v>299</v>
      </c>
    </row>
    <row r="52" spans="1:8" x14ac:dyDescent="0.25">
      <c r="A52" s="123" t="s">
        <v>304</v>
      </c>
      <c r="B52" s="123" t="s">
        <v>193</v>
      </c>
      <c r="C52">
        <v>5.13</v>
      </c>
      <c r="D52" t="s">
        <v>305</v>
      </c>
      <c r="E52">
        <v>14.34</v>
      </c>
      <c r="F52">
        <v>1660</v>
      </c>
      <c r="G52">
        <v>2.39</v>
      </c>
      <c r="H52" t="s">
        <v>306</v>
      </c>
    </row>
    <row r="53" spans="1:8" x14ac:dyDescent="0.25">
      <c r="A53" s="123" t="s">
        <v>307</v>
      </c>
      <c r="B53" s="123" t="s">
        <v>197</v>
      </c>
      <c r="C53">
        <v>2.63</v>
      </c>
      <c r="D53" t="s">
        <v>308</v>
      </c>
      <c r="E53">
        <v>14.9</v>
      </c>
      <c r="F53">
        <v>1833.67</v>
      </c>
      <c r="G53">
        <v>15.35</v>
      </c>
      <c r="H53" t="s">
        <v>306</v>
      </c>
    </row>
    <row r="54" spans="1:8" x14ac:dyDescent="0.25">
      <c r="A54" s="123" t="s">
        <v>309</v>
      </c>
      <c r="B54" s="123" t="s">
        <v>197</v>
      </c>
      <c r="C54">
        <v>3</v>
      </c>
      <c r="D54" t="s">
        <v>310</v>
      </c>
      <c r="E54">
        <v>14.32</v>
      </c>
      <c r="F54">
        <v>1738.78</v>
      </c>
      <c r="G54">
        <v>35.07</v>
      </c>
      <c r="H54" t="s">
        <v>311</v>
      </c>
    </row>
    <row r="55" spans="1:8" x14ac:dyDescent="0.25">
      <c r="A55" s="123" t="s">
        <v>312</v>
      </c>
      <c r="B55" s="123" t="s">
        <v>197</v>
      </c>
      <c r="C55">
        <v>4</v>
      </c>
      <c r="D55" t="s">
        <v>313</v>
      </c>
      <c r="E55">
        <v>14.54</v>
      </c>
      <c r="F55">
        <v>1717.55</v>
      </c>
      <c r="G55">
        <v>5.43</v>
      </c>
      <c r="H55" t="s">
        <v>311</v>
      </c>
    </row>
    <row r="56" spans="1:8" x14ac:dyDescent="0.25">
      <c r="A56" s="123" t="s">
        <v>314</v>
      </c>
      <c r="B56" s="123" t="s">
        <v>203</v>
      </c>
      <c r="C56">
        <v>4.71</v>
      </c>
      <c r="D56" t="s">
        <v>315</v>
      </c>
      <c r="E56">
        <v>14.32</v>
      </c>
      <c r="F56">
        <v>1696.33</v>
      </c>
      <c r="G56">
        <v>2.87</v>
      </c>
      <c r="H56" t="s">
        <v>311</v>
      </c>
    </row>
    <row r="57" spans="1:8" x14ac:dyDescent="0.25">
      <c r="A57" s="123" t="s">
        <v>316</v>
      </c>
      <c r="B57" s="123" t="s">
        <v>264</v>
      </c>
      <c r="C57">
        <v>6.01</v>
      </c>
      <c r="D57" t="s">
        <v>317</v>
      </c>
      <c r="E57">
        <v>15.54</v>
      </c>
      <c r="F57">
        <v>1684.87</v>
      </c>
      <c r="G57">
        <v>1.68</v>
      </c>
      <c r="H57" t="s">
        <v>318</v>
      </c>
    </row>
    <row r="58" spans="1:8" x14ac:dyDescent="0.25">
      <c r="A58" s="123" t="s">
        <v>319</v>
      </c>
      <c r="B58" s="123" t="s">
        <v>264</v>
      </c>
      <c r="C58">
        <v>5.9</v>
      </c>
      <c r="D58" t="s">
        <v>320</v>
      </c>
      <c r="E58">
        <v>15.86</v>
      </c>
      <c r="F58">
        <v>1671.25</v>
      </c>
      <c r="G58">
        <v>1.97</v>
      </c>
      <c r="H58" t="s">
        <v>318</v>
      </c>
    </row>
    <row r="59" spans="1:8" x14ac:dyDescent="0.25">
      <c r="A59" s="123" t="s">
        <v>321</v>
      </c>
      <c r="B59" s="123" t="s">
        <v>197</v>
      </c>
      <c r="C59">
        <v>1.06</v>
      </c>
      <c r="D59" t="s">
        <v>322</v>
      </c>
      <c r="E59">
        <v>11.53</v>
      </c>
      <c r="F59">
        <v>1860.5</v>
      </c>
      <c r="G59">
        <v>5.71</v>
      </c>
      <c r="H59" t="s">
        <v>241</v>
      </c>
    </row>
    <row r="60" spans="1:8" x14ac:dyDescent="0.25">
      <c r="A60" s="123" t="s">
        <v>323</v>
      </c>
      <c r="B60" s="123" t="s">
        <v>197</v>
      </c>
      <c r="C60">
        <v>3.25</v>
      </c>
      <c r="D60" t="s">
        <v>324</v>
      </c>
      <c r="E60">
        <v>12.71</v>
      </c>
      <c r="F60">
        <v>1805.97</v>
      </c>
      <c r="G60">
        <v>3.4</v>
      </c>
      <c r="H60" t="s">
        <v>325</v>
      </c>
    </row>
    <row r="61" spans="1:8" x14ac:dyDescent="0.25">
      <c r="A61" s="123" t="s">
        <v>326</v>
      </c>
      <c r="B61" s="123" t="s">
        <v>197</v>
      </c>
      <c r="C61">
        <v>3.8</v>
      </c>
      <c r="D61" t="s">
        <v>327</v>
      </c>
      <c r="E61">
        <v>12.97</v>
      </c>
      <c r="F61">
        <v>1781.04</v>
      </c>
      <c r="G61">
        <v>2.89</v>
      </c>
      <c r="H61" t="s">
        <v>325</v>
      </c>
    </row>
    <row r="62" spans="1:8" x14ac:dyDescent="0.25">
      <c r="A62" s="123" t="s">
        <v>328</v>
      </c>
      <c r="B62" s="123" t="s">
        <v>203</v>
      </c>
      <c r="C62">
        <v>4.22</v>
      </c>
      <c r="D62" t="s">
        <v>329</v>
      </c>
      <c r="E62">
        <v>13.15</v>
      </c>
      <c r="F62">
        <v>1757.5</v>
      </c>
      <c r="G62">
        <v>2.5499999999999998</v>
      </c>
      <c r="H62" t="s">
        <v>325</v>
      </c>
    </row>
    <row r="63" spans="1:8" x14ac:dyDescent="0.25">
      <c r="A63" s="123" t="s">
        <v>330</v>
      </c>
      <c r="B63" s="123" t="s">
        <v>203</v>
      </c>
      <c r="C63">
        <v>4.83</v>
      </c>
      <c r="D63" t="s">
        <v>331</v>
      </c>
      <c r="E63">
        <v>13.33</v>
      </c>
      <c r="F63">
        <v>1714.13</v>
      </c>
      <c r="G63">
        <v>2.09</v>
      </c>
      <c r="H63" t="s">
        <v>325</v>
      </c>
    </row>
    <row r="64" spans="1:8" x14ac:dyDescent="0.25">
      <c r="A64" s="123" t="s">
        <v>332</v>
      </c>
      <c r="B64" s="123" t="s">
        <v>203</v>
      </c>
      <c r="C64">
        <v>5.0599999999999996</v>
      </c>
      <c r="D64" t="s">
        <v>333</v>
      </c>
      <c r="E64">
        <v>13.37</v>
      </c>
      <c r="F64">
        <v>1694.12</v>
      </c>
      <c r="G64">
        <v>1.95</v>
      </c>
      <c r="H64" t="s">
        <v>325</v>
      </c>
    </row>
    <row r="65" spans="1:8" x14ac:dyDescent="0.25">
      <c r="A65" s="123" t="s">
        <v>334</v>
      </c>
      <c r="B65" s="123" t="s">
        <v>193</v>
      </c>
      <c r="C65">
        <v>5.55</v>
      </c>
      <c r="D65" t="s">
        <v>320</v>
      </c>
      <c r="E65">
        <v>13.34</v>
      </c>
      <c r="F65">
        <v>1639.79</v>
      </c>
      <c r="G65">
        <v>1.62</v>
      </c>
      <c r="H65" t="s">
        <v>325</v>
      </c>
    </row>
    <row r="66" spans="1:8" x14ac:dyDescent="0.25">
      <c r="A66" s="123" t="s">
        <v>335</v>
      </c>
      <c r="B66" s="123" t="s">
        <v>193</v>
      </c>
      <c r="C66">
        <v>5.77</v>
      </c>
      <c r="D66" t="s">
        <v>336</v>
      </c>
      <c r="E66">
        <v>13.25</v>
      </c>
      <c r="F66">
        <v>1607.68</v>
      </c>
      <c r="G66">
        <v>1.5</v>
      </c>
      <c r="H66" t="s">
        <v>325</v>
      </c>
    </row>
    <row r="67" spans="1:8" x14ac:dyDescent="0.25">
      <c r="A67" s="123" t="s">
        <v>337</v>
      </c>
      <c r="B67" s="123" t="s">
        <v>193</v>
      </c>
      <c r="C67">
        <v>6.04</v>
      </c>
      <c r="D67" t="s">
        <v>272</v>
      </c>
      <c r="E67">
        <v>12.98</v>
      </c>
      <c r="F67">
        <v>1551.5</v>
      </c>
      <c r="G67">
        <v>1.3</v>
      </c>
      <c r="H67" t="s">
        <v>325</v>
      </c>
    </row>
    <row r="68" spans="1:8" x14ac:dyDescent="0.25">
      <c r="A68" s="123" t="s">
        <v>338</v>
      </c>
      <c r="B68" s="123" t="s">
        <v>193</v>
      </c>
      <c r="C68">
        <v>6.19</v>
      </c>
      <c r="D68" t="s">
        <v>339</v>
      </c>
      <c r="E68">
        <v>12.63</v>
      </c>
      <c r="F68">
        <v>1503.96</v>
      </c>
      <c r="G68">
        <v>1.17</v>
      </c>
      <c r="H68" t="s">
        <v>340</v>
      </c>
    </row>
    <row r="69" spans="1:8" x14ac:dyDescent="0.25">
      <c r="A69" s="123" t="s">
        <v>341</v>
      </c>
      <c r="B69" s="123" t="s">
        <v>193</v>
      </c>
      <c r="C69">
        <v>6.26</v>
      </c>
      <c r="D69" t="s">
        <v>342</v>
      </c>
      <c r="E69">
        <v>12.26</v>
      </c>
      <c r="F69">
        <v>1463.21</v>
      </c>
      <c r="G69">
        <v>1.1000000000000001</v>
      </c>
      <c r="H69" t="s">
        <v>340</v>
      </c>
    </row>
    <row r="70" spans="1:8" x14ac:dyDescent="0.25">
      <c r="A70" s="123" t="s">
        <v>343</v>
      </c>
      <c r="B70" s="123" t="s">
        <v>193</v>
      </c>
      <c r="C70">
        <v>3.32</v>
      </c>
      <c r="D70" t="s">
        <v>344</v>
      </c>
      <c r="E70">
        <v>12.31</v>
      </c>
      <c r="F70">
        <v>1747.34</v>
      </c>
      <c r="G70">
        <v>3.9</v>
      </c>
      <c r="H70" t="s">
        <v>345</v>
      </c>
    </row>
    <row r="71" spans="1:8" x14ac:dyDescent="0.25">
      <c r="A71" s="123" t="s">
        <v>346</v>
      </c>
      <c r="B71" s="123" t="s">
        <v>193</v>
      </c>
      <c r="C71">
        <v>4.03</v>
      </c>
      <c r="D71" t="s">
        <v>347</v>
      </c>
      <c r="E71">
        <v>12.67</v>
      </c>
      <c r="F71">
        <v>1711.17</v>
      </c>
      <c r="G71">
        <v>3.2</v>
      </c>
      <c r="H71" t="s">
        <v>345</v>
      </c>
    </row>
    <row r="72" spans="1:8" x14ac:dyDescent="0.25">
      <c r="A72" s="123" t="s">
        <v>348</v>
      </c>
      <c r="B72" s="123" t="s">
        <v>197</v>
      </c>
      <c r="C72">
        <v>2.92</v>
      </c>
      <c r="D72">
        <v>4.6399999999999997</v>
      </c>
      <c r="E72">
        <v>13.38</v>
      </c>
      <c r="F72">
        <v>1985</v>
      </c>
      <c r="G72">
        <v>5.72</v>
      </c>
      <c r="H72" t="s">
        <v>340</v>
      </c>
    </row>
    <row r="73" spans="1:8" x14ac:dyDescent="0.25">
      <c r="A73" s="123" t="s">
        <v>349</v>
      </c>
      <c r="B73" s="123" t="s">
        <v>197</v>
      </c>
      <c r="C73">
        <v>4.5999999999999996</v>
      </c>
      <c r="D73" t="s">
        <v>350</v>
      </c>
      <c r="E73">
        <v>12.86</v>
      </c>
      <c r="F73">
        <v>1848</v>
      </c>
      <c r="G73">
        <v>2.2200000000000002</v>
      </c>
      <c r="H73" t="s">
        <v>351</v>
      </c>
    </row>
    <row r="74" spans="1:8" x14ac:dyDescent="0.25">
      <c r="A74" s="123" t="s">
        <v>352</v>
      </c>
      <c r="B74" s="123" t="s">
        <v>197</v>
      </c>
      <c r="C74">
        <v>4.72</v>
      </c>
      <c r="D74" t="s">
        <v>353</v>
      </c>
      <c r="E74">
        <v>13.38</v>
      </c>
      <c r="F74">
        <v>1866.7</v>
      </c>
      <c r="G74">
        <v>2.35</v>
      </c>
      <c r="H74" t="s">
        <v>351</v>
      </c>
    </row>
    <row r="75" spans="1:8" x14ac:dyDescent="0.25">
      <c r="A75" s="123" t="s">
        <v>354</v>
      </c>
      <c r="B75" s="123" t="s">
        <v>197</v>
      </c>
      <c r="C75">
        <v>3.87</v>
      </c>
      <c r="D75" t="s">
        <v>355</v>
      </c>
      <c r="E75">
        <v>15.44</v>
      </c>
      <c r="F75">
        <v>1703.01</v>
      </c>
      <c r="G75">
        <v>10.52</v>
      </c>
      <c r="H75" t="s">
        <v>356</v>
      </c>
    </row>
    <row r="76" spans="1:8" x14ac:dyDescent="0.25">
      <c r="A76" s="123" t="s">
        <v>357</v>
      </c>
      <c r="B76" s="123" t="s">
        <v>203</v>
      </c>
      <c r="C76">
        <v>3.8</v>
      </c>
      <c r="D76">
        <v>-3.34</v>
      </c>
      <c r="E76">
        <v>15.76</v>
      </c>
      <c r="F76">
        <v>1719.92</v>
      </c>
      <c r="G76">
        <v>8.1199999999999992</v>
      </c>
      <c r="H76" t="s">
        <v>356</v>
      </c>
    </row>
    <row r="77" spans="1:8" x14ac:dyDescent="0.25">
      <c r="A77" s="123" t="s">
        <v>358</v>
      </c>
      <c r="B77" s="123" t="s">
        <v>203</v>
      </c>
      <c r="C77">
        <v>3.99</v>
      </c>
      <c r="D77" t="s">
        <v>359</v>
      </c>
      <c r="E77">
        <v>15.98</v>
      </c>
      <c r="F77">
        <v>1777.49</v>
      </c>
      <c r="G77">
        <v>4.96</v>
      </c>
      <c r="H77" t="s">
        <v>356</v>
      </c>
    </row>
    <row r="78" spans="1:8" x14ac:dyDescent="0.25">
      <c r="A78" s="123" t="s">
        <v>360</v>
      </c>
      <c r="B78" s="123" t="s">
        <v>203</v>
      </c>
      <c r="C78">
        <v>4</v>
      </c>
      <c r="D78" t="s">
        <v>361</v>
      </c>
      <c r="E78">
        <v>15.91</v>
      </c>
      <c r="F78">
        <v>1789.79</v>
      </c>
      <c r="G78">
        <v>4.6399999999999997</v>
      </c>
      <c r="H78" t="s">
        <v>356</v>
      </c>
    </row>
    <row r="79" spans="1:8" x14ac:dyDescent="0.25">
      <c r="A79" s="123" t="s">
        <v>362</v>
      </c>
      <c r="B79" s="123" t="s">
        <v>203</v>
      </c>
      <c r="C79">
        <v>4</v>
      </c>
      <c r="D79" t="s">
        <v>363</v>
      </c>
      <c r="E79">
        <v>15.82</v>
      </c>
      <c r="F79">
        <v>1801.4</v>
      </c>
      <c r="G79">
        <v>4.38</v>
      </c>
      <c r="H79" t="s">
        <v>356</v>
      </c>
    </row>
    <row r="80" spans="1:8" x14ac:dyDescent="0.25">
      <c r="A80" s="123" t="s">
        <v>364</v>
      </c>
      <c r="B80" s="123" t="s">
        <v>203</v>
      </c>
      <c r="C80">
        <v>4</v>
      </c>
      <c r="D80" t="s">
        <v>365</v>
      </c>
      <c r="E80">
        <v>15.72</v>
      </c>
      <c r="F80">
        <v>1812.38</v>
      </c>
      <c r="G80">
        <v>4.1900000000000004</v>
      </c>
      <c r="H80" t="s">
        <v>356</v>
      </c>
    </row>
    <row r="81" spans="1:8" x14ac:dyDescent="0.25">
      <c r="A81" s="123" t="s">
        <v>366</v>
      </c>
      <c r="B81" s="123" t="s">
        <v>203</v>
      </c>
      <c r="C81">
        <v>3.99</v>
      </c>
      <c r="D81" t="s">
        <v>367</v>
      </c>
      <c r="E81">
        <v>15.6</v>
      </c>
      <c r="F81">
        <v>1822.77</v>
      </c>
      <c r="G81">
        <v>4.01</v>
      </c>
      <c r="H81" t="s">
        <v>356</v>
      </c>
    </row>
    <row r="82" spans="1:8" x14ac:dyDescent="0.25">
      <c r="A82" s="123" t="s">
        <v>368</v>
      </c>
      <c r="B82" s="123" t="s">
        <v>203</v>
      </c>
      <c r="C82">
        <v>0.92</v>
      </c>
      <c r="D82">
        <v>2.72</v>
      </c>
      <c r="E82">
        <v>13.38</v>
      </c>
      <c r="F82">
        <v>1710</v>
      </c>
      <c r="G82">
        <v>8.41</v>
      </c>
      <c r="H82" t="s">
        <v>340</v>
      </c>
    </row>
    <row r="83" spans="1:8" x14ac:dyDescent="0.25">
      <c r="A83" s="123" t="s">
        <v>369</v>
      </c>
      <c r="B83" s="123" t="s">
        <v>197</v>
      </c>
      <c r="C83">
        <v>0.99</v>
      </c>
      <c r="D83">
        <v>0.44</v>
      </c>
      <c r="E83">
        <v>12.98</v>
      </c>
      <c r="F83">
        <v>1713</v>
      </c>
      <c r="G83">
        <v>50.53</v>
      </c>
      <c r="H83" t="s">
        <v>370</v>
      </c>
    </row>
    <row r="84" spans="1:8" x14ac:dyDescent="0.25">
      <c r="A84" s="123" t="s">
        <v>371</v>
      </c>
      <c r="B84" s="123" t="s">
        <v>203</v>
      </c>
      <c r="C84">
        <v>0.84</v>
      </c>
      <c r="D84">
        <v>2.61</v>
      </c>
      <c r="E84">
        <v>12.89</v>
      </c>
      <c r="F84">
        <v>1784.86</v>
      </c>
      <c r="G84">
        <v>8.82</v>
      </c>
      <c r="H84" t="s">
        <v>370</v>
      </c>
    </row>
    <row r="85" spans="1:8" x14ac:dyDescent="0.25">
      <c r="A85" s="123" t="s">
        <v>372</v>
      </c>
      <c r="B85" s="123" t="s">
        <v>197</v>
      </c>
      <c r="C85">
        <v>0.91</v>
      </c>
      <c r="D85">
        <v>0.1</v>
      </c>
      <c r="E85">
        <v>13.14</v>
      </c>
      <c r="F85">
        <v>1749.11</v>
      </c>
      <c r="G85">
        <v>229.83</v>
      </c>
      <c r="H85" t="s">
        <v>370</v>
      </c>
    </row>
    <row r="86" spans="1:8" x14ac:dyDescent="0.25">
      <c r="A86" s="123" t="s">
        <v>373</v>
      </c>
      <c r="B86" s="123" t="s">
        <v>203</v>
      </c>
      <c r="C86">
        <v>0.83</v>
      </c>
      <c r="D86">
        <v>4.6900000000000004</v>
      </c>
      <c r="E86">
        <v>12.97</v>
      </c>
      <c r="F86">
        <v>1654.88</v>
      </c>
      <c r="G86">
        <v>4.58</v>
      </c>
      <c r="H86" t="s">
        <v>370</v>
      </c>
    </row>
    <row r="87" spans="1:8" x14ac:dyDescent="0.25">
      <c r="A87" s="123" t="s">
        <v>374</v>
      </c>
      <c r="B87" s="123" t="s">
        <v>197</v>
      </c>
      <c r="C87">
        <v>0.95</v>
      </c>
      <c r="D87">
        <v>3.88</v>
      </c>
      <c r="E87">
        <v>12.97</v>
      </c>
      <c r="F87">
        <v>1680.88</v>
      </c>
      <c r="G87">
        <v>5.61</v>
      </c>
      <c r="H87" t="s">
        <v>370</v>
      </c>
    </row>
    <row r="88" spans="1:8" x14ac:dyDescent="0.25">
      <c r="A88" s="123" t="s">
        <v>375</v>
      </c>
      <c r="B88" s="123" t="s">
        <v>203</v>
      </c>
      <c r="C88">
        <v>0.97</v>
      </c>
      <c r="D88">
        <v>2.37</v>
      </c>
      <c r="E88">
        <v>13.14</v>
      </c>
      <c r="F88">
        <v>1697</v>
      </c>
      <c r="G88">
        <v>9.4</v>
      </c>
      <c r="H88" t="s">
        <v>370</v>
      </c>
    </row>
    <row r="89" spans="1:8" x14ac:dyDescent="0.25">
      <c r="A89" s="123" t="s">
        <v>376</v>
      </c>
      <c r="B89" s="123" t="s">
        <v>203</v>
      </c>
      <c r="C89">
        <v>0.94</v>
      </c>
      <c r="D89">
        <v>3.56</v>
      </c>
      <c r="E89">
        <v>13.14</v>
      </c>
      <c r="F89">
        <v>1729.33</v>
      </c>
      <c r="G89">
        <v>6.38</v>
      </c>
      <c r="H89" t="s">
        <v>370</v>
      </c>
    </row>
    <row r="90" spans="1:8" x14ac:dyDescent="0.25">
      <c r="A90" s="123" t="s">
        <v>377</v>
      </c>
      <c r="B90" s="123" t="s">
        <v>193</v>
      </c>
      <c r="C90">
        <v>2.27</v>
      </c>
      <c r="D90" t="s">
        <v>378</v>
      </c>
      <c r="E90">
        <v>11.5</v>
      </c>
      <c r="F90">
        <v>3177.6</v>
      </c>
      <c r="G90">
        <v>5.62</v>
      </c>
      <c r="H90" t="s">
        <v>379</v>
      </c>
    </row>
    <row r="91" spans="1:8" x14ac:dyDescent="0.25">
      <c r="A91" s="123" t="s">
        <v>380</v>
      </c>
      <c r="B91" s="123" t="s">
        <v>193</v>
      </c>
      <c r="C91">
        <v>3.18</v>
      </c>
      <c r="D91" t="s">
        <v>381</v>
      </c>
      <c r="E91">
        <v>13.33</v>
      </c>
      <c r="F91">
        <v>2950.49</v>
      </c>
      <c r="G91">
        <v>8.67</v>
      </c>
      <c r="H91" t="s">
        <v>379</v>
      </c>
    </row>
    <row r="92" spans="1:8" x14ac:dyDescent="0.25">
      <c r="A92" s="123" t="s">
        <v>382</v>
      </c>
      <c r="B92" s="123" t="s">
        <v>383</v>
      </c>
      <c r="C92">
        <v>4.0599999999999996</v>
      </c>
      <c r="D92" t="s">
        <v>384</v>
      </c>
      <c r="E92">
        <v>12.83</v>
      </c>
      <c r="F92">
        <v>1866.47</v>
      </c>
      <c r="G92">
        <v>2.69</v>
      </c>
      <c r="H92" t="s">
        <v>385</v>
      </c>
    </row>
    <row r="93" spans="1:8" x14ac:dyDescent="0.25">
      <c r="A93" s="123" t="s">
        <v>386</v>
      </c>
      <c r="B93" s="123" t="s">
        <v>197</v>
      </c>
      <c r="C93">
        <v>4.0599999999999996</v>
      </c>
      <c r="D93" t="s">
        <v>387</v>
      </c>
      <c r="E93">
        <v>13.47</v>
      </c>
      <c r="F93">
        <v>1799.24</v>
      </c>
      <c r="G93">
        <v>2.72</v>
      </c>
      <c r="H93" t="s">
        <v>388</v>
      </c>
    </row>
    <row r="94" spans="1:8" x14ac:dyDescent="0.25">
      <c r="A94" s="123" t="s">
        <v>389</v>
      </c>
      <c r="B94" s="123" t="s">
        <v>193</v>
      </c>
      <c r="C94">
        <v>6.43</v>
      </c>
      <c r="D94" t="s">
        <v>390</v>
      </c>
      <c r="E94">
        <v>14.9</v>
      </c>
      <c r="F94">
        <v>1680.12</v>
      </c>
      <c r="G94">
        <v>1.39</v>
      </c>
      <c r="H94" t="s">
        <v>391</v>
      </c>
    </row>
    <row r="95" spans="1:8" x14ac:dyDescent="0.25">
      <c r="A95" s="123" t="s">
        <v>392</v>
      </c>
      <c r="B95" s="123" t="s">
        <v>197</v>
      </c>
      <c r="C95">
        <v>2.92</v>
      </c>
      <c r="D95" t="s">
        <v>393</v>
      </c>
      <c r="E95">
        <v>12.83</v>
      </c>
      <c r="F95">
        <v>1932.67</v>
      </c>
      <c r="G95">
        <v>5.97</v>
      </c>
      <c r="H95" t="s">
        <v>385</v>
      </c>
    </row>
    <row r="96" spans="1:8" x14ac:dyDescent="0.25">
      <c r="A96" s="123" t="s">
        <v>394</v>
      </c>
      <c r="B96" s="123" t="s">
        <v>197</v>
      </c>
      <c r="C96">
        <v>3.74</v>
      </c>
      <c r="D96" t="s">
        <v>395</v>
      </c>
      <c r="E96">
        <v>13.44</v>
      </c>
      <c r="F96">
        <v>1820.81</v>
      </c>
      <c r="G96">
        <v>3.37</v>
      </c>
      <c r="H96" t="s">
        <v>385</v>
      </c>
    </row>
    <row r="97" spans="1:8" x14ac:dyDescent="0.25">
      <c r="A97" s="123" t="s">
        <v>396</v>
      </c>
      <c r="B97" s="123" t="s">
        <v>203</v>
      </c>
      <c r="C97">
        <v>4.95</v>
      </c>
      <c r="D97" t="s">
        <v>397</v>
      </c>
      <c r="E97">
        <v>15.6</v>
      </c>
      <c r="F97">
        <v>1633.31</v>
      </c>
      <c r="G97">
        <v>5.7</v>
      </c>
      <c r="H97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Charges</vt:lpstr>
      <vt:lpstr>Thermodynamics</vt:lpstr>
      <vt:lpstr>HeatOfMixing</vt:lpstr>
      <vt:lpstr>Easy calculators</vt:lpstr>
      <vt:lpstr>Sheet1</vt:lpstr>
      <vt:lpstr>Sheet2</vt:lpstr>
      <vt:lpstr>Sheet3</vt:lpstr>
      <vt:lpstr>Sheet3!YangZhang_HEA_data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2015-05-04T04:19:31Z</dcterms:modified>
</cp:coreProperties>
</file>