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"/>
    </mc:Choice>
  </mc:AlternateContent>
  <xr:revisionPtr revIDLastSave="0" documentId="8_{0540099E-294A-47EC-9CB8-93A6BE7BED48}" xr6:coauthVersionLast="46" xr6:coauthVersionMax="46" xr10:uidLastSave="{00000000-0000-0000-0000-000000000000}"/>
  <bookViews>
    <workbookView xWindow="720" yWindow="192" windowWidth="15288" windowHeight="12252" activeTab="1" xr2:uid="{00000000-000D-0000-FFFF-FFFF00000000}"/>
  </bookViews>
  <sheets>
    <sheet name="Number of Children Served" sheetId="1" r:id="rId1"/>
    <sheet name="Annual Served" sheetId="52" r:id="rId2"/>
    <sheet name="Applications-Jan.20" sheetId="39" r:id="rId3"/>
    <sheet name="Applications-Feb.20" sheetId="40" r:id="rId4"/>
    <sheet name="Applications-Mar.20" sheetId="41" r:id="rId5"/>
    <sheet name="Applications-Apr. 20" sheetId="42" r:id="rId6"/>
    <sheet name="Applications-May 20" sheetId="43" r:id="rId7"/>
    <sheet name="Applications-June 20" sheetId="44" r:id="rId8"/>
    <sheet name="Applications-July 20" sheetId="45" r:id="rId9"/>
    <sheet name="Applications-August 20" sheetId="46" r:id="rId10"/>
    <sheet name="Applications - Sept 20" sheetId="48" r:id="rId11"/>
    <sheet name="Applications - Oct 20" sheetId="49" r:id="rId12"/>
    <sheet name="Applications -Nov 20 " sheetId="50" r:id="rId13"/>
    <sheet name="Applications -Dec 20" sheetId="51" r:id="rId14"/>
    <sheet name="Applications-June" sheetId="15" state="hidden" r:id="rId15"/>
  </sheets>
  <definedNames>
    <definedName name="_xlnm.Print_Area" localSheetId="11">'Applications - Oct 20'!$A$1:$H$82</definedName>
    <definedName name="_xlnm.Print_Area" localSheetId="10">'Applications - Sept 20'!$A$1:$H$82</definedName>
    <definedName name="_xlnm.Print_Area" localSheetId="13">'Applications -Dec 20'!$A$1:$H$82</definedName>
    <definedName name="_xlnm.Print_Area" localSheetId="12">'Applications -Nov 20 '!$A$1:$H$82</definedName>
    <definedName name="_xlnm.Print_Area" localSheetId="5">'Applications-Apr. 20'!$A$1:$H$82</definedName>
    <definedName name="_xlnm.Print_Area" localSheetId="9">'Applications-August 20'!$A$1:$H$82</definedName>
    <definedName name="_xlnm.Print_Area" localSheetId="3">'Applications-Feb.20'!$A$1:$H$82</definedName>
    <definedName name="_xlnm.Print_Area" localSheetId="2">'Applications-Jan.20'!$A$1:$H$82</definedName>
    <definedName name="_xlnm.Print_Area" localSheetId="8">'Applications-July 20'!$A$1:$H$82</definedName>
    <definedName name="_xlnm.Print_Area" localSheetId="7">'Applications-June 20'!$A$1:$H$82</definedName>
    <definedName name="_xlnm.Print_Area" localSheetId="4">'Applications-Mar.20'!$A$1:$H$82</definedName>
    <definedName name="_xlnm.Print_Area" localSheetId="6">'Applications-May 20'!$A$1:$H$82</definedName>
    <definedName name="_xlnm.Print_Area" localSheetId="0">'Number of Children Served'!$A$57:$R$67</definedName>
    <definedName name="_xlnm.Print_Titles" localSheetId="14">'Applications-June'!$1:$7</definedName>
    <definedName name="_xlnm.Print_Titles" localSheetId="0">'Number of Children Served'!$1:$9</definedName>
  </definedNames>
  <calcPr calcId="191029"/>
</workbook>
</file>

<file path=xl/calcChain.xml><?xml version="1.0" encoding="utf-8"?>
<calcChain xmlns="http://schemas.openxmlformats.org/spreadsheetml/2006/main">
  <c r="N72" i="52" l="1"/>
  <c r="N10" i="52"/>
  <c r="N11" i="52"/>
  <c r="N12" i="52"/>
  <c r="N13" i="52"/>
  <c r="N14" i="52"/>
  <c r="N15" i="52"/>
  <c r="N16" i="52"/>
  <c r="N17" i="52"/>
  <c r="N18" i="52"/>
  <c r="N19" i="52"/>
  <c r="N20" i="52"/>
  <c r="N21" i="52"/>
  <c r="N22" i="52"/>
  <c r="N23" i="52"/>
  <c r="N24" i="52"/>
  <c r="N25" i="52"/>
  <c r="N26" i="52"/>
  <c r="N27" i="52"/>
  <c r="N28" i="52"/>
  <c r="N29" i="52"/>
  <c r="N30" i="52"/>
  <c r="N31" i="52"/>
  <c r="N32" i="52"/>
  <c r="N33" i="52"/>
  <c r="N34" i="52"/>
  <c r="N35" i="52"/>
  <c r="N36" i="52"/>
  <c r="N37" i="52"/>
  <c r="N38" i="52"/>
  <c r="N39" i="52"/>
  <c r="N40" i="52"/>
  <c r="N41" i="52"/>
  <c r="N42" i="52"/>
  <c r="N43" i="52"/>
  <c r="N44" i="52"/>
  <c r="N45" i="52"/>
  <c r="N46" i="52"/>
  <c r="N47" i="52"/>
  <c r="N48" i="52"/>
  <c r="N49" i="52"/>
  <c r="N50" i="52"/>
  <c r="N51" i="52"/>
  <c r="N52" i="52"/>
  <c r="N53" i="52"/>
  <c r="N54" i="52"/>
  <c r="N55" i="52"/>
  <c r="N56" i="52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N70" i="52"/>
  <c r="N71" i="52"/>
  <c r="N9" i="52"/>
  <c r="N8" i="52"/>
  <c r="M72" i="52"/>
  <c r="L72" i="52"/>
  <c r="K72" i="52"/>
  <c r="J72" i="52"/>
  <c r="I72" i="52"/>
  <c r="H72" i="52"/>
  <c r="G72" i="52"/>
  <c r="F72" i="52"/>
  <c r="H72" i="44"/>
  <c r="E72" i="52"/>
  <c r="D72" i="52"/>
  <c r="C72" i="52"/>
  <c r="B72" i="52"/>
  <c r="D78" i="1"/>
  <c r="E78" i="1"/>
  <c r="F78" i="1"/>
  <c r="G78" i="1"/>
  <c r="H78" i="1"/>
  <c r="H76" i="1" s="1"/>
  <c r="H79" i="1" s="1"/>
  <c r="I78" i="1"/>
  <c r="J78" i="1"/>
  <c r="K78" i="1"/>
  <c r="K76" i="1" s="1"/>
  <c r="L78" i="1"/>
  <c r="M78" i="1"/>
  <c r="N78" i="1"/>
  <c r="O78" i="1"/>
  <c r="P78" i="1"/>
  <c r="P76" i="1" s="1"/>
  <c r="Q78" i="1"/>
  <c r="B76" i="1"/>
  <c r="B79" i="1" s="1"/>
  <c r="G9" i="51"/>
  <c r="G10" i="51"/>
  <c r="G12" i="51"/>
  <c r="G13" i="51"/>
  <c r="G14" i="51"/>
  <c r="G15" i="51"/>
  <c r="G16" i="51"/>
  <c r="G17" i="51"/>
  <c r="G18" i="51"/>
  <c r="G21" i="51"/>
  <c r="G22" i="51"/>
  <c r="G23" i="51"/>
  <c r="G24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9" i="51"/>
  <c r="G50" i="51"/>
  <c r="G51" i="51"/>
  <c r="G52" i="51"/>
  <c r="G54" i="51"/>
  <c r="G55" i="51"/>
  <c r="G56" i="51"/>
  <c r="G57" i="51"/>
  <c r="G58" i="51"/>
  <c r="G59" i="51"/>
  <c r="G60" i="51"/>
  <c r="G62" i="51"/>
  <c r="G63" i="51"/>
  <c r="G64" i="51"/>
  <c r="G65" i="51"/>
  <c r="G66" i="51"/>
  <c r="G67" i="51"/>
  <c r="G68" i="51"/>
  <c r="G69" i="51"/>
  <c r="G70" i="51"/>
  <c r="G71" i="51"/>
  <c r="F69" i="51"/>
  <c r="F54" i="51"/>
  <c r="F55" i="51"/>
  <c r="F56" i="51"/>
  <c r="F57" i="51"/>
  <c r="F45" i="51"/>
  <c r="F46" i="51"/>
  <c r="F47" i="51"/>
  <c r="F37" i="51"/>
  <c r="F18" i="51"/>
  <c r="F21" i="51"/>
  <c r="F22" i="51"/>
  <c r="F9" i="51"/>
  <c r="H72" i="51"/>
  <c r="E72" i="51"/>
  <c r="D72" i="51"/>
  <c r="C72" i="51"/>
  <c r="B72" i="51"/>
  <c r="F71" i="51"/>
  <c r="F70" i="51"/>
  <c r="F68" i="51"/>
  <c r="F67" i="51"/>
  <c r="F66" i="51"/>
  <c r="F65" i="51"/>
  <c r="F64" i="51"/>
  <c r="F63" i="51"/>
  <c r="F62" i="51"/>
  <c r="F60" i="51"/>
  <c r="F59" i="51"/>
  <c r="F58" i="51"/>
  <c r="F52" i="51"/>
  <c r="F51" i="51"/>
  <c r="F50" i="51"/>
  <c r="F49" i="51"/>
  <c r="F44" i="51"/>
  <c r="F43" i="51"/>
  <c r="F42" i="51"/>
  <c r="F41" i="51"/>
  <c r="F40" i="51"/>
  <c r="F39" i="51"/>
  <c r="F38" i="51"/>
  <c r="F36" i="51"/>
  <c r="F35" i="51"/>
  <c r="F34" i="51"/>
  <c r="F33" i="51"/>
  <c r="F32" i="51"/>
  <c r="F31" i="51"/>
  <c r="F30" i="51"/>
  <c r="F29" i="51"/>
  <c r="F28" i="51"/>
  <c r="F27" i="51"/>
  <c r="F26" i="51"/>
  <c r="F24" i="51"/>
  <c r="F23" i="51"/>
  <c r="F17" i="51"/>
  <c r="F16" i="51"/>
  <c r="F15" i="51"/>
  <c r="F14" i="51"/>
  <c r="F13" i="51"/>
  <c r="F12" i="51"/>
  <c r="F10" i="51"/>
  <c r="G8" i="51"/>
  <c r="F8" i="51"/>
  <c r="Q76" i="1"/>
  <c r="O76" i="1"/>
  <c r="N76" i="1"/>
  <c r="M76" i="1"/>
  <c r="L76" i="1"/>
  <c r="J76" i="1"/>
  <c r="I76" i="1"/>
  <c r="I79" i="1"/>
  <c r="G76" i="1"/>
  <c r="G79" i="1"/>
  <c r="F76" i="1"/>
  <c r="F79" i="1" s="1"/>
  <c r="E76" i="1"/>
  <c r="E79" i="1" s="1"/>
  <c r="D76" i="1"/>
  <c r="D79" i="1"/>
  <c r="D70" i="1"/>
  <c r="D64" i="1"/>
  <c r="D67" i="1" s="1"/>
  <c r="B70" i="1"/>
  <c r="B73" i="1" s="1"/>
  <c r="D73" i="1"/>
  <c r="G72" i="51"/>
  <c r="F72" i="51"/>
  <c r="C66" i="1"/>
  <c r="K67" i="1"/>
  <c r="C72" i="1"/>
  <c r="C70" i="1" s="1"/>
  <c r="C73" i="1" s="1"/>
  <c r="Q70" i="1"/>
  <c r="P70" i="1"/>
  <c r="O70" i="1"/>
  <c r="N70" i="1"/>
  <c r="M70" i="1"/>
  <c r="M73" i="1" s="1"/>
  <c r="L70" i="1"/>
  <c r="L73" i="1" s="1"/>
  <c r="K70" i="1"/>
  <c r="K73" i="1"/>
  <c r="J70" i="1"/>
  <c r="J73" i="1" s="1"/>
  <c r="I70" i="1"/>
  <c r="I73" i="1" s="1"/>
  <c r="H70" i="1"/>
  <c r="H73" i="1"/>
  <c r="G70" i="1"/>
  <c r="G73" i="1" s="1"/>
  <c r="F70" i="1"/>
  <c r="F73" i="1" s="1"/>
  <c r="E70" i="1"/>
  <c r="E73" i="1" s="1"/>
  <c r="G69" i="50"/>
  <c r="G18" i="50"/>
  <c r="G19" i="50"/>
  <c r="G20" i="50"/>
  <c r="G23" i="50"/>
  <c r="F46" i="50"/>
  <c r="F47" i="50"/>
  <c r="F49" i="50"/>
  <c r="F50" i="50"/>
  <c r="F19" i="50"/>
  <c r="G71" i="50"/>
  <c r="F71" i="50"/>
  <c r="G70" i="50"/>
  <c r="F70" i="50"/>
  <c r="G68" i="50"/>
  <c r="F68" i="50"/>
  <c r="G67" i="50"/>
  <c r="F67" i="50"/>
  <c r="G66" i="50"/>
  <c r="F66" i="50"/>
  <c r="G65" i="50"/>
  <c r="F65" i="50"/>
  <c r="G64" i="50"/>
  <c r="F64" i="50"/>
  <c r="G63" i="50"/>
  <c r="F63" i="50"/>
  <c r="G62" i="50"/>
  <c r="F62" i="50"/>
  <c r="G60" i="50"/>
  <c r="F60" i="50"/>
  <c r="G59" i="50"/>
  <c r="F59" i="50"/>
  <c r="G58" i="50"/>
  <c r="F58" i="50"/>
  <c r="G57" i="50"/>
  <c r="F57" i="50"/>
  <c r="G56" i="50"/>
  <c r="F56" i="50"/>
  <c r="G55" i="50"/>
  <c r="F55" i="50"/>
  <c r="G54" i="50"/>
  <c r="F54" i="50"/>
  <c r="G53" i="50"/>
  <c r="F53" i="50"/>
  <c r="G52" i="50"/>
  <c r="F52" i="50"/>
  <c r="G51" i="50"/>
  <c r="F51" i="50"/>
  <c r="G50" i="50"/>
  <c r="G49" i="50"/>
  <c r="G47" i="50"/>
  <c r="G46" i="50"/>
  <c r="G44" i="50"/>
  <c r="F44" i="50"/>
  <c r="G43" i="50"/>
  <c r="F43" i="50"/>
  <c r="G42" i="50"/>
  <c r="F42" i="50"/>
  <c r="G41" i="50"/>
  <c r="F41" i="50"/>
  <c r="G40" i="50"/>
  <c r="F40" i="50"/>
  <c r="G39" i="50"/>
  <c r="F39" i="50"/>
  <c r="G38" i="50"/>
  <c r="F38" i="50"/>
  <c r="G36" i="50"/>
  <c r="F36" i="50"/>
  <c r="G35" i="50"/>
  <c r="F35" i="50"/>
  <c r="G34" i="50"/>
  <c r="F34" i="50"/>
  <c r="G33" i="50"/>
  <c r="F33" i="50"/>
  <c r="G32" i="50"/>
  <c r="F32" i="50"/>
  <c r="G31" i="50"/>
  <c r="F31" i="50"/>
  <c r="G30" i="50"/>
  <c r="F30" i="50"/>
  <c r="G29" i="50"/>
  <c r="F29" i="50"/>
  <c r="G28" i="50"/>
  <c r="F28" i="50"/>
  <c r="G27" i="50"/>
  <c r="F27" i="50"/>
  <c r="G26" i="50"/>
  <c r="F26" i="50"/>
  <c r="G25" i="50"/>
  <c r="F25" i="50"/>
  <c r="G24" i="50"/>
  <c r="F24" i="50"/>
  <c r="F23" i="50"/>
  <c r="F20" i="50"/>
  <c r="F18" i="50"/>
  <c r="G17" i="50"/>
  <c r="F17" i="50"/>
  <c r="G16" i="50"/>
  <c r="F16" i="50"/>
  <c r="G15" i="50"/>
  <c r="F15" i="50"/>
  <c r="G14" i="50"/>
  <c r="F14" i="50"/>
  <c r="G13" i="50"/>
  <c r="F13" i="50"/>
  <c r="G12" i="50"/>
  <c r="F12" i="50"/>
  <c r="G11" i="50"/>
  <c r="F11" i="50"/>
  <c r="G10" i="50"/>
  <c r="F10" i="50"/>
  <c r="G8" i="50"/>
  <c r="F8" i="50"/>
  <c r="H72" i="50"/>
  <c r="E72" i="50"/>
  <c r="G72" i="50" s="1"/>
  <c r="D72" i="50"/>
  <c r="F72" i="50" s="1"/>
  <c r="C72" i="50"/>
  <c r="B72" i="50"/>
  <c r="Q64" i="1"/>
  <c r="P64" i="1"/>
  <c r="O64" i="1"/>
  <c r="N64" i="1"/>
  <c r="M64" i="1"/>
  <c r="L64" i="1"/>
  <c r="L67" i="1" s="1"/>
  <c r="K64" i="1"/>
  <c r="J64" i="1"/>
  <c r="J67" i="1" s="1"/>
  <c r="I64" i="1"/>
  <c r="I67" i="1" s="1"/>
  <c r="H64" i="1"/>
  <c r="H67" i="1" s="1"/>
  <c r="G64" i="1"/>
  <c r="G67" i="1" s="1"/>
  <c r="F64" i="1"/>
  <c r="F67" i="1" s="1"/>
  <c r="E64" i="1"/>
  <c r="C64" i="1" s="1"/>
  <c r="C67" i="1" s="1"/>
  <c r="B64" i="1"/>
  <c r="B67" i="1" s="1"/>
  <c r="G65" i="49"/>
  <c r="G66" i="49"/>
  <c r="G67" i="49"/>
  <c r="G68" i="49"/>
  <c r="G70" i="49"/>
  <c r="G71" i="49"/>
  <c r="G53" i="49"/>
  <c r="G27" i="49"/>
  <c r="G22" i="49"/>
  <c r="G18" i="49"/>
  <c r="G13" i="49"/>
  <c r="G11" i="49"/>
  <c r="G9" i="49"/>
  <c r="F70" i="49"/>
  <c r="F71" i="49"/>
  <c r="F20" i="49"/>
  <c r="F11" i="49"/>
  <c r="F12" i="49"/>
  <c r="F13" i="49"/>
  <c r="F14" i="49"/>
  <c r="F9" i="49"/>
  <c r="F68" i="49"/>
  <c r="F67" i="49"/>
  <c r="F66" i="49"/>
  <c r="F65" i="49"/>
  <c r="G64" i="49"/>
  <c r="F64" i="49"/>
  <c r="G63" i="49"/>
  <c r="F63" i="49"/>
  <c r="G62" i="49"/>
  <c r="F62" i="49"/>
  <c r="G60" i="49"/>
  <c r="F60" i="49"/>
  <c r="G59" i="49"/>
  <c r="F59" i="49"/>
  <c r="G58" i="49"/>
  <c r="F58" i="49"/>
  <c r="G57" i="49"/>
  <c r="F57" i="49"/>
  <c r="G56" i="49"/>
  <c r="F56" i="49"/>
  <c r="G55" i="49"/>
  <c r="F55" i="49"/>
  <c r="G54" i="49"/>
  <c r="F54" i="49"/>
  <c r="F53" i="49"/>
  <c r="G52" i="49"/>
  <c r="F52" i="49"/>
  <c r="G51" i="49"/>
  <c r="F51" i="49"/>
  <c r="G50" i="49"/>
  <c r="F50" i="49"/>
  <c r="G49" i="49"/>
  <c r="F49" i="49"/>
  <c r="G48" i="49"/>
  <c r="F48" i="49"/>
  <c r="G47" i="49"/>
  <c r="F47" i="49"/>
  <c r="G46" i="49"/>
  <c r="F46" i="49"/>
  <c r="G45" i="49"/>
  <c r="F45" i="49"/>
  <c r="G44" i="49"/>
  <c r="F44" i="49"/>
  <c r="G43" i="49"/>
  <c r="F43" i="49"/>
  <c r="G42" i="49"/>
  <c r="F42" i="49"/>
  <c r="G41" i="49"/>
  <c r="F41" i="49"/>
  <c r="G40" i="49"/>
  <c r="F40" i="49"/>
  <c r="G39" i="49"/>
  <c r="F39" i="49"/>
  <c r="G38" i="49"/>
  <c r="F38" i="49"/>
  <c r="G36" i="49"/>
  <c r="F36" i="49"/>
  <c r="G35" i="49"/>
  <c r="F35" i="49"/>
  <c r="G34" i="49"/>
  <c r="F34" i="49"/>
  <c r="G33" i="49"/>
  <c r="F33" i="49"/>
  <c r="G32" i="49"/>
  <c r="F32" i="49"/>
  <c r="G31" i="49"/>
  <c r="F31" i="49"/>
  <c r="G30" i="49"/>
  <c r="F30" i="49"/>
  <c r="G29" i="49"/>
  <c r="F29" i="49"/>
  <c r="G28" i="49"/>
  <c r="F28" i="49"/>
  <c r="F27" i="49"/>
  <c r="G26" i="49"/>
  <c r="F26" i="49"/>
  <c r="G25" i="49"/>
  <c r="F25" i="49"/>
  <c r="G24" i="49"/>
  <c r="F24" i="49"/>
  <c r="G23" i="49"/>
  <c r="F23" i="49"/>
  <c r="F22" i="49"/>
  <c r="G21" i="49"/>
  <c r="F21" i="49"/>
  <c r="G20" i="49"/>
  <c r="F18" i="49"/>
  <c r="G17" i="49"/>
  <c r="F17" i="49"/>
  <c r="G16" i="49"/>
  <c r="F16" i="49"/>
  <c r="G15" i="49"/>
  <c r="F15" i="49"/>
  <c r="G14" i="49"/>
  <c r="G12" i="49"/>
  <c r="G10" i="49"/>
  <c r="F10" i="49"/>
  <c r="G8" i="49"/>
  <c r="F8" i="49"/>
  <c r="C59" i="1"/>
  <c r="H72" i="49"/>
  <c r="E72" i="49"/>
  <c r="G72" i="49" s="1"/>
  <c r="D72" i="49"/>
  <c r="C72" i="49"/>
  <c r="B72" i="49"/>
  <c r="F72" i="49"/>
  <c r="C61" i="1"/>
  <c r="B61" i="1"/>
  <c r="G70" i="48"/>
  <c r="G58" i="48"/>
  <c r="G48" i="48"/>
  <c r="G40" i="48"/>
  <c r="G32" i="48"/>
  <c r="G25" i="48"/>
  <c r="G18" i="48"/>
  <c r="F70" i="48"/>
  <c r="F65" i="48"/>
  <c r="F58" i="48"/>
  <c r="F53" i="48"/>
  <c r="F48" i="48"/>
  <c r="F32" i="48"/>
  <c r="F25" i="48"/>
  <c r="F18" i="48"/>
  <c r="H72" i="48"/>
  <c r="B72" i="48"/>
  <c r="C72" i="48"/>
  <c r="G72" i="48" s="1"/>
  <c r="D72" i="48"/>
  <c r="E72" i="48"/>
  <c r="G71" i="48"/>
  <c r="F71" i="48"/>
  <c r="G68" i="48"/>
  <c r="F68" i="48"/>
  <c r="G67" i="48"/>
  <c r="F67" i="48"/>
  <c r="G66" i="48"/>
  <c r="F66" i="48"/>
  <c r="G65" i="48"/>
  <c r="G64" i="48"/>
  <c r="F64" i="48"/>
  <c r="G63" i="48"/>
  <c r="F63" i="48"/>
  <c r="G62" i="48"/>
  <c r="F62" i="48"/>
  <c r="G60" i="48"/>
  <c r="F60" i="48"/>
  <c r="G59" i="48"/>
  <c r="F59" i="48"/>
  <c r="G57" i="48"/>
  <c r="F57" i="48"/>
  <c r="G56" i="48"/>
  <c r="F56" i="48"/>
  <c r="G55" i="48"/>
  <c r="F55" i="48"/>
  <c r="G54" i="48"/>
  <c r="F54" i="48"/>
  <c r="G53" i="48"/>
  <c r="G52" i="48"/>
  <c r="F52" i="48"/>
  <c r="G51" i="48"/>
  <c r="F51" i="48"/>
  <c r="G50" i="48"/>
  <c r="F50" i="48"/>
  <c r="G49" i="48"/>
  <c r="F49" i="48"/>
  <c r="G47" i="48"/>
  <c r="F47" i="48"/>
  <c r="G46" i="48"/>
  <c r="F46" i="48"/>
  <c r="G45" i="48"/>
  <c r="F45" i="48"/>
  <c r="G44" i="48"/>
  <c r="F44" i="48"/>
  <c r="G43" i="48"/>
  <c r="F43" i="48"/>
  <c r="G42" i="48"/>
  <c r="F42" i="48"/>
  <c r="G41" i="48"/>
  <c r="F41" i="48"/>
  <c r="F40" i="48"/>
  <c r="G39" i="48"/>
  <c r="F39" i="48"/>
  <c r="G38" i="48"/>
  <c r="F38" i="48"/>
  <c r="G36" i="48"/>
  <c r="F36" i="48"/>
  <c r="G35" i="48"/>
  <c r="F35" i="48"/>
  <c r="G34" i="48"/>
  <c r="F34" i="48"/>
  <c r="G33" i="48"/>
  <c r="F33" i="48"/>
  <c r="G31" i="48"/>
  <c r="F31" i="48"/>
  <c r="G30" i="48"/>
  <c r="F30" i="48"/>
  <c r="G29" i="48"/>
  <c r="F29" i="48"/>
  <c r="G28" i="48"/>
  <c r="F28" i="48"/>
  <c r="G27" i="48"/>
  <c r="F27" i="48"/>
  <c r="G26" i="48"/>
  <c r="F26" i="48"/>
  <c r="G24" i="48"/>
  <c r="F24" i="48"/>
  <c r="G23" i="48"/>
  <c r="F23" i="48"/>
  <c r="G22" i="48"/>
  <c r="F22" i="48"/>
  <c r="G21" i="48"/>
  <c r="F21" i="48"/>
  <c r="G20" i="48"/>
  <c r="F20" i="48"/>
  <c r="G17" i="48"/>
  <c r="F17" i="48"/>
  <c r="G16" i="48"/>
  <c r="F16" i="48"/>
  <c r="G15" i="48"/>
  <c r="F15" i="48"/>
  <c r="G14" i="48"/>
  <c r="F14" i="48"/>
  <c r="G13" i="48"/>
  <c r="F13" i="48"/>
  <c r="G12" i="48"/>
  <c r="F12" i="48"/>
  <c r="G10" i="48"/>
  <c r="F10" i="48"/>
  <c r="G8" i="48"/>
  <c r="F8" i="48"/>
  <c r="E61" i="1"/>
  <c r="F61" i="1"/>
  <c r="G61" i="1"/>
  <c r="H61" i="1"/>
  <c r="I61" i="1"/>
  <c r="J61" i="1"/>
  <c r="K61" i="1"/>
  <c r="L61" i="1"/>
  <c r="M61" i="1"/>
  <c r="D61" i="1"/>
  <c r="F72" i="48"/>
  <c r="F43" i="46"/>
  <c r="F44" i="46"/>
  <c r="F45" i="46"/>
  <c r="F46" i="46"/>
  <c r="F47" i="46"/>
  <c r="F49" i="46"/>
  <c r="F50" i="46"/>
  <c r="F51" i="46"/>
  <c r="F52" i="46"/>
  <c r="F53" i="46"/>
  <c r="F54" i="46"/>
  <c r="F55" i="46"/>
  <c r="F56" i="46"/>
  <c r="F57" i="46"/>
  <c r="F59" i="46"/>
  <c r="F60" i="46"/>
  <c r="F62" i="46"/>
  <c r="F63" i="46"/>
  <c r="F64" i="46"/>
  <c r="F65" i="46"/>
  <c r="F66" i="46"/>
  <c r="F67" i="46"/>
  <c r="F68" i="46"/>
  <c r="F71" i="46"/>
  <c r="F41" i="46"/>
  <c r="F40" i="46"/>
  <c r="G50" i="46"/>
  <c r="G41" i="46"/>
  <c r="G20" i="46"/>
  <c r="G35" i="46"/>
  <c r="G23" i="46"/>
  <c r="G29" i="46"/>
  <c r="G21" i="46"/>
  <c r="G22" i="46"/>
  <c r="F20" i="46"/>
  <c r="H72" i="46"/>
  <c r="E72" i="46"/>
  <c r="G72" i="46" s="1"/>
  <c r="D72" i="46"/>
  <c r="C72" i="46"/>
  <c r="B72" i="46"/>
  <c r="G71" i="46"/>
  <c r="G68" i="46"/>
  <c r="G67" i="46"/>
  <c r="G66" i="46"/>
  <c r="G65" i="46"/>
  <c r="G64" i="46"/>
  <c r="G63" i="46"/>
  <c r="G62" i="46"/>
  <c r="G60" i="46"/>
  <c r="G59" i="46"/>
  <c r="G57" i="46"/>
  <c r="G56" i="46"/>
  <c r="G55" i="46"/>
  <c r="G54" i="46"/>
  <c r="G53" i="46"/>
  <c r="G52" i="46"/>
  <c r="G51" i="46"/>
  <c r="G49" i="46"/>
  <c r="G47" i="46"/>
  <c r="G46" i="46"/>
  <c r="G45" i="46"/>
  <c r="G44" i="46"/>
  <c r="G43" i="46"/>
  <c r="G42" i="46"/>
  <c r="F42" i="46"/>
  <c r="G40" i="46"/>
  <c r="G39" i="46"/>
  <c r="F39" i="46"/>
  <c r="G38" i="46"/>
  <c r="F38" i="46"/>
  <c r="G37" i="46"/>
  <c r="F37" i="46"/>
  <c r="G36" i="46"/>
  <c r="F36" i="46"/>
  <c r="F35" i="46"/>
  <c r="G34" i="46"/>
  <c r="F34" i="46"/>
  <c r="G33" i="46"/>
  <c r="F33" i="46"/>
  <c r="G31" i="46"/>
  <c r="F31" i="46"/>
  <c r="G30" i="46"/>
  <c r="F30" i="46"/>
  <c r="F29" i="46"/>
  <c r="G28" i="46"/>
  <c r="F28" i="46"/>
  <c r="G27" i="46"/>
  <c r="F27" i="46"/>
  <c r="G26" i="46"/>
  <c r="F26" i="46"/>
  <c r="G24" i="46"/>
  <c r="F24" i="46"/>
  <c r="F23" i="46"/>
  <c r="F22" i="46"/>
  <c r="F21" i="46"/>
  <c r="G17" i="46"/>
  <c r="F17" i="46"/>
  <c r="G16" i="46"/>
  <c r="F16" i="46"/>
  <c r="G15" i="46"/>
  <c r="F15" i="46"/>
  <c r="G14" i="46"/>
  <c r="F14" i="46"/>
  <c r="G13" i="46"/>
  <c r="F13" i="46"/>
  <c r="G12" i="46"/>
  <c r="F12" i="46"/>
  <c r="G11" i="46"/>
  <c r="F11" i="46"/>
  <c r="G10" i="46"/>
  <c r="F10" i="46"/>
  <c r="G9" i="46"/>
  <c r="F9" i="46"/>
  <c r="G8" i="46"/>
  <c r="F8" i="46"/>
  <c r="L56" i="1"/>
  <c r="D56" i="1"/>
  <c r="E56" i="1"/>
  <c r="F56" i="1"/>
  <c r="G56" i="1"/>
  <c r="H56" i="1"/>
  <c r="I56" i="1"/>
  <c r="J56" i="1"/>
  <c r="K56" i="1"/>
  <c r="N56" i="1"/>
  <c r="F72" i="46"/>
  <c r="C56" i="1"/>
  <c r="B56" i="1"/>
  <c r="G71" i="45"/>
  <c r="G48" i="45"/>
  <c r="G37" i="45"/>
  <c r="G19" i="45"/>
  <c r="G21" i="45"/>
  <c r="G22" i="45"/>
  <c r="F71" i="45"/>
  <c r="F51" i="45"/>
  <c r="F48" i="45"/>
  <c r="F37" i="45"/>
  <c r="F19" i="45"/>
  <c r="F21" i="45"/>
  <c r="F22" i="45"/>
  <c r="H72" i="45"/>
  <c r="E72" i="45"/>
  <c r="G72" i="45" s="1"/>
  <c r="D72" i="45"/>
  <c r="C72" i="45"/>
  <c r="B72" i="45"/>
  <c r="G70" i="45"/>
  <c r="F70" i="45"/>
  <c r="G68" i="45"/>
  <c r="F68" i="45"/>
  <c r="G67" i="45"/>
  <c r="F67" i="45"/>
  <c r="G66" i="45"/>
  <c r="F66" i="45"/>
  <c r="G65" i="45"/>
  <c r="F65" i="45"/>
  <c r="G64" i="45"/>
  <c r="F64" i="45"/>
  <c r="G63" i="45"/>
  <c r="F63" i="45"/>
  <c r="G62" i="45"/>
  <c r="F62" i="45"/>
  <c r="G60" i="45"/>
  <c r="F60" i="45"/>
  <c r="G59" i="45"/>
  <c r="F59" i="45"/>
  <c r="G58" i="45"/>
  <c r="F58" i="45"/>
  <c r="G57" i="45"/>
  <c r="F57" i="45"/>
  <c r="G56" i="45"/>
  <c r="F56" i="45"/>
  <c r="G55" i="45"/>
  <c r="F55" i="45"/>
  <c r="G54" i="45"/>
  <c r="F54" i="45"/>
  <c r="G53" i="45"/>
  <c r="F53" i="45"/>
  <c r="G52" i="45"/>
  <c r="F52" i="45"/>
  <c r="G51" i="45"/>
  <c r="G49" i="45"/>
  <c r="F49" i="45"/>
  <c r="G47" i="45"/>
  <c r="F47" i="45"/>
  <c r="G46" i="45"/>
  <c r="F46" i="45"/>
  <c r="G45" i="45"/>
  <c r="F45" i="45"/>
  <c r="G44" i="45"/>
  <c r="F44" i="45"/>
  <c r="G43" i="45"/>
  <c r="F43" i="45"/>
  <c r="G42" i="45"/>
  <c r="F42" i="45"/>
  <c r="G41" i="45"/>
  <c r="F41" i="45"/>
  <c r="G40" i="45"/>
  <c r="F40" i="45"/>
  <c r="G39" i="45"/>
  <c r="F39" i="45"/>
  <c r="G38" i="45"/>
  <c r="F38" i="45"/>
  <c r="G36" i="45"/>
  <c r="F36" i="45"/>
  <c r="G35" i="45"/>
  <c r="F35" i="45"/>
  <c r="G34" i="45"/>
  <c r="F34" i="45"/>
  <c r="G33" i="45"/>
  <c r="F33" i="45"/>
  <c r="G32" i="45"/>
  <c r="F32" i="45"/>
  <c r="G31" i="45"/>
  <c r="F31" i="45"/>
  <c r="G30" i="45"/>
  <c r="F30" i="45"/>
  <c r="G29" i="45"/>
  <c r="F29" i="45"/>
  <c r="G28" i="45"/>
  <c r="F28" i="45"/>
  <c r="G27" i="45"/>
  <c r="F27" i="45"/>
  <c r="G26" i="45"/>
  <c r="F26" i="45"/>
  <c r="G25" i="45"/>
  <c r="F25" i="45"/>
  <c r="G24" i="45"/>
  <c r="F24" i="45"/>
  <c r="G23" i="45"/>
  <c r="F23" i="45"/>
  <c r="G17" i="45"/>
  <c r="F17" i="45"/>
  <c r="G16" i="45"/>
  <c r="F16" i="45"/>
  <c r="G15" i="45"/>
  <c r="F15" i="45"/>
  <c r="G14" i="45"/>
  <c r="F14" i="45"/>
  <c r="G13" i="45"/>
  <c r="F13" i="45"/>
  <c r="G12" i="45"/>
  <c r="F12" i="45"/>
  <c r="G11" i="45"/>
  <c r="F11" i="45"/>
  <c r="G10" i="45"/>
  <c r="F10" i="45"/>
  <c r="G9" i="45"/>
  <c r="F9" i="45"/>
  <c r="G8" i="45"/>
  <c r="F8" i="45"/>
  <c r="E51" i="1"/>
  <c r="F51" i="1"/>
  <c r="G51" i="1"/>
  <c r="H51" i="1"/>
  <c r="I51" i="1"/>
  <c r="J51" i="1"/>
  <c r="K51" i="1"/>
  <c r="L51" i="1"/>
  <c r="M51" i="1"/>
  <c r="N51" i="1"/>
  <c r="D51" i="1"/>
  <c r="F72" i="45"/>
  <c r="C51" i="1"/>
  <c r="B51" i="1"/>
  <c r="F55" i="44"/>
  <c r="E72" i="44"/>
  <c r="D72" i="44"/>
  <c r="C72" i="44"/>
  <c r="G72" i="44" s="1"/>
  <c r="B72" i="44"/>
  <c r="G70" i="44"/>
  <c r="F70" i="44"/>
  <c r="G69" i="44"/>
  <c r="F69" i="44"/>
  <c r="G68" i="44"/>
  <c r="F68" i="44"/>
  <c r="G67" i="44"/>
  <c r="F67" i="44"/>
  <c r="G66" i="44"/>
  <c r="F66" i="44"/>
  <c r="G65" i="44"/>
  <c r="F65" i="44"/>
  <c r="G64" i="44"/>
  <c r="F64" i="44"/>
  <c r="G63" i="44"/>
  <c r="F63" i="44"/>
  <c r="G62" i="44"/>
  <c r="F62" i="44"/>
  <c r="G60" i="44"/>
  <c r="F60" i="44"/>
  <c r="G59" i="44"/>
  <c r="F59" i="44"/>
  <c r="G58" i="44"/>
  <c r="F58" i="44"/>
  <c r="G57" i="44"/>
  <c r="F57" i="44"/>
  <c r="G56" i="44"/>
  <c r="F56" i="44"/>
  <c r="G55" i="44"/>
  <c r="G54" i="44"/>
  <c r="F54" i="44"/>
  <c r="G53" i="44"/>
  <c r="F53" i="44"/>
  <c r="G52" i="44"/>
  <c r="F52" i="44"/>
  <c r="G51" i="44"/>
  <c r="F51" i="44"/>
  <c r="G49" i="44"/>
  <c r="F49" i="44"/>
  <c r="G47" i="44"/>
  <c r="F47" i="44"/>
  <c r="G46" i="44"/>
  <c r="F46" i="44"/>
  <c r="G45" i="44"/>
  <c r="F45" i="44"/>
  <c r="G44" i="44"/>
  <c r="F44" i="44"/>
  <c r="G43" i="44"/>
  <c r="F43" i="44"/>
  <c r="G42" i="44"/>
  <c r="F42" i="44"/>
  <c r="G41" i="44"/>
  <c r="F41" i="44"/>
  <c r="G40" i="44"/>
  <c r="F40" i="44"/>
  <c r="G39" i="44"/>
  <c r="F39" i="44"/>
  <c r="G38" i="44"/>
  <c r="F38" i="44"/>
  <c r="G36" i="44"/>
  <c r="F36" i="44"/>
  <c r="G35" i="44"/>
  <c r="F35" i="44"/>
  <c r="G34" i="44"/>
  <c r="F34" i="44"/>
  <c r="G33" i="44"/>
  <c r="F33" i="44"/>
  <c r="G32" i="44"/>
  <c r="F32" i="44"/>
  <c r="G31" i="44"/>
  <c r="F31" i="44"/>
  <c r="G30" i="44"/>
  <c r="F30" i="44"/>
  <c r="G29" i="44"/>
  <c r="F29" i="44"/>
  <c r="G28" i="44"/>
  <c r="F28" i="44"/>
  <c r="G27" i="44"/>
  <c r="F27" i="44"/>
  <c r="G26" i="44"/>
  <c r="F26" i="44"/>
  <c r="G25" i="44"/>
  <c r="F25" i="44"/>
  <c r="G24" i="44"/>
  <c r="F24" i="44"/>
  <c r="G23" i="44"/>
  <c r="F23" i="44"/>
  <c r="G17" i="44"/>
  <c r="F17" i="44"/>
  <c r="G16" i="44"/>
  <c r="F16" i="44"/>
  <c r="G15" i="44"/>
  <c r="F15" i="44"/>
  <c r="G14" i="44"/>
  <c r="F14" i="44"/>
  <c r="G13" i="44"/>
  <c r="F13" i="44"/>
  <c r="G12" i="44"/>
  <c r="F12" i="44"/>
  <c r="G11" i="44"/>
  <c r="F11" i="44"/>
  <c r="G10" i="44"/>
  <c r="F10" i="44"/>
  <c r="G9" i="44"/>
  <c r="F9" i="44"/>
  <c r="G8" i="44"/>
  <c r="F8" i="44"/>
  <c r="B45" i="1"/>
  <c r="E45" i="1"/>
  <c r="D45" i="1"/>
  <c r="C45" i="1"/>
  <c r="J45" i="1"/>
  <c r="K45" i="1"/>
  <c r="L45" i="1"/>
  <c r="F45" i="1"/>
  <c r="G45" i="1"/>
  <c r="H45" i="1"/>
  <c r="I45" i="1"/>
  <c r="F72" i="44"/>
  <c r="G65" i="43"/>
  <c r="G54" i="43"/>
  <c r="G53" i="43"/>
  <c r="G20" i="43"/>
  <c r="G14" i="43"/>
  <c r="F70" i="43"/>
  <c r="F53" i="43"/>
  <c r="F48" i="43"/>
  <c r="F20" i="43"/>
  <c r="B36" i="1"/>
  <c r="B39" i="1" s="1"/>
  <c r="K39" i="1"/>
  <c r="J39" i="1"/>
  <c r="I39" i="1"/>
  <c r="H36" i="1"/>
  <c r="H39" i="1" s="1"/>
  <c r="G36" i="1"/>
  <c r="G39" i="1" s="1"/>
  <c r="F36" i="1"/>
  <c r="F39" i="1"/>
  <c r="E36" i="1"/>
  <c r="E39" i="1" s="1"/>
  <c r="D36" i="1"/>
  <c r="D39" i="1" s="1"/>
  <c r="C36" i="1"/>
  <c r="C39" i="1" s="1"/>
  <c r="C30" i="1"/>
  <c r="C33" i="1"/>
  <c r="J33" i="1"/>
  <c r="I33" i="1"/>
  <c r="D30" i="1"/>
  <c r="D33" i="1" s="1"/>
  <c r="H72" i="43"/>
  <c r="E72" i="43"/>
  <c r="D72" i="43"/>
  <c r="F72" i="43"/>
  <c r="C72" i="43"/>
  <c r="B72" i="43"/>
  <c r="G71" i="43"/>
  <c r="F71" i="43"/>
  <c r="G70" i="43"/>
  <c r="G69" i="43"/>
  <c r="F69" i="43"/>
  <c r="G68" i="43"/>
  <c r="F68" i="43"/>
  <c r="G67" i="43"/>
  <c r="F67" i="43"/>
  <c r="G66" i="43"/>
  <c r="F66" i="43"/>
  <c r="F65" i="43"/>
  <c r="G64" i="43"/>
  <c r="F64" i="43"/>
  <c r="G63" i="43"/>
  <c r="F63" i="43"/>
  <c r="G62" i="43"/>
  <c r="F62" i="43"/>
  <c r="G60" i="43"/>
  <c r="F60" i="43"/>
  <c r="G59" i="43"/>
  <c r="F59" i="43"/>
  <c r="G58" i="43"/>
  <c r="F58" i="43"/>
  <c r="G57" i="43"/>
  <c r="F57" i="43"/>
  <c r="G56" i="43"/>
  <c r="F56" i="43"/>
  <c r="G55" i="43"/>
  <c r="F55" i="43"/>
  <c r="F54" i="43"/>
  <c r="G52" i="43"/>
  <c r="F52" i="43"/>
  <c r="G51" i="43"/>
  <c r="F51" i="43"/>
  <c r="G50" i="43"/>
  <c r="F50" i="43"/>
  <c r="G49" i="43"/>
  <c r="F49" i="43"/>
  <c r="G48" i="43"/>
  <c r="G47" i="43"/>
  <c r="F47" i="43"/>
  <c r="G46" i="43"/>
  <c r="F46" i="43"/>
  <c r="G45" i="43"/>
  <c r="F45" i="43"/>
  <c r="G44" i="43"/>
  <c r="F44" i="43"/>
  <c r="G43" i="43"/>
  <c r="F43" i="43"/>
  <c r="G42" i="43"/>
  <c r="F42" i="43"/>
  <c r="G41" i="43"/>
  <c r="F41" i="43"/>
  <c r="G40" i="43"/>
  <c r="F40" i="43"/>
  <c r="G39" i="43"/>
  <c r="F39" i="43"/>
  <c r="G38" i="43"/>
  <c r="F38" i="43"/>
  <c r="G36" i="43"/>
  <c r="F36" i="43"/>
  <c r="G35" i="43"/>
  <c r="F35" i="43"/>
  <c r="G34" i="43"/>
  <c r="F34" i="43"/>
  <c r="G33" i="43"/>
  <c r="F33" i="43"/>
  <c r="G32" i="43"/>
  <c r="F32" i="43"/>
  <c r="G31" i="43"/>
  <c r="F31" i="43"/>
  <c r="G30" i="43"/>
  <c r="F30" i="43"/>
  <c r="G29" i="43"/>
  <c r="F29" i="43"/>
  <c r="G28" i="43"/>
  <c r="F28" i="43"/>
  <c r="G27" i="43"/>
  <c r="F27" i="43"/>
  <c r="G26" i="43"/>
  <c r="F26" i="43"/>
  <c r="G25" i="43"/>
  <c r="F25" i="43"/>
  <c r="G24" i="43"/>
  <c r="F24" i="43"/>
  <c r="G23" i="43"/>
  <c r="F23" i="43"/>
  <c r="G21" i="43"/>
  <c r="F21" i="43"/>
  <c r="G17" i="43"/>
  <c r="F17" i="43"/>
  <c r="G16" i="43"/>
  <c r="F16" i="43"/>
  <c r="G15" i="43"/>
  <c r="F15" i="43"/>
  <c r="F14" i="43"/>
  <c r="G13" i="43"/>
  <c r="F13" i="43"/>
  <c r="G12" i="43"/>
  <c r="F12" i="43"/>
  <c r="G11" i="43"/>
  <c r="F11" i="43"/>
  <c r="G10" i="43"/>
  <c r="F10" i="43"/>
  <c r="G9" i="43"/>
  <c r="F9" i="43"/>
  <c r="G8" i="43"/>
  <c r="F8" i="43"/>
  <c r="G72" i="43"/>
  <c r="G69" i="42"/>
  <c r="G61" i="42"/>
  <c r="G19" i="42"/>
  <c r="G18" i="42"/>
  <c r="G11" i="42"/>
  <c r="G9" i="42"/>
  <c r="F69" i="42"/>
  <c r="F61" i="42"/>
  <c r="F48" i="42"/>
  <c r="F37" i="42"/>
  <c r="F18" i="42"/>
  <c r="F11" i="42"/>
  <c r="H72" i="42"/>
  <c r="E72" i="42"/>
  <c r="D72" i="42"/>
  <c r="C72" i="42"/>
  <c r="G72" i="42" s="1"/>
  <c r="B72" i="42"/>
  <c r="G71" i="42"/>
  <c r="F71" i="42"/>
  <c r="G70" i="42"/>
  <c r="F70" i="42"/>
  <c r="G68" i="42"/>
  <c r="F68" i="42"/>
  <c r="G67" i="42"/>
  <c r="F67" i="42"/>
  <c r="G66" i="42"/>
  <c r="F66" i="42"/>
  <c r="G65" i="42"/>
  <c r="F65" i="42"/>
  <c r="G64" i="42"/>
  <c r="F64" i="42"/>
  <c r="G63" i="42"/>
  <c r="F63" i="42"/>
  <c r="G62" i="42"/>
  <c r="F62" i="42"/>
  <c r="G60" i="42"/>
  <c r="F60" i="42"/>
  <c r="G59" i="42"/>
  <c r="F59" i="42"/>
  <c r="G58" i="42"/>
  <c r="F58" i="42"/>
  <c r="G57" i="42"/>
  <c r="F57" i="42"/>
  <c r="G56" i="42"/>
  <c r="F56" i="42"/>
  <c r="G55" i="42"/>
  <c r="F55" i="42"/>
  <c r="G54" i="42"/>
  <c r="F54" i="42"/>
  <c r="G52" i="42"/>
  <c r="F52" i="42"/>
  <c r="G51" i="42"/>
  <c r="F51" i="42"/>
  <c r="G50" i="42"/>
  <c r="F50" i="42"/>
  <c r="G49" i="42"/>
  <c r="F49" i="42"/>
  <c r="G48" i="42"/>
  <c r="G47" i="42"/>
  <c r="F47" i="42"/>
  <c r="G46" i="42"/>
  <c r="F46" i="42"/>
  <c r="G45" i="42"/>
  <c r="F45" i="42"/>
  <c r="G44" i="42"/>
  <c r="F44" i="42"/>
  <c r="G43" i="42"/>
  <c r="F43" i="42"/>
  <c r="G42" i="42"/>
  <c r="F42" i="42"/>
  <c r="G41" i="42"/>
  <c r="F41" i="42"/>
  <c r="G40" i="42"/>
  <c r="F40" i="42"/>
  <c r="G39" i="42"/>
  <c r="F39" i="42"/>
  <c r="G38" i="42"/>
  <c r="F38" i="42"/>
  <c r="G37" i="42"/>
  <c r="G36" i="42"/>
  <c r="F36" i="42"/>
  <c r="G35" i="42"/>
  <c r="F35" i="42"/>
  <c r="G34" i="42"/>
  <c r="F34" i="42"/>
  <c r="G33" i="42"/>
  <c r="F33" i="42"/>
  <c r="G32" i="42"/>
  <c r="F32" i="42"/>
  <c r="G31" i="42"/>
  <c r="F31" i="42"/>
  <c r="G30" i="42"/>
  <c r="F30" i="42"/>
  <c r="G29" i="42"/>
  <c r="F29" i="42"/>
  <c r="G28" i="42"/>
  <c r="F28" i="42"/>
  <c r="G27" i="42"/>
  <c r="F27" i="42"/>
  <c r="G26" i="42"/>
  <c r="F26" i="42"/>
  <c r="G25" i="42"/>
  <c r="F25" i="42"/>
  <c r="G24" i="42"/>
  <c r="F24" i="42"/>
  <c r="G23" i="42"/>
  <c r="F23" i="42"/>
  <c r="G22" i="42"/>
  <c r="F22" i="42"/>
  <c r="G21" i="42"/>
  <c r="F21" i="42"/>
  <c r="F19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0" i="42"/>
  <c r="F10" i="42"/>
  <c r="F9" i="42"/>
  <c r="G8" i="42"/>
  <c r="F8" i="42"/>
  <c r="F72" i="42"/>
  <c r="B30" i="1"/>
  <c r="B33" i="1"/>
  <c r="K33" i="1"/>
  <c r="L33" i="1"/>
  <c r="M33" i="1"/>
  <c r="N33" i="1"/>
  <c r="B24" i="1"/>
  <c r="B27" i="1"/>
  <c r="H30" i="1"/>
  <c r="H33" i="1"/>
  <c r="G30" i="1"/>
  <c r="G33" i="1"/>
  <c r="F30" i="1"/>
  <c r="F33" i="1" s="1"/>
  <c r="E30" i="1"/>
  <c r="E33" i="1"/>
  <c r="F24" i="1"/>
  <c r="C24" i="1"/>
  <c r="C27" i="1" s="1"/>
  <c r="G53" i="41"/>
  <c r="G19" i="41"/>
  <c r="G21" i="41"/>
  <c r="F19" i="41"/>
  <c r="F21" i="41"/>
  <c r="F9" i="41"/>
  <c r="N27" i="1"/>
  <c r="M27" i="1"/>
  <c r="L27" i="1"/>
  <c r="K27" i="1"/>
  <c r="J27" i="1"/>
  <c r="I27" i="1"/>
  <c r="F27" i="1"/>
  <c r="E24" i="1"/>
  <c r="E27" i="1"/>
  <c r="H24" i="1"/>
  <c r="H27" i="1"/>
  <c r="G24" i="1"/>
  <c r="G27" i="1" s="1"/>
  <c r="D24" i="1"/>
  <c r="D27" i="1"/>
  <c r="E18" i="1"/>
  <c r="C18" i="1"/>
  <c r="C21" i="1" s="1"/>
  <c r="N21" i="1"/>
  <c r="H72" i="41"/>
  <c r="E72" i="41"/>
  <c r="D72" i="41"/>
  <c r="C72" i="41"/>
  <c r="F72" i="41" s="1"/>
  <c r="B72" i="41"/>
  <c r="G71" i="41"/>
  <c r="F71" i="41"/>
  <c r="G70" i="41"/>
  <c r="F70" i="41"/>
  <c r="G68" i="41"/>
  <c r="F68" i="41"/>
  <c r="G67" i="41"/>
  <c r="F67" i="41"/>
  <c r="G66" i="41"/>
  <c r="F66" i="41"/>
  <c r="G65" i="41"/>
  <c r="F65" i="41"/>
  <c r="G64" i="41"/>
  <c r="F64" i="41"/>
  <c r="G63" i="41"/>
  <c r="F63" i="41"/>
  <c r="G62" i="41"/>
  <c r="F62" i="41"/>
  <c r="G60" i="41"/>
  <c r="F60" i="41"/>
  <c r="G59" i="41"/>
  <c r="F59" i="41"/>
  <c r="G58" i="41"/>
  <c r="F58" i="41"/>
  <c r="G57" i="41"/>
  <c r="F57" i="41"/>
  <c r="G56" i="41"/>
  <c r="F56" i="41"/>
  <c r="G55" i="41"/>
  <c r="F55" i="41"/>
  <c r="G54" i="41"/>
  <c r="F54" i="41"/>
  <c r="F53" i="41"/>
  <c r="G52" i="41"/>
  <c r="F52" i="41"/>
  <c r="G51" i="41"/>
  <c r="F51" i="41"/>
  <c r="G50" i="41"/>
  <c r="F50" i="41"/>
  <c r="G49" i="41"/>
  <c r="F49" i="41"/>
  <c r="G48" i="41"/>
  <c r="F48" i="41"/>
  <c r="G47" i="41"/>
  <c r="F47" i="41"/>
  <c r="G46" i="41"/>
  <c r="F46" i="41"/>
  <c r="G45" i="41"/>
  <c r="F45" i="41"/>
  <c r="G44" i="41"/>
  <c r="F44" i="41"/>
  <c r="G43" i="41"/>
  <c r="F43" i="41"/>
  <c r="G42" i="41"/>
  <c r="F42" i="41"/>
  <c r="G41" i="41"/>
  <c r="F41" i="41"/>
  <c r="G40" i="41"/>
  <c r="F40" i="41"/>
  <c r="G39" i="41"/>
  <c r="F39" i="41"/>
  <c r="G38" i="41"/>
  <c r="F38" i="41"/>
  <c r="G37" i="41"/>
  <c r="F37" i="41"/>
  <c r="G36" i="41"/>
  <c r="F36" i="41"/>
  <c r="G35" i="41"/>
  <c r="F35" i="41"/>
  <c r="G34" i="41"/>
  <c r="F34" i="41"/>
  <c r="G33" i="41"/>
  <c r="F33" i="41"/>
  <c r="G32" i="41"/>
  <c r="F32" i="41"/>
  <c r="G31" i="41"/>
  <c r="F31" i="41"/>
  <c r="G30" i="41"/>
  <c r="F30" i="41"/>
  <c r="G29" i="41"/>
  <c r="F29" i="41"/>
  <c r="G28" i="41"/>
  <c r="F28" i="41"/>
  <c r="G27" i="41"/>
  <c r="F27" i="41"/>
  <c r="G26" i="41"/>
  <c r="F26" i="41"/>
  <c r="G25" i="41"/>
  <c r="F25" i="41"/>
  <c r="G24" i="41"/>
  <c r="F24" i="41"/>
  <c r="G23" i="41"/>
  <c r="F23" i="41"/>
  <c r="G22" i="41"/>
  <c r="F22" i="41"/>
  <c r="G17" i="41"/>
  <c r="F17" i="41"/>
  <c r="G16" i="41"/>
  <c r="F16" i="41"/>
  <c r="G15" i="41"/>
  <c r="F15" i="41"/>
  <c r="G14" i="41"/>
  <c r="F14" i="41"/>
  <c r="G13" i="41"/>
  <c r="F13" i="41"/>
  <c r="G12" i="41"/>
  <c r="F12" i="41"/>
  <c r="G10" i="41"/>
  <c r="F10" i="41"/>
  <c r="G8" i="41"/>
  <c r="F8" i="41"/>
  <c r="G53" i="40"/>
  <c r="G48" i="40"/>
  <c r="F69" i="40"/>
  <c r="F48" i="40"/>
  <c r="F20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8" i="39"/>
  <c r="H18" i="1"/>
  <c r="H21" i="1"/>
  <c r="G18" i="1"/>
  <c r="G21" i="1"/>
  <c r="F18" i="1"/>
  <c r="F21" i="1"/>
  <c r="E21" i="1"/>
  <c r="D18" i="1"/>
  <c r="D21" i="1" s="1"/>
  <c r="E12" i="1"/>
  <c r="E15" i="1" s="1"/>
  <c r="D12" i="1"/>
  <c r="D15" i="1"/>
  <c r="I21" i="1"/>
  <c r="J21" i="1"/>
  <c r="K21" i="1"/>
  <c r="L21" i="1"/>
  <c r="M21" i="1"/>
  <c r="B18" i="1"/>
  <c r="B21" i="1" s="1"/>
  <c r="C12" i="1"/>
  <c r="H72" i="40"/>
  <c r="E72" i="40"/>
  <c r="D72" i="40"/>
  <c r="F72" i="40" s="1"/>
  <c r="C72" i="40"/>
  <c r="B72" i="40"/>
  <c r="G71" i="40"/>
  <c r="F71" i="40"/>
  <c r="G70" i="40"/>
  <c r="F70" i="40"/>
  <c r="G69" i="40"/>
  <c r="G68" i="40"/>
  <c r="F68" i="40"/>
  <c r="G67" i="40"/>
  <c r="F67" i="40"/>
  <c r="G66" i="40"/>
  <c r="F66" i="40"/>
  <c r="G65" i="40"/>
  <c r="F65" i="40"/>
  <c r="G64" i="40"/>
  <c r="F64" i="40"/>
  <c r="G63" i="40"/>
  <c r="F63" i="40"/>
  <c r="G62" i="40"/>
  <c r="F62" i="40"/>
  <c r="G60" i="40"/>
  <c r="F60" i="40"/>
  <c r="G59" i="40"/>
  <c r="F59" i="40"/>
  <c r="G58" i="40"/>
  <c r="F58" i="40"/>
  <c r="G57" i="40"/>
  <c r="F57" i="40"/>
  <c r="G56" i="40"/>
  <c r="F56" i="40"/>
  <c r="G55" i="40"/>
  <c r="F55" i="40"/>
  <c r="G54" i="40"/>
  <c r="F54" i="40"/>
  <c r="F53" i="40"/>
  <c r="G52" i="40"/>
  <c r="F52" i="40"/>
  <c r="G51" i="40"/>
  <c r="F51" i="40"/>
  <c r="G50" i="40"/>
  <c r="F50" i="40"/>
  <c r="G49" i="40"/>
  <c r="F49" i="40"/>
  <c r="G47" i="40"/>
  <c r="F47" i="40"/>
  <c r="G46" i="40"/>
  <c r="F46" i="40"/>
  <c r="G45" i="40"/>
  <c r="F45" i="40"/>
  <c r="G44" i="40"/>
  <c r="F44" i="40"/>
  <c r="G43" i="40"/>
  <c r="F43" i="40"/>
  <c r="G42" i="40"/>
  <c r="F42" i="40"/>
  <c r="G41" i="40"/>
  <c r="F41" i="40"/>
  <c r="G40" i="40"/>
  <c r="F40" i="40"/>
  <c r="G39" i="40"/>
  <c r="F39" i="40"/>
  <c r="G38" i="40"/>
  <c r="F38" i="40"/>
  <c r="G37" i="40"/>
  <c r="F37" i="40"/>
  <c r="G36" i="40"/>
  <c r="F36" i="40"/>
  <c r="G35" i="40"/>
  <c r="G34" i="40"/>
  <c r="G33" i="40"/>
  <c r="G32" i="40"/>
  <c r="G31" i="40"/>
  <c r="G30" i="40"/>
  <c r="G29" i="40"/>
  <c r="G28" i="40"/>
  <c r="G27" i="40"/>
  <c r="G26" i="40"/>
  <c r="G25" i="40"/>
  <c r="G24" i="40"/>
  <c r="G23" i="40"/>
  <c r="G22" i="40"/>
  <c r="G20" i="40"/>
  <c r="G17" i="40"/>
  <c r="F17" i="40"/>
  <c r="G16" i="40"/>
  <c r="F16" i="40"/>
  <c r="G15" i="40"/>
  <c r="F15" i="40"/>
  <c r="G14" i="40"/>
  <c r="F14" i="40"/>
  <c r="G13" i="40"/>
  <c r="F13" i="40"/>
  <c r="G12" i="40"/>
  <c r="F12" i="40"/>
  <c r="G11" i="40"/>
  <c r="F11" i="40"/>
  <c r="G10" i="40"/>
  <c r="F10" i="40"/>
  <c r="G8" i="40"/>
  <c r="F8" i="40"/>
  <c r="G72" i="40"/>
  <c r="B12" i="1"/>
  <c r="E72" i="39"/>
  <c r="D72" i="39"/>
  <c r="C72" i="39"/>
  <c r="F72" i="39" s="1"/>
  <c r="B72" i="39"/>
  <c r="H12" i="1"/>
  <c r="G12" i="1"/>
  <c r="F12" i="1"/>
  <c r="B15" i="1"/>
  <c r="G69" i="39"/>
  <c r="G61" i="39"/>
  <c r="G37" i="39"/>
  <c r="G21" i="39"/>
  <c r="G19" i="39"/>
  <c r="G18" i="39"/>
  <c r="F71" i="39"/>
  <c r="F69" i="39"/>
  <c r="F61" i="39"/>
  <c r="F37" i="39"/>
  <c r="F19" i="39"/>
  <c r="F18" i="39"/>
  <c r="H15" i="1"/>
  <c r="G15" i="1"/>
  <c r="F15" i="1"/>
  <c r="C15" i="1"/>
  <c r="I15" i="1"/>
  <c r="J15" i="1"/>
  <c r="K15" i="1"/>
  <c r="L15" i="1"/>
  <c r="M15" i="1"/>
  <c r="N15" i="1"/>
  <c r="G11" i="39"/>
  <c r="F11" i="39"/>
  <c r="F17" i="39"/>
  <c r="G71" i="39"/>
  <c r="G70" i="39"/>
  <c r="G68" i="39"/>
  <c r="G67" i="39"/>
  <c r="G66" i="39"/>
  <c r="G65" i="39"/>
  <c r="G64" i="39"/>
  <c r="G63" i="39"/>
  <c r="G62" i="39"/>
  <c r="G60" i="39"/>
  <c r="G59" i="39"/>
  <c r="G58" i="39"/>
  <c r="G57" i="39"/>
  <c r="G56" i="39"/>
  <c r="G55" i="39"/>
  <c r="G54" i="39"/>
  <c r="G53" i="39"/>
  <c r="G52" i="39"/>
  <c r="G51" i="39"/>
  <c r="G50" i="39"/>
  <c r="G49" i="39"/>
  <c r="G47" i="39"/>
  <c r="G46" i="39"/>
  <c r="G45" i="39"/>
  <c r="G44" i="39"/>
  <c r="G43" i="39"/>
  <c r="G42" i="39"/>
  <c r="G41" i="39"/>
  <c r="G40" i="39"/>
  <c r="G39" i="39"/>
  <c r="G38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0" i="39"/>
  <c r="G17" i="39"/>
  <c r="G16" i="39"/>
  <c r="G15" i="39"/>
  <c r="G14" i="39"/>
  <c r="G13" i="39"/>
  <c r="G12" i="39"/>
  <c r="G10" i="39"/>
  <c r="G9" i="39"/>
  <c r="G8" i="39"/>
  <c r="F70" i="39"/>
  <c r="F68" i="39"/>
  <c r="F67" i="39"/>
  <c r="F66" i="39"/>
  <c r="F65" i="39"/>
  <c r="F64" i="39"/>
  <c r="F63" i="39"/>
  <c r="F62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7" i="39"/>
  <c r="F46" i="39"/>
  <c r="F45" i="39"/>
  <c r="F44" i="39"/>
  <c r="F43" i="39"/>
  <c r="F42" i="39"/>
  <c r="F41" i="39"/>
  <c r="F40" i="39"/>
  <c r="F39" i="39"/>
  <c r="F38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6" i="39"/>
  <c r="F15" i="39"/>
  <c r="F14" i="39"/>
  <c r="F13" i="39"/>
  <c r="F12" i="39"/>
  <c r="F10" i="39"/>
  <c r="F9" i="39"/>
  <c r="H72" i="39"/>
  <c r="C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E71" i="15"/>
  <c r="G71" i="15" s="1"/>
  <c r="D71" i="15"/>
  <c r="F71" i="15"/>
  <c r="B71" i="15"/>
  <c r="G72" i="39"/>
  <c r="E67" i="1" l="1"/>
  <c r="C78" i="1"/>
  <c r="C76" i="1" s="1"/>
  <c r="C79" i="1" s="1"/>
  <c r="G72" i="41"/>
</calcChain>
</file>

<file path=xl/sharedStrings.xml><?xml version="1.0" encoding="utf-8"?>
<sst xmlns="http://schemas.openxmlformats.org/spreadsheetml/2006/main" count="1466" uniqueCount="235">
  <si>
    <t xml:space="preserve">
CCAP GROSS PAYMENT</t>
  </si>
  <si>
    <t xml:space="preserve">
TOTAL CCAP CHILDREN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</si>
  <si>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</si>
  <si>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</si>
  <si>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</si>
  <si>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</si>
  <si>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</si>
  <si>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</si>
  <si>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</si>
  <si>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</si>
  <si>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</si>
  <si>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</si>
  <si>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</si>
  <si>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</si>
  <si>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OLDER THAN 12</t>
  </si>
  <si>
    <t xml:space="preserve">PLAQUEMINES      </t>
  </si>
  <si>
    <t xml:space="preserve">ST. BERNARD      </t>
  </si>
  <si>
    <t xml:space="preserve">IBERVILLE        </t>
  </si>
  <si>
    <t xml:space="preserve">POINTE COUPEE    </t>
  </si>
  <si>
    <t>WEST BATON ROUGE</t>
  </si>
  <si>
    <t>EAST BATON ROUGE</t>
  </si>
  <si>
    <t xml:space="preserve">ST. LANDRY       </t>
  </si>
  <si>
    <t xml:space="preserve">ST. MARTIN       </t>
  </si>
  <si>
    <t xml:space="preserve">NATCHITOCHES </t>
  </si>
  <si>
    <t xml:space="preserve">RED RIVER        </t>
  </si>
  <si>
    <t xml:space="preserve">CALDWELL         </t>
  </si>
  <si>
    <t xml:space="preserve">EAST CARROLL    </t>
  </si>
  <si>
    <t xml:space="preserve">FRANKLIN         </t>
  </si>
  <si>
    <t xml:space="preserve">WEST FELICIANA   </t>
  </si>
  <si>
    <t xml:space="preserve">TANGIPAHOA       </t>
  </si>
  <si>
    <t xml:space="preserve">ST. JOHN         </t>
  </si>
  <si>
    <t xml:space="preserve">ST. HELENA       </t>
  </si>
  <si>
    <t xml:space="preserve">ST. CHARLES      </t>
  </si>
  <si>
    <t xml:space="preserve">SABINE           </t>
  </si>
  <si>
    <t xml:space="preserve">RICHLAND         </t>
  </si>
  <si>
    <t xml:space="preserve">RAPIDES          </t>
  </si>
  <si>
    <t xml:space="preserve">OUACHITA         </t>
  </si>
  <si>
    <t xml:space="preserve">EVANGELINE       </t>
  </si>
  <si>
    <t xml:space="preserve">EAST FELICIANA   </t>
  </si>
  <si>
    <t xml:space="preserve">CALCASIEU        </t>
  </si>
  <si>
    <t>BEAUREGARD</t>
  </si>
  <si>
    <t>BIENVILLE</t>
  </si>
  <si>
    <t>BOSSIER</t>
  </si>
  <si>
    <t>CALDWELL</t>
  </si>
  <si>
    <t>CONCORDIA</t>
  </si>
  <si>
    <t>DESOTO</t>
  </si>
  <si>
    <t>JEFFERSON DAVIS</t>
  </si>
  <si>
    <t>LAFOURCHE</t>
  </si>
  <si>
    <t>MADISON</t>
  </si>
  <si>
    <t>RAPIDES</t>
  </si>
  <si>
    <t>RED RIVER</t>
  </si>
  <si>
    <t>ST. BERNARD</t>
  </si>
  <si>
    <t>ST. LANDRY</t>
  </si>
  <si>
    <t>ACADIA</t>
  </si>
  <si>
    <t xml:space="preserve">ALLEN </t>
  </si>
  <si>
    <t xml:space="preserve">ASCENSION </t>
  </si>
  <si>
    <t xml:space="preserve">AVOYELLES </t>
  </si>
  <si>
    <t>CADDO</t>
  </si>
  <si>
    <t xml:space="preserve">CALCASIEU </t>
  </si>
  <si>
    <t xml:space="preserve">CATAHOULA </t>
  </si>
  <si>
    <t xml:space="preserve">CLAIBORNE </t>
  </si>
  <si>
    <t xml:space="preserve">FRANKLIN </t>
  </si>
  <si>
    <t xml:space="preserve">GRANT            </t>
  </si>
  <si>
    <t xml:space="preserve">IBERIA </t>
  </si>
  <si>
    <t xml:space="preserve">IBERVILLE </t>
  </si>
  <si>
    <t xml:space="preserve">JACKSON </t>
  </si>
  <si>
    <t xml:space="preserve">LAFAYETTE </t>
  </si>
  <si>
    <t xml:space="preserve">LASALLE        </t>
  </si>
  <si>
    <t xml:space="preserve">LINCOLN </t>
  </si>
  <si>
    <t xml:space="preserve">LIVINGSTON </t>
  </si>
  <si>
    <t xml:space="preserve">MOREHOUSE </t>
  </si>
  <si>
    <t xml:space="preserve">OUACHITA </t>
  </si>
  <si>
    <t xml:space="preserve">PLAQUEMINES    </t>
  </si>
  <si>
    <t xml:space="preserve">POINTE COUPEE  </t>
  </si>
  <si>
    <t>RICHLAN</t>
  </si>
  <si>
    <t xml:space="preserve">SABINE </t>
  </si>
  <si>
    <t xml:space="preserve">ST. CHARLES     </t>
  </si>
  <si>
    <t xml:space="preserve">ST. JAMES        </t>
  </si>
  <si>
    <t xml:space="preserve">ST. JOHN </t>
  </si>
  <si>
    <t xml:space="preserve">ST. MARY         </t>
  </si>
  <si>
    <t xml:space="preserve">ST. TAMMANY </t>
  </si>
  <si>
    <t xml:space="preserve">TANGIPAHOA </t>
  </si>
  <si>
    <t xml:space="preserve">TENSAS           </t>
  </si>
  <si>
    <t xml:space="preserve">TERREBONNE </t>
  </si>
  <si>
    <t xml:space="preserve">UNION            </t>
  </si>
  <si>
    <t xml:space="preserve">VERMILION        </t>
  </si>
  <si>
    <t xml:space="preserve">VERNON </t>
  </si>
  <si>
    <t xml:space="preserve">WASHINGTON </t>
  </si>
  <si>
    <t xml:space="preserve">WEBSTER </t>
  </si>
  <si>
    <t xml:space="preserve">WEST CARROLL </t>
  </si>
  <si>
    <t xml:space="preserve">WINN PARISH </t>
  </si>
  <si>
    <t>AGE
LESS THAN 1</t>
  </si>
  <si>
    <t>CCAP Children Served</t>
  </si>
  <si>
    <t>ORLEANS</t>
  </si>
  <si>
    <t xml:space="preserve">ASSUMPTION </t>
  </si>
  <si>
    <t>NR indicates statistically unreliable (i.e. Less than 10 students in a subgroup or subgroup not defined at that time);</t>
  </si>
  <si>
    <t>&gt;= indicates within 10 students of the actual number (i.e. &gt;=20 indicates there are between 20 and 29 students.)</t>
  </si>
  <si>
    <t xml:space="preserve">The Louisiana Department of Education has modified and/or suppressed data reported to protect the privacy of students in compliance with the Family Educational </t>
  </si>
  <si>
    <t xml:space="preserve">Rights and Privacy Act (FERPA) codified at 20 U.S.C. 1232g. The strategies used to protect privacy vary and may include rounding or other techniques but do not </t>
  </si>
  <si>
    <t>the row or column to which the total refers.</t>
  </si>
  <si>
    <t>Child Care Assistance Program (CCAP) Statistics:  Children Served, Gross Payments, and Number of Providers Paid</t>
  </si>
  <si>
    <t>Number of Providers Receiving CCAP Payments</t>
  </si>
  <si>
    <t>Foster Care Children Served</t>
  </si>
  <si>
    <t xml:space="preserve">substantially affect the general usefulness of the data.  Because of the privacy protections numerical and percentage totals may not add precisely to the sum of </t>
  </si>
  <si>
    <t>NOTES</t>
  </si>
  <si>
    <t>TOTAL</t>
  </si>
  <si>
    <t>REJECTED</t>
  </si>
  <si>
    <t>% CERTIFIED</t>
  </si>
  <si>
    <t>% REJECTED</t>
  </si>
  <si>
    <t>JEFFERSON</t>
  </si>
  <si>
    <r>
      <t>PARISH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</si>
  <si>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PENDED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</si>
  <si>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PROCESSED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</si>
  <si>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CERTIFIED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</si>
  <si>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1. Parishes are not included if there were no applications for the month reported.  </t>
  </si>
  <si>
    <t xml:space="preserve">2. PENDED applications are those that have been viewed by staff, but no decision on eligibility has been reached. </t>
  </si>
  <si>
    <t xml:space="preserve">3. PROCESSED applications are those applications that have an eligibility decision made within the month reported - certified or rejected.  </t>
  </si>
  <si>
    <t xml:space="preserve">4. CERTIFIED applications are those approved to receive Child Care Assistance (CCAP).  </t>
  </si>
  <si>
    <t>Child Care Assistance Program (CCAP) Statistics:  Applications
June 2015</t>
  </si>
  <si>
    <t>NUMBER OF CHILDREN SERVED</t>
  </si>
  <si>
    <t xml:space="preserve">ACADIA    </t>
  </si>
  <si>
    <t xml:space="preserve">ALLEN    </t>
  </si>
  <si>
    <t xml:space="preserve">ASCENSION         </t>
  </si>
  <si>
    <t xml:space="preserve">ASSUMPTION        </t>
  </si>
  <si>
    <t xml:space="preserve">AVOYELLES         </t>
  </si>
  <si>
    <t xml:space="preserve">BEAUREGARD        </t>
  </si>
  <si>
    <t xml:space="preserve">BIENVILLE         </t>
  </si>
  <si>
    <t xml:space="preserve">BOSSIER           </t>
  </si>
  <si>
    <t xml:space="preserve">CADDO         </t>
  </si>
  <si>
    <t xml:space="preserve">CAMERON          </t>
  </si>
  <si>
    <t xml:space="preserve">CATAHOULA        </t>
  </si>
  <si>
    <t xml:space="preserve">CLAIBORNE        </t>
  </si>
  <si>
    <t xml:space="preserve">CONCORDIA        </t>
  </si>
  <si>
    <t xml:space="preserve">DESOTO           </t>
  </si>
  <si>
    <t xml:space="preserve">EAST BATON ROUGE    </t>
  </si>
  <si>
    <t xml:space="preserve">EAST CARROLL     </t>
  </si>
  <si>
    <t xml:space="preserve">IBERIA           </t>
  </si>
  <si>
    <t xml:space="preserve">JACKSON          </t>
  </si>
  <si>
    <t xml:space="preserve">JEFFERSON      </t>
  </si>
  <si>
    <t xml:space="preserve">JEFFERSON DAVIS  </t>
  </si>
  <si>
    <t xml:space="preserve">LAFAYETTE       </t>
  </si>
  <si>
    <t xml:space="preserve">LAFOURCHE        </t>
  </si>
  <si>
    <t xml:space="preserve">LASALLE          </t>
  </si>
  <si>
    <t xml:space="preserve">LINCOLN          </t>
  </si>
  <si>
    <t xml:space="preserve">LIVINGSTON       </t>
  </si>
  <si>
    <t xml:space="preserve">MADISON          </t>
  </si>
  <si>
    <t xml:space="preserve">MOREHOUSE        </t>
  </si>
  <si>
    <t xml:space="preserve">NATCHITOCHES     </t>
  </si>
  <si>
    <t xml:space="preserve">ORLEANS   </t>
  </si>
  <si>
    <t xml:space="preserve">ST. TAMMANY      </t>
  </si>
  <si>
    <t xml:space="preserve">TERREBONNE       </t>
  </si>
  <si>
    <t xml:space="preserve">VERNON           </t>
  </si>
  <si>
    <t xml:space="preserve">WASHINGTON       </t>
  </si>
  <si>
    <t xml:space="preserve">WEBSTER          </t>
  </si>
  <si>
    <t xml:space="preserve">WEST CARROLL     </t>
  </si>
  <si>
    <t xml:space="preserve">WINN             </t>
  </si>
  <si>
    <t xml:space="preserve">1. Parishes with no applications for the month reported are indicated with zero across all cells.  </t>
  </si>
  <si>
    <t xml:space="preserve">WEST BATON ROUGE  </t>
  </si>
  <si>
    <t>Waitlist Children Served (HB 105)</t>
  </si>
  <si>
    <t>January 2020</t>
  </si>
  <si>
    <t>February 2020</t>
  </si>
  <si>
    <t>March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</si>
  <si>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</si>
  <si>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</si>
  <si>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</si>
  <si>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</si>
  <si>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</si>
  <si>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</si>
  <si>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</si>
  <si>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</si>
  <si>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Child Care Assistance Program (CCAP) Statistics:  Applications
January 2020</t>
  </si>
  <si>
    <t>April 2020</t>
  </si>
  <si>
    <t>&lt;10</t>
  </si>
  <si>
    <t>&lt;206</t>
  </si>
  <si>
    <t>&lt;117</t>
  </si>
  <si>
    <t>&lt;49</t>
  </si>
  <si>
    <t>Child Care Assistance Program (CCAP) Statistics:  Applications
February 2020</t>
  </si>
  <si>
    <t>Child Care Assistance Program (CCAP) Statistics:  Applications
March 2020</t>
  </si>
  <si>
    <t>Child Care Assistance Program (CCAP) Statistics:  Applications
April 2020</t>
  </si>
  <si>
    <t>Child Care Assistance Program (CCAP) Statistics:  Applications
May 2020</t>
  </si>
  <si>
    <t>Child Care Assistance Program (CCAP) Statistics:  Applications
June 2020</t>
  </si>
  <si>
    <t>Child Care Assistance Program (CCAP) Statistics:  Applications
July 2020</t>
  </si>
  <si>
    <t>&lt;254</t>
  </si>
  <si>
    <t>&lt;153</t>
  </si>
  <si>
    <t>&lt;67</t>
  </si>
  <si>
    <t>&lt;296</t>
  </si>
  <si>
    <t>&lt;176</t>
  </si>
  <si>
    <t>&lt;73</t>
  </si>
  <si>
    <t>&lt;778</t>
  </si>
  <si>
    <t>&lt;612</t>
  </si>
  <si>
    <t>&lt;472</t>
  </si>
  <si>
    <t>&lt;341</t>
  </si>
  <si>
    <t>&lt;85</t>
  </si>
  <si>
    <t>&lt;689</t>
  </si>
  <si>
    <t>&lt;529</t>
  </si>
  <si>
    <t>&lt;387</t>
  </si>
  <si>
    <t>&lt;224</t>
  </si>
  <si>
    <t>&lt;101</t>
  </si>
  <si>
    <t>&lt;390</t>
  </si>
  <si>
    <t>&lt;232</t>
  </si>
  <si>
    <t>&lt;83</t>
  </si>
  <si>
    <t>Child Care Assistance Program (CCAP) Statistics:  Applications
August 2020</t>
  </si>
  <si>
    <t>&lt;88</t>
  </si>
  <si>
    <t>&lt;208</t>
  </si>
  <si>
    <t>&lt;327</t>
  </si>
  <si>
    <t>&lt;541</t>
  </si>
  <si>
    <t>Child Care Assistance Program (CCAP) Statistics:  Applications
September 2020</t>
  </si>
  <si>
    <t>Child Care Assistance Program (CCAP) Statistics:  Applications
October 2020</t>
  </si>
  <si>
    <t>Child Care Assistance Program (CCAP) Statistics:  Applications
November 2020</t>
  </si>
  <si>
    <t>&lt;446</t>
  </si>
  <si>
    <t>&lt;337</t>
  </si>
  <si>
    <t>&lt;213</t>
  </si>
  <si>
    <t>&lt;93</t>
  </si>
  <si>
    <t>&lt;560</t>
  </si>
  <si>
    <t>&lt;466</t>
  </si>
  <si>
    <t>&lt;340</t>
  </si>
  <si>
    <t>&lt;218</t>
  </si>
  <si>
    <t>&lt;89</t>
  </si>
  <si>
    <t>&lt;467</t>
  </si>
  <si>
    <t>&lt;348</t>
  </si>
  <si>
    <t>&lt;197</t>
  </si>
  <si>
    <t>&lt;97</t>
  </si>
  <si>
    <t>Child Care Assistance Program (CCAP) Statistics:  Applications
December 2020</t>
  </si>
  <si>
    <t>&lt;1211</t>
  </si>
  <si>
    <t>&lt;910</t>
  </si>
  <si>
    <t>&lt;671</t>
  </si>
  <si>
    <t>&lt;555</t>
  </si>
  <si>
    <t>&lt;455</t>
  </si>
  <si>
    <t>&lt;342</t>
  </si>
  <si>
    <t>&lt;182</t>
  </si>
  <si>
    <t>&lt;96</t>
  </si>
  <si>
    <t>State General Funds Children Served</t>
  </si>
  <si>
    <r>
      <t>State General Funds Children Served</t>
    </r>
    <r>
      <rPr>
        <b/>
        <sz val="11"/>
        <color theme="1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</si>
  <si>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State general funds children served data is an estimate due to paying for a partial month</t>
    </r>
  </si>
  <si>
    <t>Average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</si>
</sst>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"/>
    <numFmt numFmtId="165" formatCode="&quot;$&quot;#,##0.00"/>
    <numFmt numFmtId="166" formatCode="##,##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9.5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9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10" xfId="0" applyFont="1" applyBorder="1" applyAlignment="1">
      <alignment horizontal="center"/>
    </xf>
    <xf numFmtId="9" fontId="0" fillId="0" borderId="10" xfId="48" applyFont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7" fillId="0" borderId="0" xfId="42" applyFont="1" applyFill="1"/>
    <xf numFmtId="0" fontId="0" fillId="0" borderId="0" xfId="0" applyFont="1"/>
    <xf numFmtId="0" fontId="16" fillId="0" borderId="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35" borderId="10" xfId="0" applyFont="1" applyFill="1" applyBorder="1" applyAlignment="1">
      <alignment horizontal="center"/>
    </xf>
    <xf numFmtId="9" fontId="0" fillId="0" borderId="0" xfId="0" applyNumberFormat="1" applyFont="1"/>
    <xf numFmtId="0" fontId="16" fillId="35" borderId="10" xfId="0" applyFont="1" applyFill="1" applyBorder="1" applyAlignment="1">
      <alignment horizontal="left"/>
    </xf>
    <xf numFmtId="9" fontId="16" fillId="35" borderId="10" xfId="48" applyFont="1" applyFill="1" applyBorder="1"/>
    <xf numFmtId="0" fontId="0" fillId="0" borderId="22" xfId="0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9" fontId="0" fillId="0" borderId="22" xfId="48" applyFont="1" applyBorder="1"/>
    <xf numFmtId="0" fontId="16" fillId="33" borderId="2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9" fontId="0" fillId="0" borderId="15" xfId="48" applyNumberFormat="1" applyFont="1" applyBorder="1"/>
    <xf numFmtId="9" fontId="0" fillId="0" borderId="12" xfId="48" applyNumberFormat="1" applyFont="1" applyBorder="1"/>
    <xf numFmtId="9" fontId="16" fillId="35" borderId="12" xfId="48" applyNumberFormat="1" applyFont="1" applyFill="1" applyBorder="1"/>
    <xf numFmtId="0" fontId="16" fillId="33" borderId="2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6" fillId="35" borderId="27" xfId="0" applyFont="1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2" xfId="48" applyNumberFormat="1" applyFont="1" applyBorder="1" applyAlignment="1">
      <alignment horizontal="center"/>
    </xf>
    <xf numFmtId="0" fontId="0" fillId="0" borderId="0" xfId="0"/>
    <xf numFmtId="0" fontId="35" fillId="0" borderId="10" xfId="57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0" fillId="0" borderId="11" xfId="0" applyFont="1" applyBorder="1"/>
    <xf numFmtId="0" fontId="16" fillId="35" borderId="11" xfId="0" applyFont="1" applyFill="1" applyBorder="1"/>
    <xf numFmtId="0" fontId="29" fillId="36" borderId="29" xfId="42" applyFont="1" applyFill="1" applyBorder="1" applyAlignment="1">
      <alignment horizontal="center" wrapText="1"/>
    </xf>
    <xf numFmtId="0" fontId="28" fillId="33" borderId="30" xfId="42" applyFont="1" applyFill="1" applyBorder="1" applyAlignment="1">
      <alignment horizontal="center" wrapText="1"/>
    </xf>
    <xf numFmtId="0" fontId="28" fillId="33" borderId="31" xfId="42" applyFont="1" applyFill="1" applyBorder="1" applyAlignment="1">
      <alignment horizontal="center" wrapText="1"/>
    </xf>
    <xf numFmtId="0" fontId="28" fillId="33" borderId="32" xfId="42" applyFont="1" applyFill="1" applyBorder="1" applyAlignment="1">
      <alignment horizontal="center" wrapText="1"/>
    </xf>
    <xf numFmtId="165" fontId="29" fillId="35" borderId="33" xfId="42" applyNumberFormat="1" applyFont="1" applyFill="1" applyBorder="1" applyAlignment="1">
      <alignment horizontal="center"/>
    </xf>
    <xf numFmtId="0" fontId="29" fillId="35" borderId="34" xfId="42" applyNumberFormat="1" applyFont="1" applyFill="1" applyBorder="1" applyAlignment="1">
      <alignment horizontal="center"/>
    </xf>
    <xf numFmtId="165" fontId="29" fillId="35" borderId="24" xfId="42" applyNumberFormat="1" applyFont="1" applyFill="1" applyBorder="1" applyAlignment="1">
      <alignment horizontal="center"/>
    </xf>
    <xf numFmtId="0" fontId="29" fillId="35" borderId="21" xfId="42" applyNumberFormat="1" applyFont="1" applyFill="1" applyBorder="1" applyAlignment="1">
      <alignment horizontal="center"/>
    </xf>
    <xf numFmtId="0" fontId="29" fillId="35" borderId="25" xfId="42" applyNumberFormat="1" applyFont="1" applyFill="1" applyBorder="1" applyAlignment="1">
      <alignment horizontal="center"/>
    </xf>
    <xf numFmtId="0" fontId="35" fillId="0" borderId="28" xfId="57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165" fontId="35" fillId="0" borderId="27" xfId="0" applyNumberFormat="1" applyFont="1" applyBorder="1" applyAlignment="1">
      <alignment horizontal="center"/>
    </xf>
    <xf numFmtId="9" fontId="0" fillId="0" borderId="10" xfId="48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38" fillId="0" borderId="10" xfId="0" applyFont="1" applyFill="1" applyBorder="1" applyAlignment="1">
      <alignment horizontal="center" wrapText="1"/>
    </xf>
    <xf numFmtId="0" fontId="0" fillId="0" borderId="0" xfId="0" applyFont="1" applyFill="1"/>
    <xf numFmtId="165" fontId="38" fillId="0" borderId="27" xfId="0" applyNumberFormat="1" applyFont="1" applyBorder="1" applyAlignment="1">
      <alignment horizontal="right"/>
    </xf>
    <xf numFmtId="166" fontId="35" fillId="0" borderId="10" xfId="0" applyNumberFormat="1" applyFont="1" applyBorder="1" applyAlignment="1">
      <alignment horizontal="center" wrapText="1"/>
    </xf>
    <xf numFmtId="0" fontId="0" fillId="0" borderId="38" xfId="0" applyFont="1" applyBorder="1"/>
    <xf numFmtId="0" fontId="35" fillId="0" borderId="18" xfId="0" applyFont="1" applyBorder="1" applyAlignment="1">
      <alignment horizontal="center"/>
    </xf>
    <xf numFmtId="0" fontId="35" fillId="0" borderId="18" xfId="57" applyFont="1" applyBorder="1" applyAlignment="1">
      <alignment horizontal="center"/>
    </xf>
    <xf numFmtId="0" fontId="35" fillId="0" borderId="41" xfId="57" applyFont="1" applyBorder="1" applyAlignment="1">
      <alignment horizontal="center"/>
    </xf>
    <xf numFmtId="0" fontId="16" fillId="35" borderId="36" xfId="0" applyFont="1" applyFill="1" applyBorder="1"/>
    <xf numFmtId="0" fontId="28" fillId="37" borderId="10" xfId="42" applyNumberFormat="1" applyFont="1" applyFill="1" applyBorder="1" applyAlignment="1">
      <alignment horizontal="center"/>
    </xf>
    <xf numFmtId="0" fontId="28" fillId="37" borderId="11" xfId="42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65" fontId="35" fillId="37" borderId="27" xfId="0" applyNumberFormat="1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165" fontId="35" fillId="37" borderId="39" xfId="0" applyNumberFormat="1" applyFont="1" applyFill="1" applyBorder="1" applyAlignment="1">
      <alignment horizontal="center"/>
    </xf>
    <xf numFmtId="0" fontId="35" fillId="37" borderId="18" xfId="0" applyFont="1" applyFill="1" applyBorder="1" applyAlignment="1">
      <alignment horizontal="center"/>
    </xf>
    <xf numFmtId="0" fontId="0" fillId="37" borderId="11" xfId="0" applyFont="1" applyFill="1" applyBorder="1"/>
    <xf numFmtId="0" fontId="29" fillId="35" borderId="42" xfId="42" applyNumberFormat="1" applyFont="1" applyFill="1" applyBorder="1" applyAlignment="1">
      <alignment horizontal="center"/>
    </xf>
    <xf numFmtId="0" fontId="29" fillId="38" borderId="0" xfId="42" applyNumberFormat="1" applyFont="1" applyFill="1" applyBorder="1" applyAlignment="1">
      <alignment horizontal="center"/>
    </xf>
    <xf numFmtId="0" fontId="37" fillId="38" borderId="0" xfId="57" applyFont="1" applyFill="1" applyBorder="1" applyAlignment="1">
      <alignment horizontal="center"/>
    </xf>
    <xf numFmtId="0" fontId="37" fillId="38" borderId="40" xfId="57" applyFont="1" applyFill="1" applyBorder="1" applyAlignment="1">
      <alignment horizontal="center"/>
    </xf>
    <xf numFmtId="165" fontId="35" fillId="0" borderId="10" xfId="0" applyNumberFormat="1" applyFont="1" applyBorder="1" applyAlignment="1">
      <alignment horizontal="center"/>
    </xf>
    <xf numFmtId="0" fontId="29" fillId="35" borderId="10" xfId="42" applyNumberFormat="1" applyFont="1" applyFill="1" applyBorder="1" applyAlignment="1">
      <alignment horizontal="center"/>
    </xf>
    <xf numFmtId="165" fontId="29" fillId="35" borderId="22" xfId="42" applyNumberFormat="1" applyFont="1" applyFill="1" applyBorder="1" applyAlignment="1">
      <alignment horizontal="center"/>
    </xf>
    <xf numFmtId="165" fontId="28" fillId="37" borderId="27" xfId="42" applyNumberFormat="1" applyFont="1" applyFill="1" applyBorder="1" applyAlignment="1">
      <alignment horizontal="center"/>
    </xf>
    <xf numFmtId="165" fontId="35" fillId="0" borderId="10" xfId="60" applyNumberFormat="1" applyFont="1" applyBorder="1" applyAlignment="1">
      <alignment horizontal="center"/>
    </xf>
    <xf numFmtId="0" fontId="38" fillId="0" borderId="10" xfId="0" applyNumberFormat="1" applyFont="1" applyBorder="1" applyAlignment="1">
      <alignment horizontal="center"/>
    </xf>
    <xf numFmtId="165" fontId="35" fillId="0" borderId="27" xfId="0" applyNumberFormat="1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35" fillId="0" borderId="10" xfId="57" applyFont="1" applyFill="1" applyBorder="1" applyAlignment="1">
      <alignment horizontal="center"/>
    </xf>
    <xf numFmtId="0" fontId="35" fillId="0" borderId="18" xfId="0" applyFont="1" applyFill="1" applyBorder="1" applyAlignment="1">
      <alignment horizontal="center"/>
    </xf>
    <xf numFmtId="165" fontId="39" fillId="35" borderId="24" xfId="42" applyNumberFormat="1" applyFont="1" applyFill="1" applyBorder="1" applyAlignment="1">
      <alignment horizontal="center"/>
    </xf>
    <xf numFmtId="0" fontId="39" fillId="35" borderId="21" xfId="42" applyNumberFormat="1" applyFont="1" applyFill="1" applyBorder="1" applyAlignment="1">
      <alignment horizontal="center"/>
    </xf>
    <xf numFmtId="0" fontId="16" fillId="35" borderId="0" xfId="0" applyFont="1" applyFill="1" applyBorder="1"/>
    <xf numFmtId="0" fontId="29" fillId="35" borderId="0" xfId="4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5" fontId="29" fillId="35" borderId="0" xfId="42" applyNumberFormat="1" applyFont="1" applyFill="1" applyBorder="1" applyAlignment="1">
      <alignment horizontal="center"/>
    </xf>
    <xf numFmtId="165" fontId="29" fillId="0" borderId="0" xfId="42" applyNumberFormat="1" applyFont="1" applyFill="1" applyBorder="1" applyAlignment="1">
      <alignment horizontal="center"/>
    </xf>
    <xf numFmtId="0" fontId="28" fillId="0" borderId="10" xfId="42" applyNumberFormat="1" applyFont="1" applyFill="1" applyBorder="1" applyAlignment="1">
      <alignment horizontal="center"/>
    </xf>
    <xf numFmtId="0" fontId="16" fillId="35" borderId="43" xfId="0" applyFont="1" applyFill="1" applyBorder="1" applyAlignment="1">
      <alignment horizontal="center"/>
    </xf>
    <xf numFmtId="9" fontId="16" fillId="35" borderId="43" xfId="48" applyFont="1" applyFill="1" applyBorder="1" applyAlignment="1">
      <alignment horizontal="center"/>
    </xf>
    <xf numFmtId="9" fontId="16" fillId="35" borderId="43" xfId="48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15" xfId="48" applyNumberFormat="1" applyFont="1" applyBorder="1" applyAlignment="1">
      <alignment horizontal="center"/>
    </xf>
    <xf numFmtId="9" fontId="0" fillId="0" borderId="22" xfId="48" applyFont="1" applyFill="1" applyBorder="1" applyAlignment="1">
      <alignment horizontal="center"/>
    </xf>
    <xf numFmtId="0" fontId="16" fillId="33" borderId="43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166" fontId="35" fillId="0" borderId="21" xfId="0" applyNumberFormat="1" applyFont="1" applyBorder="1" applyAlignment="1">
      <alignment horizontal="center" wrapText="1"/>
    </xf>
    <xf numFmtId="9" fontId="0" fillId="0" borderId="44" xfId="48" applyNumberFormat="1" applyFont="1" applyBorder="1" applyAlignment="1">
      <alignment horizontal="center"/>
    </xf>
    <xf numFmtId="9" fontId="0" fillId="0" borderId="21" xfId="48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66" fontId="38" fillId="0" borderId="44" xfId="0" applyNumberFormat="1" applyFont="1" applyBorder="1" applyAlignment="1">
      <alignment horizontal="center" wrapText="1"/>
    </xf>
    <xf numFmtId="166" fontId="38" fillId="0" borderId="12" xfId="0" applyNumberFormat="1" applyFont="1" applyBorder="1" applyAlignment="1">
      <alignment horizontal="center" wrapText="1"/>
    </xf>
    <xf numFmtId="166" fontId="38" fillId="0" borderId="12" xfId="0" applyNumberFormat="1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166" fontId="35" fillId="0" borderId="12" xfId="0" applyNumberFormat="1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35" fillId="0" borderId="28" xfId="57" applyFont="1" applyFill="1" applyBorder="1" applyAlignment="1">
      <alignment horizontal="center"/>
    </xf>
    <xf numFmtId="0" fontId="35" fillId="0" borderId="10" xfId="64" applyFont="1" applyFill="1" applyBorder="1" applyAlignment="1">
      <alignment horizontal="center"/>
    </xf>
    <xf numFmtId="0" fontId="29" fillId="0" borderId="10" xfId="64" applyFont="1" applyFill="1" applyBorder="1" applyAlignment="1">
      <alignment horizontal="center"/>
    </xf>
    <xf numFmtId="0" fontId="29" fillId="0" borderId="10" xfId="42" applyNumberFormat="1" applyFont="1" applyFill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0" fillId="0" borderId="27" xfId="0" applyFill="1" applyBorder="1"/>
    <xf numFmtId="0" fontId="0" fillId="0" borderId="39" xfId="0" applyBorder="1"/>
    <xf numFmtId="0" fontId="16" fillId="35" borderId="43" xfId="0" applyFont="1" applyFill="1" applyBorder="1" applyAlignment="1">
      <alignment horizontal="left"/>
    </xf>
    <xf numFmtId="165" fontId="40" fillId="0" borderId="46" xfId="0" applyNumberFormat="1" applyFont="1" applyBorder="1" applyAlignment="1">
      <alignment horizontal="right"/>
    </xf>
    <xf numFmtId="165" fontId="28" fillId="37" borderId="10" xfId="42" applyNumberFormat="1" applyFont="1" applyFill="1" applyBorder="1" applyAlignment="1">
      <alignment horizontal="center"/>
    </xf>
    <xf numFmtId="0" fontId="35" fillId="0" borderId="18" xfId="57" applyFont="1" applyFill="1" applyBorder="1" applyAlignment="1">
      <alignment horizontal="center"/>
    </xf>
    <xf numFmtId="0" fontId="35" fillId="0" borderId="41" xfId="57" applyFont="1" applyFill="1" applyBorder="1" applyAlignment="1">
      <alignment horizontal="center"/>
    </xf>
    <xf numFmtId="0" fontId="28" fillId="0" borderId="11" xfId="42" applyNumberFormat="1" applyFont="1" applyFill="1" applyBorder="1" applyAlignment="1">
      <alignment horizontal="center"/>
    </xf>
    <xf numFmtId="0" fontId="29" fillId="39" borderId="0" xfId="42" applyNumberFormat="1" applyFont="1" applyFill="1" applyBorder="1" applyAlignment="1">
      <alignment horizontal="center"/>
    </xf>
    <xf numFmtId="0" fontId="37" fillId="39" borderId="0" xfId="57" applyFont="1" applyFill="1" applyBorder="1" applyAlignment="1">
      <alignment horizontal="center"/>
    </xf>
    <xf numFmtId="0" fontId="37" fillId="39" borderId="40" xfId="57" applyFont="1" applyFill="1" applyBorder="1" applyAlignment="1">
      <alignment horizontal="center"/>
    </xf>
    <xf numFmtId="0" fontId="35" fillId="37" borderId="10" xfId="0" applyFont="1" applyFill="1" applyBorder="1" applyAlignment="1">
      <alignment horizontal="center"/>
    </xf>
    <xf numFmtId="165" fontId="29" fillId="35" borderId="10" xfId="42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1" fillId="0" borderId="10" xfId="0" applyNumberFormat="1" applyFont="1" applyFill="1" applyBorder="1"/>
    <xf numFmtId="0" fontId="41" fillId="0" borderId="10" xfId="0" applyNumberFormat="1" applyFont="1" applyFill="1" applyBorder="1" applyAlignment="1">
      <alignment horizontal="right"/>
    </xf>
    <xf numFmtId="0" fontId="18" fillId="0" borderId="40" xfId="0" applyFont="1" applyBorder="1" applyAlignment="1">
      <alignment horizontal="center"/>
    </xf>
    <xf numFmtId="44" fontId="41" fillId="0" borderId="27" xfId="0" applyNumberFormat="1" applyFont="1" applyFill="1" applyBorder="1"/>
    <xf numFmtId="0" fontId="41" fillId="0" borderId="28" xfId="0" applyNumberFormat="1" applyFont="1" applyFill="1" applyBorder="1" applyAlignment="1">
      <alignment horizontal="center"/>
    </xf>
    <xf numFmtId="0" fontId="37" fillId="35" borderId="21" xfId="0" applyFont="1" applyFill="1" applyBorder="1" applyAlignment="1">
      <alignment horizontal="center"/>
    </xf>
    <xf numFmtId="8" fontId="41" fillId="0" borderId="46" xfId="0" applyNumberFormat="1" applyFont="1" applyBorder="1"/>
    <xf numFmtId="0" fontId="0" fillId="0" borderId="10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5" fillId="0" borderId="28" xfId="0" applyFont="1" applyFill="1" applyBorder="1" applyAlignment="1">
      <alignment horizontal="center"/>
    </xf>
    <xf numFmtId="0" fontId="39" fillId="35" borderId="25" xfId="42" applyNumberFormat="1" applyFont="1" applyFill="1" applyBorder="1" applyAlignment="1">
      <alignment horizontal="center"/>
    </xf>
    <xf numFmtId="0" fontId="36" fillId="0" borderId="28" xfId="0" applyFont="1" applyFill="1" applyBorder="1" applyAlignment="1">
      <alignment horizontal="center"/>
    </xf>
    <xf numFmtId="8" fontId="41" fillId="0" borderId="46" xfId="0" applyNumberFormat="1" applyFont="1" applyFill="1" applyBorder="1"/>
    <xf numFmtId="0" fontId="1" fillId="0" borderId="0" xfId="0" applyFont="1" applyBorder="1"/>
    <xf numFmtId="0" fontId="29" fillId="36" borderId="47" xfId="42" applyFont="1" applyFill="1" applyBorder="1" applyAlignment="1">
      <alignment horizontal="center" wrapText="1"/>
    </xf>
    <xf numFmtId="165" fontId="1" fillId="0" borderId="0" xfId="0" applyNumberFormat="1" applyFont="1"/>
    <xf numFmtId="8" fontId="1" fillId="0" borderId="0" xfId="0" applyNumberFormat="1" applyFont="1" applyBorder="1"/>
    <xf numFmtId="8" fontId="41" fillId="0" borderId="0" xfId="0" applyNumberFormat="1" applyFont="1" applyFill="1" applyBorder="1"/>
    <xf numFmtId="0" fontId="0" fillId="0" borderId="0" xfId="0" applyFont="1" applyBorder="1"/>
    <xf numFmtId="8" fontId="41" fillId="0" borderId="0" xfId="0" applyNumberFormat="1" applyFont="1" applyBorder="1"/>
    <xf numFmtId="0" fontId="42" fillId="0" borderId="0" xfId="0" applyFont="1" applyBorder="1" applyAlignment="1">
      <alignment vertical="center" wrapText="1"/>
    </xf>
    <xf numFmtId="8" fontId="42" fillId="0" borderId="0" xfId="0" applyNumberFormat="1" applyFont="1" applyBorder="1" applyAlignment="1">
      <alignment vertical="center" wrapText="1"/>
    </xf>
    <xf numFmtId="165" fontId="42" fillId="0" borderId="0" xfId="0" applyNumberFormat="1" applyFont="1" applyBorder="1" applyAlignment="1">
      <alignment horizontal="right" vertical="center" wrapText="1"/>
    </xf>
    <xf numFmtId="0" fontId="43" fillId="0" borderId="0" xfId="0" applyFont="1" applyBorder="1" applyAlignment="1">
      <alignment vertical="center"/>
    </xf>
    <xf numFmtId="2" fontId="1" fillId="0" borderId="0" xfId="0" applyNumberFormat="1" applyFont="1" applyBorder="1"/>
    <xf numFmtId="8" fontId="1" fillId="0" borderId="0" xfId="0" applyNumberFormat="1" applyFont="1"/>
    <xf numFmtId="1" fontId="35" fillId="0" borderId="18" xfId="0" applyNumberFormat="1" applyFont="1" applyFill="1" applyBorder="1" applyAlignment="1">
      <alignment horizontal="center"/>
    </xf>
    <xf numFmtId="1" fontId="35" fillId="0" borderId="1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" fillId="0" borderId="35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49" fontId="13" fillId="34" borderId="13" xfId="0" applyNumberFormat="1" applyFont="1" applyFill="1" applyBorder="1" applyAlignment="1">
      <alignment horizontal="center"/>
    </xf>
    <xf numFmtId="49" fontId="13" fillId="34" borderId="0" xfId="0" applyNumberFormat="1" applyFont="1" applyFill="1" applyBorder="1" applyAlignment="1">
      <alignment horizontal="center"/>
    </xf>
    <xf numFmtId="0" fontId="26" fillId="0" borderId="0" xfId="42" applyFont="1" applyFill="1" applyAlignment="1">
      <alignment horizontal="left"/>
    </xf>
    <xf numFmtId="164" fontId="24" fillId="0" borderId="0" xfId="42" applyNumberFormat="1" applyFont="1" applyFill="1" applyAlignment="1">
      <alignment horizontal="left"/>
    </xf>
    <xf numFmtId="0" fontId="30" fillId="0" borderId="19" xfId="0" applyFont="1" applyBorder="1" applyAlignment="1">
      <alignment horizontal="center"/>
    </xf>
    <xf numFmtId="0" fontId="30" fillId="0" borderId="45" xfId="0" applyFont="1" applyBorder="1" applyAlignment="1">
      <alignment horizontal="center" wrapText="1"/>
    </xf>
    <xf numFmtId="0" fontId="30" fillId="0" borderId="16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30" fillId="0" borderId="16" xfId="0" applyFont="1" applyBorder="1" applyAlignment="1">
      <alignment horizontal="center" wrapText="1"/>
    </xf>
    <xf numFmtId="17" fontId="16" fillId="33" borderId="43" xfId="0" applyNumberFormat="1" applyFont="1" applyFill="1" applyBorder="1" applyAlignment="1">
      <alignment horizontal="center"/>
    </xf>
    <xf numFmtId="17" fontId="16" fillId="33" borderId="48" xfId="0" applyNumberFormat="1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16" fillId="35" borderId="49" xfId="0" applyNumberFormat="1" applyFont="1" applyFill="1" applyBorder="1" applyAlignment="1">
      <alignment horizontal="center"/>
    </xf>
    <xf numFmtId="1" fontId="16" fillId="35" borderId="43" xfId="0" applyNumberFormat="1" applyFont="1" applyFill="1" applyBorder="1" applyAlignment="1">
      <alignment horizontal="center"/>
    </xf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60" builtinId="4"/>
    <cellStyle name="Explanatory Text" xfId="16" builtinId="53" customBuiltin="1"/>
    <cellStyle name="Followed Hyperlink" xfId="45" builtinId="9" customBuiltin="1"/>
    <cellStyle name="Followed Hyperlink 2" xfId="47" xr:uid="{00000000-0005-0000-0000-00001E000000}"/>
    <cellStyle name="Followed Hyperlink 2 2" xfId="63" xr:uid="{00000000-0005-0000-0000-00001F000000}"/>
    <cellStyle name="Followed Hyperlink 3" xfId="59" xr:uid="{00000000-0005-0000-0000-000020000000}"/>
    <cellStyle name="Followed Hyperlink 3 2" xfId="66" xr:uid="{00000000-0005-0000-0000-000021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customBuiltin="1"/>
    <cellStyle name="Hyperlink 2" xfId="46" xr:uid="{00000000-0005-0000-0000-000028000000}"/>
    <cellStyle name="Hyperlink 2 2" xfId="62" xr:uid="{00000000-0005-0000-0000-000029000000}"/>
    <cellStyle name="Hyperlink 3" xfId="58" xr:uid="{00000000-0005-0000-0000-00002A000000}"/>
    <cellStyle name="Hyperlink 3 2" xfId="65" xr:uid="{00000000-0005-0000-0000-00002B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0000000}"/>
    <cellStyle name="Normal 3" xfId="43" xr:uid="{00000000-0005-0000-0000-000031000000}"/>
    <cellStyle name="Normal 3 2" xfId="53" xr:uid="{00000000-0005-0000-0000-000032000000}"/>
    <cellStyle name="Normal 3 3" xfId="61" xr:uid="{00000000-0005-0000-0000-000033000000}"/>
    <cellStyle name="Normal 4" xfId="51" xr:uid="{00000000-0005-0000-0000-000034000000}"/>
    <cellStyle name="Normal 5" xfId="49" xr:uid="{00000000-0005-0000-0000-000035000000}"/>
    <cellStyle name="Normal 6" xfId="54" xr:uid="{00000000-0005-0000-0000-000036000000}"/>
    <cellStyle name="Normal 7" xfId="55" xr:uid="{00000000-0005-0000-0000-000037000000}"/>
    <cellStyle name="Normal 8" xfId="56" xr:uid="{00000000-0005-0000-0000-000038000000}"/>
    <cellStyle name="Normal 9" xfId="57" xr:uid="{00000000-0005-0000-0000-000039000000}"/>
    <cellStyle name="Normal 9 2" xfId="64" xr:uid="{00000000-0005-0000-0000-00003A000000}"/>
    <cellStyle name="Note" xfId="15" builtinId="10" customBuiltin="1"/>
    <cellStyle name="Output" xfId="10" builtinId="21" customBuiltin="1"/>
    <cellStyle name="Percent" xfId="48" builtinId="5"/>
    <cellStyle name="Percent 2" xfId="52" xr:uid="{00000000-0005-0000-0000-00003E000000}"/>
    <cellStyle name="Percent 3" xfId="50" xr:uid="{00000000-0005-0000-0000-00003F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0</xdr:row>
      <xdr:rowOff>72279</xdr:rowOff>
    </xdr:from>
    <xdr:to>
      <xdr:col>0</xdr:col>
      <xdr:colOff>1770530</xdr:colOff>
      <xdr:row>3</xdr:row>
      <xdr:rowOff>74029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4" y="72279"/>
          <a:ext cx="1725706" cy="573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1455"/>
          <a:ext cx="1217098" cy="6877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1455"/>
          <a:ext cx="1217098" cy="6877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</xdr:col>
      <xdr:colOff>55048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2150548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</xdr:col>
      <xdr:colOff>55048</xdr:colOff>
      <xdr:row>4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217CE7-1881-40B5-8686-9410D6B2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1455"/>
          <a:ext cx="1217098" cy="6877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7"/>
  <sheetViews>
    <sheetView topLeftCell="A58" zoomScaleNormal="100" workbookViewId="0">
      <selection activeCell="H83" sqref="H83"/>
    </sheetView>
  </sheetViews>
  <sheetFormatPr defaultColWidth="9.109375" defaultRowHeight="14.4" x14ac:dyDescent="0.3"/>
  <cols>
    <col min="1" max="1" width="34.109375" style="4" bestFit="1" customWidth="1"/>
    <col min="2" max="2" width="15.109375" style="5" bestFit="1" customWidth="1"/>
    <col min="3" max="3" width="11.6640625" style="5" bestFit="1" customWidth="1"/>
    <col min="4" max="4" width="8.5546875" style="5" bestFit="1" customWidth="1"/>
    <col min="5" max="9" width="5" style="5" bestFit="1" customWidth="1"/>
    <col min="10" max="10" width="6" style="5" customWidth="1"/>
    <col min="11" max="16" width="5" style="5" bestFit="1" customWidth="1"/>
    <col min="17" max="17" width="8.44140625" style="5" bestFit="1" customWidth="1"/>
    <col min="18" max="18" width="29" style="4" bestFit="1" customWidth="1"/>
    <col min="19" max="20" width="9.109375" style="4"/>
    <col min="21" max="21" width="14.44140625" style="4" bestFit="1" customWidth="1"/>
    <col min="22" max="22" width="13.5546875" style="4" bestFit="1" customWidth="1"/>
    <col min="23" max="23" width="12.44140625" style="4" customWidth="1"/>
    <col min="24" max="16384" width="9.109375" style="4"/>
  </cols>
  <sheetData>
    <row r="1" spans="1:24" s="3" customFormat="1" x14ac:dyDescent="0.3">
      <c r="B1" s="172" t="s">
        <v>97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6"/>
      <c r="U1" s="6"/>
      <c r="V1" s="6"/>
      <c r="W1" s="6"/>
      <c r="X1" s="6"/>
    </row>
    <row r="2" spans="1:24" s="3" customFormat="1" x14ac:dyDescent="0.3">
      <c r="B2" s="173" t="s">
        <v>98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6"/>
      <c r="T2" s="6"/>
      <c r="U2" s="6"/>
      <c r="V2" s="6"/>
      <c r="W2" s="6"/>
      <c r="X2" s="6"/>
    </row>
    <row r="3" spans="1:24" s="3" customFormat="1" x14ac:dyDescent="0.3">
      <c r="B3" s="173" t="s">
        <v>103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6"/>
      <c r="T3" s="6"/>
      <c r="U3" s="6"/>
      <c r="V3" s="6"/>
      <c r="W3" s="6"/>
      <c r="X3" s="6"/>
    </row>
    <row r="4" spans="1:24" s="3" customFormat="1" x14ac:dyDescent="0.3">
      <c r="B4" s="173" t="s">
        <v>99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6"/>
      <c r="T4" s="6"/>
      <c r="U4" s="6"/>
      <c r="V4" s="6"/>
      <c r="W4" s="6"/>
      <c r="X4" s="6"/>
    </row>
    <row r="5" spans="1:24" s="3" customFormat="1" x14ac:dyDescent="0.3">
      <c r="B5" s="173" t="s">
        <v>95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6"/>
      <c r="S5" s="6"/>
      <c r="T5" s="6"/>
      <c r="U5" s="6"/>
      <c r="V5" s="6"/>
      <c r="W5" s="6"/>
      <c r="X5" s="6"/>
    </row>
    <row r="6" spans="1:24" s="3" customFormat="1" x14ac:dyDescent="0.3">
      <c r="B6" s="173" t="s">
        <v>96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6"/>
      <c r="S6" s="6"/>
      <c r="T6" s="6"/>
      <c r="U6" s="6"/>
      <c r="V6" s="6"/>
      <c r="W6" s="6"/>
      <c r="X6" s="6"/>
    </row>
    <row r="7" spans="1:24" ht="15" thickBot="1" x14ac:dyDescent="0.35"/>
    <row r="8" spans="1:24" ht="16.2" thickBot="1" x14ac:dyDescent="0.35">
      <c r="A8" s="174" t="s">
        <v>100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</row>
    <row r="10" spans="1:24" ht="15" thickBot="1" x14ac:dyDescent="0.35">
      <c r="B10" s="170" t="s">
        <v>159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</row>
    <row r="11" spans="1:24" ht="43.8" thickBot="1" x14ac:dyDescent="0.35">
      <c r="B11" s="43" t="s">
        <v>0</v>
      </c>
      <c r="C11" s="44" t="s">
        <v>1</v>
      </c>
      <c r="D11" s="44" t="s">
        <v>91</v>
      </c>
      <c r="E11" s="44" t="s">
        <v>2</v>
      </c>
      <c r="F11" s="44" t="s">
        <v>3</v>
      </c>
      <c r="G11" s="44" t="s">
        <v>4</v>
      </c>
      <c r="H11" s="44" t="s">
        <v>5</v>
      </c>
      <c r="I11" s="44" t="s">
        <v>6</v>
      </c>
      <c r="J11" s="44" t="s">
        <v>7</v>
      </c>
      <c r="K11" s="44" t="s">
        <v>8</v>
      </c>
      <c r="L11" s="44" t="s">
        <v>9</v>
      </c>
      <c r="M11" s="44" t="s">
        <v>10</v>
      </c>
      <c r="N11" s="44" t="s">
        <v>11</v>
      </c>
      <c r="O11" s="44" t="s">
        <v>12</v>
      </c>
      <c r="P11" s="44" t="s">
        <v>13</v>
      </c>
      <c r="Q11" s="45" t="s">
        <v>14</v>
      </c>
      <c r="R11" s="42" t="s">
        <v>101</v>
      </c>
    </row>
    <row r="12" spans="1:24" x14ac:dyDescent="0.3">
      <c r="A12" s="40" t="s">
        <v>92</v>
      </c>
      <c r="B12" s="69">
        <f>4262867.72-1083150.53</f>
        <v>3179717.1899999995</v>
      </c>
      <c r="C12" s="70">
        <f>14357-3131</f>
        <v>11226</v>
      </c>
      <c r="D12" s="70">
        <f>1040-D14</f>
        <v>578</v>
      </c>
      <c r="E12" s="70">
        <f>1980-E14</f>
        <v>1113</v>
      </c>
      <c r="F12" s="70">
        <f>2653-F14</f>
        <v>1766</v>
      </c>
      <c r="G12" s="68">
        <f>2901-G14</f>
        <v>2149</v>
      </c>
      <c r="H12" s="39">
        <f>1948-H14</f>
        <v>1785</v>
      </c>
      <c r="I12" s="39">
        <v>1075</v>
      </c>
      <c r="J12" s="39">
        <v>760</v>
      </c>
      <c r="K12" s="39">
        <v>562</v>
      </c>
      <c r="L12" s="39">
        <v>445</v>
      </c>
      <c r="M12" s="39">
        <v>350</v>
      </c>
      <c r="N12" s="39">
        <v>301</v>
      </c>
      <c r="O12" s="85">
        <v>196</v>
      </c>
      <c r="P12" s="86">
        <v>107</v>
      </c>
      <c r="Q12" s="117">
        <v>39</v>
      </c>
      <c r="R12" s="167">
        <v>802</v>
      </c>
    </row>
    <row r="13" spans="1:24" ht="15" customHeight="1" x14ac:dyDescent="0.3">
      <c r="A13" s="61" t="s">
        <v>102</v>
      </c>
      <c r="B13" s="71">
        <v>275172.98</v>
      </c>
      <c r="C13" s="72">
        <v>866</v>
      </c>
      <c r="D13" s="72">
        <v>141</v>
      </c>
      <c r="E13" s="72">
        <v>182</v>
      </c>
      <c r="F13" s="72">
        <v>168</v>
      </c>
      <c r="G13" s="62">
        <v>162</v>
      </c>
      <c r="H13" s="62">
        <v>80</v>
      </c>
      <c r="I13" s="39">
        <v>27</v>
      </c>
      <c r="J13" s="39">
        <v>26</v>
      </c>
      <c r="K13" s="39">
        <v>23</v>
      </c>
      <c r="L13" s="39">
        <v>20</v>
      </c>
      <c r="M13" s="39">
        <v>15</v>
      </c>
      <c r="N13" s="38">
        <v>11</v>
      </c>
      <c r="O13" s="118" t="s">
        <v>172</v>
      </c>
      <c r="P13" s="118" t="s">
        <v>172</v>
      </c>
      <c r="Q13" s="118" t="s">
        <v>172</v>
      </c>
      <c r="R13" s="168"/>
    </row>
    <row r="14" spans="1:24" x14ac:dyDescent="0.3">
      <c r="A14" s="73" t="s">
        <v>158</v>
      </c>
      <c r="B14" s="81">
        <v>1083150.53</v>
      </c>
      <c r="C14" s="66">
        <v>3131</v>
      </c>
      <c r="D14" s="66">
        <v>462</v>
      </c>
      <c r="E14" s="66">
        <v>867</v>
      </c>
      <c r="F14" s="66">
        <v>887</v>
      </c>
      <c r="G14" s="67">
        <v>752</v>
      </c>
      <c r="H14" s="95">
        <v>163</v>
      </c>
      <c r="I14" s="75"/>
      <c r="J14" s="75"/>
      <c r="K14" s="75"/>
      <c r="L14" s="75"/>
      <c r="M14" s="76"/>
      <c r="N14" s="76"/>
      <c r="O14" s="76"/>
      <c r="P14" s="76"/>
      <c r="Q14" s="77"/>
      <c r="R14" s="168"/>
    </row>
    <row r="15" spans="1:24" ht="15" thickBot="1" x14ac:dyDescent="0.35">
      <c r="A15" s="65" t="s">
        <v>105</v>
      </c>
      <c r="B15" s="46">
        <f>SUM(B12:B14)</f>
        <v>4538040.6999999993</v>
      </c>
      <c r="C15" s="47">
        <f t="shared" ref="C15:H15" si="0">SUM(C12:C14)</f>
        <v>15223</v>
      </c>
      <c r="D15" s="47">
        <f>SUM(D12:D14)</f>
        <v>1181</v>
      </c>
      <c r="E15" s="47">
        <f t="shared" si="0"/>
        <v>2162</v>
      </c>
      <c r="F15" s="47">
        <f t="shared" si="0"/>
        <v>2821</v>
      </c>
      <c r="G15" s="47">
        <f t="shared" si="0"/>
        <v>3063</v>
      </c>
      <c r="H15" s="47">
        <f t="shared" si="0"/>
        <v>2028</v>
      </c>
      <c r="I15" s="79">
        <f t="shared" ref="I15:N15" si="1">SUM(I12:I14)</f>
        <v>1102</v>
      </c>
      <c r="J15" s="79">
        <f t="shared" si="1"/>
        <v>786</v>
      </c>
      <c r="K15" s="79">
        <f t="shared" si="1"/>
        <v>585</v>
      </c>
      <c r="L15" s="79">
        <f t="shared" si="1"/>
        <v>465</v>
      </c>
      <c r="M15" s="79">
        <f t="shared" si="1"/>
        <v>365</v>
      </c>
      <c r="N15" s="79">
        <f t="shared" si="1"/>
        <v>312</v>
      </c>
      <c r="O15" s="119" t="s">
        <v>173</v>
      </c>
      <c r="P15" s="120" t="s">
        <v>174</v>
      </c>
      <c r="Q15" s="120" t="s">
        <v>175</v>
      </c>
      <c r="R15" s="169"/>
      <c r="W15" s="94"/>
    </row>
    <row r="16" spans="1:24" ht="15" thickBot="1" x14ac:dyDescent="0.35">
      <c r="B16" s="170" t="s">
        <v>160</v>
      </c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</row>
    <row r="17" spans="1:18" ht="43.8" thickBot="1" x14ac:dyDescent="0.35">
      <c r="B17" s="43" t="s">
        <v>0</v>
      </c>
      <c r="C17" s="44" t="s">
        <v>1</v>
      </c>
      <c r="D17" s="44" t="s">
        <v>91</v>
      </c>
      <c r="E17" s="44" t="s">
        <v>2</v>
      </c>
      <c r="F17" s="44" t="s">
        <v>3</v>
      </c>
      <c r="G17" s="44" t="s">
        <v>4</v>
      </c>
      <c r="H17" s="44" t="s">
        <v>5</v>
      </c>
      <c r="I17" s="44" t="s">
        <v>6</v>
      </c>
      <c r="J17" s="44" t="s">
        <v>7</v>
      </c>
      <c r="K17" s="44" t="s">
        <v>8</v>
      </c>
      <c r="L17" s="44" t="s">
        <v>9</v>
      </c>
      <c r="M17" s="44" t="s">
        <v>10</v>
      </c>
      <c r="N17" s="44" t="s">
        <v>11</v>
      </c>
      <c r="O17" s="44" t="s">
        <v>12</v>
      </c>
      <c r="P17" s="44" t="s">
        <v>13</v>
      </c>
      <c r="Q17" s="45" t="s">
        <v>14</v>
      </c>
      <c r="R17" s="42" t="s">
        <v>101</v>
      </c>
    </row>
    <row r="18" spans="1:18" x14ac:dyDescent="0.3">
      <c r="A18" s="40" t="s">
        <v>92</v>
      </c>
      <c r="B18" s="69">
        <f>SUM(5057860.28-B20)</f>
        <v>3633580.1900000004</v>
      </c>
      <c r="C18" s="70">
        <f>SUM(14833-C20)</f>
        <v>11368</v>
      </c>
      <c r="D18" s="70">
        <f>SUM(1100-D20)</f>
        <v>587</v>
      </c>
      <c r="E18" s="70">
        <f>SUM(2110-E20)</f>
        <v>1162</v>
      </c>
      <c r="F18" s="70">
        <f>SUM(2764-F20)</f>
        <v>1792</v>
      </c>
      <c r="G18" s="68">
        <f>SUM(2974-G20)</f>
        <v>2156</v>
      </c>
      <c r="H18" s="39">
        <f>SUM(2079-H20)</f>
        <v>1865</v>
      </c>
      <c r="I18" s="39">
        <v>1125</v>
      </c>
      <c r="J18" s="39">
        <v>717</v>
      </c>
      <c r="K18" s="39">
        <v>561</v>
      </c>
      <c r="L18" s="39">
        <v>424</v>
      </c>
      <c r="M18" s="39">
        <v>346</v>
      </c>
      <c r="N18" s="39">
        <v>291</v>
      </c>
      <c r="O18" s="39">
        <v>196</v>
      </c>
      <c r="P18" s="38">
        <v>107</v>
      </c>
      <c r="Q18" s="51">
        <v>39</v>
      </c>
      <c r="R18" s="167">
        <v>801</v>
      </c>
    </row>
    <row r="19" spans="1:18" x14ac:dyDescent="0.3">
      <c r="A19" s="61" t="s">
        <v>102</v>
      </c>
      <c r="B19" s="126">
        <v>315660.28999999998</v>
      </c>
      <c r="C19" s="72">
        <v>876</v>
      </c>
      <c r="D19" s="72">
        <v>138</v>
      </c>
      <c r="E19" s="72">
        <v>196</v>
      </c>
      <c r="F19" s="72">
        <v>163</v>
      </c>
      <c r="G19" s="62">
        <v>161</v>
      </c>
      <c r="H19" s="62">
        <v>86</v>
      </c>
      <c r="I19" s="62">
        <v>34</v>
      </c>
      <c r="J19" s="62">
        <v>22</v>
      </c>
      <c r="K19" s="62">
        <v>18</v>
      </c>
      <c r="L19" s="62">
        <v>21</v>
      </c>
      <c r="M19" s="62">
        <v>14</v>
      </c>
      <c r="N19" s="63">
        <v>11</v>
      </c>
      <c r="O19" s="63" t="s">
        <v>172</v>
      </c>
      <c r="P19" s="63" t="s">
        <v>172</v>
      </c>
      <c r="Q19" s="64" t="s">
        <v>172</v>
      </c>
      <c r="R19" s="168"/>
    </row>
    <row r="20" spans="1:18" x14ac:dyDescent="0.3">
      <c r="A20" s="73" t="s">
        <v>158</v>
      </c>
      <c r="B20" s="127">
        <v>1424280.09</v>
      </c>
      <c r="C20" s="66">
        <v>3465</v>
      </c>
      <c r="D20" s="66">
        <v>513</v>
      </c>
      <c r="E20" s="66">
        <v>948</v>
      </c>
      <c r="F20" s="66">
        <v>972</v>
      </c>
      <c r="G20" s="66">
        <v>818</v>
      </c>
      <c r="H20" s="95">
        <v>214</v>
      </c>
      <c r="I20" s="75"/>
      <c r="J20" s="75"/>
      <c r="K20" s="75"/>
      <c r="L20" s="75"/>
      <c r="M20" s="76"/>
      <c r="N20" s="76"/>
      <c r="O20" s="76"/>
      <c r="P20" s="76"/>
      <c r="Q20" s="77"/>
      <c r="R20" s="168"/>
    </row>
    <row r="21" spans="1:18" ht="15" thickBot="1" x14ac:dyDescent="0.35">
      <c r="A21" s="65" t="s">
        <v>105</v>
      </c>
      <c r="B21" s="46">
        <f>SUM(B18:B20)</f>
        <v>5373520.5700000003</v>
      </c>
      <c r="C21" s="47">
        <f>SUM(C18:C20)</f>
        <v>15709</v>
      </c>
      <c r="D21" s="47">
        <f>SUM(D18:D20)</f>
        <v>1238</v>
      </c>
      <c r="E21" s="47">
        <f t="shared" ref="E21:M21" si="2">SUM(E18:E20)</f>
        <v>2306</v>
      </c>
      <c r="F21" s="47">
        <f t="shared" si="2"/>
        <v>2927</v>
      </c>
      <c r="G21" s="47">
        <f t="shared" si="2"/>
        <v>3135</v>
      </c>
      <c r="H21" s="47">
        <f>SUM(H18:H20)</f>
        <v>2165</v>
      </c>
      <c r="I21" s="47">
        <f t="shared" si="2"/>
        <v>1159</v>
      </c>
      <c r="J21" s="47">
        <f t="shared" si="2"/>
        <v>739</v>
      </c>
      <c r="K21" s="47">
        <f t="shared" si="2"/>
        <v>579</v>
      </c>
      <c r="L21" s="47">
        <f t="shared" si="2"/>
        <v>445</v>
      </c>
      <c r="M21" s="47">
        <f t="shared" si="2"/>
        <v>360</v>
      </c>
      <c r="N21" s="47">
        <f>SUM(N18:N20)</f>
        <v>302</v>
      </c>
      <c r="O21" s="47" t="s">
        <v>173</v>
      </c>
      <c r="P21" s="47" t="s">
        <v>174</v>
      </c>
      <c r="Q21" s="47" t="s">
        <v>175</v>
      </c>
      <c r="R21" s="169"/>
    </row>
    <row r="22" spans="1:18" ht="15" thickBot="1" x14ac:dyDescent="0.35">
      <c r="B22" s="170" t="s">
        <v>161</v>
      </c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18" ht="43.8" thickBot="1" x14ac:dyDescent="0.35">
      <c r="B23" s="43" t="s">
        <v>0</v>
      </c>
      <c r="C23" s="44" t="s">
        <v>1</v>
      </c>
      <c r="D23" s="44" t="s">
        <v>91</v>
      </c>
      <c r="E23" s="44" t="s">
        <v>2</v>
      </c>
      <c r="F23" s="44" t="s">
        <v>3</v>
      </c>
      <c r="G23" s="44" t="s">
        <v>4</v>
      </c>
      <c r="H23" s="44" t="s">
        <v>5</v>
      </c>
      <c r="I23" s="44" t="s">
        <v>6</v>
      </c>
      <c r="J23" s="44" t="s">
        <v>7</v>
      </c>
      <c r="K23" s="44" t="s">
        <v>8</v>
      </c>
      <c r="L23" s="44" t="s">
        <v>9</v>
      </c>
      <c r="M23" s="44" t="s">
        <v>10</v>
      </c>
      <c r="N23" s="44" t="s">
        <v>11</v>
      </c>
      <c r="O23" s="44" t="s">
        <v>12</v>
      </c>
      <c r="P23" s="44" t="s">
        <v>13</v>
      </c>
      <c r="Q23" s="45" t="s">
        <v>14</v>
      </c>
      <c r="R23" s="42" t="s">
        <v>101</v>
      </c>
    </row>
    <row r="24" spans="1:18" x14ac:dyDescent="0.3">
      <c r="A24" s="40" t="s">
        <v>92</v>
      </c>
      <c r="B24" s="69">
        <f>SUM(7138474.94-B26)</f>
        <v>5093080.32</v>
      </c>
      <c r="C24" s="70">
        <f>SUM(17493-C26)</f>
        <v>13365</v>
      </c>
      <c r="D24" s="68">
        <f>SUM(1355-D26)</f>
        <v>714</v>
      </c>
      <c r="E24" s="68">
        <f>SUM(2377-E26)</f>
        <v>1266</v>
      </c>
      <c r="F24" s="68">
        <f>SUM(3027-F26)</f>
        <v>1906</v>
      </c>
      <c r="G24" s="68">
        <f>SUM(3325-G26)</f>
        <v>2360</v>
      </c>
      <c r="H24" s="85">
        <f>SUM(2448-H26)</f>
        <v>2158</v>
      </c>
      <c r="I24" s="85">
        <v>1444</v>
      </c>
      <c r="J24" s="85">
        <v>954</v>
      </c>
      <c r="K24" s="85">
        <v>705</v>
      </c>
      <c r="L24" s="85">
        <v>554</v>
      </c>
      <c r="M24" s="85">
        <v>482</v>
      </c>
      <c r="N24" s="85">
        <v>378</v>
      </c>
      <c r="O24" s="85">
        <v>244</v>
      </c>
      <c r="P24" s="86">
        <v>143</v>
      </c>
      <c r="Q24" s="117">
        <v>57</v>
      </c>
      <c r="R24" s="167">
        <v>818</v>
      </c>
    </row>
    <row r="25" spans="1:18" x14ac:dyDescent="0.3">
      <c r="A25" s="61" t="s">
        <v>102</v>
      </c>
      <c r="B25" s="71">
        <v>365638.35</v>
      </c>
      <c r="C25" s="72">
        <v>911</v>
      </c>
      <c r="D25" s="87">
        <v>139</v>
      </c>
      <c r="E25" s="87">
        <v>197</v>
      </c>
      <c r="F25" s="87">
        <v>165</v>
      </c>
      <c r="G25" s="87">
        <v>167</v>
      </c>
      <c r="H25" s="87">
        <v>93</v>
      </c>
      <c r="I25" s="87">
        <v>45</v>
      </c>
      <c r="J25" s="87">
        <v>29</v>
      </c>
      <c r="K25" s="87">
        <v>19</v>
      </c>
      <c r="L25" s="87">
        <v>19</v>
      </c>
      <c r="M25" s="87">
        <v>14</v>
      </c>
      <c r="N25" s="128">
        <v>11</v>
      </c>
      <c r="O25" s="128" t="s">
        <v>172</v>
      </c>
      <c r="P25" s="128" t="s">
        <v>172</v>
      </c>
      <c r="Q25" s="129" t="s">
        <v>172</v>
      </c>
      <c r="R25" s="168"/>
    </row>
    <row r="26" spans="1:18" x14ac:dyDescent="0.3">
      <c r="A26" s="73" t="s">
        <v>158</v>
      </c>
      <c r="B26" s="81">
        <v>2045394.62</v>
      </c>
      <c r="C26" s="66">
        <v>4128</v>
      </c>
      <c r="D26" s="95">
        <v>641</v>
      </c>
      <c r="E26" s="95">
        <v>1111</v>
      </c>
      <c r="F26" s="95">
        <v>1121</v>
      </c>
      <c r="G26" s="130">
        <v>965</v>
      </c>
      <c r="H26" s="95">
        <v>290</v>
      </c>
      <c r="I26" s="131"/>
      <c r="J26" s="131"/>
      <c r="K26" s="131"/>
      <c r="L26" s="131"/>
      <c r="M26" s="132"/>
      <c r="N26" s="132"/>
      <c r="O26" s="132"/>
      <c r="P26" s="132"/>
      <c r="Q26" s="133"/>
      <c r="R26" s="168"/>
    </row>
    <row r="27" spans="1:18" ht="15" thickBot="1" x14ac:dyDescent="0.35">
      <c r="A27" s="65" t="s">
        <v>105</v>
      </c>
      <c r="B27" s="46">
        <f>SUM(B24:B26)</f>
        <v>7504113.29</v>
      </c>
      <c r="C27" s="47">
        <f>SUM(C24:C26)</f>
        <v>18404</v>
      </c>
      <c r="D27" s="47">
        <f>SUM(D24:D26)</f>
        <v>1494</v>
      </c>
      <c r="E27" s="47">
        <f t="shared" ref="E27:N27" si="3">SUM(E24:E26)</f>
        <v>2574</v>
      </c>
      <c r="F27" s="47">
        <f t="shared" si="3"/>
        <v>3192</v>
      </c>
      <c r="G27" s="47">
        <f t="shared" si="3"/>
        <v>3492</v>
      </c>
      <c r="H27" s="47">
        <f t="shared" si="3"/>
        <v>2541</v>
      </c>
      <c r="I27" s="47">
        <f t="shared" si="3"/>
        <v>1489</v>
      </c>
      <c r="J27" s="47">
        <f t="shared" si="3"/>
        <v>983</v>
      </c>
      <c r="K27" s="47">
        <f t="shared" si="3"/>
        <v>724</v>
      </c>
      <c r="L27" s="47">
        <f t="shared" si="3"/>
        <v>573</v>
      </c>
      <c r="M27" s="47">
        <f t="shared" si="3"/>
        <v>496</v>
      </c>
      <c r="N27" s="47">
        <f t="shared" si="3"/>
        <v>389</v>
      </c>
      <c r="O27" s="47" t="s">
        <v>182</v>
      </c>
      <c r="P27" s="47" t="s">
        <v>183</v>
      </c>
      <c r="Q27" s="74" t="s">
        <v>184</v>
      </c>
      <c r="R27" s="169"/>
    </row>
    <row r="28" spans="1:18" ht="15" thickBot="1" x14ac:dyDescent="0.35">
      <c r="B28" s="170" t="s">
        <v>171</v>
      </c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</row>
    <row r="29" spans="1:18" ht="43.8" thickBot="1" x14ac:dyDescent="0.35">
      <c r="B29" s="43" t="s">
        <v>0</v>
      </c>
      <c r="C29" s="44" t="s">
        <v>1</v>
      </c>
      <c r="D29" s="44" t="s">
        <v>91</v>
      </c>
      <c r="E29" s="44" t="s">
        <v>2</v>
      </c>
      <c r="F29" s="44" t="s">
        <v>3</v>
      </c>
      <c r="G29" s="44" t="s">
        <v>4</v>
      </c>
      <c r="H29" s="44" t="s">
        <v>5</v>
      </c>
      <c r="I29" s="44" t="s">
        <v>6</v>
      </c>
      <c r="J29" s="44" t="s">
        <v>7</v>
      </c>
      <c r="K29" s="44" t="s">
        <v>8</v>
      </c>
      <c r="L29" s="44" t="s">
        <v>9</v>
      </c>
      <c r="M29" s="44" t="s">
        <v>10</v>
      </c>
      <c r="N29" s="44" t="s">
        <v>11</v>
      </c>
      <c r="O29" s="44" t="s">
        <v>12</v>
      </c>
      <c r="P29" s="44" t="s">
        <v>13</v>
      </c>
      <c r="Q29" s="45" t="s">
        <v>14</v>
      </c>
      <c r="R29" s="42" t="s">
        <v>101</v>
      </c>
    </row>
    <row r="30" spans="1:18" x14ac:dyDescent="0.3">
      <c r="A30" s="40" t="s">
        <v>92</v>
      </c>
      <c r="B30" s="69">
        <f>SUM(8716227.85-B32)</f>
        <v>7279079.4799999995</v>
      </c>
      <c r="C30" s="70">
        <f>SUM(19549-C32)</f>
        <v>15434</v>
      </c>
      <c r="D30" s="70">
        <f>SUM(1469-D32)</f>
        <v>888</v>
      </c>
      <c r="E30" s="70">
        <f>SUM(2634-E32)</f>
        <v>1532</v>
      </c>
      <c r="F30" s="70">
        <f>SUM(3315-F32)</f>
        <v>2206</v>
      </c>
      <c r="G30" s="68">
        <f>SUM(3697-G32)</f>
        <v>2721</v>
      </c>
      <c r="H30" s="39">
        <f>SUM(2776-H32)</f>
        <v>2429</v>
      </c>
      <c r="I30" s="39">
        <v>1656</v>
      </c>
      <c r="J30" s="39">
        <v>1067</v>
      </c>
      <c r="K30" s="39">
        <v>824</v>
      </c>
      <c r="L30" s="39">
        <v>642</v>
      </c>
      <c r="M30" s="39">
        <v>544</v>
      </c>
      <c r="N30" s="39">
        <v>410</v>
      </c>
      <c r="O30" s="39">
        <v>286</v>
      </c>
      <c r="P30" s="38">
        <v>166</v>
      </c>
      <c r="Q30" s="51">
        <v>63</v>
      </c>
      <c r="R30" s="167">
        <v>831</v>
      </c>
    </row>
    <row r="31" spans="1:18" x14ac:dyDescent="0.3">
      <c r="A31" s="61" t="s">
        <v>102</v>
      </c>
      <c r="B31" s="71">
        <v>282711.43</v>
      </c>
      <c r="C31" s="72">
        <v>965</v>
      </c>
      <c r="D31" s="72">
        <v>141</v>
      </c>
      <c r="E31" s="72">
        <v>188</v>
      </c>
      <c r="F31" s="72">
        <v>179</v>
      </c>
      <c r="G31" s="62">
        <v>166</v>
      </c>
      <c r="H31" s="62">
        <v>110</v>
      </c>
      <c r="I31" s="62">
        <v>59</v>
      </c>
      <c r="J31" s="62">
        <v>37</v>
      </c>
      <c r="K31" s="62">
        <v>22</v>
      </c>
      <c r="L31" s="62">
        <v>18</v>
      </c>
      <c r="M31" s="62">
        <v>14</v>
      </c>
      <c r="N31" s="63">
        <v>14</v>
      </c>
      <c r="O31" s="63" t="s">
        <v>172</v>
      </c>
      <c r="P31" s="63" t="s">
        <v>172</v>
      </c>
      <c r="Q31" s="64" t="s">
        <v>172</v>
      </c>
      <c r="R31" s="168"/>
    </row>
    <row r="32" spans="1:18" x14ac:dyDescent="0.3">
      <c r="A32" s="73" t="s">
        <v>158</v>
      </c>
      <c r="B32" s="81">
        <v>1437148.37</v>
      </c>
      <c r="C32" s="66">
        <v>4115</v>
      </c>
      <c r="D32" s="66">
        <v>581</v>
      </c>
      <c r="E32" s="66">
        <v>1102</v>
      </c>
      <c r="F32" s="66">
        <v>1109</v>
      </c>
      <c r="G32" s="67">
        <v>976</v>
      </c>
      <c r="H32" s="95">
        <v>347</v>
      </c>
      <c r="I32" s="75"/>
      <c r="J32" s="75"/>
      <c r="K32" s="75"/>
      <c r="L32" s="75"/>
      <c r="M32" s="76"/>
      <c r="N32" s="76"/>
      <c r="O32" s="76"/>
      <c r="P32" s="76"/>
      <c r="Q32" s="77"/>
      <c r="R32" s="168"/>
    </row>
    <row r="33" spans="1:18" ht="15" thickBot="1" x14ac:dyDescent="0.35">
      <c r="A33" s="65" t="s">
        <v>105</v>
      </c>
      <c r="B33" s="46">
        <f>SUM(B30:B32)</f>
        <v>8998939.2799999993</v>
      </c>
      <c r="C33" s="47">
        <f>SUM(C30:C32)</f>
        <v>20514</v>
      </c>
      <c r="D33" s="47">
        <f>SUM(D30:D32)</f>
        <v>1610</v>
      </c>
      <c r="E33" s="47">
        <f>SUM(E30:E32)</f>
        <v>2822</v>
      </c>
      <c r="F33" s="47">
        <f>SUM(F30:F32)</f>
        <v>3494</v>
      </c>
      <c r="G33" s="47">
        <f t="shared" ref="G33:H33" si="4">SUM(G30:G32)</f>
        <v>3863</v>
      </c>
      <c r="H33" s="47">
        <f t="shared" si="4"/>
        <v>2886</v>
      </c>
      <c r="I33" s="47">
        <f>SUM(I30:I31)</f>
        <v>1715</v>
      </c>
      <c r="J33" s="47">
        <f>SUM(J30:J31)</f>
        <v>1104</v>
      </c>
      <c r="K33" s="47">
        <f t="shared" ref="K33:N33" si="5">SUM(K30:K31)</f>
        <v>846</v>
      </c>
      <c r="L33" s="47">
        <f t="shared" si="5"/>
        <v>660</v>
      </c>
      <c r="M33" s="47">
        <f t="shared" si="5"/>
        <v>558</v>
      </c>
      <c r="N33" s="47">
        <f t="shared" si="5"/>
        <v>424</v>
      </c>
      <c r="O33" s="47" t="s">
        <v>185</v>
      </c>
      <c r="P33" s="47" t="s">
        <v>186</v>
      </c>
      <c r="Q33" s="47" t="s">
        <v>187</v>
      </c>
      <c r="R33" s="169"/>
    </row>
    <row r="34" spans="1:18" ht="15" thickBot="1" x14ac:dyDescent="0.35">
      <c r="B34" s="170" t="s">
        <v>162</v>
      </c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</row>
    <row r="35" spans="1:18" ht="43.8" thickBot="1" x14ac:dyDescent="0.35">
      <c r="B35" s="43" t="s">
        <v>0</v>
      </c>
      <c r="C35" s="44" t="s">
        <v>1</v>
      </c>
      <c r="D35" s="44" t="s">
        <v>91</v>
      </c>
      <c r="E35" s="44" t="s">
        <v>2</v>
      </c>
      <c r="F35" s="44" t="s">
        <v>3</v>
      </c>
      <c r="G35" s="44" t="s">
        <v>4</v>
      </c>
      <c r="H35" s="44" t="s">
        <v>5</v>
      </c>
      <c r="I35" s="44" t="s">
        <v>6</v>
      </c>
      <c r="J35" s="44" t="s">
        <v>7</v>
      </c>
      <c r="K35" s="44" t="s">
        <v>8</v>
      </c>
      <c r="L35" s="44" t="s">
        <v>9</v>
      </c>
      <c r="M35" s="44" t="s">
        <v>10</v>
      </c>
      <c r="N35" s="44" t="s">
        <v>11</v>
      </c>
      <c r="O35" s="44" t="s">
        <v>12</v>
      </c>
      <c r="P35" s="44" t="s">
        <v>13</v>
      </c>
      <c r="Q35" s="45" t="s">
        <v>14</v>
      </c>
      <c r="R35" s="42" t="s">
        <v>101</v>
      </c>
    </row>
    <row r="36" spans="1:18" x14ac:dyDescent="0.3">
      <c r="A36" s="40" t="s">
        <v>92</v>
      </c>
      <c r="B36" s="69">
        <f>SUM(9468814.26-B38)</f>
        <v>9345822.2599999998</v>
      </c>
      <c r="C36" s="70">
        <f>(21794-C38)</f>
        <v>21274</v>
      </c>
      <c r="D36" s="70">
        <f>SUM(1556-D38)</f>
        <v>1444</v>
      </c>
      <c r="E36" s="70">
        <f>SUM(2867-E38)</f>
        <v>2724</v>
      </c>
      <c r="F36" s="70">
        <f>SUM(3593-F38)</f>
        <v>3461</v>
      </c>
      <c r="G36" s="68">
        <f>SUM(4063-G38)</f>
        <v>3971</v>
      </c>
      <c r="H36" s="39">
        <f>SUM(3123-H38)</f>
        <v>3082</v>
      </c>
      <c r="I36" s="39">
        <v>1945</v>
      </c>
      <c r="J36" s="39">
        <v>1246</v>
      </c>
      <c r="K36" s="39">
        <v>967</v>
      </c>
      <c r="L36" s="39">
        <v>768</v>
      </c>
      <c r="M36" s="39">
        <v>602</v>
      </c>
      <c r="N36" s="39">
        <v>462</v>
      </c>
      <c r="O36" s="39">
        <v>331</v>
      </c>
      <c r="P36" s="38">
        <v>196</v>
      </c>
      <c r="Q36" s="51">
        <v>75</v>
      </c>
      <c r="R36" s="167">
        <v>857</v>
      </c>
    </row>
    <row r="37" spans="1:18" x14ac:dyDescent="0.3">
      <c r="A37" s="61" t="s">
        <v>102</v>
      </c>
      <c r="B37" s="71">
        <v>86010.1</v>
      </c>
      <c r="C37" s="72">
        <v>655</v>
      </c>
      <c r="D37" s="72">
        <v>98</v>
      </c>
      <c r="E37" s="72">
        <v>130</v>
      </c>
      <c r="F37" s="72">
        <v>127</v>
      </c>
      <c r="G37" s="62">
        <v>122</v>
      </c>
      <c r="H37" s="62">
        <v>79</v>
      </c>
      <c r="I37" s="62">
        <v>40</v>
      </c>
      <c r="J37" s="62">
        <v>18</v>
      </c>
      <c r="K37" s="62">
        <v>13</v>
      </c>
      <c r="L37" s="87" t="s">
        <v>172</v>
      </c>
      <c r="M37" s="87" t="s">
        <v>172</v>
      </c>
      <c r="N37" s="87" t="s">
        <v>172</v>
      </c>
      <c r="O37" s="87" t="s">
        <v>172</v>
      </c>
      <c r="P37" s="87" t="s">
        <v>172</v>
      </c>
      <c r="Q37" s="87" t="s">
        <v>172</v>
      </c>
      <c r="R37" s="168"/>
    </row>
    <row r="38" spans="1:18" x14ac:dyDescent="0.3">
      <c r="A38" s="73" t="s">
        <v>158</v>
      </c>
      <c r="B38" s="81">
        <v>122992</v>
      </c>
      <c r="C38" s="66">
        <v>520</v>
      </c>
      <c r="D38" s="66">
        <v>112</v>
      </c>
      <c r="E38" s="66">
        <v>143</v>
      </c>
      <c r="F38" s="66">
        <v>132</v>
      </c>
      <c r="G38" s="67">
        <v>92</v>
      </c>
      <c r="H38" s="95">
        <v>41</v>
      </c>
      <c r="I38" s="75"/>
      <c r="J38" s="75"/>
      <c r="K38" s="75"/>
      <c r="L38" s="75"/>
      <c r="M38" s="76"/>
      <c r="N38" s="76"/>
      <c r="O38" s="76"/>
      <c r="P38" s="76"/>
      <c r="Q38" s="77"/>
      <c r="R38" s="168"/>
    </row>
    <row r="39" spans="1:18" ht="15" thickBot="1" x14ac:dyDescent="0.35">
      <c r="A39" s="65" t="s">
        <v>105</v>
      </c>
      <c r="B39" s="46">
        <f>SUM(B36:B38)</f>
        <v>9554824.3599999994</v>
      </c>
      <c r="C39" s="47">
        <f t="shared" ref="C39:H39" si="6">SUM(C36:C38)</f>
        <v>22449</v>
      </c>
      <c r="D39" s="47">
        <f t="shared" si="6"/>
        <v>1654</v>
      </c>
      <c r="E39" s="47">
        <f t="shared" si="6"/>
        <v>2997</v>
      </c>
      <c r="F39" s="47">
        <f t="shared" si="6"/>
        <v>3720</v>
      </c>
      <c r="G39" s="47">
        <f t="shared" si="6"/>
        <v>4185</v>
      </c>
      <c r="H39" s="47">
        <f t="shared" si="6"/>
        <v>3202</v>
      </c>
      <c r="I39" s="47">
        <f>SUM(I36:I37)</f>
        <v>1985</v>
      </c>
      <c r="J39" s="47">
        <f>SUM(J36:J37)</f>
        <v>1264</v>
      </c>
      <c r="K39" s="47">
        <f>SUM(K36:K37)</f>
        <v>980</v>
      </c>
      <c r="L39" s="47" t="s">
        <v>188</v>
      </c>
      <c r="M39" s="47" t="s">
        <v>189</v>
      </c>
      <c r="N39" s="47" t="s">
        <v>190</v>
      </c>
      <c r="O39" s="47" t="s">
        <v>191</v>
      </c>
      <c r="P39" s="47" t="s">
        <v>173</v>
      </c>
      <c r="Q39" s="47" t="s">
        <v>192</v>
      </c>
      <c r="R39" s="169"/>
    </row>
    <row r="40" spans="1:18" x14ac:dyDescent="0.3">
      <c r="A40" s="90"/>
      <c r="B40" s="93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2"/>
    </row>
    <row r="41" spans="1:18" ht="15" thickBot="1" x14ac:dyDescent="0.35">
      <c r="B41" s="170" t="s">
        <v>163</v>
      </c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</row>
    <row r="42" spans="1:18" ht="43.8" thickBot="1" x14ac:dyDescent="0.35">
      <c r="B42" s="43" t="s">
        <v>0</v>
      </c>
      <c r="C42" s="44" t="s">
        <v>1</v>
      </c>
      <c r="D42" s="44" t="s">
        <v>91</v>
      </c>
      <c r="E42" s="44" t="s">
        <v>2</v>
      </c>
      <c r="F42" s="44" t="s">
        <v>3</v>
      </c>
      <c r="G42" s="44" t="s">
        <v>4</v>
      </c>
      <c r="H42" s="44" t="s">
        <v>5</v>
      </c>
      <c r="I42" s="44" t="s">
        <v>6</v>
      </c>
      <c r="J42" s="44" t="s">
        <v>7</v>
      </c>
      <c r="K42" s="44" t="s">
        <v>8</v>
      </c>
      <c r="L42" s="44" t="s">
        <v>9</v>
      </c>
      <c r="M42" s="44" t="s">
        <v>10</v>
      </c>
      <c r="N42" s="44" t="s">
        <v>11</v>
      </c>
      <c r="O42" s="44" t="s">
        <v>12</v>
      </c>
      <c r="P42" s="44" t="s">
        <v>13</v>
      </c>
      <c r="Q42" s="45" t="s">
        <v>14</v>
      </c>
      <c r="R42" s="42" t="s">
        <v>101</v>
      </c>
    </row>
    <row r="43" spans="1:18" x14ac:dyDescent="0.3">
      <c r="A43" s="40" t="s">
        <v>92</v>
      </c>
      <c r="B43" s="69">
        <v>10378972.57</v>
      </c>
      <c r="C43" s="70">
        <v>23751</v>
      </c>
      <c r="D43" s="70">
        <v>1580</v>
      </c>
      <c r="E43" s="70">
        <v>3070</v>
      </c>
      <c r="F43" s="70">
        <v>3814</v>
      </c>
      <c r="G43" s="68">
        <v>4274</v>
      </c>
      <c r="H43" s="39">
        <v>3506</v>
      </c>
      <c r="I43" s="39">
        <v>2202</v>
      </c>
      <c r="J43" s="39">
        <v>1430</v>
      </c>
      <c r="K43" s="39">
        <v>1095</v>
      </c>
      <c r="L43" s="39">
        <v>900</v>
      </c>
      <c r="M43" s="39">
        <v>679</v>
      </c>
      <c r="N43" s="39">
        <v>519</v>
      </c>
      <c r="O43" s="39">
        <v>377</v>
      </c>
      <c r="P43" s="38">
        <v>214</v>
      </c>
      <c r="Q43" s="51">
        <v>91</v>
      </c>
      <c r="R43" s="167">
        <v>882</v>
      </c>
    </row>
    <row r="44" spans="1:18" x14ac:dyDescent="0.3">
      <c r="A44" s="61" t="s">
        <v>102</v>
      </c>
      <c r="B44" s="69">
        <v>84953.25</v>
      </c>
      <c r="C44" s="134">
        <v>706</v>
      </c>
      <c r="D44" s="134">
        <v>97</v>
      </c>
      <c r="E44" s="134">
        <v>142</v>
      </c>
      <c r="F44" s="134">
        <v>129</v>
      </c>
      <c r="G44" s="39">
        <v>122</v>
      </c>
      <c r="H44" s="39">
        <v>87</v>
      </c>
      <c r="I44" s="39">
        <v>45</v>
      </c>
      <c r="J44" s="39">
        <v>24</v>
      </c>
      <c r="K44" s="39">
        <v>21</v>
      </c>
      <c r="L44" s="85">
        <v>11</v>
      </c>
      <c r="M44" s="85" t="s">
        <v>172</v>
      </c>
      <c r="N44" s="86" t="s">
        <v>172</v>
      </c>
      <c r="O44" s="86" t="s">
        <v>172</v>
      </c>
      <c r="P44" s="86" t="s">
        <v>172</v>
      </c>
      <c r="Q44" s="117" t="s">
        <v>172</v>
      </c>
      <c r="R44" s="168"/>
    </row>
    <row r="45" spans="1:18" ht="15" thickBot="1" x14ac:dyDescent="0.35">
      <c r="A45" s="65" t="s">
        <v>105</v>
      </c>
      <c r="B45" s="48">
        <f>SUM(B43:B44)</f>
        <v>10463925.82</v>
      </c>
      <c r="C45" s="49">
        <f>SUM(C43:C44)</f>
        <v>24457</v>
      </c>
      <c r="D45" s="49">
        <f>SUM(D43:D44)</f>
        <v>1677</v>
      </c>
      <c r="E45" s="49">
        <f>SUM(E43:E44)</f>
        <v>3212</v>
      </c>
      <c r="F45" s="49">
        <f t="shared" ref="F45:I45" si="7">SUM(F43:F44)</f>
        <v>3943</v>
      </c>
      <c r="G45" s="49">
        <f t="shared" si="7"/>
        <v>4396</v>
      </c>
      <c r="H45" s="49">
        <f t="shared" si="7"/>
        <v>3593</v>
      </c>
      <c r="I45" s="49">
        <f t="shared" si="7"/>
        <v>2247</v>
      </c>
      <c r="J45" s="49">
        <f t="shared" ref="J45:L45" si="8">SUM(J43:J44)</f>
        <v>1454</v>
      </c>
      <c r="K45" s="49">
        <f t="shared" si="8"/>
        <v>1116</v>
      </c>
      <c r="L45" s="49">
        <f t="shared" si="8"/>
        <v>911</v>
      </c>
      <c r="M45" s="49" t="s">
        <v>193</v>
      </c>
      <c r="N45" s="49" t="s">
        <v>194</v>
      </c>
      <c r="O45" s="49" t="s">
        <v>195</v>
      </c>
      <c r="P45" s="49" t="s">
        <v>196</v>
      </c>
      <c r="Q45" s="49" t="s">
        <v>197</v>
      </c>
      <c r="R45" s="169"/>
    </row>
    <row r="46" spans="1:18" x14ac:dyDescent="0.3">
      <c r="A46" s="90"/>
      <c r="B46" s="93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2"/>
    </row>
    <row r="47" spans="1:18" ht="15" thickBot="1" x14ac:dyDescent="0.35">
      <c r="B47" s="170" t="s">
        <v>164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</row>
    <row r="48" spans="1:18" ht="43.8" thickBot="1" x14ac:dyDescent="0.35">
      <c r="B48" s="43" t="s">
        <v>0</v>
      </c>
      <c r="C48" s="44" t="s">
        <v>1</v>
      </c>
      <c r="D48" s="44" t="s">
        <v>91</v>
      </c>
      <c r="E48" s="44" t="s">
        <v>2</v>
      </c>
      <c r="F48" s="44" t="s">
        <v>3</v>
      </c>
      <c r="G48" s="44" t="s">
        <v>4</v>
      </c>
      <c r="H48" s="44" t="s">
        <v>5</v>
      </c>
      <c r="I48" s="44" t="s">
        <v>6</v>
      </c>
      <c r="J48" s="44" t="s">
        <v>7</v>
      </c>
      <c r="K48" s="44" t="s">
        <v>8</v>
      </c>
      <c r="L48" s="44" t="s">
        <v>9</v>
      </c>
      <c r="M48" s="44" t="s">
        <v>10</v>
      </c>
      <c r="N48" s="44" t="s">
        <v>11</v>
      </c>
      <c r="O48" s="44" t="s">
        <v>12</v>
      </c>
      <c r="P48" s="44" t="s">
        <v>13</v>
      </c>
      <c r="Q48" s="45" t="s">
        <v>14</v>
      </c>
      <c r="R48" s="42" t="s">
        <v>101</v>
      </c>
    </row>
    <row r="49" spans="1:18" x14ac:dyDescent="0.3">
      <c r="A49" s="40" t="s">
        <v>92</v>
      </c>
      <c r="B49" s="69">
        <v>11486500.800000001</v>
      </c>
      <c r="C49" s="70">
        <v>23791</v>
      </c>
      <c r="D49" s="70">
        <v>1458</v>
      </c>
      <c r="E49" s="70">
        <v>3047</v>
      </c>
      <c r="F49" s="70">
        <v>3797</v>
      </c>
      <c r="G49" s="68">
        <v>4236</v>
      </c>
      <c r="H49" s="39">
        <v>3606</v>
      </c>
      <c r="I49" s="39">
        <v>2278</v>
      </c>
      <c r="J49" s="39">
        <v>1460</v>
      </c>
      <c r="K49" s="39">
        <v>1092</v>
      </c>
      <c r="L49" s="39">
        <v>909</v>
      </c>
      <c r="M49" s="39">
        <v>691</v>
      </c>
      <c r="N49" s="39">
        <v>542</v>
      </c>
      <c r="O49" s="39">
        <v>380</v>
      </c>
      <c r="P49" s="38">
        <v>222</v>
      </c>
      <c r="Q49" s="51">
        <v>73</v>
      </c>
      <c r="R49" s="167">
        <v>889</v>
      </c>
    </row>
    <row r="50" spans="1:18" x14ac:dyDescent="0.3">
      <c r="A50" s="61" t="s">
        <v>102</v>
      </c>
      <c r="B50" s="71">
        <v>253516.46</v>
      </c>
      <c r="C50" s="72">
        <v>719</v>
      </c>
      <c r="D50" s="72">
        <v>101</v>
      </c>
      <c r="E50" s="72">
        <v>143</v>
      </c>
      <c r="F50" s="62">
        <v>128</v>
      </c>
      <c r="G50" s="62">
        <v>113</v>
      </c>
      <c r="H50" s="62">
        <v>77</v>
      </c>
      <c r="I50" s="62">
        <v>46</v>
      </c>
      <c r="J50" s="62">
        <v>29</v>
      </c>
      <c r="K50" s="62">
        <v>25</v>
      </c>
      <c r="L50" s="62">
        <v>21</v>
      </c>
      <c r="M50" s="63">
        <v>11</v>
      </c>
      <c r="N50" s="63">
        <v>12</v>
      </c>
      <c r="O50" s="128" t="s">
        <v>172</v>
      </c>
      <c r="P50" s="136" t="s">
        <v>172</v>
      </c>
      <c r="Q50" s="129" t="s">
        <v>172</v>
      </c>
      <c r="R50" s="168"/>
    </row>
    <row r="51" spans="1:18" ht="15" thickBot="1" x14ac:dyDescent="0.35">
      <c r="A51" s="65" t="s">
        <v>105</v>
      </c>
      <c r="B51" s="135">
        <f>SUM(B49:B50)</f>
        <v>11740017.260000002</v>
      </c>
      <c r="C51" s="79">
        <f>SUM(C49:C50)</f>
        <v>24510</v>
      </c>
      <c r="D51" s="79">
        <f>SUM(D49:D50)</f>
        <v>1559</v>
      </c>
      <c r="E51" s="79">
        <f t="shared" ref="E51:N51" si="9">SUM(E49:E50)</f>
        <v>3190</v>
      </c>
      <c r="F51" s="79">
        <f t="shared" si="9"/>
        <v>3925</v>
      </c>
      <c r="G51" s="79">
        <f t="shared" si="9"/>
        <v>4349</v>
      </c>
      <c r="H51" s="79">
        <f t="shared" si="9"/>
        <v>3683</v>
      </c>
      <c r="I51" s="79">
        <f t="shared" si="9"/>
        <v>2324</v>
      </c>
      <c r="J51" s="79">
        <f t="shared" si="9"/>
        <v>1489</v>
      </c>
      <c r="K51" s="79">
        <f t="shared" si="9"/>
        <v>1117</v>
      </c>
      <c r="L51" s="79">
        <f t="shared" si="9"/>
        <v>930</v>
      </c>
      <c r="M51" s="79">
        <f t="shared" si="9"/>
        <v>702</v>
      </c>
      <c r="N51" s="79">
        <f t="shared" si="9"/>
        <v>554</v>
      </c>
      <c r="O51" s="79" t="s">
        <v>198</v>
      </c>
      <c r="P51" s="79" t="s">
        <v>199</v>
      </c>
      <c r="Q51" s="79" t="s">
        <v>200</v>
      </c>
      <c r="R51" s="169"/>
    </row>
    <row r="52" spans="1:18" ht="15" thickBot="1" x14ac:dyDescent="0.35">
      <c r="B52" s="170" t="s">
        <v>165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</row>
    <row r="53" spans="1:18" ht="43.8" thickBot="1" x14ac:dyDescent="0.35">
      <c r="B53" s="43" t="s">
        <v>0</v>
      </c>
      <c r="C53" s="44" t="s">
        <v>1</v>
      </c>
      <c r="D53" s="44" t="s">
        <v>91</v>
      </c>
      <c r="E53" s="44" t="s">
        <v>2</v>
      </c>
      <c r="F53" s="44" t="s">
        <v>3</v>
      </c>
      <c r="G53" s="44" t="s">
        <v>4</v>
      </c>
      <c r="H53" s="44" t="s">
        <v>5</v>
      </c>
      <c r="I53" s="44" t="s">
        <v>6</v>
      </c>
      <c r="J53" s="44" t="s">
        <v>7</v>
      </c>
      <c r="K53" s="44" t="s">
        <v>8</v>
      </c>
      <c r="L53" s="44" t="s">
        <v>9</v>
      </c>
      <c r="M53" s="44" t="s">
        <v>10</v>
      </c>
      <c r="N53" s="44" t="s">
        <v>11</v>
      </c>
      <c r="O53" s="44" t="s">
        <v>12</v>
      </c>
      <c r="P53" s="44" t="s">
        <v>13</v>
      </c>
      <c r="Q53" s="45" t="s">
        <v>14</v>
      </c>
      <c r="R53" s="42" t="s">
        <v>101</v>
      </c>
    </row>
    <row r="54" spans="1:18" x14ac:dyDescent="0.3">
      <c r="A54" s="40" t="s">
        <v>92</v>
      </c>
      <c r="B54" s="82">
        <v>8209932.7599999998</v>
      </c>
      <c r="C54" s="39">
        <v>18605</v>
      </c>
      <c r="D54" s="39">
        <v>1074</v>
      </c>
      <c r="E54" s="39">
        <v>2352</v>
      </c>
      <c r="F54" s="39">
        <v>2905</v>
      </c>
      <c r="G54" s="39">
        <v>3384</v>
      </c>
      <c r="H54" s="39">
        <v>2818</v>
      </c>
      <c r="I54" s="39">
        <v>1810</v>
      </c>
      <c r="J54" s="39">
        <v>1176</v>
      </c>
      <c r="K54" s="39">
        <v>854</v>
      </c>
      <c r="L54" s="39">
        <v>687</v>
      </c>
      <c r="M54" s="39">
        <v>531</v>
      </c>
      <c r="N54" s="39">
        <v>421</v>
      </c>
      <c r="O54" s="39">
        <v>317</v>
      </c>
      <c r="P54" s="38">
        <v>198</v>
      </c>
      <c r="Q54" s="38">
        <v>78</v>
      </c>
      <c r="R54" s="167">
        <v>862</v>
      </c>
    </row>
    <row r="55" spans="1:18" x14ac:dyDescent="0.3">
      <c r="A55" s="40" t="s">
        <v>102</v>
      </c>
      <c r="B55" s="78">
        <v>160470.87</v>
      </c>
      <c r="C55" s="39">
        <v>689</v>
      </c>
      <c r="D55" s="39">
        <v>96</v>
      </c>
      <c r="E55" s="39">
        <v>134</v>
      </c>
      <c r="F55" s="39">
        <v>113</v>
      </c>
      <c r="G55" s="39">
        <v>114</v>
      </c>
      <c r="H55" s="39">
        <v>72</v>
      </c>
      <c r="I55" s="39">
        <v>53</v>
      </c>
      <c r="J55" s="39">
        <v>21</v>
      </c>
      <c r="K55" s="39">
        <v>28</v>
      </c>
      <c r="L55" s="39">
        <v>23</v>
      </c>
      <c r="M55" s="85" t="s">
        <v>172</v>
      </c>
      <c r="N55" s="85">
        <v>12</v>
      </c>
      <c r="O55" s="86" t="s">
        <v>172</v>
      </c>
      <c r="P55" s="86" t="s">
        <v>172</v>
      </c>
      <c r="Q55" s="86" t="s">
        <v>172</v>
      </c>
      <c r="R55" s="168"/>
    </row>
    <row r="56" spans="1:18" ht="15" thickBot="1" x14ac:dyDescent="0.35">
      <c r="A56" s="41" t="s">
        <v>105</v>
      </c>
      <c r="B56" s="80">
        <f>SUM(B54:B55)</f>
        <v>8370403.6299999999</v>
      </c>
      <c r="C56" s="79">
        <f>SUM(C54:C55)</f>
        <v>19294</v>
      </c>
      <c r="D56" s="79">
        <f t="shared" ref="D56:N56" si="10">SUM(D54:D55)</f>
        <v>1170</v>
      </c>
      <c r="E56" s="79">
        <f t="shared" si="10"/>
        <v>2486</v>
      </c>
      <c r="F56" s="79">
        <f t="shared" si="10"/>
        <v>3018</v>
      </c>
      <c r="G56" s="79">
        <f t="shared" si="10"/>
        <v>3498</v>
      </c>
      <c r="H56" s="79">
        <f t="shared" si="10"/>
        <v>2890</v>
      </c>
      <c r="I56" s="79">
        <f t="shared" si="10"/>
        <v>1863</v>
      </c>
      <c r="J56" s="79">
        <f t="shared" si="10"/>
        <v>1197</v>
      </c>
      <c r="K56" s="79">
        <f t="shared" si="10"/>
        <v>882</v>
      </c>
      <c r="L56" s="79">
        <f>SUM(L54:L55)</f>
        <v>710</v>
      </c>
      <c r="M56" s="79" t="s">
        <v>205</v>
      </c>
      <c r="N56" s="79">
        <f t="shared" si="10"/>
        <v>433</v>
      </c>
      <c r="O56" s="79" t="s">
        <v>204</v>
      </c>
      <c r="P56" s="79" t="s">
        <v>203</v>
      </c>
      <c r="Q56" s="79" t="s">
        <v>202</v>
      </c>
      <c r="R56" s="169"/>
    </row>
    <row r="57" spans="1:18" ht="15" thickBot="1" x14ac:dyDescent="0.35">
      <c r="B57" s="170" t="s">
        <v>166</v>
      </c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</row>
    <row r="58" spans="1:18" ht="43.8" thickBot="1" x14ac:dyDescent="0.35">
      <c r="B58" s="43" t="s">
        <v>0</v>
      </c>
      <c r="C58" s="44" t="s">
        <v>1</v>
      </c>
      <c r="D58" s="44" t="s">
        <v>91</v>
      </c>
      <c r="E58" s="44" t="s">
        <v>2</v>
      </c>
      <c r="F58" s="44" t="s">
        <v>3</v>
      </c>
      <c r="G58" s="44" t="s">
        <v>4</v>
      </c>
      <c r="H58" s="44" t="s">
        <v>5</v>
      </c>
      <c r="I58" s="44" t="s">
        <v>6</v>
      </c>
      <c r="J58" s="44" t="s">
        <v>7</v>
      </c>
      <c r="K58" s="44" t="s">
        <v>8</v>
      </c>
      <c r="L58" s="44" t="s">
        <v>9</v>
      </c>
      <c r="M58" s="44" t="s">
        <v>10</v>
      </c>
      <c r="N58" s="44" t="s">
        <v>11</v>
      </c>
      <c r="O58" s="44" t="s">
        <v>12</v>
      </c>
      <c r="P58" s="44" t="s">
        <v>13</v>
      </c>
      <c r="Q58" s="45" t="s">
        <v>14</v>
      </c>
      <c r="R58" s="42" t="s">
        <v>101</v>
      </c>
    </row>
    <row r="59" spans="1:18" x14ac:dyDescent="0.3">
      <c r="A59" s="40" t="s">
        <v>92</v>
      </c>
      <c r="B59" s="140">
        <v>10457256.159999995</v>
      </c>
      <c r="C59" s="39">
        <f>SUM(D59:Q59)</f>
        <v>19137</v>
      </c>
      <c r="D59" s="137">
        <v>1091</v>
      </c>
      <c r="E59" s="137">
        <v>2399</v>
      </c>
      <c r="F59" s="137">
        <v>2967</v>
      </c>
      <c r="G59" s="137">
        <v>3471</v>
      </c>
      <c r="H59" s="137">
        <v>2929</v>
      </c>
      <c r="I59" s="137">
        <v>1886</v>
      </c>
      <c r="J59" s="137">
        <v>1209</v>
      </c>
      <c r="K59" s="137">
        <v>873</v>
      </c>
      <c r="L59" s="137">
        <v>713</v>
      </c>
      <c r="M59" s="137">
        <v>550</v>
      </c>
      <c r="N59" s="137">
        <v>436</v>
      </c>
      <c r="O59" s="137">
        <v>327</v>
      </c>
      <c r="P59" s="137">
        <v>203</v>
      </c>
      <c r="Q59" s="141">
        <v>83</v>
      </c>
      <c r="R59" s="167">
        <v>875</v>
      </c>
    </row>
    <row r="60" spans="1:18" x14ac:dyDescent="0.3">
      <c r="A60" s="40" t="s">
        <v>102</v>
      </c>
      <c r="B60" s="140">
        <v>148810.12</v>
      </c>
      <c r="C60" s="39">
        <v>637</v>
      </c>
      <c r="D60" s="137">
        <v>80</v>
      </c>
      <c r="E60" s="137">
        <v>133</v>
      </c>
      <c r="F60" s="137">
        <v>111</v>
      </c>
      <c r="G60" s="137">
        <v>113</v>
      </c>
      <c r="H60" s="137">
        <v>65</v>
      </c>
      <c r="I60" s="137">
        <v>49</v>
      </c>
      <c r="J60" s="137">
        <v>20</v>
      </c>
      <c r="K60" s="137">
        <v>24</v>
      </c>
      <c r="L60" s="137">
        <v>15</v>
      </c>
      <c r="M60" s="137">
        <v>11</v>
      </c>
      <c r="N60" s="138" t="s">
        <v>172</v>
      </c>
      <c r="O60" s="138" t="s">
        <v>172</v>
      </c>
      <c r="P60" s="138" t="s">
        <v>172</v>
      </c>
      <c r="Q60" s="141" t="s">
        <v>172</v>
      </c>
      <c r="R60" s="168"/>
    </row>
    <row r="61" spans="1:18" ht="15" thickBot="1" x14ac:dyDescent="0.35">
      <c r="A61" s="41" t="s">
        <v>105</v>
      </c>
      <c r="B61" s="48">
        <f>SUM(B59:B60)</f>
        <v>10606066.279999994</v>
      </c>
      <c r="C61" s="142">
        <f>SUM(C59:C60)</f>
        <v>19774</v>
      </c>
      <c r="D61" s="49">
        <f>SUM(D59:D60)</f>
        <v>1171</v>
      </c>
      <c r="E61" s="49">
        <f t="shared" ref="E61:M61" si="11">SUM(E59:E60)</f>
        <v>2532</v>
      </c>
      <c r="F61" s="49">
        <f t="shared" si="11"/>
        <v>3078</v>
      </c>
      <c r="G61" s="49">
        <f t="shared" si="11"/>
        <v>3584</v>
      </c>
      <c r="H61" s="49">
        <f t="shared" si="11"/>
        <v>2994</v>
      </c>
      <c r="I61" s="49">
        <f t="shared" si="11"/>
        <v>1935</v>
      </c>
      <c r="J61" s="49">
        <f t="shared" si="11"/>
        <v>1229</v>
      </c>
      <c r="K61" s="49">
        <f t="shared" si="11"/>
        <v>897</v>
      </c>
      <c r="L61" s="49">
        <f t="shared" si="11"/>
        <v>728</v>
      </c>
      <c r="M61" s="49">
        <f t="shared" si="11"/>
        <v>561</v>
      </c>
      <c r="N61" s="49" t="s">
        <v>209</v>
      </c>
      <c r="O61" s="49" t="s">
        <v>210</v>
      </c>
      <c r="P61" s="49" t="s">
        <v>211</v>
      </c>
      <c r="Q61" s="50" t="s">
        <v>212</v>
      </c>
      <c r="R61" s="169"/>
    </row>
    <row r="62" spans="1:18" ht="15" thickBot="1" x14ac:dyDescent="0.35">
      <c r="B62" s="170" t="s">
        <v>167</v>
      </c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</row>
    <row r="63" spans="1:18" ht="43.8" thickBot="1" x14ac:dyDescent="0.35">
      <c r="B63" s="43" t="s">
        <v>0</v>
      </c>
      <c r="C63" s="44" t="s">
        <v>1</v>
      </c>
      <c r="D63" s="44" t="s">
        <v>91</v>
      </c>
      <c r="E63" s="44" t="s">
        <v>2</v>
      </c>
      <c r="F63" s="44" t="s">
        <v>3</v>
      </c>
      <c r="G63" s="44" t="s">
        <v>4</v>
      </c>
      <c r="H63" s="44" t="s">
        <v>5</v>
      </c>
      <c r="I63" s="44" t="s">
        <v>6</v>
      </c>
      <c r="J63" s="44" t="s">
        <v>7</v>
      </c>
      <c r="K63" s="44" t="s">
        <v>8</v>
      </c>
      <c r="L63" s="44" t="s">
        <v>9</v>
      </c>
      <c r="M63" s="44" t="s">
        <v>10</v>
      </c>
      <c r="N63" s="44" t="s">
        <v>11</v>
      </c>
      <c r="O63" s="44" t="s">
        <v>12</v>
      </c>
      <c r="P63" s="44" t="s">
        <v>13</v>
      </c>
      <c r="Q63" s="45" t="s">
        <v>14</v>
      </c>
      <c r="R63" s="42" t="s">
        <v>101</v>
      </c>
    </row>
    <row r="64" spans="1:18" x14ac:dyDescent="0.3">
      <c r="A64" s="40" t="s">
        <v>92</v>
      </c>
      <c r="B64" s="53">
        <f>8058498.87-B66</f>
        <v>2891874.6799999997</v>
      </c>
      <c r="C64" s="39">
        <f>SUM(D64:Q64)</f>
        <v>7989</v>
      </c>
      <c r="D64" s="39">
        <f>1095-D66</f>
        <v>282</v>
      </c>
      <c r="E64" s="39">
        <f>2380-E66</f>
        <v>492</v>
      </c>
      <c r="F64" s="39">
        <f>2954-F66</f>
        <v>665</v>
      </c>
      <c r="G64" s="39">
        <f>3345-G66</f>
        <v>717</v>
      </c>
      <c r="H64" s="39">
        <f>2874-H66</f>
        <v>2009</v>
      </c>
      <c r="I64" s="39">
        <f>1866-I66</f>
        <v>1161</v>
      </c>
      <c r="J64" s="39">
        <f>1178-J66</f>
        <v>674</v>
      </c>
      <c r="K64" s="39">
        <f>886-K66</f>
        <v>544</v>
      </c>
      <c r="L64" s="39">
        <f>708-L66</f>
        <v>421</v>
      </c>
      <c r="M64" s="39">
        <f>550-M66</f>
        <v>330</v>
      </c>
      <c r="N64" s="39">
        <f>456-N66</f>
        <v>297</v>
      </c>
      <c r="O64" s="39">
        <f>330-O66</f>
        <v>200</v>
      </c>
      <c r="P64" s="38">
        <f>208-P66</f>
        <v>145</v>
      </c>
      <c r="Q64" s="52">
        <f>79-Q66</f>
        <v>52</v>
      </c>
      <c r="R64" s="167">
        <v>878</v>
      </c>
    </row>
    <row r="65" spans="1:25" x14ac:dyDescent="0.3">
      <c r="A65" s="40" t="s">
        <v>102</v>
      </c>
      <c r="B65" s="53">
        <v>70689.600000000006</v>
      </c>
      <c r="C65" s="39">
        <v>593</v>
      </c>
      <c r="D65" s="39">
        <v>76</v>
      </c>
      <c r="E65" s="39">
        <v>116</v>
      </c>
      <c r="F65" s="39">
        <v>118</v>
      </c>
      <c r="G65" s="39">
        <v>104</v>
      </c>
      <c r="H65" s="39">
        <v>64</v>
      </c>
      <c r="I65" s="39">
        <v>44</v>
      </c>
      <c r="J65" s="39">
        <v>18</v>
      </c>
      <c r="K65" s="39">
        <v>17</v>
      </c>
      <c r="L65" s="39">
        <v>14</v>
      </c>
      <c r="M65" s="39" t="s">
        <v>172</v>
      </c>
      <c r="N65" s="39" t="s">
        <v>172</v>
      </c>
      <c r="O65" s="38" t="s">
        <v>172</v>
      </c>
      <c r="P65" s="38" t="s">
        <v>172</v>
      </c>
      <c r="Q65" s="52" t="s">
        <v>172</v>
      </c>
      <c r="R65" s="168"/>
    </row>
    <row r="66" spans="1:25" x14ac:dyDescent="0.3">
      <c r="A66" s="40" t="s">
        <v>231</v>
      </c>
      <c r="B66" s="143">
        <v>5166624.1900000004</v>
      </c>
      <c r="C66" s="39">
        <f>SUM(D66:Q66)</f>
        <v>10920</v>
      </c>
      <c r="D66" s="39">
        <v>813</v>
      </c>
      <c r="E66" s="39">
        <v>1888</v>
      </c>
      <c r="F66" s="39">
        <v>2289</v>
      </c>
      <c r="G66" s="39">
        <v>2628</v>
      </c>
      <c r="H66" s="39">
        <v>865</v>
      </c>
      <c r="I66" s="39">
        <v>705</v>
      </c>
      <c r="J66" s="39">
        <v>504</v>
      </c>
      <c r="K66" s="39">
        <v>342</v>
      </c>
      <c r="L66" s="39">
        <v>287</v>
      </c>
      <c r="M66" s="39">
        <v>220</v>
      </c>
      <c r="N66" s="39">
        <v>159</v>
      </c>
      <c r="O66" s="39">
        <v>130</v>
      </c>
      <c r="P66" s="38">
        <v>63</v>
      </c>
      <c r="Q66" s="52">
        <v>27</v>
      </c>
      <c r="R66" s="168"/>
    </row>
    <row r="67" spans="1:25" ht="15" thickBot="1" x14ac:dyDescent="0.35">
      <c r="A67" s="41" t="s">
        <v>105</v>
      </c>
      <c r="B67" s="48">
        <f>SUM(B64:B66)</f>
        <v>8129188.4700000007</v>
      </c>
      <c r="C67" s="49">
        <f>SUM(C64:C66)</f>
        <v>19502</v>
      </c>
      <c r="D67" s="49">
        <f t="shared" ref="D67:I67" si="12">SUM(D64:D66)</f>
        <v>1171</v>
      </c>
      <c r="E67" s="49">
        <f t="shared" si="12"/>
        <v>2496</v>
      </c>
      <c r="F67" s="49">
        <f t="shared" si="12"/>
        <v>3072</v>
      </c>
      <c r="G67" s="49">
        <f t="shared" si="12"/>
        <v>3449</v>
      </c>
      <c r="H67" s="49">
        <f t="shared" si="12"/>
        <v>2938</v>
      </c>
      <c r="I67" s="49">
        <f t="shared" si="12"/>
        <v>1910</v>
      </c>
      <c r="J67" s="49">
        <f>SUM(J64:J66)</f>
        <v>1196</v>
      </c>
      <c r="K67" s="49">
        <f>SUM(K64:K66)</f>
        <v>903</v>
      </c>
      <c r="L67" s="49">
        <f>SUM(L64:L66)</f>
        <v>722</v>
      </c>
      <c r="M67" s="49" t="s">
        <v>213</v>
      </c>
      <c r="N67" s="49" t="s">
        <v>214</v>
      </c>
      <c r="O67" s="49" t="s">
        <v>215</v>
      </c>
      <c r="P67" s="49" t="s">
        <v>216</v>
      </c>
      <c r="Q67" s="50" t="s">
        <v>217</v>
      </c>
      <c r="R67" s="169"/>
    </row>
    <row r="68" spans="1:25" ht="15" thickBot="1" x14ac:dyDescent="0.35">
      <c r="B68" s="170" t="s">
        <v>168</v>
      </c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</row>
    <row r="69" spans="1:25" ht="43.8" thickBot="1" x14ac:dyDescent="0.35">
      <c r="B69" s="43" t="s">
        <v>0</v>
      </c>
      <c r="C69" s="44" t="s">
        <v>1</v>
      </c>
      <c r="D69" s="44" t="s">
        <v>91</v>
      </c>
      <c r="E69" s="44" t="s">
        <v>2</v>
      </c>
      <c r="F69" s="44" t="s">
        <v>3</v>
      </c>
      <c r="G69" s="44" t="s">
        <v>4</v>
      </c>
      <c r="H69" s="44" t="s">
        <v>5</v>
      </c>
      <c r="I69" s="44" t="s">
        <v>6</v>
      </c>
      <c r="J69" s="44" t="s">
        <v>7</v>
      </c>
      <c r="K69" s="44" t="s">
        <v>8</v>
      </c>
      <c r="L69" s="44" t="s">
        <v>9</v>
      </c>
      <c r="M69" s="44" t="s">
        <v>10</v>
      </c>
      <c r="N69" s="44" t="s">
        <v>11</v>
      </c>
      <c r="O69" s="44" t="s">
        <v>12</v>
      </c>
      <c r="P69" s="44" t="s">
        <v>13</v>
      </c>
      <c r="Q69" s="45" t="s">
        <v>14</v>
      </c>
      <c r="R69" s="42" t="s">
        <v>101</v>
      </c>
    </row>
    <row r="70" spans="1:25" x14ac:dyDescent="0.3">
      <c r="A70" s="40" t="s">
        <v>92</v>
      </c>
      <c r="B70" s="59">
        <f>7886886.67-B72</f>
        <v>4136479.8499999996</v>
      </c>
      <c r="C70" s="83">
        <f>18340-C72</f>
        <v>6315</v>
      </c>
      <c r="D70" s="39">
        <f>1117-D72</f>
        <v>520</v>
      </c>
      <c r="E70" s="39">
        <f>2356-E72</f>
        <v>405</v>
      </c>
      <c r="F70" s="39">
        <f>2810-F72</f>
        <v>449</v>
      </c>
      <c r="G70" s="39">
        <f>3147-G72</f>
        <v>295</v>
      </c>
      <c r="H70" s="39">
        <f>2768-H72</f>
        <v>1404</v>
      </c>
      <c r="I70" s="39">
        <f>1773-I72</f>
        <v>957</v>
      </c>
      <c r="J70" s="39">
        <f>1170-J72</f>
        <v>579</v>
      </c>
      <c r="K70" s="39">
        <f>901-K72</f>
        <v>477</v>
      </c>
      <c r="L70" s="39">
        <f>677-L72</f>
        <v>353</v>
      </c>
      <c r="M70" s="39">
        <f>552-M72</f>
        <v>309</v>
      </c>
      <c r="N70" s="85">
        <f>457-N72</f>
        <v>244</v>
      </c>
      <c r="O70" s="85">
        <f>338-O72</f>
        <v>186</v>
      </c>
      <c r="P70" s="86">
        <f>187-P72</f>
        <v>110</v>
      </c>
      <c r="Q70" s="149">
        <f>87-Q72</f>
        <v>27</v>
      </c>
      <c r="R70" s="167">
        <v>883</v>
      </c>
    </row>
    <row r="71" spans="1:25" x14ac:dyDescent="0.3">
      <c r="A71" s="40" t="s">
        <v>102</v>
      </c>
      <c r="B71" s="59">
        <v>205295.23</v>
      </c>
      <c r="C71" s="39">
        <v>719</v>
      </c>
      <c r="D71" s="39">
        <v>94</v>
      </c>
      <c r="E71" s="39">
        <v>157</v>
      </c>
      <c r="F71" s="39">
        <v>140</v>
      </c>
      <c r="G71" s="39">
        <v>126</v>
      </c>
      <c r="H71" s="39">
        <v>79</v>
      </c>
      <c r="I71" s="39">
        <v>45</v>
      </c>
      <c r="J71" s="39">
        <v>17</v>
      </c>
      <c r="K71" s="39">
        <v>19</v>
      </c>
      <c r="L71" s="38">
        <v>12</v>
      </c>
      <c r="M71" s="39">
        <v>13</v>
      </c>
      <c r="N71" s="85" t="s">
        <v>172</v>
      </c>
      <c r="O71" s="86" t="s">
        <v>172</v>
      </c>
      <c r="P71" s="86" t="s">
        <v>172</v>
      </c>
      <c r="Q71" s="149" t="s">
        <v>172</v>
      </c>
      <c r="R71" s="168"/>
      <c r="T71" s="151"/>
      <c r="U71" s="157"/>
    </row>
    <row r="72" spans="1:25" x14ac:dyDescent="0.3">
      <c r="A72" s="40" t="s">
        <v>231</v>
      </c>
      <c r="B72" s="143">
        <v>3750406.8200000003</v>
      </c>
      <c r="C72" s="83">
        <f>SUM(D72:Q72)</f>
        <v>12025</v>
      </c>
      <c r="D72" s="144">
        <v>597</v>
      </c>
      <c r="E72" s="144">
        <v>1951</v>
      </c>
      <c r="F72" s="144">
        <v>2361</v>
      </c>
      <c r="G72" s="144">
        <v>2852</v>
      </c>
      <c r="H72" s="144">
        <v>1364</v>
      </c>
      <c r="I72" s="144">
        <v>816</v>
      </c>
      <c r="J72" s="144">
        <v>591</v>
      </c>
      <c r="K72" s="144">
        <v>424</v>
      </c>
      <c r="L72" s="144">
        <v>324</v>
      </c>
      <c r="M72" s="144">
        <v>243</v>
      </c>
      <c r="N72" s="145">
        <v>213</v>
      </c>
      <c r="O72" s="145">
        <v>152</v>
      </c>
      <c r="P72" s="145">
        <v>77</v>
      </c>
      <c r="Q72" s="149">
        <v>60</v>
      </c>
      <c r="R72" s="168"/>
      <c r="T72" s="151"/>
      <c r="U72" s="157"/>
    </row>
    <row r="73" spans="1:25" ht="15" thickBot="1" x14ac:dyDescent="0.35">
      <c r="A73" s="41" t="s">
        <v>105</v>
      </c>
      <c r="B73" s="48">
        <f>SUM(B70:B72)</f>
        <v>8092181.9000000004</v>
      </c>
      <c r="C73" s="49">
        <f>SUM(C70:C72)</f>
        <v>19059</v>
      </c>
      <c r="D73" s="49">
        <f>SUM(D70:D72)</f>
        <v>1211</v>
      </c>
      <c r="E73" s="49">
        <f t="shared" ref="E73:L73" si="13">SUM(E70:E72)</f>
        <v>2513</v>
      </c>
      <c r="F73" s="49">
        <f t="shared" si="13"/>
        <v>2950</v>
      </c>
      <c r="G73" s="49">
        <f t="shared" si="13"/>
        <v>3273</v>
      </c>
      <c r="H73" s="49">
        <f t="shared" si="13"/>
        <v>2847</v>
      </c>
      <c r="I73" s="49">
        <f t="shared" si="13"/>
        <v>1818</v>
      </c>
      <c r="J73" s="49">
        <f>SUM(J70:J72)</f>
        <v>1187</v>
      </c>
      <c r="K73" s="49">
        <f t="shared" si="13"/>
        <v>920</v>
      </c>
      <c r="L73" s="49">
        <f t="shared" si="13"/>
        <v>689</v>
      </c>
      <c r="M73" s="49">
        <f>SUM(M70:M72)</f>
        <v>565</v>
      </c>
      <c r="N73" s="49" t="s">
        <v>218</v>
      </c>
      <c r="O73" s="49" t="s">
        <v>219</v>
      </c>
      <c r="P73" s="49" t="s">
        <v>220</v>
      </c>
      <c r="Q73" s="50" t="s">
        <v>221</v>
      </c>
      <c r="R73" s="169"/>
      <c r="T73" s="151"/>
      <c r="U73" s="154"/>
      <c r="V73" s="163"/>
    </row>
    <row r="74" spans="1:25" ht="15" thickBot="1" x14ac:dyDescent="0.35">
      <c r="B74" s="170" t="s">
        <v>169</v>
      </c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U74" s="151"/>
      <c r="V74" s="151"/>
      <c r="W74" s="151"/>
      <c r="X74" s="151"/>
      <c r="Y74" s="151"/>
    </row>
    <row r="75" spans="1:25" ht="43.8" thickBot="1" x14ac:dyDescent="0.35">
      <c r="B75" s="43" t="s">
        <v>0</v>
      </c>
      <c r="C75" s="44" t="s">
        <v>1</v>
      </c>
      <c r="D75" s="44" t="s">
        <v>91</v>
      </c>
      <c r="E75" s="44" t="s">
        <v>2</v>
      </c>
      <c r="F75" s="44" t="s">
        <v>3</v>
      </c>
      <c r="G75" s="44" t="s">
        <v>4</v>
      </c>
      <c r="H75" s="44" t="s">
        <v>5</v>
      </c>
      <c r="I75" s="44" t="s">
        <v>6</v>
      </c>
      <c r="J75" s="44" t="s">
        <v>7</v>
      </c>
      <c r="K75" s="44" t="s">
        <v>8</v>
      </c>
      <c r="L75" s="44" t="s">
        <v>9</v>
      </c>
      <c r="M75" s="44" t="s">
        <v>10</v>
      </c>
      <c r="N75" s="44" t="s">
        <v>11</v>
      </c>
      <c r="O75" s="44" t="s">
        <v>12</v>
      </c>
      <c r="P75" s="44" t="s">
        <v>13</v>
      </c>
      <c r="Q75" s="45" t="s">
        <v>14</v>
      </c>
      <c r="R75" s="152" t="s">
        <v>101</v>
      </c>
      <c r="T75" s="151"/>
      <c r="U75" s="151"/>
      <c r="V75" s="151"/>
      <c r="W75" s="151"/>
      <c r="X75" s="151"/>
      <c r="Y75" s="151"/>
    </row>
    <row r="76" spans="1:25" x14ac:dyDescent="0.3">
      <c r="A76" s="40" t="s">
        <v>92</v>
      </c>
      <c r="B76" s="84">
        <f>9701696.71-B78</f>
        <v>7418727.7200000007</v>
      </c>
      <c r="C76" s="165">
        <f>18584-C78</f>
        <v>15577.75</v>
      </c>
      <c r="D76" s="165">
        <f>1221-D78</f>
        <v>1071.75</v>
      </c>
      <c r="E76" s="85">
        <f>2509-E78</f>
        <v>2021.25</v>
      </c>
      <c r="F76" s="85">
        <f>2866-F78</f>
        <v>2275.75</v>
      </c>
      <c r="G76" s="85">
        <f>3160-G78</f>
        <v>2447</v>
      </c>
      <c r="H76" s="85">
        <f>2737-H78</f>
        <v>2396</v>
      </c>
      <c r="I76" s="85">
        <f>1749-I78</f>
        <v>1545</v>
      </c>
      <c r="J76" s="85">
        <f>1201-J78</f>
        <v>1053.25</v>
      </c>
      <c r="K76" s="85">
        <f>900-K78</f>
        <v>794</v>
      </c>
      <c r="L76" s="85">
        <f>661-L78</f>
        <v>580</v>
      </c>
      <c r="M76" s="85">
        <f>545-M78</f>
        <v>484.25</v>
      </c>
      <c r="N76" s="85">
        <f>445-N78</f>
        <v>391.75</v>
      </c>
      <c r="O76" s="85">
        <f>332-O78</f>
        <v>294</v>
      </c>
      <c r="P76" s="86">
        <f>172-P78</f>
        <v>152.75</v>
      </c>
      <c r="Q76" s="149">
        <f>86-Q78</f>
        <v>71</v>
      </c>
      <c r="R76" s="167">
        <v>893</v>
      </c>
      <c r="T76" s="151"/>
      <c r="U76" s="151"/>
      <c r="V76" s="151"/>
      <c r="W76" s="146"/>
      <c r="X76" s="151"/>
      <c r="Y76" s="151"/>
    </row>
    <row r="77" spans="1:25" x14ac:dyDescent="0.3">
      <c r="A77" s="40" t="s">
        <v>102</v>
      </c>
      <c r="B77" s="84">
        <v>170727.55</v>
      </c>
      <c r="C77" s="85">
        <v>521</v>
      </c>
      <c r="D77" s="85">
        <v>78</v>
      </c>
      <c r="E77" s="85">
        <v>130</v>
      </c>
      <c r="F77" s="85">
        <v>102</v>
      </c>
      <c r="G77" s="85">
        <v>92</v>
      </c>
      <c r="H77" s="85">
        <v>64</v>
      </c>
      <c r="I77" s="85">
        <v>23</v>
      </c>
      <c r="J77" s="85" t="s">
        <v>172</v>
      </c>
      <c r="K77" s="85" t="s">
        <v>172</v>
      </c>
      <c r="L77" s="85" t="s">
        <v>172</v>
      </c>
      <c r="M77" s="85" t="s">
        <v>172</v>
      </c>
      <c r="N77" s="85" t="s">
        <v>172</v>
      </c>
      <c r="O77" s="85" t="s">
        <v>172</v>
      </c>
      <c r="P77" s="85" t="s">
        <v>172</v>
      </c>
      <c r="Q77" s="147" t="s">
        <v>172</v>
      </c>
      <c r="R77" s="168"/>
      <c r="T77" s="151"/>
      <c r="U77" s="151"/>
      <c r="V77" s="151"/>
      <c r="W77" s="146"/>
      <c r="X77" s="151"/>
      <c r="Y77" s="151"/>
    </row>
    <row r="78" spans="1:25" x14ac:dyDescent="0.3">
      <c r="A78" s="40" t="s">
        <v>232</v>
      </c>
      <c r="B78" s="150">
        <v>2282968.9900000002</v>
      </c>
      <c r="C78" s="164">
        <f>C72/4</f>
        <v>3006.25</v>
      </c>
      <c r="D78" s="164">
        <f t="shared" ref="D78:Q78" si="14">D72/4</f>
        <v>149.25</v>
      </c>
      <c r="E78" s="164">
        <f t="shared" si="14"/>
        <v>487.75</v>
      </c>
      <c r="F78" s="164">
        <f t="shared" si="14"/>
        <v>590.25</v>
      </c>
      <c r="G78" s="164">
        <f t="shared" si="14"/>
        <v>713</v>
      </c>
      <c r="H78" s="164">
        <f t="shared" si="14"/>
        <v>341</v>
      </c>
      <c r="I78" s="164">
        <f t="shared" si="14"/>
        <v>204</v>
      </c>
      <c r="J78" s="164">
        <f t="shared" si="14"/>
        <v>147.75</v>
      </c>
      <c r="K78" s="164">
        <f t="shared" si="14"/>
        <v>106</v>
      </c>
      <c r="L78" s="164">
        <f t="shared" si="14"/>
        <v>81</v>
      </c>
      <c r="M78" s="164">
        <f t="shared" si="14"/>
        <v>60.75</v>
      </c>
      <c r="N78" s="164">
        <f t="shared" si="14"/>
        <v>53.25</v>
      </c>
      <c r="O78" s="164">
        <f t="shared" si="14"/>
        <v>38</v>
      </c>
      <c r="P78" s="164">
        <f t="shared" si="14"/>
        <v>19.25</v>
      </c>
      <c r="Q78" s="164">
        <f t="shared" si="14"/>
        <v>15</v>
      </c>
      <c r="R78" s="168"/>
      <c r="T78" s="151"/>
      <c r="U78" s="151"/>
      <c r="V78" s="151"/>
      <c r="W78" s="146"/>
      <c r="X78" s="151"/>
      <c r="Y78" s="151"/>
    </row>
    <row r="79" spans="1:25" ht="15" thickBot="1" x14ac:dyDescent="0.35">
      <c r="A79" s="41" t="s">
        <v>105</v>
      </c>
      <c r="B79" s="88">
        <f>SUM(B76:B78)</f>
        <v>9872424.2600000016</v>
      </c>
      <c r="C79" s="89">
        <f>SUM(C76:C78)</f>
        <v>19105</v>
      </c>
      <c r="D79" s="89">
        <f t="shared" ref="D79:I79" si="15">SUM(D76:D78)</f>
        <v>1299</v>
      </c>
      <c r="E79" s="89">
        <f t="shared" si="15"/>
        <v>2639</v>
      </c>
      <c r="F79" s="89">
        <f t="shared" si="15"/>
        <v>2968</v>
      </c>
      <c r="G79" s="89">
        <f t="shared" si="15"/>
        <v>3252</v>
      </c>
      <c r="H79" s="89">
        <f t="shared" si="15"/>
        <v>2801</v>
      </c>
      <c r="I79" s="89">
        <f t="shared" si="15"/>
        <v>1772</v>
      </c>
      <c r="J79" s="89" t="s">
        <v>223</v>
      </c>
      <c r="K79" s="89" t="s">
        <v>224</v>
      </c>
      <c r="L79" s="89" t="s">
        <v>225</v>
      </c>
      <c r="M79" s="89" t="s">
        <v>226</v>
      </c>
      <c r="N79" s="89" t="s">
        <v>227</v>
      </c>
      <c r="O79" s="89" t="s">
        <v>228</v>
      </c>
      <c r="P79" s="89" t="s">
        <v>229</v>
      </c>
      <c r="Q79" s="148" t="s">
        <v>230</v>
      </c>
      <c r="R79" s="169"/>
      <c r="T79" s="151"/>
      <c r="U79" s="151"/>
      <c r="V79" s="151"/>
      <c r="W79" s="151"/>
      <c r="X79" s="151"/>
      <c r="Y79" s="151"/>
    </row>
    <row r="80" spans="1:25" x14ac:dyDescent="0.3">
      <c r="A80" s="166" t="s">
        <v>233</v>
      </c>
      <c r="T80" s="151"/>
      <c r="U80" s="151"/>
      <c r="V80" s="151"/>
      <c r="W80" s="151"/>
      <c r="X80" s="151"/>
      <c r="Y80" s="151"/>
    </row>
    <row r="81" spans="20:25" x14ac:dyDescent="0.3">
      <c r="T81" s="156"/>
      <c r="U81" s="157"/>
      <c r="V81" s="154"/>
      <c r="W81" s="151"/>
      <c r="X81" s="151"/>
      <c r="Y81" s="151"/>
    </row>
    <row r="82" spans="20:25" x14ac:dyDescent="0.3">
      <c r="T82" s="151"/>
      <c r="U82" s="151"/>
    </row>
    <row r="83" spans="20:25" ht="15.6" x14ac:dyDescent="0.3">
      <c r="T83" s="158"/>
      <c r="U83" s="159"/>
    </row>
    <row r="84" spans="20:25" ht="15.6" x14ac:dyDescent="0.3">
      <c r="T84" s="158"/>
      <c r="U84" s="159"/>
    </row>
    <row r="85" spans="20:25" ht="15.6" x14ac:dyDescent="0.3">
      <c r="T85" s="158"/>
      <c r="U85" s="160"/>
      <c r="V85" s="153"/>
    </row>
    <row r="86" spans="20:25" x14ac:dyDescent="0.3">
      <c r="T86" s="161"/>
      <c r="U86" s="155"/>
      <c r="V86" s="155"/>
    </row>
    <row r="87" spans="20:25" x14ac:dyDescent="0.3">
      <c r="T87" s="151"/>
      <c r="U87" s="162"/>
      <c r="V87" s="153"/>
    </row>
    <row r="88" spans="20:25" x14ac:dyDescent="0.3">
      <c r="T88" s="151"/>
      <c r="U88" s="151"/>
    </row>
    <row r="89" spans="20:25" x14ac:dyDescent="0.3">
      <c r="T89" s="151"/>
      <c r="U89" s="151"/>
    </row>
    <row r="90" spans="20:25" x14ac:dyDescent="0.3">
      <c r="T90" s="151"/>
      <c r="U90" s="151"/>
    </row>
    <row r="91" spans="20:25" x14ac:dyDescent="0.3">
      <c r="T91" s="151"/>
      <c r="U91" s="151"/>
    </row>
    <row r="92" spans="20:25" x14ac:dyDescent="0.3">
      <c r="T92" s="151"/>
      <c r="U92" s="151"/>
    </row>
    <row r="93" spans="20:25" x14ac:dyDescent="0.3">
      <c r="T93" s="151"/>
      <c r="U93" s="151"/>
    </row>
    <row r="94" spans="20:25" x14ac:dyDescent="0.3">
      <c r="T94" s="151"/>
      <c r="U94" s="151"/>
    </row>
    <row r="95" spans="20:25" x14ac:dyDescent="0.3">
      <c r="T95" s="151"/>
      <c r="U95" s="151"/>
    </row>
    <row r="96" spans="20:25" x14ac:dyDescent="0.3">
      <c r="T96" s="151"/>
      <c r="U96" s="151"/>
    </row>
    <row r="97" spans="20:21" x14ac:dyDescent="0.3">
      <c r="T97" s="151"/>
      <c r="U97" s="151"/>
    </row>
  </sheetData>
  <mergeCells count="31">
    <mergeCell ref="B1:S1"/>
    <mergeCell ref="B52:R52"/>
    <mergeCell ref="R54:R56"/>
    <mergeCell ref="B57:R57"/>
    <mergeCell ref="R18:R21"/>
    <mergeCell ref="R24:R27"/>
    <mergeCell ref="R30:R33"/>
    <mergeCell ref="B10:R10"/>
    <mergeCell ref="B16:R16"/>
    <mergeCell ref="B2:R2"/>
    <mergeCell ref="B3:R3"/>
    <mergeCell ref="B4:R4"/>
    <mergeCell ref="A8:R8"/>
    <mergeCell ref="B5:Q5"/>
    <mergeCell ref="B6:Q6"/>
    <mergeCell ref="R12:R15"/>
    <mergeCell ref="R76:R79"/>
    <mergeCell ref="B68:R68"/>
    <mergeCell ref="R70:R73"/>
    <mergeCell ref="B22:R22"/>
    <mergeCell ref="B74:R74"/>
    <mergeCell ref="B41:R41"/>
    <mergeCell ref="B28:R28"/>
    <mergeCell ref="B62:R62"/>
    <mergeCell ref="B34:R34"/>
    <mergeCell ref="R64:R67"/>
    <mergeCell ref="B47:R47"/>
    <mergeCell ref="R36:R39"/>
    <mergeCell ref="R43:R45"/>
    <mergeCell ref="R59:R61"/>
    <mergeCell ref="R49:R51"/>
  </mergeCells>
  <pageMargins left="0.25" right="0.25" top="0.75" bottom="0.8" header="0.3" footer="0.3"/>
  <pageSetup scale="75" fitToWidth="0" fitToHeight="0" orientation="landscape" r:id="rId1"/>
  <rowBreaks count="1" manualBreakCount="1">
    <brk id="9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201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8</v>
      </c>
      <c r="C8" s="99">
        <v>12</v>
      </c>
      <c r="D8" s="99">
        <v>3</v>
      </c>
      <c r="E8" s="99">
        <v>9</v>
      </c>
      <c r="F8" s="100">
        <f t="shared" ref="F8:F71" si="0">D8/C8</f>
        <v>0.25</v>
      </c>
      <c r="G8" s="101">
        <f t="shared" ref="G8:G71" si="1">E8/C8</f>
        <v>0.75</v>
      </c>
      <c r="H8" s="103">
        <v>320</v>
      </c>
    </row>
    <row r="9" spans="1:8" x14ac:dyDescent="0.3">
      <c r="A9" s="122" t="s">
        <v>121</v>
      </c>
      <c r="B9" s="116">
        <v>4</v>
      </c>
      <c r="C9" s="35">
        <v>8</v>
      </c>
      <c r="D9" s="35">
        <v>6</v>
      </c>
      <c r="E9" s="35">
        <v>2</v>
      </c>
      <c r="F9" s="100">
        <f t="shared" si="0"/>
        <v>0.75</v>
      </c>
      <c r="G9" s="101">
        <f t="shared" si="1"/>
        <v>0.25</v>
      </c>
      <c r="H9" s="104">
        <v>32</v>
      </c>
    </row>
    <row r="10" spans="1:8" x14ac:dyDescent="0.3">
      <c r="A10" s="122" t="s">
        <v>122</v>
      </c>
      <c r="B10" s="116">
        <v>17</v>
      </c>
      <c r="C10" s="35">
        <v>18</v>
      </c>
      <c r="D10" s="35">
        <v>7</v>
      </c>
      <c r="E10" s="35">
        <v>11</v>
      </c>
      <c r="F10" s="36">
        <f t="shared" si="0"/>
        <v>0.3888888888888889</v>
      </c>
      <c r="G10" s="54">
        <f t="shared" si="1"/>
        <v>0.61111111111111116</v>
      </c>
      <c r="H10" s="104">
        <v>319</v>
      </c>
    </row>
    <row r="11" spans="1:8" x14ac:dyDescent="0.3">
      <c r="A11" s="122" t="s">
        <v>123</v>
      </c>
      <c r="B11" s="116">
        <v>1</v>
      </c>
      <c r="C11" s="35">
        <v>1</v>
      </c>
      <c r="D11" s="35">
        <v>0</v>
      </c>
      <c r="E11" s="35">
        <v>1</v>
      </c>
      <c r="F11" s="36">
        <f t="shared" si="0"/>
        <v>0</v>
      </c>
      <c r="G11" s="54">
        <f t="shared" si="1"/>
        <v>1</v>
      </c>
      <c r="H11" s="104">
        <v>0</v>
      </c>
    </row>
    <row r="12" spans="1:8" x14ac:dyDescent="0.3">
      <c r="A12" s="122" t="s">
        <v>124</v>
      </c>
      <c r="B12" s="116">
        <v>21</v>
      </c>
      <c r="C12" s="35">
        <v>22</v>
      </c>
      <c r="D12" s="35">
        <v>15</v>
      </c>
      <c r="E12" s="35">
        <v>7</v>
      </c>
      <c r="F12" s="36">
        <f t="shared" si="0"/>
        <v>0.68181818181818177</v>
      </c>
      <c r="G12" s="54">
        <f t="shared" si="1"/>
        <v>0.31818181818181818</v>
      </c>
      <c r="H12" s="104">
        <v>321</v>
      </c>
    </row>
    <row r="13" spans="1:8" x14ac:dyDescent="0.3">
      <c r="A13" s="122" t="s">
        <v>125</v>
      </c>
      <c r="B13" s="111">
        <v>1</v>
      </c>
      <c r="C13" s="35">
        <v>1</v>
      </c>
      <c r="D13" s="35">
        <v>0</v>
      </c>
      <c r="E13" s="35">
        <v>1</v>
      </c>
      <c r="F13" s="36">
        <f t="shared" si="0"/>
        <v>0</v>
      </c>
      <c r="G13" s="54">
        <f t="shared" si="1"/>
        <v>1</v>
      </c>
      <c r="H13" s="104">
        <v>102</v>
      </c>
    </row>
    <row r="14" spans="1:8" x14ac:dyDescent="0.3">
      <c r="A14" s="122" t="s">
        <v>126</v>
      </c>
      <c r="B14" s="111">
        <v>4</v>
      </c>
      <c r="C14" s="35">
        <v>5</v>
      </c>
      <c r="D14" s="35">
        <v>2</v>
      </c>
      <c r="E14" s="35">
        <v>3</v>
      </c>
      <c r="F14" s="36">
        <f t="shared" si="0"/>
        <v>0.4</v>
      </c>
      <c r="G14" s="54">
        <f t="shared" si="1"/>
        <v>0.6</v>
      </c>
      <c r="H14" s="104">
        <v>42</v>
      </c>
    </row>
    <row r="15" spans="1:8" x14ac:dyDescent="0.3">
      <c r="A15" s="122" t="s">
        <v>127</v>
      </c>
      <c r="B15" s="111">
        <v>18</v>
      </c>
      <c r="C15" s="35">
        <v>20</v>
      </c>
      <c r="D15" s="35">
        <v>13</v>
      </c>
      <c r="E15" s="35">
        <v>7</v>
      </c>
      <c r="F15" s="36">
        <f t="shared" si="0"/>
        <v>0.65</v>
      </c>
      <c r="G15" s="54">
        <f t="shared" si="1"/>
        <v>0.35</v>
      </c>
      <c r="H15" s="104">
        <v>372</v>
      </c>
    </row>
    <row r="16" spans="1:8" x14ac:dyDescent="0.3">
      <c r="A16" s="122" t="s">
        <v>128</v>
      </c>
      <c r="B16" s="111">
        <v>66</v>
      </c>
      <c r="C16" s="57">
        <v>67</v>
      </c>
      <c r="D16" s="35">
        <v>31</v>
      </c>
      <c r="E16" s="35">
        <v>36</v>
      </c>
      <c r="F16" s="36">
        <f t="shared" si="0"/>
        <v>0.46268656716417911</v>
      </c>
      <c r="G16" s="54">
        <f t="shared" si="1"/>
        <v>0.53731343283582089</v>
      </c>
      <c r="H16" s="104">
        <v>1621</v>
      </c>
    </row>
    <row r="17" spans="1:8" x14ac:dyDescent="0.3">
      <c r="A17" s="122" t="s">
        <v>39</v>
      </c>
      <c r="B17" s="111">
        <v>35</v>
      </c>
      <c r="C17" s="57">
        <v>28</v>
      </c>
      <c r="D17" s="35">
        <v>12</v>
      </c>
      <c r="E17" s="35">
        <v>16</v>
      </c>
      <c r="F17" s="36">
        <f>D17/C17</f>
        <v>0.42857142857142855</v>
      </c>
      <c r="G17" s="54">
        <f t="shared" si="1"/>
        <v>0.5714285714285714</v>
      </c>
      <c r="H17" s="104">
        <v>625</v>
      </c>
    </row>
    <row r="18" spans="1:8" x14ac:dyDescent="0.3">
      <c r="A18" s="122" t="s">
        <v>25</v>
      </c>
      <c r="B18" s="111">
        <v>1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2</v>
      </c>
      <c r="C20" s="57">
        <v>3</v>
      </c>
      <c r="D20" s="35">
        <v>0</v>
      </c>
      <c r="E20" s="35">
        <v>3</v>
      </c>
      <c r="F20" s="36">
        <f>D20/C20</f>
        <v>0</v>
      </c>
      <c r="G20" s="54">
        <f>E20/C20</f>
        <v>1</v>
      </c>
      <c r="H20" s="104">
        <v>8</v>
      </c>
    </row>
    <row r="21" spans="1:8" x14ac:dyDescent="0.3">
      <c r="A21" s="122" t="s">
        <v>131</v>
      </c>
      <c r="B21" s="111">
        <v>1</v>
      </c>
      <c r="C21" s="57">
        <v>2</v>
      </c>
      <c r="D21" s="35">
        <v>1</v>
      </c>
      <c r="E21" s="35">
        <v>1</v>
      </c>
      <c r="F21" s="36">
        <f t="shared" ref="F21:F35" si="2">D21/C21</f>
        <v>0.5</v>
      </c>
      <c r="G21" s="54">
        <f t="shared" si="1"/>
        <v>0.5</v>
      </c>
      <c r="H21" s="104">
        <v>0</v>
      </c>
    </row>
    <row r="22" spans="1:8" x14ac:dyDescent="0.3">
      <c r="A22" s="122" t="s">
        <v>132</v>
      </c>
      <c r="B22" s="111">
        <v>2</v>
      </c>
      <c r="C22" s="57">
        <v>1</v>
      </c>
      <c r="D22" s="35">
        <v>1</v>
      </c>
      <c r="E22" s="35">
        <v>0</v>
      </c>
      <c r="F22" s="36">
        <f t="shared" si="2"/>
        <v>1</v>
      </c>
      <c r="G22" s="54">
        <f t="shared" si="1"/>
        <v>0</v>
      </c>
      <c r="H22" s="104">
        <v>27</v>
      </c>
    </row>
    <row r="23" spans="1:8" x14ac:dyDescent="0.3">
      <c r="A23" s="122" t="s">
        <v>133</v>
      </c>
      <c r="B23" s="116">
        <v>5</v>
      </c>
      <c r="C23" s="57">
        <v>2</v>
      </c>
      <c r="D23" s="35">
        <v>1</v>
      </c>
      <c r="E23" s="35">
        <v>1</v>
      </c>
      <c r="F23" s="36">
        <f t="shared" si="2"/>
        <v>0.5</v>
      </c>
      <c r="G23" s="54">
        <f>E23/C23</f>
        <v>0.5</v>
      </c>
      <c r="H23" s="104">
        <v>53</v>
      </c>
    </row>
    <row r="24" spans="1:8" x14ac:dyDescent="0.3">
      <c r="A24" s="123" t="s">
        <v>134</v>
      </c>
      <c r="B24" s="111">
        <v>110</v>
      </c>
      <c r="C24" s="57">
        <v>105</v>
      </c>
      <c r="D24" s="56">
        <v>43</v>
      </c>
      <c r="E24" s="56">
        <v>62</v>
      </c>
      <c r="F24" s="36">
        <f t="shared" si="2"/>
        <v>0.40952380952380951</v>
      </c>
      <c r="G24" s="54">
        <f t="shared" si="1"/>
        <v>0.59047619047619049</v>
      </c>
      <c r="H24" s="104">
        <v>2556</v>
      </c>
    </row>
    <row r="25" spans="1:8" x14ac:dyDescent="0.3">
      <c r="A25" s="122" t="s">
        <v>135</v>
      </c>
      <c r="B25" s="111">
        <v>1</v>
      </c>
      <c r="C25" s="57">
        <v>0</v>
      </c>
      <c r="D25" s="35">
        <v>0</v>
      </c>
      <c r="E25" s="35">
        <v>0</v>
      </c>
      <c r="F25" s="36">
        <v>0</v>
      </c>
      <c r="G25" s="54">
        <v>0</v>
      </c>
      <c r="H25" s="104">
        <v>34</v>
      </c>
    </row>
    <row r="26" spans="1:8" x14ac:dyDescent="0.3">
      <c r="A26" s="122" t="s">
        <v>38</v>
      </c>
      <c r="B26" s="111">
        <v>4</v>
      </c>
      <c r="C26" s="57">
        <v>4</v>
      </c>
      <c r="D26" s="35">
        <v>1</v>
      </c>
      <c r="E26" s="35">
        <v>3</v>
      </c>
      <c r="F26" s="36">
        <f t="shared" si="2"/>
        <v>0.25</v>
      </c>
      <c r="G26" s="54">
        <f t="shared" si="1"/>
        <v>0.75</v>
      </c>
      <c r="H26" s="104">
        <v>0</v>
      </c>
    </row>
    <row r="27" spans="1:8" x14ac:dyDescent="0.3">
      <c r="A27" s="122" t="s">
        <v>37</v>
      </c>
      <c r="B27" s="111">
        <v>8</v>
      </c>
      <c r="C27" s="57">
        <v>15</v>
      </c>
      <c r="D27" s="35">
        <v>13</v>
      </c>
      <c r="E27" s="35">
        <v>2</v>
      </c>
      <c r="F27" s="36">
        <f t="shared" si="2"/>
        <v>0.8666666666666667</v>
      </c>
      <c r="G27" s="54">
        <f t="shared" si="1"/>
        <v>0.13333333333333333</v>
      </c>
      <c r="H27" s="104">
        <v>71</v>
      </c>
    </row>
    <row r="28" spans="1:8" x14ac:dyDescent="0.3">
      <c r="A28" s="122" t="s">
        <v>27</v>
      </c>
      <c r="B28" s="111">
        <v>9</v>
      </c>
      <c r="C28" s="35">
        <v>5</v>
      </c>
      <c r="D28" s="35">
        <v>3</v>
      </c>
      <c r="E28" s="35">
        <v>2</v>
      </c>
      <c r="F28" s="36">
        <f t="shared" si="2"/>
        <v>0.6</v>
      </c>
      <c r="G28" s="54">
        <f t="shared" si="1"/>
        <v>0.4</v>
      </c>
      <c r="H28" s="104">
        <v>213</v>
      </c>
    </row>
    <row r="29" spans="1:8" x14ac:dyDescent="0.3">
      <c r="A29" s="122" t="s">
        <v>62</v>
      </c>
      <c r="B29" s="111">
        <v>11</v>
      </c>
      <c r="C29" s="35">
        <v>3</v>
      </c>
      <c r="D29" s="35">
        <v>3</v>
      </c>
      <c r="E29" s="35">
        <v>0</v>
      </c>
      <c r="F29" s="36">
        <f t="shared" si="2"/>
        <v>1</v>
      </c>
      <c r="G29" s="54">
        <f>E29/C29</f>
        <v>0</v>
      </c>
      <c r="H29" s="104">
        <v>66</v>
      </c>
    </row>
    <row r="30" spans="1:8" x14ac:dyDescent="0.3">
      <c r="A30" s="122" t="s">
        <v>136</v>
      </c>
      <c r="B30" s="111">
        <v>11</v>
      </c>
      <c r="C30" s="35">
        <v>15</v>
      </c>
      <c r="D30" s="35">
        <v>8</v>
      </c>
      <c r="E30" s="35">
        <v>7</v>
      </c>
      <c r="F30" s="36">
        <f t="shared" si="2"/>
        <v>0.53333333333333333</v>
      </c>
      <c r="G30" s="54">
        <f t="shared" si="1"/>
        <v>0.46666666666666667</v>
      </c>
      <c r="H30" s="104">
        <v>391</v>
      </c>
    </row>
    <row r="31" spans="1:8" x14ac:dyDescent="0.3">
      <c r="A31" s="122" t="s">
        <v>17</v>
      </c>
      <c r="B31" s="111">
        <v>8</v>
      </c>
      <c r="C31" s="35">
        <v>7</v>
      </c>
      <c r="D31" s="35">
        <v>1</v>
      </c>
      <c r="E31" s="35">
        <v>6</v>
      </c>
      <c r="F31" s="36">
        <f t="shared" si="2"/>
        <v>0.14285714285714285</v>
      </c>
      <c r="G31" s="54">
        <f t="shared" si="1"/>
        <v>0.8571428571428571</v>
      </c>
      <c r="H31" s="104">
        <v>162</v>
      </c>
    </row>
    <row r="32" spans="1:8" x14ac:dyDescent="0.3">
      <c r="A32" s="122" t="s">
        <v>137</v>
      </c>
      <c r="B32" s="111">
        <v>0</v>
      </c>
      <c r="C32" s="35">
        <v>0</v>
      </c>
      <c r="D32" s="35">
        <v>0</v>
      </c>
      <c r="E32" s="35">
        <v>0</v>
      </c>
      <c r="F32" s="36">
        <v>0</v>
      </c>
      <c r="G32" s="54">
        <v>0</v>
      </c>
      <c r="H32" s="104">
        <v>14</v>
      </c>
    </row>
    <row r="33" spans="1:8" x14ac:dyDescent="0.3">
      <c r="A33" s="123" t="s">
        <v>138</v>
      </c>
      <c r="B33" s="111">
        <v>96</v>
      </c>
      <c r="C33" s="56">
        <v>80</v>
      </c>
      <c r="D33" s="56">
        <v>47</v>
      </c>
      <c r="E33" s="56">
        <v>33</v>
      </c>
      <c r="F33" s="36">
        <f t="shared" si="2"/>
        <v>0.58750000000000002</v>
      </c>
      <c r="G33" s="54">
        <f t="shared" si="1"/>
        <v>0.41249999999999998</v>
      </c>
      <c r="H33" s="104">
        <v>1928</v>
      </c>
    </row>
    <row r="34" spans="1:8" x14ac:dyDescent="0.3">
      <c r="A34" s="122" t="s">
        <v>139</v>
      </c>
      <c r="B34" s="111">
        <v>2</v>
      </c>
      <c r="C34" s="35">
        <v>2</v>
      </c>
      <c r="D34" s="35">
        <v>1</v>
      </c>
      <c r="E34" s="35">
        <v>1</v>
      </c>
      <c r="F34" s="36">
        <f t="shared" si="2"/>
        <v>0.5</v>
      </c>
      <c r="G34" s="54">
        <f t="shared" si="1"/>
        <v>0.5</v>
      </c>
      <c r="H34" s="104">
        <v>48</v>
      </c>
    </row>
    <row r="35" spans="1:8" x14ac:dyDescent="0.3">
      <c r="A35" s="122" t="s">
        <v>140</v>
      </c>
      <c r="B35" s="111">
        <v>90</v>
      </c>
      <c r="C35" s="35">
        <v>90</v>
      </c>
      <c r="D35" s="35">
        <v>45</v>
      </c>
      <c r="E35" s="35">
        <v>45</v>
      </c>
      <c r="F35" s="36">
        <f t="shared" si="2"/>
        <v>0.5</v>
      </c>
      <c r="G35" s="54">
        <f>E35/C35</f>
        <v>0.5</v>
      </c>
      <c r="H35" s="104">
        <v>1357</v>
      </c>
    </row>
    <row r="36" spans="1:8" x14ac:dyDescent="0.3">
      <c r="A36" s="122" t="s">
        <v>141</v>
      </c>
      <c r="B36" s="111">
        <v>17</v>
      </c>
      <c r="C36" s="35">
        <v>13</v>
      </c>
      <c r="D36" s="35">
        <v>8</v>
      </c>
      <c r="E36" s="35">
        <v>5</v>
      </c>
      <c r="F36" s="36">
        <f t="shared" si="0"/>
        <v>0.61538461538461542</v>
      </c>
      <c r="G36" s="54">
        <f t="shared" si="1"/>
        <v>0.38461538461538464</v>
      </c>
      <c r="H36" s="104">
        <v>163</v>
      </c>
    </row>
    <row r="37" spans="1:8" x14ac:dyDescent="0.3">
      <c r="A37" s="122" t="s">
        <v>142</v>
      </c>
      <c r="B37" s="111">
        <v>0</v>
      </c>
      <c r="C37" s="35">
        <v>1</v>
      </c>
      <c r="D37" s="35">
        <v>0</v>
      </c>
      <c r="E37" s="35">
        <v>1</v>
      </c>
      <c r="F37" s="36">
        <f t="shared" si="0"/>
        <v>0</v>
      </c>
      <c r="G37" s="54">
        <f t="shared" si="1"/>
        <v>1</v>
      </c>
      <c r="H37" s="104">
        <v>0</v>
      </c>
    </row>
    <row r="38" spans="1:8" x14ac:dyDescent="0.3">
      <c r="A38" s="122" t="s">
        <v>143</v>
      </c>
      <c r="B38" s="111">
        <v>14</v>
      </c>
      <c r="C38" s="35">
        <v>10</v>
      </c>
      <c r="D38" s="35">
        <v>3</v>
      </c>
      <c r="E38" s="35">
        <v>7</v>
      </c>
      <c r="F38" s="36">
        <f t="shared" si="0"/>
        <v>0.3</v>
      </c>
      <c r="G38" s="54">
        <f t="shared" si="1"/>
        <v>0.7</v>
      </c>
      <c r="H38" s="104">
        <v>258</v>
      </c>
    </row>
    <row r="39" spans="1:8" x14ac:dyDescent="0.3">
      <c r="A39" s="122" t="s">
        <v>144</v>
      </c>
      <c r="B39" s="111">
        <v>21</v>
      </c>
      <c r="C39" s="35">
        <v>20</v>
      </c>
      <c r="D39" s="35">
        <v>9</v>
      </c>
      <c r="E39" s="35">
        <v>11</v>
      </c>
      <c r="F39" s="36">
        <f t="shared" si="0"/>
        <v>0.45</v>
      </c>
      <c r="G39" s="54">
        <f t="shared" si="1"/>
        <v>0.55000000000000004</v>
      </c>
      <c r="H39" s="104">
        <v>133</v>
      </c>
    </row>
    <row r="40" spans="1:8" x14ac:dyDescent="0.3">
      <c r="A40" s="122" t="s">
        <v>145</v>
      </c>
      <c r="B40" s="111">
        <v>7</v>
      </c>
      <c r="C40" s="35">
        <v>8</v>
      </c>
      <c r="D40" s="35">
        <v>2</v>
      </c>
      <c r="E40" s="35">
        <v>6</v>
      </c>
      <c r="F40" s="36">
        <f>D40/C40</f>
        <v>0.25</v>
      </c>
      <c r="G40" s="54">
        <f t="shared" si="1"/>
        <v>0.75</v>
      </c>
      <c r="H40" s="104">
        <v>76</v>
      </c>
    </row>
    <row r="41" spans="1:8" x14ac:dyDescent="0.3">
      <c r="A41" s="122" t="s">
        <v>146</v>
      </c>
      <c r="B41" s="111">
        <v>7</v>
      </c>
      <c r="C41" s="35">
        <v>8</v>
      </c>
      <c r="D41" s="35">
        <v>4</v>
      </c>
      <c r="E41" s="35">
        <v>4</v>
      </c>
      <c r="F41" s="36">
        <f>D41/C41</f>
        <v>0.5</v>
      </c>
      <c r="G41" s="54">
        <f>E41/C41</f>
        <v>0.5</v>
      </c>
      <c r="H41" s="104">
        <v>129</v>
      </c>
    </row>
    <row r="42" spans="1:8" x14ac:dyDescent="0.3">
      <c r="A42" s="122" t="s">
        <v>147</v>
      </c>
      <c r="B42" s="111">
        <v>13</v>
      </c>
      <c r="C42" s="35">
        <v>12</v>
      </c>
      <c r="D42" s="35">
        <v>6</v>
      </c>
      <c r="E42" s="35">
        <v>6</v>
      </c>
      <c r="F42" s="36">
        <f t="shared" si="0"/>
        <v>0.5</v>
      </c>
      <c r="G42" s="54">
        <f t="shared" si="1"/>
        <v>0.5</v>
      </c>
      <c r="H42" s="104">
        <v>389</v>
      </c>
    </row>
    <row r="43" spans="1:8" x14ac:dyDescent="0.3">
      <c r="A43" s="123" t="s">
        <v>148</v>
      </c>
      <c r="B43" s="111">
        <v>85</v>
      </c>
      <c r="C43" s="56">
        <v>78</v>
      </c>
      <c r="D43" s="56">
        <v>35</v>
      </c>
      <c r="E43" s="56">
        <v>43</v>
      </c>
      <c r="F43" s="36">
        <f t="shared" si="0"/>
        <v>0.44871794871794873</v>
      </c>
      <c r="G43" s="54">
        <f t="shared" si="1"/>
        <v>0.55128205128205132</v>
      </c>
      <c r="H43" s="104">
        <v>1338</v>
      </c>
    </row>
    <row r="44" spans="1:8" x14ac:dyDescent="0.3">
      <c r="A44" s="122" t="s">
        <v>36</v>
      </c>
      <c r="B44" s="111">
        <v>47</v>
      </c>
      <c r="C44" s="35">
        <v>62</v>
      </c>
      <c r="D44" s="35">
        <v>25</v>
      </c>
      <c r="E44" s="35">
        <v>37</v>
      </c>
      <c r="F44" s="36">
        <f t="shared" si="0"/>
        <v>0.40322580645161288</v>
      </c>
      <c r="G44" s="54">
        <f t="shared" si="1"/>
        <v>0.59677419354838712</v>
      </c>
      <c r="H44" s="104">
        <v>854</v>
      </c>
    </row>
    <row r="45" spans="1:8" x14ac:dyDescent="0.3">
      <c r="A45" s="122" t="s">
        <v>15</v>
      </c>
      <c r="B45" s="111">
        <v>5</v>
      </c>
      <c r="C45" s="35">
        <v>3</v>
      </c>
      <c r="D45" s="35">
        <v>1</v>
      </c>
      <c r="E45" s="35">
        <v>2</v>
      </c>
      <c r="F45" s="36">
        <f t="shared" si="0"/>
        <v>0.33333333333333331</v>
      </c>
      <c r="G45" s="54">
        <f t="shared" si="1"/>
        <v>0.66666666666666663</v>
      </c>
      <c r="H45" s="104">
        <v>28</v>
      </c>
    </row>
    <row r="46" spans="1:8" x14ac:dyDescent="0.3">
      <c r="A46" s="122" t="s">
        <v>18</v>
      </c>
      <c r="B46" s="111">
        <v>11</v>
      </c>
      <c r="C46" s="35">
        <v>9</v>
      </c>
      <c r="D46" s="35">
        <v>5</v>
      </c>
      <c r="E46" s="35">
        <v>4</v>
      </c>
      <c r="F46" s="36">
        <f t="shared" si="0"/>
        <v>0.55555555555555558</v>
      </c>
      <c r="G46" s="54">
        <f t="shared" si="1"/>
        <v>0.44444444444444442</v>
      </c>
      <c r="H46" s="104">
        <v>194</v>
      </c>
    </row>
    <row r="47" spans="1:8" x14ac:dyDescent="0.3">
      <c r="A47" s="122" t="s">
        <v>35</v>
      </c>
      <c r="B47" s="111">
        <v>48</v>
      </c>
      <c r="C47" s="35">
        <v>59</v>
      </c>
      <c r="D47" s="35">
        <v>28</v>
      </c>
      <c r="E47" s="35">
        <v>31</v>
      </c>
      <c r="F47" s="36">
        <f t="shared" si="0"/>
        <v>0.47457627118644069</v>
      </c>
      <c r="G47" s="54">
        <f t="shared" si="1"/>
        <v>0.52542372881355937</v>
      </c>
      <c r="H47" s="104">
        <v>1011</v>
      </c>
    </row>
    <row r="48" spans="1:8" x14ac:dyDescent="0.3">
      <c r="A48" s="122" t="s">
        <v>24</v>
      </c>
      <c r="B48" s="111">
        <v>1</v>
      </c>
      <c r="C48" s="35">
        <v>0</v>
      </c>
      <c r="D48" s="35">
        <v>0</v>
      </c>
      <c r="E48" s="35">
        <v>0</v>
      </c>
      <c r="F48" s="36">
        <v>0</v>
      </c>
      <c r="G48" s="54">
        <v>0</v>
      </c>
      <c r="H48" s="104">
        <v>0</v>
      </c>
    </row>
    <row r="49" spans="1:8" x14ac:dyDescent="0.3">
      <c r="A49" s="122" t="s">
        <v>34</v>
      </c>
      <c r="B49" s="111">
        <v>16</v>
      </c>
      <c r="C49" s="35">
        <v>10</v>
      </c>
      <c r="D49" s="35">
        <v>5</v>
      </c>
      <c r="E49" s="35">
        <v>5</v>
      </c>
      <c r="F49" s="36">
        <f t="shared" si="0"/>
        <v>0.5</v>
      </c>
      <c r="G49" s="54">
        <f t="shared" si="1"/>
        <v>0.5</v>
      </c>
      <c r="H49" s="104">
        <v>107</v>
      </c>
    </row>
    <row r="50" spans="1:8" x14ac:dyDescent="0.3">
      <c r="A50" s="122" t="s">
        <v>33</v>
      </c>
      <c r="B50" s="111">
        <v>0</v>
      </c>
      <c r="C50" s="35">
        <v>1</v>
      </c>
      <c r="D50" s="35">
        <v>1</v>
      </c>
      <c r="E50" s="35">
        <v>0</v>
      </c>
      <c r="F50" s="36">
        <f t="shared" si="0"/>
        <v>1</v>
      </c>
      <c r="G50" s="54">
        <f t="shared" si="1"/>
        <v>0</v>
      </c>
      <c r="H50" s="104">
        <v>58</v>
      </c>
    </row>
    <row r="51" spans="1:8" x14ac:dyDescent="0.3">
      <c r="A51" s="122" t="s">
        <v>16</v>
      </c>
      <c r="B51" s="111">
        <v>14</v>
      </c>
      <c r="C51" s="35">
        <v>9</v>
      </c>
      <c r="D51" s="35">
        <v>4</v>
      </c>
      <c r="E51" s="35">
        <v>5</v>
      </c>
      <c r="F51" s="36">
        <f t="shared" si="0"/>
        <v>0.44444444444444442</v>
      </c>
      <c r="G51" s="54">
        <f t="shared" si="1"/>
        <v>0.55555555555555558</v>
      </c>
      <c r="H51" s="104">
        <v>198</v>
      </c>
    </row>
    <row r="52" spans="1:8" x14ac:dyDescent="0.3">
      <c r="A52" s="122" t="s">
        <v>32</v>
      </c>
      <c r="B52" s="111">
        <v>10</v>
      </c>
      <c r="C52" s="35">
        <v>11</v>
      </c>
      <c r="D52" s="35">
        <v>4</v>
      </c>
      <c r="E52" s="35">
        <v>7</v>
      </c>
      <c r="F52" s="36">
        <f t="shared" si="0"/>
        <v>0.36363636363636365</v>
      </c>
      <c r="G52" s="54">
        <f t="shared" si="1"/>
        <v>0.63636363636363635</v>
      </c>
      <c r="H52" s="104">
        <v>113</v>
      </c>
    </row>
    <row r="53" spans="1:8" x14ac:dyDescent="0.3">
      <c r="A53" s="122" t="s">
        <v>31</v>
      </c>
      <c r="B53" s="111">
        <v>2</v>
      </c>
      <c r="C53" s="35">
        <v>1</v>
      </c>
      <c r="D53" s="35">
        <v>0</v>
      </c>
      <c r="E53" s="35">
        <v>1</v>
      </c>
      <c r="F53" s="36">
        <f t="shared" si="0"/>
        <v>0</v>
      </c>
      <c r="G53" s="54">
        <f t="shared" si="1"/>
        <v>1</v>
      </c>
      <c r="H53" s="104">
        <v>19</v>
      </c>
    </row>
    <row r="54" spans="1:8" x14ac:dyDescent="0.3">
      <c r="A54" s="122" t="s">
        <v>77</v>
      </c>
      <c r="B54" s="111">
        <v>5</v>
      </c>
      <c r="C54" s="35">
        <v>2</v>
      </c>
      <c r="D54" s="35">
        <v>1</v>
      </c>
      <c r="E54" s="35">
        <v>1</v>
      </c>
      <c r="F54" s="36">
        <f t="shared" si="0"/>
        <v>0.5</v>
      </c>
      <c r="G54" s="54">
        <f>E54/C54</f>
        <v>0.5</v>
      </c>
      <c r="H54" s="104">
        <v>29</v>
      </c>
    </row>
    <row r="55" spans="1:8" x14ac:dyDescent="0.3">
      <c r="A55" s="122" t="s">
        <v>30</v>
      </c>
      <c r="B55" s="111">
        <v>10</v>
      </c>
      <c r="C55" s="35">
        <v>7</v>
      </c>
      <c r="D55" s="35">
        <v>6</v>
      </c>
      <c r="E55" s="35">
        <v>1</v>
      </c>
      <c r="F55" s="36">
        <f t="shared" si="0"/>
        <v>0.8571428571428571</v>
      </c>
      <c r="G55" s="54">
        <f t="shared" si="1"/>
        <v>0.14285714285714285</v>
      </c>
      <c r="H55" s="104">
        <v>306</v>
      </c>
    </row>
    <row r="56" spans="1:8" x14ac:dyDescent="0.3">
      <c r="A56" s="122" t="s">
        <v>21</v>
      </c>
      <c r="B56" s="111">
        <v>27</v>
      </c>
      <c r="C56" s="35">
        <v>26</v>
      </c>
      <c r="D56" s="35">
        <v>15</v>
      </c>
      <c r="E56" s="35">
        <v>11</v>
      </c>
      <c r="F56" s="36">
        <f t="shared" si="0"/>
        <v>0.57692307692307687</v>
      </c>
      <c r="G56" s="54">
        <f t="shared" si="1"/>
        <v>0.42307692307692307</v>
      </c>
      <c r="H56" s="104">
        <v>471</v>
      </c>
    </row>
    <row r="57" spans="1:8" x14ac:dyDescent="0.3">
      <c r="A57" s="122" t="s">
        <v>22</v>
      </c>
      <c r="B57" s="111">
        <v>17</v>
      </c>
      <c r="C57" s="35">
        <v>22</v>
      </c>
      <c r="D57" s="35">
        <v>15</v>
      </c>
      <c r="E57" s="35">
        <v>7</v>
      </c>
      <c r="F57" s="36">
        <f t="shared" si="0"/>
        <v>0.68181818181818177</v>
      </c>
      <c r="G57" s="54">
        <f t="shared" si="1"/>
        <v>0.31818181818181818</v>
      </c>
      <c r="H57" s="104">
        <v>262</v>
      </c>
    </row>
    <row r="58" spans="1:8" x14ac:dyDescent="0.3">
      <c r="A58" s="122" t="s">
        <v>79</v>
      </c>
      <c r="B58" s="111">
        <v>3</v>
      </c>
      <c r="C58" s="35">
        <v>0</v>
      </c>
      <c r="D58" s="35">
        <v>0</v>
      </c>
      <c r="E58" s="35">
        <v>0</v>
      </c>
      <c r="F58" s="36">
        <v>0</v>
      </c>
      <c r="G58" s="54">
        <v>0</v>
      </c>
      <c r="H58" s="104">
        <v>44</v>
      </c>
    </row>
    <row r="59" spans="1:8" x14ac:dyDescent="0.3">
      <c r="A59" s="122" t="s">
        <v>149</v>
      </c>
      <c r="B59" s="111">
        <v>49</v>
      </c>
      <c r="C59" s="35">
        <v>41</v>
      </c>
      <c r="D59" s="35">
        <v>24</v>
      </c>
      <c r="E59" s="35">
        <v>17</v>
      </c>
      <c r="F59" s="36">
        <f t="shared" si="0"/>
        <v>0.58536585365853655</v>
      </c>
      <c r="G59" s="54">
        <f t="shared" si="1"/>
        <v>0.41463414634146339</v>
      </c>
      <c r="H59" s="104">
        <v>715</v>
      </c>
    </row>
    <row r="60" spans="1:8" x14ac:dyDescent="0.3">
      <c r="A60" s="122" t="s">
        <v>29</v>
      </c>
      <c r="B60" s="114">
        <v>32</v>
      </c>
      <c r="C60" s="1">
        <v>32</v>
      </c>
      <c r="D60" s="1">
        <v>13</v>
      </c>
      <c r="E60" s="35">
        <v>19</v>
      </c>
      <c r="F60" s="36">
        <f t="shared" si="0"/>
        <v>0.40625</v>
      </c>
      <c r="G60" s="54">
        <f t="shared" si="1"/>
        <v>0.59375</v>
      </c>
      <c r="H60" s="104">
        <v>699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18</v>
      </c>
      <c r="C62" s="35">
        <v>16</v>
      </c>
      <c r="D62" s="35">
        <v>8</v>
      </c>
      <c r="E62" s="60">
        <v>8</v>
      </c>
      <c r="F62" s="36">
        <f t="shared" si="0"/>
        <v>0.5</v>
      </c>
      <c r="G62" s="54">
        <f t="shared" si="1"/>
        <v>0.5</v>
      </c>
      <c r="H62" s="104">
        <v>301</v>
      </c>
    </row>
    <row r="63" spans="1:8" x14ac:dyDescent="0.3">
      <c r="A63" s="122" t="s">
        <v>84</v>
      </c>
      <c r="B63" s="111">
        <v>3</v>
      </c>
      <c r="C63" s="35">
        <v>6</v>
      </c>
      <c r="D63" s="35">
        <v>2</v>
      </c>
      <c r="E63" s="60">
        <v>4</v>
      </c>
      <c r="F63" s="36">
        <f t="shared" si="0"/>
        <v>0.33333333333333331</v>
      </c>
      <c r="G63" s="54">
        <f t="shared" si="1"/>
        <v>0.66666666666666663</v>
      </c>
      <c r="H63" s="104">
        <v>18</v>
      </c>
    </row>
    <row r="64" spans="1:8" x14ac:dyDescent="0.3">
      <c r="A64" s="122" t="s">
        <v>85</v>
      </c>
      <c r="B64" s="111">
        <v>16</v>
      </c>
      <c r="C64" s="35">
        <v>21</v>
      </c>
      <c r="D64" s="35">
        <v>11</v>
      </c>
      <c r="E64" s="60">
        <v>10</v>
      </c>
      <c r="F64" s="36">
        <f t="shared" si="0"/>
        <v>0.52380952380952384</v>
      </c>
      <c r="G64" s="54">
        <f t="shared" si="1"/>
        <v>0.47619047619047616</v>
      </c>
      <c r="H64" s="104">
        <v>252</v>
      </c>
    </row>
    <row r="65" spans="1:16" x14ac:dyDescent="0.3">
      <c r="A65" s="122" t="s">
        <v>151</v>
      </c>
      <c r="B65" s="111">
        <v>0</v>
      </c>
      <c r="C65" s="35">
        <v>2</v>
      </c>
      <c r="D65" s="35">
        <v>1</v>
      </c>
      <c r="E65" s="60">
        <v>1</v>
      </c>
      <c r="F65" s="36">
        <f t="shared" si="0"/>
        <v>0.5</v>
      </c>
      <c r="G65" s="54">
        <f t="shared" si="1"/>
        <v>0.5</v>
      </c>
      <c r="H65" s="104">
        <v>19</v>
      </c>
    </row>
    <row r="66" spans="1:16" x14ac:dyDescent="0.3">
      <c r="A66" s="122" t="s">
        <v>152</v>
      </c>
      <c r="B66" s="111">
        <v>10</v>
      </c>
      <c r="C66" s="35">
        <v>14</v>
      </c>
      <c r="D66" s="35">
        <v>10</v>
      </c>
      <c r="E66" s="60">
        <v>4</v>
      </c>
      <c r="F66" s="36">
        <f t="shared" si="0"/>
        <v>0.7142857142857143</v>
      </c>
      <c r="G66" s="54">
        <f t="shared" si="1"/>
        <v>0.2857142857142857</v>
      </c>
      <c r="H66" s="104">
        <v>204</v>
      </c>
    </row>
    <row r="67" spans="1:16" x14ac:dyDescent="0.3">
      <c r="A67" s="122" t="s">
        <v>153</v>
      </c>
      <c r="B67" s="111">
        <v>7</v>
      </c>
      <c r="C67" s="35">
        <v>7</v>
      </c>
      <c r="D67" s="35">
        <v>0</v>
      </c>
      <c r="E67" s="60">
        <v>7</v>
      </c>
      <c r="F67" s="36">
        <f t="shared" si="0"/>
        <v>0</v>
      </c>
      <c r="G67" s="54">
        <f t="shared" si="1"/>
        <v>1</v>
      </c>
      <c r="H67" s="104">
        <v>93</v>
      </c>
    </row>
    <row r="68" spans="1:16" x14ac:dyDescent="0.3">
      <c r="A68" s="122" t="s">
        <v>157</v>
      </c>
      <c r="B68" s="111">
        <v>10</v>
      </c>
      <c r="C68" s="35">
        <v>9</v>
      </c>
      <c r="D68" s="35">
        <v>4</v>
      </c>
      <c r="E68" s="60">
        <v>5</v>
      </c>
      <c r="F68" s="36">
        <f t="shared" si="0"/>
        <v>0.44444444444444442</v>
      </c>
      <c r="G68" s="54">
        <f t="shared" si="1"/>
        <v>0.55555555555555558</v>
      </c>
      <c r="H68" s="104">
        <v>86</v>
      </c>
    </row>
    <row r="69" spans="1:16" s="58" customFormat="1" x14ac:dyDescent="0.3">
      <c r="A69" s="123" t="s">
        <v>154</v>
      </c>
      <c r="B69" s="112">
        <v>0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2</v>
      </c>
      <c r="C70" s="35">
        <v>0</v>
      </c>
      <c r="D70" s="35">
        <v>0</v>
      </c>
      <c r="E70" s="60">
        <v>0</v>
      </c>
      <c r="F70" s="36">
        <v>0</v>
      </c>
      <c r="G70" s="54">
        <v>0</v>
      </c>
      <c r="H70" s="104">
        <v>19</v>
      </c>
    </row>
    <row r="71" spans="1:16" ht="15" thickBot="1" x14ac:dyDescent="0.35">
      <c r="A71" s="124" t="s">
        <v>155</v>
      </c>
      <c r="B71" s="110">
        <v>2</v>
      </c>
      <c r="C71" s="105">
        <v>1</v>
      </c>
      <c r="D71" s="105">
        <v>1</v>
      </c>
      <c r="E71" s="106">
        <v>0</v>
      </c>
      <c r="F71" s="36">
        <f t="shared" si="0"/>
        <v>1</v>
      </c>
      <c r="G71" s="54">
        <f t="shared" si="1"/>
        <v>0</v>
      </c>
      <c r="H71" s="109">
        <v>24</v>
      </c>
    </row>
    <row r="72" spans="1:16" ht="15" thickBot="1" x14ac:dyDescent="0.35">
      <c r="A72" s="125" t="s">
        <v>105</v>
      </c>
      <c r="B72" s="96">
        <f>SUM(B8:B71)</f>
        <v>1065</v>
      </c>
      <c r="C72" s="96">
        <f>SUM(C8:C71)</f>
        <v>1037</v>
      </c>
      <c r="D72" s="96">
        <f>SUM(D8:D71)</f>
        <v>508</v>
      </c>
      <c r="E72" s="96">
        <f>SUM(E8:E71)</f>
        <v>529</v>
      </c>
      <c r="F72" s="98">
        <f>D72/C72</f>
        <v>0.48987463837994216</v>
      </c>
      <c r="G72" s="97">
        <f>E72/C72</f>
        <v>0.51012536162005784</v>
      </c>
      <c r="H72" s="96">
        <f>SUM(H8:H71)</f>
        <v>19294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ignoredErrors>
    <ignoredError sqref="F42:F47 F49:F57 F59:F60 F62:F68 G40:G71" evalError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206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17</v>
      </c>
      <c r="C8" s="99">
        <v>9</v>
      </c>
      <c r="D8" s="99">
        <v>6</v>
      </c>
      <c r="E8" s="99">
        <v>3</v>
      </c>
      <c r="F8" s="100">
        <f t="shared" ref="F8:F71" si="0">D8/C8</f>
        <v>0.66666666666666663</v>
      </c>
      <c r="G8" s="101">
        <f t="shared" ref="G8:G71" si="1">E8/C8</f>
        <v>0.33333333333333331</v>
      </c>
      <c r="H8" s="103">
        <v>334</v>
      </c>
    </row>
    <row r="9" spans="1:8" x14ac:dyDescent="0.3">
      <c r="A9" s="122" t="s">
        <v>121</v>
      </c>
      <c r="B9" s="116">
        <v>0</v>
      </c>
      <c r="C9" s="35">
        <v>0</v>
      </c>
      <c r="D9" s="35">
        <v>0</v>
      </c>
      <c r="E9" s="35">
        <v>0</v>
      </c>
      <c r="F9" s="100">
        <v>0</v>
      </c>
      <c r="G9" s="101">
        <v>0</v>
      </c>
      <c r="H9" s="104">
        <v>30</v>
      </c>
    </row>
    <row r="10" spans="1:8" x14ac:dyDescent="0.3">
      <c r="A10" s="122" t="s">
        <v>122</v>
      </c>
      <c r="B10" s="116">
        <v>9</v>
      </c>
      <c r="C10" s="35">
        <v>17</v>
      </c>
      <c r="D10" s="35">
        <v>6</v>
      </c>
      <c r="E10" s="35">
        <v>11</v>
      </c>
      <c r="F10" s="36">
        <f t="shared" si="0"/>
        <v>0.35294117647058826</v>
      </c>
      <c r="G10" s="54">
        <f t="shared" si="1"/>
        <v>0.6470588235294118</v>
      </c>
      <c r="H10" s="104">
        <v>336</v>
      </c>
    </row>
    <row r="11" spans="1:8" x14ac:dyDescent="0.3">
      <c r="A11" s="122" t="s">
        <v>123</v>
      </c>
      <c r="B11" s="116">
        <v>1</v>
      </c>
      <c r="C11" s="35">
        <v>0</v>
      </c>
      <c r="D11" s="35">
        <v>0</v>
      </c>
      <c r="E11" s="35">
        <v>0</v>
      </c>
      <c r="F11" s="36">
        <v>0</v>
      </c>
      <c r="G11" s="54">
        <v>0</v>
      </c>
      <c r="H11" s="104">
        <v>0</v>
      </c>
    </row>
    <row r="12" spans="1:8" x14ac:dyDescent="0.3">
      <c r="A12" s="122" t="s">
        <v>124</v>
      </c>
      <c r="B12" s="116">
        <v>24</v>
      </c>
      <c r="C12" s="35">
        <v>19</v>
      </c>
      <c r="D12" s="35">
        <v>10</v>
      </c>
      <c r="E12" s="35">
        <v>9</v>
      </c>
      <c r="F12" s="36">
        <f t="shared" si="0"/>
        <v>0.52631578947368418</v>
      </c>
      <c r="G12" s="54">
        <f t="shared" si="1"/>
        <v>0.47368421052631576</v>
      </c>
      <c r="H12" s="104">
        <v>343</v>
      </c>
    </row>
    <row r="13" spans="1:8" x14ac:dyDescent="0.3">
      <c r="A13" s="122" t="s">
        <v>125</v>
      </c>
      <c r="B13" s="111">
        <v>1</v>
      </c>
      <c r="C13" s="35">
        <v>3</v>
      </c>
      <c r="D13" s="35">
        <v>2</v>
      </c>
      <c r="E13" s="35">
        <v>1</v>
      </c>
      <c r="F13" s="36">
        <f t="shared" si="0"/>
        <v>0.66666666666666663</v>
      </c>
      <c r="G13" s="54">
        <f t="shared" si="1"/>
        <v>0.33333333333333331</v>
      </c>
      <c r="H13" s="104">
        <v>100</v>
      </c>
    </row>
    <row r="14" spans="1:8" x14ac:dyDescent="0.3">
      <c r="A14" s="122" t="s">
        <v>126</v>
      </c>
      <c r="B14" s="111">
        <v>4</v>
      </c>
      <c r="C14" s="35">
        <v>5</v>
      </c>
      <c r="D14" s="35">
        <v>1</v>
      </c>
      <c r="E14" s="35">
        <v>4</v>
      </c>
      <c r="F14" s="36">
        <f t="shared" si="0"/>
        <v>0.2</v>
      </c>
      <c r="G14" s="54">
        <f t="shared" si="1"/>
        <v>0.8</v>
      </c>
      <c r="H14" s="104">
        <v>44</v>
      </c>
    </row>
    <row r="15" spans="1:8" x14ac:dyDescent="0.3">
      <c r="A15" s="122" t="s">
        <v>127</v>
      </c>
      <c r="B15" s="111">
        <v>26</v>
      </c>
      <c r="C15" s="35">
        <v>18</v>
      </c>
      <c r="D15" s="35">
        <v>7</v>
      </c>
      <c r="E15" s="35">
        <v>11</v>
      </c>
      <c r="F15" s="36">
        <f t="shared" si="0"/>
        <v>0.3888888888888889</v>
      </c>
      <c r="G15" s="54">
        <f t="shared" si="1"/>
        <v>0.61111111111111116</v>
      </c>
      <c r="H15" s="104">
        <v>392</v>
      </c>
    </row>
    <row r="16" spans="1:8" x14ac:dyDescent="0.3">
      <c r="A16" s="122" t="s">
        <v>128</v>
      </c>
      <c r="B16" s="111">
        <v>64</v>
      </c>
      <c r="C16" s="57">
        <v>60</v>
      </c>
      <c r="D16" s="35">
        <v>28</v>
      </c>
      <c r="E16" s="35">
        <v>32</v>
      </c>
      <c r="F16" s="36">
        <f t="shared" si="0"/>
        <v>0.46666666666666667</v>
      </c>
      <c r="G16" s="54">
        <f t="shared" si="1"/>
        <v>0.53333333333333333</v>
      </c>
      <c r="H16" s="104">
        <v>1625</v>
      </c>
    </row>
    <row r="17" spans="1:8" x14ac:dyDescent="0.3">
      <c r="A17" s="122" t="s">
        <v>39</v>
      </c>
      <c r="B17" s="111">
        <v>15</v>
      </c>
      <c r="C17" s="57">
        <v>29</v>
      </c>
      <c r="D17" s="35">
        <v>12</v>
      </c>
      <c r="E17" s="35">
        <v>17</v>
      </c>
      <c r="F17" s="36">
        <f>D17/C17</f>
        <v>0.41379310344827586</v>
      </c>
      <c r="G17" s="54">
        <f t="shared" si="1"/>
        <v>0.58620689655172409</v>
      </c>
      <c r="H17" s="104">
        <v>618</v>
      </c>
    </row>
    <row r="18" spans="1:8" x14ac:dyDescent="0.3">
      <c r="A18" s="122" t="s">
        <v>25</v>
      </c>
      <c r="B18" s="111">
        <v>1</v>
      </c>
      <c r="C18" s="57">
        <v>2</v>
      </c>
      <c r="D18" s="35">
        <v>0</v>
      </c>
      <c r="E18" s="35">
        <v>2</v>
      </c>
      <c r="F18" s="36">
        <f>D18/C18</f>
        <v>0</v>
      </c>
      <c r="G18" s="54">
        <f t="shared" si="1"/>
        <v>1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1</v>
      </c>
      <c r="D20" s="35">
        <v>0</v>
      </c>
      <c r="E20" s="35">
        <v>1</v>
      </c>
      <c r="F20" s="36">
        <f>D20/C20</f>
        <v>0</v>
      </c>
      <c r="G20" s="54">
        <f>E20/C20</f>
        <v>1</v>
      </c>
      <c r="H20" s="104">
        <v>8</v>
      </c>
    </row>
    <row r="21" spans="1:8" x14ac:dyDescent="0.3">
      <c r="A21" s="122" t="s">
        <v>131</v>
      </c>
      <c r="B21" s="111">
        <v>2</v>
      </c>
      <c r="C21" s="57">
        <v>2</v>
      </c>
      <c r="D21" s="35">
        <v>1</v>
      </c>
      <c r="E21" s="35">
        <v>1</v>
      </c>
      <c r="F21" s="36">
        <f t="shared" ref="F21:F35" si="2">D21/C21</f>
        <v>0.5</v>
      </c>
      <c r="G21" s="54">
        <f t="shared" si="1"/>
        <v>0.5</v>
      </c>
      <c r="H21" s="104">
        <v>0</v>
      </c>
    </row>
    <row r="22" spans="1:8" x14ac:dyDescent="0.3">
      <c r="A22" s="122" t="s">
        <v>132</v>
      </c>
      <c r="B22" s="111">
        <v>1</v>
      </c>
      <c r="C22" s="57">
        <v>1</v>
      </c>
      <c r="D22" s="35">
        <v>0</v>
      </c>
      <c r="E22" s="35">
        <v>1</v>
      </c>
      <c r="F22" s="36">
        <f t="shared" si="2"/>
        <v>0</v>
      </c>
      <c r="G22" s="54">
        <f t="shared" si="1"/>
        <v>1</v>
      </c>
      <c r="H22" s="104">
        <v>20</v>
      </c>
    </row>
    <row r="23" spans="1:8" x14ac:dyDescent="0.3">
      <c r="A23" s="122" t="s">
        <v>133</v>
      </c>
      <c r="B23" s="116">
        <v>5</v>
      </c>
      <c r="C23" s="57">
        <v>7</v>
      </c>
      <c r="D23" s="35">
        <v>3</v>
      </c>
      <c r="E23" s="35">
        <v>4</v>
      </c>
      <c r="F23" s="36">
        <f t="shared" si="2"/>
        <v>0.42857142857142855</v>
      </c>
      <c r="G23" s="54">
        <f>E23/C23</f>
        <v>0.5714285714285714</v>
      </c>
      <c r="H23" s="104">
        <v>53</v>
      </c>
    </row>
    <row r="24" spans="1:8" x14ac:dyDescent="0.3">
      <c r="A24" s="123" t="s">
        <v>134</v>
      </c>
      <c r="B24" s="111">
        <v>138</v>
      </c>
      <c r="C24" s="57">
        <v>113</v>
      </c>
      <c r="D24" s="56">
        <v>53</v>
      </c>
      <c r="E24" s="56">
        <v>60</v>
      </c>
      <c r="F24" s="36">
        <f t="shared" si="2"/>
        <v>0.46902654867256638</v>
      </c>
      <c r="G24" s="54">
        <f t="shared" si="1"/>
        <v>0.53097345132743368</v>
      </c>
      <c r="H24" s="104">
        <v>2653</v>
      </c>
    </row>
    <row r="25" spans="1:8" x14ac:dyDescent="0.3">
      <c r="A25" s="122" t="s">
        <v>135</v>
      </c>
      <c r="B25" s="111">
        <v>2</v>
      </c>
      <c r="C25" s="57">
        <v>1</v>
      </c>
      <c r="D25" s="35">
        <v>1</v>
      </c>
      <c r="E25" s="35">
        <v>0</v>
      </c>
      <c r="F25" s="36">
        <f t="shared" si="2"/>
        <v>1</v>
      </c>
      <c r="G25" s="54">
        <f t="shared" si="1"/>
        <v>0</v>
      </c>
      <c r="H25" s="104">
        <v>35</v>
      </c>
    </row>
    <row r="26" spans="1:8" x14ac:dyDescent="0.3">
      <c r="A26" s="122" t="s">
        <v>38</v>
      </c>
      <c r="B26" s="111">
        <v>3</v>
      </c>
      <c r="C26" s="57">
        <v>4</v>
      </c>
      <c r="D26" s="35">
        <v>1</v>
      </c>
      <c r="E26" s="35">
        <v>3</v>
      </c>
      <c r="F26" s="36">
        <f t="shared" si="2"/>
        <v>0.25</v>
      </c>
      <c r="G26" s="54">
        <f t="shared" si="1"/>
        <v>0.75</v>
      </c>
      <c r="H26" s="104">
        <v>0</v>
      </c>
    </row>
    <row r="27" spans="1:8" x14ac:dyDescent="0.3">
      <c r="A27" s="122" t="s">
        <v>37</v>
      </c>
      <c r="B27" s="111">
        <v>5</v>
      </c>
      <c r="C27" s="57">
        <v>8</v>
      </c>
      <c r="D27" s="35">
        <v>5</v>
      </c>
      <c r="E27" s="35">
        <v>3</v>
      </c>
      <c r="F27" s="36">
        <f t="shared" si="2"/>
        <v>0.625</v>
      </c>
      <c r="G27" s="54">
        <f t="shared" si="1"/>
        <v>0.375</v>
      </c>
      <c r="H27" s="104">
        <v>72</v>
      </c>
    </row>
    <row r="28" spans="1:8" x14ac:dyDescent="0.3">
      <c r="A28" s="122" t="s">
        <v>27</v>
      </c>
      <c r="B28" s="111">
        <v>14</v>
      </c>
      <c r="C28" s="35">
        <v>15</v>
      </c>
      <c r="D28" s="35">
        <v>6</v>
      </c>
      <c r="E28" s="35">
        <v>9</v>
      </c>
      <c r="F28" s="36">
        <f t="shared" si="2"/>
        <v>0.4</v>
      </c>
      <c r="G28" s="54">
        <f t="shared" si="1"/>
        <v>0.6</v>
      </c>
      <c r="H28" s="104">
        <v>221</v>
      </c>
    </row>
    <row r="29" spans="1:8" x14ac:dyDescent="0.3">
      <c r="A29" s="122" t="s">
        <v>62</v>
      </c>
      <c r="B29" s="111">
        <v>4</v>
      </c>
      <c r="C29" s="35">
        <v>9</v>
      </c>
      <c r="D29" s="35">
        <v>2</v>
      </c>
      <c r="E29" s="35">
        <v>7</v>
      </c>
      <c r="F29" s="36">
        <f t="shared" si="2"/>
        <v>0.22222222222222221</v>
      </c>
      <c r="G29" s="54">
        <f>E29/C29</f>
        <v>0.77777777777777779</v>
      </c>
      <c r="H29" s="104">
        <v>66</v>
      </c>
    </row>
    <row r="30" spans="1:8" x14ac:dyDescent="0.3">
      <c r="A30" s="122" t="s">
        <v>136</v>
      </c>
      <c r="B30" s="111">
        <v>19</v>
      </c>
      <c r="C30" s="35">
        <v>15</v>
      </c>
      <c r="D30" s="35">
        <v>6</v>
      </c>
      <c r="E30" s="35">
        <v>9</v>
      </c>
      <c r="F30" s="36">
        <f t="shared" si="2"/>
        <v>0.4</v>
      </c>
      <c r="G30" s="54">
        <f t="shared" si="1"/>
        <v>0.6</v>
      </c>
      <c r="H30" s="104">
        <v>395</v>
      </c>
    </row>
    <row r="31" spans="1:8" x14ac:dyDescent="0.3">
      <c r="A31" s="122" t="s">
        <v>17</v>
      </c>
      <c r="B31" s="111">
        <v>10</v>
      </c>
      <c r="C31" s="35">
        <v>8</v>
      </c>
      <c r="D31" s="35">
        <v>4</v>
      </c>
      <c r="E31" s="35">
        <v>4</v>
      </c>
      <c r="F31" s="36">
        <f t="shared" si="2"/>
        <v>0.5</v>
      </c>
      <c r="G31" s="54">
        <f t="shared" si="1"/>
        <v>0.5</v>
      </c>
      <c r="H31" s="104">
        <v>161</v>
      </c>
    </row>
    <row r="32" spans="1:8" x14ac:dyDescent="0.3">
      <c r="A32" s="122" t="s">
        <v>137</v>
      </c>
      <c r="B32" s="111">
        <v>1</v>
      </c>
      <c r="C32" s="35">
        <v>1</v>
      </c>
      <c r="D32" s="35">
        <v>1</v>
      </c>
      <c r="E32" s="35">
        <v>0</v>
      </c>
      <c r="F32" s="36">
        <f t="shared" si="2"/>
        <v>1</v>
      </c>
      <c r="G32" s="54">
        <f t="shared" si="1"/>
        <v>0</v>
      </c>
      <c r="H32" s="104">
        <v>14</v>
      </c>
    </row>
    <row r="33" spans="1:8" x14ac:dyDescent="0.3">
      <c r="A33" s="123" t="s">
        <v>138</v>
      </c>
      <c r="B33" s="111">
        <v>91</v>
      </c>
      <c r="C33" s="56">
        <v>100</v>
      </c>
      <c r="D33" s="56">
        <v>45</v>
      </c>
      <c r="E33" s="56">
        <v>55</v>
      </c>
      <c r="F33" s="36">
        <f t="shared" si="2"/>
        <v>0.45</v>
      </c>
      <c r="G33" s="54">
        <f t="shared" si="1"/>
        <v>0.55000000000000004</v>
      </c>
      <c r="H33" s="104">
        <v>1956</v>
      </c>
    </row>
    <row r="34" spans="1:8" x14ac:dyDescent="0.3">
      <c r="A34" s="122" t="s">
        <v>139</v>
      </c>
      <c r="B34" s="111">
        <v>1</v>
      </c>
      <c r="C34" s="35">
        <v>3</v>
      </c>
      <c r="D34" s="35">
        <v>2</v>
      </c>
      <c r="E34" s="35">
        <v>1</v>
      </c>
      <c r="F34" s="36">
        <f t="shared" si="2"/>
        <v>0.66666666666666663</v>
      </c>
      <c r="G34" s="54">
        <f t="shared" si="1"/>
        <v>0.33333333333333331</v>
      </c>
      <c r="H34" s="104">
        <v>48</v>
      </c>
    </row>
    <row r="35" spans="1:8" x14ac:dyDescent="0.3">
      <c r="A35" s="122" t="s">
        <v>140</v>
      </c>
      <c r="B35" s="111">
        <v>65</v>
      </c>
      <c r="C35" s="35">
        <v>67</v>
      </c>
      <c r="D35" s="35">
        <v>32</v>
      </c>
      <c r="E35" s="35">
        <v>35</v>
      </c>
      <c r="F35" s="36">
        <f t="shared" si="2"/>
        <v>0.47761194029850745</v>
      </c>
      <c r="G35" s="54">
        <f>E35/C35</f>
        <v>0.52238805970149249</v>
      </c>
      <c r="H35" s="139">
        <v>1405</v>
      </c>
    </row>
    <row r="36" spans="1:8" x14ac:dyDescent="0.3">
      <c r="A36" s="122" t="s">
        <v>141</v>
      </c>
      <c r="B36" s="111">
        <v>13</v>
      </c>
      <c r="C36" s="35">
        <v>16</v>
      </c>
      <c r="D36" s="35">
        <v>8</v>
      </c>
      <c r="E36" s="35">
        <v>8</v>
      </c>
      <c r="F36" s="36">
        <f t="shared" si="0"/>
        <v>0.5</v>
      </c>
      <c r="G36" s="54">
        <f t="shared" si="1"/>
        <v>0.5</v>
      </c>
      <c r="H36" s="104">
        <v>159</v>
      </c>
    </row>
    <row r="37" spans="1:8" x14ac:dyDescent="0.3">
      <c r="A37" s="122" t="s">
        <v>142</v>
      </c>
      <c r="B37" s="111">
        <v>0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104">
        <v>0</v>
      </c>
    </row>
    <row r="38" spans="1:8" x14ac:dyDescent="0.3">
      <c r="A38" s="122" t="s">
        <v>143</v>
      </c>
      <c r="B38" s="111">
        <v>7</v>
      </c>
      <c r="C38" s="35">
        <v>11</v>
      </c>
      <c r="D38" s="35">
        <v>1</v>
      </c>
      <c r="E38" s="35">
        <v>10</v>
      </c>
      <c r="F38" s="36">
        <f t="shared" si="0"/>
        <v>9.0909090909090912E-2</v>
      </c>
      <c r="G38" s="54">
        <f t="shared" si="1"/>
        <v>0.90909090909090906</v>
      </c>
      <c r="H38" s="104">
        <v>266</v>
      </c>
    </row>
    <row r="39" spans="1:8" x14ac:dyDescent="0.3">
      <c r="A39" s="122" t="s">
        <v>144</v>
      </c>
      <c r="B39" s="111">
        <v>13</v>
      </c>
      <c r="C39" s="35">
        <v>13</v>
      </c>
      <c r="D39" s="35">
        <v>9</v>
      </c>
      <c r="E39" s="35">
        <v>4</v>
      </c>
      <c r="F39" s="36">
        <f t="shared" si="0"/>
        <v>0.69230769230769229</v>
      </c>
      <c r="G39" s="54">
        <f t="shared" si="1"/>
        <v>0.30769230769230771</v>
      </c>
      <c r="H39" s="104">
        <v>135</v>
      </c>
    </row>
    <row r="40" spans="1:8" x14ac:dyDescent="0.3">
      <c r="A40" s="122" t="s">
        <v>145</v>
      </c>
      <c r="B40" s="111">
        <v>4</v>
      </c>
      <c r="C40" s="35">
        <v>2</v>
      </c>
      <c r="D40" s="35">
        <v>2</v>
      </c>
      <c r="E40" s="35">
        <v>0</v>
      </c>
      <c r="F40" s="36">
        <f>D40/C40</f>
        <v>1</v>
      </c>
      <c r="G40" s="54">
        <f t="shared" si="1"/>
        <v>0</v>
      </c>
      <c r="H40" s="104">
        <v>79</v>
      </c>
    </row>
    <row r="41" spans="1:8" x14ac:dyDescent="0.3">
      <c r="A41" s="122" t="s">
        <v>146</v>
      </c>
      <c r="B41" s="111">
        <v>1</v>
      </c>
      <c r="C41" s="35">
        <v>3</v>
      </c>
      <c r="D41" s="35">
        <v>1</v>
      </c>
      <c r="E41" s="35">
        <v>2</v>
      </c>
      <c r="F41" s="36">
        <f>D41/C41</f>
        <v>0.33333333333333331</v>
      </c>
      <c r="G41" s="54">
        <f>E41/C41</f>
        <v>0.66666666666666663</v>
      </c>
      <c r="H41" s="104">
        <v>126</v>
      </c>
    </row>
    <row r="42" spans="1:8" x14ac:dyDescent="0.3">
      <c r="A42" s="122" t="s">
        <v>147</v>
      </c>
      <c r="B42" s="111">
        <v>11</v>
      </c>
      <c r="C42" s="35">
        <v>13</v>
      </c>
      <c r="D42" s="35">
        <v>7</v>
      </c>
      <c r="E42" s="35">
        <v>6</v>
      </c>
      <c r="F42" s="36">
        <f t="shared" si="0"/>
        <v>0.53846153846153844</v>
      </c>
      <c r="G42" s="54">
        <f t="shared" si="1"/>
        <v>0.46153846153846156</v>
      </c>
      <c r="H42" s="104">
        <v>401</v>
      </c>
    </row>
    <row r="43" spans="1:8" x14ac:dyDescent="0.3">
      <c r="A43" s="123" t="s">
        <v>148</v>
      </c>
      <c r="B43" s="111">
        <v>99</v>
      </c>
      <c r="C43" s="56">
        <v>96</v>
      </c>
      <c r="D43" s="56">
        <v>47</v>
      </c>
      <c r="E43" s="56">
        <v>49</v>
      </c>
      <c r="F43" s="36">
        <f t="shared" si="0"/>
        <v>0.48958333333333331</v>
      </c>
      <c r="G43" s="54">
        <f t="shared" si="1"/>
        <v>0.51041666666666663</v>
      </c>
      <c r="H43" s="104">
        <v>1392</v>
      </c>
    </row>
    <row r="44" spans="1:8" x14ac:dyDescent="0.3">
      <c r="A44" s="122" t="s">
        <v>36</v>
      </c>
      <c r="B44" s="111">
        <v>54</v>
      </c>
      <c r="C44" s="35">
        <v>44</v>
      </c>
      <c r="D44" s="35">
        <v>22</v>
      </c>
      <c r="E44" s="35">
        <v>22</v>
      </c>
      <c r="F44" s="36">
        <f t="shared" si="0"/>
        <v>0.5</v>
      </c>
      <c r="G44" s="54">
        <f t="shared" si="1"/>
        <v>0.5</v>
      </c>
      <c r="H44" s="104">
        <v>887</v>
      </c>
    </row>
    <row r="45" spans="1:8" x14ac:dyDescent="0.3">
      <c r="A45" s="122" t="s">
        <v>15</v>
      </c>
      <c r="B45" s="111">
        <v>3</v>
      </c>
      <c r="C45" s="35">
        <v>7</v>
      </c>
      <c r="D45" s="35">
        <v>5</v>
      </c>
      <c r="E45" s="35">
        <v>2</v>
      </c>
      <c r="F45" s="36">
        <f t="shared" si="0"/>
        <v>0.7142857142857143</v>
      </c>
      <c r="G45" s="54">
        <f t="shared" si="1"/>
        <v>0.2857142857142857</v>
      </c>
      <c r="H45" s="104">
        <v>32</v>
      </c>
    </row>
    <row r="46" spans="1:8" x14ac:dyDescent="0.3">
      <c r="A46" s="122" t="s">
        <v>18</v>
      </c>
      <c r="B46" s="111">
        <v>6</v>
      </c>
      <c r="C46" s="35">
        <v>6</v>
      </c>
      <c r="D46" s="35">
        <v>3</v>
      </c>
      <c r="E46" s="35">
        <v>3</v>
      </c>
      <c r="F46" s="36">
        <f t="shared" si="0"/>
        <v>0.5</v>
      </c>
      <c r="G46" s="54">
        <f t="shared" si="1"/>
        <v>0.5</v>
      </c>
      <c r="H46" s="104">
        <v>224</v>
      </c>
    </row>
    <row r="47" spans="1:8" x14ac:dyDescent="0.3">
      <c r="A47" s="122" t="s">
        <v>35</v>
      </c>
      <c r="B47" s="111">
        <v>27</v>
      </c>
      <c r="C47" s="35">
        <v>27</v>
      </c>
      <c r="D47" s="35">
        <v>11</v>
      </c>
      <c r="E47" s="35">
        <v>16</v>
      </c>
      <c r="F47" s="36">
        <f t="shared" si="0"/>
        <v>0.40740740740740738</v>
      </c>
      <c r="G47" s="54">
        <f t="shared" si="1"/>
        <v>0.59259259259259256</v>
      </c>
      <c r="H47" s="104">
        <v>1019</v>
      </c>
    </row>
    <row r="48" spans="1:8" x14ac:dyDescent="0.3">
      <c r="A48" s="122" t="s">
        <v>24</v>
      </c>
      <c r="B48" s="111">
        <v>3</v>
      </c>
      <c r="C48" s="35">
        <v>1</v>
      </c>
      <c r="D48" s="35">
        <v>0</v>
      </c>
      <c r="E48" s="35">
        <v>1</v>
      </c>
      <c r="F48" s="36">
        <f t="shared" si="0"/>
        <v>0</v>
      </c>
      <c r="G48" s="54">
        <f t="shared" si="1"/>
        <v>1</v>
      </c>
      <c r="H48" s="104">
        <v>0</v>
      </c>
    </row>
    <row r="49" spans="1:8" x14ac:dyDescent="0.3">
      <c r="A49" s="122" t="s">
        <v>34</v>
      </c>
      <c r="B49" s="111">
        <v>5</v>
      </c>
      <c r="C49" s="35">
        <v>9</v>
      </c>
      <c r="D49" s="35">
        <v>2</v>
      </c>
      <c r="E49" s="35">
        <v>7</v>
      </c>
      <c r="F49" s="36">
        <f t="shared" si="0"/>
        <v>0.22222222222222221</v>
      </c>
      <c r="G49" s="54">
        <f t="shared" si="1"/>
        <v>0.77777777777777779</v>
      </c>
      <c r="H49" s="104">
        <v>114</v>
      </c>
    </row>
    <row r="50" spans="1:8" x14ac:dyDescent="0.3">
      <c r="A50" s="122" t="s">
        <v>33</v>
      </c>
      <c r="B50" s="111">
        <v>3</v>
      </c>
      <c r="C50" s="35">
        <v>3</v>
      </c>
      <c r="D50" s="35">
        <v>2</v>
      </c>
      <c r="E50" s="35">
        <v>1</v>
      </c>
      <c r="F50" s="36">
        <f t="shared" si="0"/>
        <v>0.66666666666666663</v>
      </c>
      <c r="G50" s="54">
        <f t="shared" si="1"/>
        <v>0.33333333333333331</v>
      </c>
      <c r="H50" s="104">
        <v>58</v>
      </c>
    </row>
    <row r="51" spans="1:8" x14ac:dyDescent="0.3">
      <c r="A51" s="122" t="s">
        <v>16</v>
      </c>
      <c r="B51" s="111">
        <v>17</v>
      </c>
      <c r="C51" s="35">
        <v>18</v>
      </c>
      <c r="D51" s="35">
        <v>10</v>
      </c>
      <c r="E51" s="35">
        <v>8</v>
      </c>
      <c r="F51" s="36">
        <f t="shared" si="0"/>
        <v>0.55555555555555558</v>
      </c>
      <c r="G51" s="54">
        <f t="shared" si="1"/>
        <v>0.44444444444444442</v>
      </c>
      <c r="H51" s="104">
        <v>203</v>
      </c>
    </row>
    <row r="52" spans="1:8" x14ac:dyDescent="0.3">
      <c r="A52" s="122" t="s">
        <v>32</v>
      </c>
      <c r="B52" s="111">
        <v>10</v>
      </c>
      <c r="C52" s="35">
        <v>10</v>
      </c>
      <c r="D52" s="35">
        <v>7</v>
      </c>
      <c r="E52" s="35">
        <v>3</v>
      </c>
      <c r="F52" s="36">
        <f t="shared" si="0"/>
        <v>0.7</v>
      </c>
      <c r="G52" s="54">
        <f t="shared" si="1"/>
        <v>0.3</v>
      </c>
      <c r="H52" s="104">
        <v>108</v>
      </c>
    </row>
    <row r="53" spans="1:8" x14ac:dyDescent="0.3">
      <c r="A53" s="122" t="s">
        <v>31</v>
      </c>
      <c r="B53" s="111">
        <v>2</v>
      </c>
      <c r="C53" s="35">
        <v>3</v>
      </c>
      <c r="D53" s="35">
        <v>0</v>
      </c>
      <c r="E53" s="35">
        <v>3</v>
      </c>
      <c r="F53" s="36">
        <f t="shared" si="0"/>
        <v>0</v>
      </c>
      <c r="G53" s="54">
        <f t="shared" si="1"/>
        <v>1</v>
      </c>
      <c r="H53" s="104">
        <v>19</v>
      </c>
    </row>
    <row r="54" spans="1:8" x14ac:dyDescent="0.3">
      <c r="A54" s="122" t="s">
        <v>77</v>
      </c>
      <c r="B54" s="111">
        <v>1</v>
      </c>
      <c r="C54" s="35">
        <v>5</v>
      </c>
      <c r="D54" s="35">
        <v>3</v>
      </c>
      <c r="E54" s="35">
        <v>2</v>
      </c>
      <c r="F54" s="36">
        <f t="shared" si="0"/>
        <v>0.6</v>
      </c>
      <c r="G54" s="54">
        <f>E54/C54</f>
        <v>0.4</v>
      </c>
      <c r="H54" s="104">
        <v>32</v>
      </c>
    </row>
    <row r="55" spans="1:8" x14ac:dyDescent="0.3">
      <c r="A55" s="122" t="s">
        <v>30</v>
      </c>
      <c r="B55" s="111">
        <v>11</v>
      </c>
      <c r="C55" s="35">
        <v>9</v>
      </c>
      <c r="D55" s="35">
        <v>3</v>
      </c>
      <c r="E55" s="35">
        <v>6</v>
      </c>
      <c r="F55" s="36">
        <f t="shared" si="0"/>
        <v>0.33333333333333331</v>
      </c>
      <c r="G55" s="54">
        <f t="shared" si="1"/>
        <v>0.66666666666666663</v>
      </c>
      <c r="H55" s="104">
        <v>309</v>
      </c>
    </row>
    <row r="56" spans="1:8" x14ac:dyDescent="0.3">
      <c r="A56" s="122" t="s">
        <v>21</v>
      </c>
      <c r="B56" s="111">
        <v>28</v>
      </c>
      <c r="C56" s="35">
        <v>23</v>
      </c>
      <c r="D56" s="35">
        <v>6</v>
      </c>
      <c r="E56" s="35">
        <v>17</v>
      </c>
      <c r="F56" s="36">
        <f t="shared" si="0"/>
        <v>0.2608695652173913</v>
      </c>
      <c r="G56" s="54">
        <f t="shared" si="1"/>
        <v>0.73913043478260865</v>
      </c>
      <c r="H56" s="104">
        <v>484</v>
      </c>
    </row>
    <row r="57" spans="1:8" x14ac:dyDescent="0.3">
      <c r="A57" s="122" t="s">
        <v>22</v>
      </c>
      <c r="B57" s="111">
        <v>11</v>
      </c>
      <c r="C57" s="35">
        <v>14</v>
      </c>
      <c r="D57" s="35">
        <v>6</v>
      </c>
      <c r="E57" s="35">
        <v>8</v>
      </c>
      <c r="F57" s="36">
        <f t="shared" si="0"/>
        <v>0.42857142857142855</v>
      </c>
      <c r="G57" s="54">
        <f t="shared" si="1"/>
        <v>0.5714285714285714</v>
      </c>
      <c r="H57" s="104">
        <v>266</v>
      </c>
    </row>
    <row r="58" spans="1:8" x14ac:dyDescent="0.3">
      <c r="A58" s="122" t="s">
        <v>79</v>
      </c>
      <c r="B58" s="111">
        <v>10</v>
      </c>
      <c r="C58" s="35">
        <v>9</v>
      </c>
      <c r="D58" s="35">
        <v>5</v>
      </c>
      <c r="E58" s="35">
        <v>4</v>
      </c>
      <c r="F58" s="36">
        <f t="shared" si="0"/>
        <v>0.55555555555555558</v>
      </c>
      <c r="G58" s="54">
        <f t="shared" si="1"/>
        <v>0.44444444444444442</v>
      </c>
      <c r="H58" s="104">
        <v>43</v>
      </c>
    </row>
    <row r="59" spans="1:8" x14ac:dyDescent="0.3">
      <c r="A59" s="122" t="s">
        <v>149</v>
      </c>
      <c r="B59" s="111">
        <v>70</v>
      </c>
      <c r="C59" s="35">
        <v>56</v>
      </c>
      <c r="D59" s="35">
        <v>26</v>
      </c>
      <c r="E59" s="35">
        <v>30</v>
      </c>
      <c r="F59" s="36">
        <f t="shared" si="0"/>
        <v>0.4642857142857143</v>
      </c>
      <c r="G59" s="54">
        <f t="shared" si="1"/>
        <v>0.5357142857142857</v>
      </c>
      <c r="H59" s="104">
        <v>731</v>
      </c>
    </row>
    <row r="60" spans="1:8" x14ac:dyDescent="0.3">
      <c r="A60" s="122" t="s">
        <v>29</v>
      </c>
      <c r="B60" s="114">
        <v>35</v>
      </c>
      <c r="C60" s="1">
        <v>39</v>
      </c>
      <c r="D60" s="1">
        <v>19</v>
      </c>
      <c r="E60" s="35">
        <v>20</v>
      </c>
      <c r="F60" s="36">
        <f t="shared" si="0"/>
        <v>0.48717948717948717</v>
      </c>
      <c r="G60" s="54">
        <f t="shared" si="1"/>
        <v>0.51282051282051277</v>
      </c>
      <c r="H60" s="104">
        <v>700</v>
      </c>
    </row>
    <row r="61" spans="1:8" x14ac:dyDescent="0.3">
      <c r="A61" s="122" t="s">
        <v>82</v>
      </c>
      <c r="B61" s="113">
        <v>1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29</v>
      </c>
      <c r="C62" s="35">
        <v>18</v>
      </c>
      <c r="D62" s="35">
        <v>11</v>
      </c>
      <c r="E62" s="60">
        <v>7</v>
      </c>
      <c r="F62" s="36">
        <f t="shared" si="0"/>
        <v>0.61111111111111116</v>
      </c>
      <c r="G62" s="54">
        <f t="shared" si="1"/>
        <v>0.3888888888888889</v>
      </c>
      <c r="H62" s="104">
        <v>317</v>
      </c>
    </row>
    <row r="63" spans="1:8" x14ac:dyDescent="0.3">
      <c r="A63" s="122" t="s">
        <v>84</v>
      </c>
      <c r="B63" s="111">
        <v>3</v>
      </c>
      <c r="C63" s="35">
        <v>2</v>
      </c>
      <c r="D63" s="35">
        <v>1</v>
      </c>
      <c r="E63" s="60">
        <v>1</v>
      </c>
      <c r="F63" s="36">
        <f t="shared" si="0"/>
        <v>0.5</v>
      </c>
      <c r="G63" s="54">
        <f t="shared" si="1"/>
        <v>0.5</v>
      </c>
      <c r="H63" s="104">
        <v>20</v>
      </c>
    </row>
    <row r="64" spans="1:8" x14ac:dyDescent="0.3">
      <c r="A64" s="122" t="s">
        <v>85</v>
      </c>
      <c r="B64" s="111">
        <v>17</v>
      </c>
      <c r="C64" s="35">
        <v>14</v>
      </c>
      <c r="D64" s="35">
        <v>5</v>
      </c>
      <c r="E64" s="60">
        <v>9</v>
      </c>
      <c r="F64" s="36">
        <f t="shared" si="0"/>
        <v>0.35714285714285715</v>
      </c>
      <c r="G64" s="54">
        <f t="shared" si="1"/>
        <v>0.6428571428571429</v>
      </c>
      <c r="H64" s="104">
        <v>262</v>
      </c>
    </row>
    <row r="65" spans="1:16" x14ac:dyDescent="0.3">
      <c r="A65" s="122" t="s">
        <v>151</v>
      </c>
      <c r="B65" s="111">
        <v>2</v>
      </c>
      <c r="C65" s="35">
        <v>1</v>
      </c>
      <c r="D65" s="35">
        <v>0</v>
      </c>
      <c r="E65" s="60">
        <v>1</v>
      </c>
      <c r="F65" s="36">
        <f t="shared" si="0"/>
        <v>0</v>
      </c>
      <c r="G65" s="54">
        <f t="shared" si="1"/>
        <v>1</v>
      </c>
      <c r="H65" s="104">
        <v>20</v>
      </c>
    </row>
    <row r="66" spans="1:16" x14ac:dyDescent="0.3">
      <c r="A66" s="122" t="s">
        <v>152</v>
      </c>
      <c r="B66" s="111">
        <v>9</v>
      </c>
      <c r="C66" s="35">
        <v>9</v>
      </c>
      <c r="D66" s="35">
        <v>2</v>
      </c>
      <c r="E66" s="60">
        <v>7</v>
      </c>
      <c r="F66" s="36">
        <f t="shared" si="0"/>
        <v>0.22222222222222221</v>
      </c>
      <c r="G66" s="54">
        <f t="shared" si="1"/>
        <v>0.77777777777777779</v>
      </c>
      <c r="H66" s="104">
        <v>205</v>
      </c>
    </row>
    <row r="67" spans="1:16" x14ac:dyDescent="0.3">
      <c r="A67" s="122" t="s">
        <v>153</v>
      </c>
      <c r="B67" s="111">
        <v>8</v>
      </c>
      <c r="C67" s="35">
        <v>8</v>
      </c>
      <c r="D67" s="35">
        <v>3</v>
      </c>
      <c r="E67" s="60">
        <v>5</v>
      </c>
      <c r="F67" s="36">
        <f t="shared" si="0"/>
        <v>0.375</v>
      </c>
      <c r="G67" s="54">
        <f t="shared" si="1"/>
        <v>0.625</v>
      </c>
      <c r="H67" s="104">
        <v>95</v>
      </c>
    </row>
    <row r="68" spans="1:16" x14ac:dyDescent="0.3">
      <c r="A68" s="122" t="s">
        <v>157</v>
      </c>
      <c r="B68" s="111">
        <v>3</v>
      </c>
      <c r="C68" s="35">
        <v>5</v>
      </c>
      <c r="D68" s="35">
        <v>2</v>
      </c>
      <c r="E68" s="60">
        <v>3</v>
      </c>
      <c r="F68" s="36">
        <f t="shared" si="0"/>
        <v>0.4</v>
      </c>
      <c r="G68" s="54">
        <f t="shared" si="1"/>
        <v>0.6</v>
      </c>
      <c r="H68" s="104">
        <v>90</v>
      </c>
    </row>
    <row r="69" spans="1:16" s="58" customFormat="1" x14ac:dyDescent="0.3">
      <c r="A69" s="123" t="s">
        <v>154</v>
      </c>
      <c r="B69" s="112">
        <v>0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2</v>
      </c>
      <c r="C70" s="35">
        <v>4</v>
      </c>
      <c r="D70" s="35">
        <v>0</v>
      </c>
      <c r="E70" s="60">
        <v>4</v>
      </c>
      <c r="F70" s="36">
        <f t="shared" si="0"/>
        <v>0</v>
      </c>
      <c r="G70" s="54">
        <f t="shared" si="1"/>
        <v>1</v>
      </c>
      <c r="H70" s="104">
        <v>23</v>
      </c>
    </row>
    <row r="71" spans="1:16" ht="15" thickBot="1" x14ac:dyDescent="0.35">
      <c r="A71" s="124" t="s">
        <v>155</v>
      </c>
      <c r="B71" s="110">
        <v>3</v>
      </c>
      <c r="C71" s="105">
        <v>3</v>
      </c>
      <c r="D71" s="105">
        <v>1</v>
      </c>
      <c r="E71" s="106">
        <v>2</v>
      </c>
      <c r="F71" s="36">
        <f t="shared" si="0"/>
        <v>0.33333333333333331</v>
      </c>
      <c r="G71" s="54">
        <f t="shared" si="1"/>
        <v>0.66666666666666663</v>
      </c>
      <c r="H71" s="109">
        <v>24</v>
      </c>
    </row>
    <row r="72" spans="1:16" ht="15" thickBot="1" x14ac:dyDescent="0.35">
      <c r="A72" s="125" t="s">
        <v>105</v>
      </c>
      <c r="B72" s="96">
        <f>SUM(B8:B71)</f>
        <v>1045</v>
      </c>
      <c r="C72" s="96">
        <f>SUM(C8:C71)</f>
        <v>1018</v>
      </c>
      <c r="D72" s="96">
        <f>SUM(D8:D71)</f>
        <v>464</v>
      </c>
      <c r="E72" s="96">
        <f>SUM(E8:E71)</f>
        <v>554</v>
      </c>
      <c r="F72" s="98">
        <f>D72/C72</f>
        <v>0.45579567779960706</v>
      </c>
      <c r="G72" s="97">
        <f>E72/C72</f>
        <v>0.54420432220039294</v>
      </c>
      <c r="H72" s="96">
        <f>SUM(H8:H71)</f>
        <v>19774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207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13</v>
      </c>
      <c r="C8" s="99">
        <v>24</v>
      </c>
      <c r="D8" s="99">
        <v>13</v>
      </c>
      <c r="E8" s="99">
        <v>11</v>
      </c>
      <c r="F8" s="100">
        <f t="shared" ref="F8:F71" si="0">D8/C8</f>
        <v>0.54166666666666663</v>
      </c>
      <c r="G8" s="101">
        <f t="shared" ref="G8:G71" si="1">E8/C8</f>
        <v>0.45833333333333331</v>
      </c>
      <c r="H8" s="103">
        <v>333</v>
      </c>
    </row>
    <row r="9" spans="1:8" x14ac:dyDescent="0.3">
      <c r="A9" s="122" t="s">
        <v>121</v>
      </c>
      <c r="B9" s="116">
        <v>1</v>
      </c>
      <c r="C9" s="35">
        <v>2</v>
      </c>
      <c r="D9" s="35">
        <v>1</v>
      </c>
      <c r="E9" s="35">
        <v>1</v>
      </c>
      <c r="F9" s="100">
        <f t="shared" si="0"/>
        <v>0.5</v>
      </c>
      <c r="G9" s="101">
        <f t="shared" si="1"/>
        <v>0.5</v>
      </c>
      <c r="H9" s="104">
        <v>33</v>
      </c>
    </row>
    <row r="10" spans="1:8" x14ac:dyDescent="0.3">
      <c r="A10" s="122" t="s">
        <v>122</v>
      </c>
      <c r="B10" s="116">
        <v>27</v>
      </c>
      <c r="C10" s="35">
        <v>42</v>
      </c>
      <c r="D10" s="35">
        <v>31</v>
      </c>
      <c r="E10" s="35">
        <v>11</v>
      </c>
      <c r="F10" s="36">
        <f t="shared" si="0"/>
        <v>0.73809523809523814</v>
      </c>
      <c r="G10" s="54">
        <f t="shared" si="1"/>
        <v>0.26190476190476192</v>
      </c>
      <c r="H10" s="104">
        <v>315</v>
      </c>
    </row>
    <row r="11" spans="1:8" x14ac:dyDescent="0.3">
      <c r="A11" s="122" t="s">
        <v>123</v>
      </c>
      <c r="B11" s="116">
        <v>0</v>
      </c>
      <c r="C11" s="35">
        <v>2</v>
      </c>
      <c r="D11" s="35">
        <v>2</v>
      </c>
      <c r="E11" s="35">
        <v>0</v>
      </c>
      <c r="F11" s="36">
        <f t="shared" si="0"/>
        <v>1</v>
      </c>
      <c r="G11" s="54">
        <f t="shared" si="1"/>
        <v>0</v>
      </c>
      <c r="H11" s="104">
        <v>0</v>
      </c>
    </row>
    <row r="12" spans="1:8" x14ac:dyDescent="0.3">
      <c r="A12" s="122" t="s">
        <v>124</v>
      </c>
      <c r="B12" s="116">
        <v>29</v>
      </c>
      <c r="C12" s="35">
        <v>29</v>
      </c>
      <c r="D12" s="35">
        <v>17</v>
      </c>
      <c r="E12" s="35">
        <v>12</v>
      </c>
      <c r="F12" s="36">
        <f t="shared" si="0"/>
        <v>0.58620689655172409</v>
      </c>
      <c r="G12" s="54">
        <f t="shared" si="1"/>
        <v>0.41379310344827586</v>
      </c>
      <c r="H12" s="104">
        <v>374</v>
      </c>
    </row>
    <row r="13" spans="1:8" x14ac:dyDescent="0.3">
      <c r="A13" s="122" t="s">
        <v>125</v>
      </c>
      <c r="B13" s="111">
        <v>4</v>
      </c>
      <c r="C13" s="35">
        <v>1</v>
      </c>
      <c r="D13" s="35">
        <v>1</v>
      </c>
      <c r="E13" s="35">
        <v>0</v>
      </c>
      <c r="F13" s="36">
        <f t="shared" si="0"/>
        <v>1</v>
      </c>
      <c r="G13" s="54">
        <f t="shared" si="1"/>
        <v>0</v>
      </c>
      <c r="H13" s="104">
        <v>77</v>
      </c>
    </row>
    <row r="14" spans="1:8" x14ac:dyDescent="0.3">
      <c r="A14" s="122" t="s">
        <v>126</v>
      </c>
      <c r="B14" s="111">
        <v>6</v>
      </c>
      <c r="C14" s="35">
        <v>3</v>
      </c>
      <c r="D14" s="35">
        <v>1</v>
      </c>
      <c r="E14" s="35">
        <v>2</v>
      </c>
      <c r="F14" s="36">
        <f t="shared" si="0"/>
        <v>0.33333333333333331</v>
      </c>
      <c r="G14" s="54">
        <f t="shared" si="1"/>
        <v>0.66666666666666663</v>
      </c>
      <c r="H14" s="104">
        <v>46</v>
      </c>
    </row>
    <row r="15" spans="1:8" x14ac:dyDescent="0.3">
      <c r="A15" s="122" t="s">
        <v>127</v>
      </c>
      <c r="B15" s="111">
        <v>20</v>
      </c>
      <c r="C15" s="35">
        <v>24</v>
      </c>
      <c r="D15" s="35">
        <v>12</v>
      </c>
      <c r="E15" s="35">
        <v>12</v>
      </c>
      <c r="F15" s="36">
        <f t="shared" si="0"/>
        <v>0.5</v>
      </c>
      <c r="G15" s="54">
        <f t="shared" si="1"/>
        <v>0.5</v>
      </c>
      <c r="H15" s="104">
        <v>407</v>
      </c>
    </row>
    <row r="16" spans="1:8" x14ac:dyDescent="0.3">
      <c r="A16" s="122" t="s">
        <v>128</v>
      </c>
      <c r="B16" s="111">
        <v>93</v>
      </c>
      <c r="C16" s="57">
        <v>92</v>
      </c>
      <c r="D16" s="35">
        <v>44</v>
      </c>
      <c r="E16" s="35">
        <v>48</v>
      </c>
      <c r="F16" s="36">
        <f t="shared" si="0"/>
        <v>0.47826086956521741</v>
      </c>
      <c r="G16" s="54">
        <f t="shared" si="1"/>
        <v>0.52173913043478259</v>
      </c>
      <c r="H16" s="104">
        <v>1640</v>
      </c>
    </row>
    <row r="17" spans="1:8" x14ac:dyDescent="0.3">
      <c r="A17" s="122" t="s">
        <v>39</v>
      </c>
      <c r="B17" s="111">
        <v>40</v>
      </c>
      <c r="C17" s="57">
        <v>36</v>
      </c>
      <c r="D17" s="35">
        <v>21</v>
      </c>
      <c r="E17" s="35">
        <v>15</v>
      </c>
      <c r="F17" s="36">
        <f>D17/C17</f>
        <v>0.58333333333333337</v>
      </c>
      <c r="G17" s="54">
        <f t="shared" si="1"/>
        <v>0.41666666666666669</v>
      </c>
      <c r="H17" s="104">
        <v>330</v>
      </c>
    </row>
    <row r="18" spans="1:8" x14ac:dyDescent="0.3">
      <c r="A18" s="122" t="s">
        <v>25</v>
      </c>
      <c r="B18" s="111">
        <v>1</v>
      </c>
      <c r="C18" s="57">
        <v>1</v>
      </c>
      <c r="D18" s="35">
        <v>1</v>
      </c>
      <c r="E18" s="35">
        <v>0</v>
      </c>
      <c r="F18" s="36">
        <f>D18/C18</f>
        <v>1</v>
      </c>
      <c r="G18" s="54">
        <f t="shared" si="1"/>
        <v>0</v>
      </c>
      <c r="H18" s="104">
        <v>0</v>
      </c>
    </row>
    <row r="19" spans="1:8" x14ac:dyDescent="0.3">
      <c r="A19" s="122" t="s">
        <v>129</v>
      </c>
      <c r="B19" s="111">
        <v>1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2</v>
      </c>
      <c r="C20" s="57">
        <v>1</v>
      </c>
      <c r="D20" s="35">
        <v>0</v>
      </c>
      <c r="E20" s="35">
        <v>1</v>
      </c>
      <c r="F20" s="36">
        <f t="shared" ref="F20" si="2">D20/C20</f>
        <v>0</v>
      </c>
      <c r="G20" s="54">
        <f>E20/C20</f>
        <v>1</v>
      </c>
      <c r="H20" s="104">
        <v>8</v>
      </c>
    </row>
    <row r="21" spans="1:8" x14ac:dyDescent="0.3">
      <c r="A21" s="122" t="s">
        <v>131</v>
      </c>
      <c r="B21" s="111">
        <v>2</v>
      </c>
      <c r="C21" s="57">
        <v>2</v>
      </c>
      <c r="D21" s="35">
        <v>1</v>
      </c>
      <c r="E21" s="35">
        <v>1</v>
      </c>
      <c r="F21" s="36">
        <f t="shared" ref="F21:F35" si="3">D21/C21</f>
        <v>0.5</v>
      </c>
      <c r="G21" s="54">
        <f t="shared" si="1"/>
        <v>0.5</v>
      </c>
      <c r="H21" s="104">
        <v>0</v>
      </c>
    </row>
    <row r="22" spans="1:8" x14ac:dyDescent="0.3">
      <c r="A22" s="122" t="s">
        <v>132</v>
      </c>
      <c r="B22" s="111">
        <v>0</v>
      </c>
      <c r="C22" s="57">
        <v>1</v>
      </c>
      <c r="D22" s="35">
        <v>1</v>
      </c>
      <c r="E22" s="35">
        <v>0</v>
      </c>
      <c r="F22" s="36">
        <f t="shared" si="3"/>
        <v>1</v>
      </c>
      <c r="G22" s="54">
        <f t="shared" si="1"/>
        <v>0</v>
      </c>
      <c r="H22" s="104">
        <v>26</v>
      </c>
    </row>
    <row r="23" spans="1:8" x14ac:dyDescent="0.3">
      <c r="A23" s="122" t="s">
        <v>133</v>
      </c>
      <c r="B23" s="116">
        <v>4</v>
      </c>
      <c r="C23" s="57">
        <v>5</v>
      </c>
      <c r="D23" s="35">
        <v>2</v>
      </c>
      <c r="E23" s="35">
        <v>3</v>
      </c>
      <c r="F23" s="36">
        <f t="shared" si="3"/>
        <v>0.4</v>
      </c>
      <c r="G23" s="54">
        <f>E23/C23</f>
        <v>0.6</v>
      </c>
      <c r="H23" s="104">
        <v>56</v>
      </c>
    </row>
    <row r="24" spans="1:8" x14ac:dyDescent="0.3">
      <c r="A24" s="123" t="s">
        <v>134</v>
      </c>
      <c r="B24" s="111">
        <v>170</v>
      </c>
      <c r="C24" s="57">
        <v>194</v>
      </c>
      <c r="D24" s="56">
        <v>99</v>
      </c>
      <c r="E24" s="56">
        <v>95</v>
      </c>
      <c r="F24" s="36">
        <f t="shared" si="3"/>
        <v>0.51030927835051543</v>
      </c>
      <c r="G24" s="54">
        <f t="shared" si="1"/>
        <v>0.48969072164948452</v>
      </c>
      <c r="H24" s="104">
        <v>2639</v>
      </c>
    </row>
    <row r="25" spans="1:8" x14ac:dyDescent="0.3">
      <c r="A25" s="122" t="s">
        <v>135</v>
      </c>
      <c r="B25" s="111">
        <v>2</v>
      </c>
      <c r="C25" s="57">
        <v>5</v>
      </c>
      <c r="D25" s="35">
        <v>3</v>
      </c>
      <c r="E25" s="35">
        <v>2</v>
      </c>
      <c r="F25" s="36">
        <f t="shared" si="3"/>
        <v>0.6</v>
      </c>
      <c r="G25" s="54">
        <f t="shared" si="1"/>
        <v>0.4</v>
      </c>
      <c r="H25" s="104">
        <v>36</v>
      </c>
    </row>
    <row r="26" spans="1:8" x14ac:dyDescent="0.3">
      <c r="A26" s="122" t="s">
        <v>38</v>
      </c>
      <c r="B26" s="111">
        <v>4</v>
      </c>
      <c r="C26" s="57">
        <v>5</v>
      </c>
      <c r="D26" s="35">
        <v>4</v>
      </c>
      <c r="E26" s="35">
        <v>1</v>
      </c>
      <c r="F26" s="36">
        <f t="shared" si="3"/>
        <v>0.8</v>
      </c>
      <c r="G26" s="54">
        <f t="shared" si="1"/>
        <v>0.2</v>
      </c>
      <c r="H26" s="104">
        <v>0</v>
      </c>
    </row>
    <row r="27" spans="1:8" x14ac:dyDescent="0.3">
      <c r="A27" s="122" t="s">
        <v>37</v>
      </c>
      <c r="B27" s="111">
        <v>5</v>
      </c>
      <c r="C27" s="57">
        <v>5</v>
      </c>
      <c r="D27" s="35">
        <v>5</v>
      </c>
      <c r="E27" s="35">
        <v>0</v>
      </c>
      <c r="F27" s="36">
        <f t="shared" si="3"/>
        <v>1</v>
      </c>
      <c r="G27" s="54">
        <f t="shared" si="1"/>
        <v>0</v>
      </c>
      <c r="H27" s="104">
        <v>78</v>
      </c>
    </row>
    <row r="28" spans="1:8" x14ac:dyDescent="0.3">
      <c r="A28" s="122" t="s">
        <v>27</v>
      </c>
      <c r="B28" s="111">
        <v>8</v>
      </c>
      <c r="C28" s="35">
        <v>13</v>
      </c>
      <c r="D28" s="35">
        <v>7</v>
      </c>
      <c r="E28" s="35">
        <v>6</v>
      </c>
      <c r="F28" s="36">
        <f t="shared" si="3"/>
        <v>0.53846153846153844</v>
      </c>
      <c r="G28" s="54">
        <f t="shared" si="1"/>
        <v>0.46153846153846156</v>
      </c>
      <c r="H28" s="104">
        <v>223</v>
      </c>
    </row>
    <row r="29" spans="1:8" x14ac:dyDescent="0.3">
      <c r="A29" s="122" t="s">
        <v>62</v>
      </c>
      <c r="B29" s="111">
        <v>5</v>
      </c>
      <c r="C29" s="35">
        <v>6</v>
      </c>
      <c r="D29" s="35">
        <v>3</v>
      </c>
      <c r="E29" s="35">
        <v>3</v>
      </c>
      <c r="F29" s="36">
        <f t="shared" si="3"/>
        <v>0.5</v>
      </c>
      <c r="G29" s="54">
        <f>E29/C29</f>
        <v>0.5</v>
      </c>
      <c r="H29" s="104">
        <v>67</v>
      </c>
    </row>
    <row r="30" spans="1:8" x14ac:dyDescent="0.3">
      <c r="A30" s="122" t="s">
        <v>136</v>
      </c>
      <c r="B30" s="111">
        <v>43</v>
      </c>
      <c r="C30" s="35">
        <v>36</v>
      </c>
      <c r="D30" s="35">
        <v>21</v>
      </c>
      <c r="E30" s="35">
        <v>15</v>
      </c>
      <c r="F30" s="36">
        <f t="shared" si="3"/>
        <v>0.58333333333333337</v>
      </c>
      <c r="G30" s="54">
        <f t="shared" si="1"/>
        <v>0.41666666666666669</v>
      </c>
      <c r="H30" s="104">
        <v>391</v>
      </c>
    </row>
    <row r="31" spans="1:8" x14ac:dyDescent="0.3">
      <c r="A31" s="122" t="s">
        <v>17</v>
      </c>
      <c r="B31" s="111">
        <v>10</v>
      </c>
      <c r="C31" s="35">
        <v>11</v>
      </c>
      <c r="D31" s="35">
        <v>5</v>
      </c>
      <c r="E31" s="35">
        <v>6</v>
      </c>
      <c r="F31" s="36">
        <f t="shared" si="3"/>
        <v>0.45454545454545453</v>
      </c>
      <c r="G31" s="54">
        <f t="shared" si="1"/>
        <v>0.54545454545454541</v>
      </c>
      <c r="H31" s="104">
        <v>161</v>
      </c>
    </row>
    <row r="32" spans="1:8" x14ac:dyDescent="0.3">
      <c r="A32" s="122" t="s">
        <v>137</v>
      </c>
      <c r="B32" s="111">
        <v>8</v>
      </c>
      <c r="C32" s="35">
        <v>6</v>
      </c>
      <c r="D32" s="35">
        <v>4</v>
      </c>
      <c r="E32" s="35">
        <v>2</v>
      </c>
      <c r="F32" s="36">
        <f t="shared" si="3"/>
        <v>0.66666666666666663</v>
      </c>
      <c r="G32" s="54">
        <f t="shared" si="1"/>
        <v>0.33333333333333331</v>
      </c>
      <c r="H32" s="104">
        <v>19</v>
      </c>
    </row>
    <row r="33" spans="1:8" x14ac:dyDescent="0.3">
      <c r="A33" s="123" t="s">
        <v>138</v>
      </c>
      <c r="B33" s="111">
        <v>139</v>
      </c>
      <c r="C33" s="56">
        <v>145</v>
      </c>
      <c r="D33" s="56">
        <v>88</v>
      </c>
      <c r="E33" s="56">
        <v>57</v>
      </c>
      <c r="F33" s="36">
        <f t="shared" si="3"/>
        <v>0.60689655172413792</v>
      </c>
      <c r="G33" s="54">
        <f t="shared" si="1"/>
        <v>0.39310344827586208</v>
      </c>
      <c r="H33" s="104">
        <v>1986</v>
      </c>
    </row>
    <row r="34" spans="1:8" x14ac:dyDescent="0.3">
      <c r="A34" s="122" t="s">
        <v>139</v>
      </c>
      <c r="B34" s="111">
        <v>2</v>
      </c>
      <c r="C34" s="35">
        <v>3</v>
      </c>
      <c r="D34" s="35">
        <v>2</v>
      </c>
      <c r="E34" s="35">
        <v>1</v>
      </c>
      <c r="F34" s="36">
        <f t="shared" si="3"/>
        <v>0.66666666666666663</v>
      </c>
      <c r="G34" s="54">
        <f t="shared" si="1"/>
        <v>0.33333333333333331</v>
      </c>
      <c r="H34" s="104">
        <v>48</v>
      </c>
    </row>
    <row r="35" spans="1:8" x14ac:dyDescent="0.3">
      <c r="A35" s="122" t="s">
        <v>140</v>
      </c>
      <c r="B35" s="111">
        <v>91</v>
      </c>
      <c r="C35" s="35">
        <v>115</v>
      </c>
      <c r="D35" s="35">
        <v>76</v>
      </c>
      <c r="E35" s="35">
        <v>39</v>
      </c>
      <c r="F35" s="36">
        <f t="shared" si="3"/>
        <v>0.66086956521739126</v>
      </c>
      <c r="G35" s="54">
        <f>E35/C35</f>
        <v>0.33913043478260868</v>
      </c>
      <c r="H35" s="139">
        <v>1425</v>
      </c>
    </row>
    <row r="36" spans="1:8" x14ac:dyDescent="0.3">
      <c r="A36" s="122" t="s">
        <v>141</v>
      </c>
      <c r="B36" s="111">
        <v>21</v>
      </c>
      <c r="C36" s="35">
        <v>31</v>
      </c>
      <c r="D36" s="35">
        <v>25</v>
      </c>
      <c r="E36" s="35">
        <v>6</v>
      </c>
      <c r="F36" s="36">
        <f t="shared" si="0"/>
        <v>0.80645161290322576</v>
      </c>
      <c r="G36" s="54">
        <f t="shared" si="1"/>
        <v>0.19354838709677419</v>
      </c>
      <c r="H36" s="104">
        <v>169</v>
      </c>
    </row>
    <row r="37" spans="1:8" x14ac:dyDescent="0.3">
      <c r="A37" s="122" t="s">
        <v>142</v>
      </c>
      <c r="B37" s="111">
        <v>0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104">
        <v>0</v>
      </c>
    </row>
    <row r="38" spans="1:8" x14ac:dyDescent="0.3">
      <c r="A38" s="122" t="s">
        <v>143</v>
      </c>
      <c r="B38" s="111">
        <v>11</v>
      </c>
      <c r="C38" s="35">
        <v>11</v>
      </c>
      <c r="D38" s="35">
        <v>6</v>
      </c>
      <c r="E38" s="35">
        <v>5</v>
      </c>
      <c r="F38" s="36">
        <f t="shared" si="0"/>
        <v>0.54545454545454541</v>
      </c>
      <c r="G38" s="54">
        <f t="shared" si="1"/>
        <v>0.45454545454545453</v>
      </c>
      <c r="H38" s="104">
        <v>279</v>
      </c>
    </row>
    <row r="39" spans="1:8" x14ac:dyDescent="0.3">
      <c r="A39" s="122" t="s">
        <v>144</v>
      </c>
      <c r="B39" s="111">
        <v>21</v>
      </c>
      <c r="C39" s="35">
        <v>32</v>
      </c>
      <c r="D39" s="35">
        <v>21</v>
      </c>
      <c r="E39" s="35">
        <v>11</v>
      </c>
      <c r="F39" s="36">
        <f t="shared" si="0"/>
        <v>0.65625</v>
      </c>
      <c r="G39" s="54">
        <f t="shared" si="1"/>
        <v>0.34375</v>
      </c>
      <c r="H39" s="104">
        <v>133</v>
      </c>
    </row>
    <row r="40" spans="1:8" x14ac:dyDescent="0.3">
      <c r="A40" s="122" t="s">
        <v>145</v>
      </c>
      <c r="B40" s="111">
        <v>6</v>
      </c>
      <c r="C40" s="35">
        <v>7</v>
      </c>
      <c r="D40" s="35">
        <v>3</v>
      </c>
      <c r="E40" s="35">
        <v>4</v>
      </c>
      <c r="F40" s="36">
        <f>D40/C40</f>
        <v>0.42857142857142855</v>
      </c>
      <c r="G40" s="54">
        <f t="shared" si="1"/>
        <v>0.5714285714285714</v>
      </c>
      <c r="H40" s="104">
        <v>78</v>
      </c>
    </row>
    <row r="41" spans="1:8" x14ac:dyDescent="0.3">
      <c r="A41" s="122" t="s">
        <v>146</v>
      </c>
      <c r="B41" s="111">
        <v>8</v>
      </c>
      <c r="C41" s="35">
        <v>6</v>
      </c>
      <c r="D41" s="35">
        <v>3</v>
      </c>
      <c r="E41" s="35">
        <v>3</v>
      </c>
      <c r="F41" s="36">
        <f>D41/C41</f>
        <v>0.5</v>
      </c>
      <c r="G41" s="54">
        <f>E41/C41</f>
        <v>0.5</v>
      </c>
      <c r="H41" s="104">
        <v>123</v>
      </c>
    </row>
    <row r="42" spans="1:8" x14ac:dyDescent="0.3">
      <c r="A42" s="122" t="s">
        <v>147</v>
      </c>
      <c r="B42" s="111">
        <v>23</v>
      </c>
      <c r="C42" s="35">
        <v>14</v>
      </c>
      <c r="D42" s="35">
        <v>10</v>
      </c>
      <c r="E42" s="35">
        <v>4</v>
      </c>
      <c r="F42" s="36">
        <f t="shared" si="0"/>
        <v>0.7142857142857143</v>
      </c>
      <c r="G42" s="54">
        <f t="shared" si="1"/>
        <v>0.2857142857142857</v>
      </c>
      <c r="H42" s="104">
        <v>407</v>
      </c>
    </row>
    <row r="43" spans="1:8" x14ac:dyDescent="0.3">
      <c r="A43" s="123" t="s">
        <v>148</v>
      </c>
      <c r="B43" s="111">
        <v>149</v>
      </c>
      <c r="C43" s="56">
        <v>153</v>
      </c>
      <c r="D43" s="56">
        <v>76</v>
      </c>
      <c r="E43" s="56">
        <v>77</v>
      </c>
      <c r="F43" s="36">
        <f t="shared" si="0"/>
        <v>0.49673202614379086</v>
      </c>
      <c r="G43" s="54">
        <f t="shared" si="1"/>
        <v>0.50326797385620914</v>
      </c>
      <c r="H43" s="104">
        <v>1360</v>
      </c>
    </row>
    <row r="44" spans="1:8" x14ac:dyDescent="0.3">
      <c r="A44" s="122" t="s">
        <v>36</v>
      </c>
      <c r="B44" s="111">
        <v>51</v>
      </c>
      <c r="C44" s="35">
        <v>72</v>
      </c>
      <c r="D44" s="35">
        <v>38</v>
      </c>
      <c r="E44" s="35">
        <v>34</v>
      </c>
      <c r="F44" s="36">
        <f t="shared" si="0"/>
        <v>0.52777777777777779</v>
      </c>
      <c r="G44" s="54">
        <f t="shared" si="1"/>
        <v>0.47222222222222221</v>
      </c>
      <c r="H44" s="104">
        <v>879</v>
      </c>
    </row>
    <row r="45" spans="1:8" x14ac:dyDescent="0.3">
      <c r="A45" s="122" t="s">
        <v>15</v>
      </c>
      <c r="B45" s="111">
        <v>5</v>
      </c>
      <c r="C45" s="35">
        <v>5</v>
      </c>
      <c r="D45" s="35">
        <v>3</v>
      </c>
      <c r="E45" s="35">
        <v>2</v>
      </c>
      <c r="F45" s="36">
        <f t="shared" si="0"/>
        <v>0.6</v>
      </c>
      <c r="G45" s="54">
        <f t="shared" si="1"/>
        <v>0.4</v>
      </c>
      <c r="H45" s="104">
        <v>21</v>
      </c>
    </row>
    <row r="46" spans="1:8" x14ac:dyDescent="0.3">
      <c r="A46" s="122" t="s">
        <v>18</v>
      </c>
      <c r="B46" s="111">
        <v>11</v>
      </c>
      <c r="C46" s="35">
        <v>10</v>
      </c>
      <c r="D46" s="35">
        <v>5</v>
      </c>
      <c r="E46" s="35">
        <v>5</v>
      </c>
      <c r="F46" s="36">
        <f t="shared" si="0"/>
        <v>0.5</v>
      </c>
      <c r="G46" s="54">
        <f t="shared" si="1"/>
        <v>0.5</v>
      </c>
      <c r="H46" s="104">
        <v>210</v>
      </c>
    </row>
    <row r="47" spans="1:8" x14ac:dyDescent="0.3">
      <c r="A47" s="122" t="s">
        <v>35</v>
      </c>
      <c r="B47" s="111">
        <v>48</v>
      </c>
      <c r="C47" s="35">
        <v>40</v>
      </c>
      <c r="D47" s="35">
        <v>21</v>
      </c>
      <c r="E47" s="35">
        <v>19</v>
      </c>
      <c r="F47" s="36">
        <f t="shared" si="0"/>
        <v>0.52500000000000002</v>
      </c>
      <c r="G47" s="54">
        <f t="shared" si="1"/>
        <v>0.47499999999999998</v>
      </c>
      <c r="H47" s="104">
        <v>1009</v>
      </c>
    </row>
    <row r="48" spans="1:8" x14ac:dyDescent="0.3">
      <c r="A48" s="122" t="s">
        <v>24</v>
      </c>
      <c r="B48" s="111">
        <v>2</v>
      </c>
      <c r="C48" s="35">
        <v>5</v>
      </c>
      <c r="D48" s="35">
        <v>2</v>
      </c>
      <c r="E48" s="35">
        <v>3</v>
      </c>
      <c r="F48" s="36">
        <f t="shared" si="0"/>
        <v>0.4</v>
      </c>
      <c r="G48" s="54">
        <f t="shared" si="1"/>
        <v>0.6</v>
      </c>
      <c r="H48" s="104">
        <v>0</v>
      </c>
    </row>
    <row r="49" spans="1:8" x14ac:dyDescent="0.3">
      <c r="A49" s="122" t="s">
        <v>34</v>
      </c>
      <c r="B49" s="111">
        <v>7</v>
      </c>
      <c r="C49" s="35">
        <v>8</v>
      </c>
      <c r="D49" s="35">
        <v>2</v>
      </c>
      <c r="E49" s="35">
        <v>6</v>
      </c>
      <c r="F49" s="36">
        <f t="shared" si="0"/>
        <v>0.25</v>
      </c>
      <c r="G49" s="54">
        <f t="shared" si="1"/>
        <v>0.75</v>
      </c>
      <c r="H49" s="104">
        <v>115</v>
      </c>
    </row>
    <row r="50" spans="1:8" x14ac:dyDescent="0.3">
      <c r="A50" s="122" t="s">
        <v>33</v>
      </c>
      <c r="B50" s="111">
        <v>1</v>
      </c>
      <c r="C50" s="35">
        <v>2</v>
      </c>
      <c r="D50" s="35">
        <v>1</v>
      </c>
      <c r="E50" s="35">
        <v>1</v>
      </c>
      <c r="F50" s="36">
        <f t="shared" si="0"/>
        <v>0.5</v>
      </c>
      <c r="G50" s="54">
        <f t="shared" si="1"/>
        <v>0.5</v>
      </c>
      <c r="H50" s="104">
        <v>60</v>
      </c>
    </row>
    <row r="51" spans="1:8" x14ac:dyDescent="0.3">
      <c r="A51" s="122" t="s">
        <v>16</v>
      </c>
      <c r="B51" s="111">
        <v>19</v>
      </c>
      <c r="C51" s="35">
        <v>25</v>
      </c>
      <c r="D51" s="35">
        <v>11</v>
      </c>
      <c r="E51" s="35">
        <v>14</v>
      </c>
      <c r="F51" s="36">
        <f t="shared" si="0"/>
        <v>0.44</v>
      </c>
      <c r="G51" s="54">
        <f t="shared" si="1"/>
        <v>0.56000000000000005</v>
      </c>
      <c r="H51" s="104">
        <v>203</v>
      </c>
    </row>
    <row r="52" spans="1:8" x14ac:dyDescent="0.3">
      <c r="A52" s="122" t="s">
        <v>32</v>
      </c>
      <c r="B52" s="111">
        <v>13</v>
      </c>
      <c r="C52" s="35">
        <v>25</v>
      </c>
      <c r="D52" s="35">
        <v>18</v>
      </c>
      <c r="E52" s="35">
        <v>7</v>
      </c>
      <c r="F52" s="36">
        <f t="shared" si="0"/>
        <v>0.72</v>
      </c>
      <c r="G52" s="54">
        <f t="shared" si="1"/>
        <v>0.28000000000000003</v>
      </c>
      <c r="H52" s="104">
        <v>108</v>
      </c>
    </row>
    <row r="53" spans="1:8" x14ac:dyDescent="0.3">
      <c r="A53" s="122" t="s">
        <v>31</v>
      </c>
      <c r="B53" s="111">
        <v>1</v>
      </c>
      <c r="C53" s="35">
        <v>2</v>
      </c>
      <c r="D53" s="35">
        <v>2</v>
      </c>
      <c r="E53" s="35">
        <v>0</v>
      </c>
      <c r="F53" s="36">
        <f t="shared" si="0"/>
        <v>1</v>
      </c>
      <c r="G53" s="54">
        <f t="shared" si="1"/>
        <v>0</v>
      </c>
      <c r="H53" s="104">
        <v>18</v>
      </c>
    </row>
    <row r="54" spans="1:8" x14ac:dyDescent="0.3">
      <c r="A54" s="122" t="s">
        <v>77</v>
      </c>
      <c r="B54" s="111">
        <v>4</v>
      </c>
      <c r="C54" s="35">
        <v>6</v>
      </c>
      <c r="D54" s="35">
        <v>5</v>
      </c>
      <c r="E54" s="35">
        <v>1</v>
      </c>
      <c r="F54" s="36">
        <f t="shared" si="0"/>
        <v>0.83333333333333337</v>
      </c>
      <c r="G54" s="54">
        <f>E54/C54</f>
        <v>0.16666666666666666</v>
      </c>
      <c r="H54" s="104">
        <v>35</v>
      </c>
    </row>
    <row r="55" spans="1:8" x14ac:dyDescent="0.3">
      <c r="A55" s="122" t="s">
        <v>30</v>
      </c>
      <c r="B55" s="111">
        <v>24</v>
      </c>
      <c r="C55" s="35">
        <v>39</v>
      </c>
      <c r="D55" s="35">
        <v>31</v>
      </c>
      <c r="E55" s="35">
        <v>8</v>
      </c>
      <c r="F55" s="36">
        <f t="shared" si="0"/>
        <v>0.79487179487179482</v>
      </c>
      <c r="G55" s="54">
        <f t="shared" si="1"/>
        <v>0.20512820512820512</v>
      </c>
      <c r="H55" s="104">
        <v>297</v>
      </c>
    </row>
    <row r="56" spans="1:8" x14ac:dyDescent="0.3">
      <c r="A56" s="122" t="s">
        <v>21</v>
      </c>
      <c r="B56" s="111">
        <v>36</v>
      </c>
      <c r="C56" s="35">
        <v>46</v>
      </c>
      <c r="D56" s="35">
        <v>31</v>
      </c>
      <c r="E56" s="35">
        <v>15</v>
      </c>
      <c r="F56" s="36">
        <f t="shared" si="0"/>
        <v>0.67391304347826086</v>
      </c>
      <c r="G56" s="54">
        <f t="shared" si="1"/>
        <v>0.32608695652173914</v>
      </c>
      <c r="H56" s="104">
        <v>467</v>
      </c>
    </row>
    <row r="57" spans="1:8" x14ac:dyDescent="0.3">
      <c r="A57" s="122" t="s">
        <v>22</v>
      </c>
      <c r="B57" s="111">
        <v>15</v>
      </c>
      <c r="C57" s="35">
        <v>15</v>
      </c>
      <c r="D57" s="35">
        <v>12</v>
      </c>
      <c r="E57" s="35">
        <v>3</v>
      </c>
      <c r="F57" s="36">
        <f t="shared" si="0"/>
        <v>0.8</v>
      </c>
      <c r="G57" s="54">
        <f t="shared" si="1"/>
        <v>0.2</v>
      </c>
      <c r="H57" s="104">
        <v>264</v>
      </c>
    </row>
    <row r="58" spans="1:8" x14ac:dyDescent="0.3">
      <c r="A58" s="122" t="s">
        <v>79</v>
      </c>
      <c r="B58" s="111">
        <v>8</v>
      </c>
      <c r="C58" s="35">
        <v>7</v>
      </c>
      <c r="D58" s="35">
        <v>4</v>
      </c>
      <c r="E58" s="35">
        <v>3</v>
      </c>
      <c r="F58" s="36">
        <f t="shared" si="0"/>
        <v>0.5714285714285714</v>
      </c>
      <c r="G58" s="54">
        <f t="shared" si="1"/>
        <v>0.42857142857142855</v>
      </c>
      <c r="H58" s="104">
        <v>40</v>
      </c>
    </row>
    <row r="59" spans="1:8" x14ac:dyDescent="0.3">
      <c r="A59" s="122" t="s">
        <v>149</v>
      </c>
      <c r="B59" s="111">
        <v>64</v>
      </c>
      <c r="C59" s="35">
        <v>121</v>
      </c>
      <c r="D59" s="35">
        <v>79</v>
      </c>
      <c r="E59" s="35">
        <v>42</v>
      </c>
      <c r="F59" s="36">
        <f t="shared" si="0"/>
        <v>0.65289256198347112</v>
      </c>
      <c r="G59" s="54">
        <f t="shared" si="1"/>
        <v>0.34710743801652894</v>
      </c>
      <c r="H59" s="104">
        <v>726</v>
      </c>
    </row>
    <row r="60" spans="1:8" x14ac:dyDescent="0.3">
      <c r="A60" s="122" t="s">
        <v>29</v>
      </c>
      <c r="B60" s="114">
        <v>53</v>
      </c>
      <c r="C60" s="1">
        <v>66</v>
      </c>
      <c r="D60" s="1">
        <v>48</v>
      </c>
      <c r="E60" s="35">
        <v>18</v>
      </c>
      <c r="F60" s="36">
        <f t="shared" si="0"/>
        <v>0.72727272727272729</v>
      </c>
      <c r="G60" s="54">
        <f t="shared" si="1"/>
        <v>0.27272727272727271</v>
      </c>
      <c r="H60" s="104">
        <v>702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36</v>
      </c>
      <c r="C62" s="35">
        <v>54</v>
      </c>
      <c r="D62" s="35">
        <v>30</v>
      </c>
      <c r="E62" s="60">
        <v>24</v>
      </c>
      <c r="F62" s="36">
        <f t="shared" si="0"/>
        <v>0.55555555555555558</v>
      </c>
      <c r="G62" s="54">
        <f t="shared" si="1"/>
        <v>0.44444444444444442</v>
      </c>
      <c r="H62" s="104">
        <v>321</v>
      </c>
    </row>
    <row r="63" spans="1:8" x14ac:dyDescent="0.3">
      <c r="A63" s="122" t="s">
        <v>84</v>
      </c>
      <c r="B63" s="111">
        <v>7</v>
      </c>
      <c r="C63" s="35">
        <v>7</v>
      </c>
      <c r="D63" s="35">
        <v>3</v>
      </c>
      <c r="E63" s="60">
        <v>4</v>
      </c>
      <c r="F63" s="36">
        <f t="shared" si="0"/>
        <v>0.42857142857142855</v>
      </c>
      <c r="G63" s="54">
        <f t="shared" si="1"/>
        <v>0.5714285714285714</v>
      </c>
      <c r="H63" s="104">
        <v>20</v>
      </c>
    </row>
    <row r="64" spans="1:8" x14ac:dyDescent="0.3">
      <c r="A64" s="122" t="s">
        <v>85</v>
      </c>
      <c r="B64" s="111">
        <v>19</v>
      </c>
      <c r="C64" s="35">
        <v>26</v>
      </c>
      <c r="D64" s="35">
        <v>10</v>
      </c>
      <c r="E64" s="60">
        <v>16</v>
      </c>
      <c r="F64" s="36">
        <f t="shared" si="0"/>
        <v>0.38461538461538464</v>
      </c>
      <c r="G64" s="54">
        <f t="shared" si="1"/>
        <v>0.61538461538461542</v>
      </c>
      <c r="H64" s="104">
        <v>271</v>
      </c>
    </row>
    <row r="65" spans="1:16" x14ac:dyDescent="0.3">
      <c r="A65" s="122" t="s">
        <v>151</v>
      </c>
      <c r="B65" s="111">
        <v>2</v>
      </c>
      <c r="C65" s="35">
        <v>2</v>
      </c>
      <c r="D65" s="35">
        <v>2</v>
      </c>
      <c r="E65" s="60">
        <v>0</v>
      </c>
      <c r="F65" s="36">
        <f t="shared" si="0"/>
        <v>1</v>
      </c>
      <c r="G65" s="54">
        <f t="shared" si="1"/>
        <v>0</v>
      </c>
      <c r="H65" s="104">
        <v>22</v>
      </c>
    </row>
    <row r="66" spans="1:16" x14ac:dyDescent="0.3">
      <c r="A66" s="122" t="s">
        <v>152</v>
      </c>
      <c r="B66" s="111">
        <v>18</v>
      </c>
      <c r="C66" s="35">
        <v>32</v>
      </c>
      <c r="D66" s="35">
        <v>23</v>
      </c>
      <c r="E66" s="60">
        <v>9</v>
      </c>
      <c r="F66" s="36">
        <f t="shared" si="0"/>
        <v>0.71875</v>
      </c>
      <c r="G66" s="54">
        <f t="shared" si="1"/>
        <v>0.28125</v>
      </c>
      <c r="H66" s="104">
        <v>204</v>
      </c>
    </row>
    <row r="67" spans="1:16" x14ac:dyDescent="0.3">
      <c r="A67" s="122" t="s">
        <v>153</v>
      </c>
      <c r="B67" s="111">
        <v>13</v>
      </c>
      <c r="C67" s="35">
        <v>11</v>
      </c>
      <c r="D67" s="35">
        <v>5</v>
      </c>
      <c r="E67" s="60">
        <v>6</v>
      </c>
      <c r="F67" s="36">
        <f t="shared" si="0"/>
        <v>0.45454545454545453</v>
      </c>
      <c r="G67" s="54">
        <f t="shared" si="1"/>
        <v>0.54545454545454541</v>
      </c>
      <c r="H67" s="104">
        <v>99</v>
      </c>
    </row>
    <row r="68" spans="1:16" x14ac:dyDescent="0.3">
      <c r="A68" s="122" t="s">
        <v>157</v>
      </c>
      <c r="B68" s="111">
        <v>9</v>
      </c>
      <c r="C68" s="35">
        <v>8</v>
      </c>
      <c r="D68" s="35">
        <v>5</v>
      </c>
      <c r="E68" s="60">
        <v>3</v>
      </c>
      <c r="F68" s="36">
        <f t="shared" si="0"/>
        <v>0.625</v>
      </c>
      <c r="G68" s="54">
        <f t="shared" si="1"/>
        <v>0.375</v>
      </c>
      <c r="H68" s="104">
        <v>92</v>
      </c>
    </row>
    <row r="69" spans="1:16" s="58" customFormat="1" x14ac:dyDescent="0.3">
      <c r="A69" s="123" t="s">
        <v>154</v>
      </c>
      <c r="B69" s="112">
        <v>0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8</v>
      </c>
      <c r="C70" s="35">
        <v>2</v>
      </c>
      <c r="D70" s="35">
        <v>0</v>
      </c>
      <c r="E70" s="60">
        <v>2</v>
      </c>
      <c r="F70" s="36">
        <f t="shared" si="0"/>
        <v>0</v>
      </c>
      <c r="G70" s="54">
        <f t="shared" si="1"/>
        <v>1</v>
      </c>
      <c r="H70" s="104">
        <v>21</v>
      </c>
    </row>
    <row r="71" spans="1:16" ht="15" thickBot="1" x14ac:dyDescent="0.35">
      <c r="A71" s="124" t="s">
        <v>155</v>
      </c>
      <c r="B71" s="110">
        <v>4</v>
      </c>
      <c r="C71" s="105">
        <v>2</v>
      </c>
      <c r="D71" s="105">
        <v>1</v>
      </c>
      <c r="E71" s="106">
        <v>1</v>
      </c>
      <c r="F71" s="36">
        <f t="shared" si="0"/>
        <v>0.5</v>
      </c>
      <c r="G71" s="54">
        <f t="shared" si="1"/>
        <v>0.5</v>
      </c>
      <c r="H71" s="109">
        <v>29</v>
      </c>
    </row>
    <row r="72" spans="1:16" ht="15" thickBot="1" x14ac:dyDescent="0.35">
      <c r="A72" s="125" t="s">
        <v>105</v>
      </c>
      <c r="B72" s="96">
        <f>SUM(B8:B71)</f>
        <v>1447</v>
      </c>
      <c r="C72" s="96">
        <f>SUM(C8:C71)</f>
        <v>1701</v>
      </c>
      <c r="D72" s="96">
        <f>SUM(D8:D71)</f>
        <v>1001</v>
      </c>
      <c r="E72" s="96">
        <f>SUM(E8:E71)</f>
        <v>700</v>
      </c>
      <c r="F72" s="98">
        <f>D72/C72</f>
        <v>0.58847736625514402</v>
      </c>
      <c r="G72" s="97">
        <f>E72/C72</f>
        <v>0.41152263374485598</v>
      </c>
      <c r="H72" s="96">
        <f>SUM(H8:H71)</f>
        <v>19502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208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13</v>
      </c>
      <c r="C8" s="99">
        <v>11</v>
      </c>
      <c r="D8" s="99">
        <v>6</v>
      </c>
      <c r="E8" s="99">
        <v>5</v>
      </c>
      <c r="F8" s="100">
        <f t="shared" ref="F8:F71" si="0">D8/C8</f>
        <v>0.54545454545454541</v>
      </c>
      <c r="G8" s="101">
        <f t="shared" ref="G8:G71" si="1">E8/C8</f>
        <v>0.45454545454545453</v>
      </c>
      <c r="H8" s="103">
        <v>324</v>
      </c>
    </row>
    <row r="9" spans="1:8" x14ac:dyDescent="0.3">
      <c r="A9" s="122" t="s">
        <v>121</v>
      </c>
      <c r="B9" s="116">
        <v>2</v>
      </c>
      <c r="C9" s="35">
        <v>0</v>
      </c>
      <c r="D9" s="35">
        <v>0</v>
      </c>
      <c r="E9" s="35">
        <v>0</v>
      </c>
      <c r="F9" s="100">
        <v>0</v>
      </c>
      <c r="G9" s="101">
        <v>0</v>
      </c>
      <c r="H9" s="104">
        <v>31</v>
      </c>
    </row>
    <row r="10" spans="1:8" x14ac:dyDescent="0.3">
      <c r="A10" s="122" t="s">
        <v>122</v>
      </c>
      <c r="B10" s="116">
        <v>17</v>
      </c>
      <c r="C10" s="35">
        <v>23</v>
      </c>
      <c r="D10" s="35">
        <v>17</v>
      </c>
      <c r="E10" s="35">
        <v>6</v>
      </c>
      <c r="F10" s="36">
        <f t="shared" si="0"/>
        <v>0.73913043478260865</v>
      </c>
      <c r="G10" s="54">
        <f t="shared" si="1"/>
        <v>0.2608695652173913</v>
      </c>
      <c r="H10" s="104">
        <v>320</v>
      </c>
    </row>
    <row r="11" spans="1:8" x14ac:dyDescent="0.3">
      <c r="A11" s="122" t="s">
        <v>123</v>
      </c>
      <c r="B11" s="116">
        <v>2</v>
      </c>
      <c r="C11" s="35">
        <v>3</v>
      </c>
      <c r="D11" s="35">
        <v>1</v>
      </c>
      <c r="E11" s="35">
        <v>2</v>
      </c>
      <c r="F11" s="36">
        <f t="shared" si="0"/>
        <v>0.33333333333333331</v>
      </c>
      <c r="G11" s="54">
        <f t="shared" si="1"/>
        <v>0.66666666666666663</v>
      </c>
      <c r="H11" s="104">
        <v>0</v>
      </c>
    </row>
    <row r="12" spans="1:8" x14ac:dyDescent="0.3">
      <c r="A12" s="122" t="s">
        <v>124</v>
      </c>
      <c r="B12" s="116">
        <v>19</v>
      </c>
      <c r="C12" s="35">
        <v>25</v>
      </c>
      <c r="D12" s="35">
        <v>12</v>
      </c>
      <c r="E12" s="35">
        <v>13</v>
      </c>
      <c r="F12" s="36">
        <f t="shared" si="0"/>
        <v>0.48</v>
      </c>
      <c r="G12" s="54">
        <f t="shared" si="1"/>
        <v>0.52</v>
      </c>
      <c r="H12" s="104">
        <v>365</v>
      </c>
    </row>
    <row r="13" spans="1:8" x14ac:dyDescent="0.3">
      <c r="A13" s="122" t="s">
        <v>125</v>
      </c>
      <c r="B13" s="111">
        <v>4</v>
      </c>
      <c r="C13" s="35">
        <v>3</v>
      </c>
      <c r="D13" s="35">
        <v>2</v>
      </c>
      <c r="E13" s="35">
        <v>1</v>
      </c>
      <c r="F13" s="36">
        <f t="shared" si="0"/>
        <v>0.66666666666666663</v>
      </c>
      <c r="G13" s="54">
        <f t="shared" si="1"/>
        <v>0.33333333333333331</v>
      </c>
      <c r="H13" s="104">
        <v>83</v>
      </c>
    </row>
    <row r="14" spans="1:8" x14ac:dyDescent="0.3">
      <c r="A14" s="122" t="s">
        <v>126</v>
      </c>
      <c r="B14" s="111">
        <v>5</v>
      </c>
      <c r="C14" s="35">
        <v>5</v>
      </c>
      <c r="D14" s="35">
        <v>2</v>
      </c>
      <c r="E14" s="35">
        <v>3</v>
      </c>
      <c r="F14" s="36">
        <f t="shared" si="0"/>
        <v>0.4</v>
      </c>
      <c r="G14" s="54">
        <f t="shared" si="1"/>
        <v>0.6</v>
      </c>
      <c r="H14" s="104">
        <v>47</v>
      </c>
    </row>
    <row r="15" spans="1:8" x14ac:dyDescent="0.3">
      <c r="A15" s="122" t="s">
        <v>127</v>
      </c>
      <c r="B15" s="111">
        <v>25</v>
      </c>
      <c r="C15" s="35">
        <v>19</v>
      </c>
      <c r="D15" s="35">
        <v>10</v>
      </c>
      <c r="E15" s="35">
        <v>9</v>
      </c>
      <c r="F15" s="36">
        <f t="shared" si="0"/>
        <v>0.52631578947368418</v>
      </c>
      <c r="G15" s="54">
        <f t="shared" si="1"/>
        <v>0.47368421052631576</v>
      </c>
      <c r="H15" s="104">
        <v>389</v>
      </c>
    </row>
    <row r="16" spans="1:8" x14ac:dyDescent="0.3">
      <c r="A16" s="122" t="s">
        <v>128</v>
      </c>
      <c r="B16" s="111">
        <v>98</v>
      </c>
      <c r="C16" s="57">
        <v>92</v>
      </c>
      <c r="D16" s="35">
        <v>61</v>
      </c>
      <c r="E16" s="35">
        <v>31</v>
      </c>
      <c r="F16" s="36">
        <f t="shared" si="0"/>
        <v>0.66304347826086951</v>
      </c>
      <c r="G16" s="54">
        <f t="shared" si="1"/>
        <v>0.33695652173913043</v>
      </c>
      <c r="H16" s="104">
        <v>1568</v>
      </c>
    </row>
    <row r="17" spans="1:8" x14ac:dyDescent="0.3">
      <c r="A17" s="122" t="s">
        <v>39</v>
      </c>
      <c r="B17" s="111">
        <v>32</v>
      </c>
      <c r="C17" s="57">
        <v>41</v>
      </c>
      <c r="D17" s="35">
        <v>27</v>
      </c>
      <c r="E17" s="35">
        <v>14</v>
      </c>
      <c r="F17" s="36">
        <f>D17/C17</f>
        <v>0.65853658536585369</v>
      </c>
      <c r="G17" s="54">
        <f t="shared" si="1"/>
        <v>0.34146341463414637</v>
      </c>
      <c r="H17" s="104">
        <v>287</v>
      </c>
    </row>
    <row r="18" spans="1:8" x14ac:dyDescent="0.3">
      <c r="A18" s="122" t="s">
        <v>25</v>
      </c>
      <c r="B18" s="111">
        <v>1</v>
      </c>
      <c r="C18" s="57">
        <v>1</v>
      </c>
      <c r="D18" s="35">
        <v>1</v>
      </c>
      <c r="E18" s="35">
        <v>0</v>
      </c>
      <c r="F18" s="36">
        <f>D18/C18</f>
        <v>1</v>
      </c>
      <c r="G18" s="54">
        <f t="shared" si="1"/>
        <v>0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1</v>
      </c>
      <c r="D19" s="35">
        <v>0</v>
      </c>
      <c r="E19" s="35">
        <v>1</v>
      </c>
      <c r="F19" s="36">
        <f>D19/C19</f>
        <v>0</v>
      </c>
      <c r="G19" s="54">
        <f t="shared" si="1"/>
        <v>1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1</v>
      </c>
      <c r="D20" s="35">
        <v>1</v>
      </c>
      <c r="E20" s="35">
        <v>0</v>
      </c>
      <c r="F20" s="36">
        <f t="shared" ref="F20:F35" si="2">D20/C20</f>
        <v>1</v>
      </c>
      <c r="G20" s="54">
        <f t="shared" si="1"/>
        <v>0</v>
      </c>
      <c r="H20" s="104">
        <v>8</v>
      </c>
    </row>
    <row r="21" spans="1:8" x14ac:dyDescent="0.3">
      <c r="A21" s="122" t="s">
        <v>131</v>
      </c>
      <c r="B21" s="111">
        <v>0</v>
      </c>
      <c r="C21" s="57">
        <v>0</v>
      </c>
      <c r="D21" s="35">
        <v>0</v>
      </c>
      <c r="E21" s="35">
        <v>0</v>
      </c>
      <c r="F21" s="36">
        <v>0</v>
      </c>
      <c r="G21" s="54">
        <v>0</v>
      </c>
      <c r="H21" s="104">
        <v>0</v>
      </c>
    </row>
    <row r="22" spans="1:8" x14ac:dyDescent="0.3">
      <c r="A22" s="122" t="s">
        <v>132</v>
      </c>
      <c r="B22" s="111">
        <v>3</v>
      </c>
      <c r="C22" s="57">
        <v>0</v>
      </c>
      <c r="D22" s="35">
        <v>0</v>
      </c>
      <c r="E22" s="35">
        <v>0</v>
      </c>
      <c r="F22" s="36">
        <v>0</v>
      </c>
      <c r="G22" s="54">
        <v>0</v>
      </c>
      <c r="H22" s="104">
        <v>22</v>
      </c>
    </row>
    <row r="23" spans="1:8" x14ac:dyDescent="0.3">
      <c r="A23" s="122" t="s">
        <v>133</v>
      </c>
      <c r="B23" s="116">
        <v>6</v>
      </c>
      <c r="C23" s="57">
        <v>8</v>
      </c>
      <c r="D23" s="35">
        <v>5</v>
      </c>
      <c r="E23" s="35">
        <v>3</v>
      </c>
      <c r="F23" s="36">
        <f t="shared" si="2"/>
        <v>0.625</v>
      </c>
      <c r="G23" s="54">
        <f t="shared" si="1"/>
        <v>0.375</v>
      </c>
      <c r="H23" s="104">
        <v>58</v>
      </c>
    </row>
    <row r="24" spans="1:8" x14ac:dyDescent="0.3">
      <c r="A24" s="123" t="s">
        <v>134</v>
      </c>
      <c r="B24" s="111">
        <v>147</v>
      </c>
      <c r="C24" s="57">
        <v>169</v>
      </c>
      <c r="D24" s="56">
        <v>94</v>
      </c>
      <c r="E24" s="56">
        <v>75</v>
      </c>
      <c r="F24" s="36">
        <f t="shared" si="2"/>
        <v>0.55621301775147924</v>
      </c>
      <c r="G24" s="54">
        <f t="shared" si="1"/>
        <v>0.4437869822485207</v>
      </c>
      <c r="H24" s="104">
        <v>2579</v>
      </c>
    </row>
    <row r="25" spans="1:8" x14ac:dyDescent="0.3">
      <c r="A25" s="122" t="s">
        <v>135</v>
      </c>
      <c r="B25" s="111">
        <v>0</v>
      </c>
      <c r="C25" s="57">
        <v>2</v>
      </c>
      <c r="D25" s="35">
        <v>2</v>
      </c>
      <c r="E25" s="35">
        <v>0</v>
      </c>
      <c r="F25" s="36">
        <f t="shared" si="2"/>
        <v>1</v>
      </c>
      <c r="G25" s="54">
        <f t="shared" si="1"/>
        <v>0</v>
      </c>
      <c r="H25" s="104">
        <v>36</v>
      </c>
    </row>
    <row r="26" spans="1:8" x14ac:dyDescent="0.3">
      <c r="A26" s="122" t="s">
        <v>38</v>
      </c>
      <c r="B26" s="111">
        <v>0</v>
      </c>
      <c r="C26" s="57">
        <v>3</v>
      </c>
      <c r="D26" s="35">
        <v>3</v>
      </c>
      <c r="E26" s="35">
        <v>0</v>
      </c>
      <c r="F26" s="36">
        <f t="shared" si="2"/>
        <v>1</v>
      </c>
      <c r="G26" s="54">
        <f t="shared" si="1"/>
        <v>0</v>
      </c>
      <c r="H26" s="104">
        <v>0</v>
      </c>
    </row>
    <row r="27" spans="1:8" x14ac:dyDescent="0.3">
      <c r="A27" s="122" t="s">
        <v>37</v>
      </c>
      <c r="B27" s="111">
        <v>4</v>
      </c>
      <c r="C27" s="57">
        <v>6</v>
      </c>
      <c r="D27" s="35">
        <v>4</v>
      </c>
      <c r="E27" s="35">
        <v>2</v>
      </c>
      <c r="F27" s="36">
        <f t="shared" si="2"/>
        <v>0.66666666666666663</v>
      </c>
      <c r="G27" s="54">
        <f t="shared" si="1"/>
        <v>0.33333333333333331</v>
      </c>
      <c r="H27" s="104">
        <v>77</v>
      </c>
    </row>
    <row r="28" spans="1:8" x14ac:dyDescent="0.3">
      <c r="A28" s="122" t="s">
        <v>27</v>
      </c>
      <c r="B28" s="111">
        <v>13</v>
      </c>
      <c r="C28" s="35">
        <v>18</v>
      </c>
      <c r="D28" s="35">
        <v>12</v>
      </c>
      <c r="E28" s="35">
        <v>6</v>
      </c>
      <c r="F28" s="36">
        <f t="shared" si="2"/>
        <v>0.66666666666666663</v>
      </c>
      <c r="G28" s="54">
        <f t="shared" si="1"/>
        <v>0.33333333333333331</v>
      </c>
      <c r="H28" s="104">
        <v>210</v>
      </c>
    </row>
    <row r="29" spans="1:8" x14ac:dyDescent="0.3">
      <c r="A29" s="122" t="s">
        <v>62</v>
      </c>
      <c r="B29" s="111">
        <v>6</v>
      </c>
      <c r="C29" s="35">
        <v>5</v>
      </c>
      <c r="D29" s="35">
        <v>4</v>
      </c>
      <c r="E29" s="35">
        <v>1</v>
      </c>
      <c r="F29" s="36">
        <f t="shared" si="2"/>
        <v>0.8</v>
      </c>
      <c r="G29" s="54">
        <f>E29/C29</f>
        <v>0.2</v>
      </c>
      <c r="H29" s="104">
        <v>76</v>
      </c>
    </row>
    <row r="30" spans="1:8" x14ac:dyDescent="0.3">
      <c r="A30" s="122" t="s">
        <v>136</v>
      </c>
      <c r="B30" s="111">
        <v>28</v>
      </c>
      <c r="C30" s="35">
        <v>43</v>
      </c>
      <c r="D30" s="35">
        <v>25</v>
      </c>
      <c r="E30" s="35">
        <v>18</v>
      </c>
      <c r="F30" s="36">
        <f t="shared" si="2"/>
        <v>0.58139534883720934</v>
      </c>
      <c r="G30" s="54">
        <f t="shared" si="1"/>
        <v>0.41860465116279072</v>
      </c>
      <c r="H30" s="104">
        <v>387</v>
      </c>
    </row>
    <row r="31" spans="1:8" x14ac:dyDescent="0.3">
      <c r="A31" s="122" t="s">
        <v>17</v>
      </c>
      <c r="B31" s="111">
        <v>11</v>
      </c>
      <c r="C31" s="35">
        <v>12</v>
      </c>
      <c r="D31" s="35">
        <v>7</v>
      </c>
      <c r="E31" s="35">
        <v>5</v>
      </c>
      <c r="F31" s="36">
        <f t="shared" si="2"/>
        <v>0.58333333333333337</v>
      </c>
      <c r="G31" s="54">
        <f t="shared" si="1"/>
        <v>0.41666666666666669</v>
      </c>
      <c r="H31" s="104">
        <v>160</v>
      </c>
    </row>
    <row r="32" spans="1:8" x14ac:dyDescent="0.3">
      <c r="A32" s="122" t="s">
        <v>137</v>
      </c>
      <c r="B32" s="111">
        <v>3</v>
      </c>
      <c r="C32" s="35">
        <v>4</v>
      </c>
      <c r="D32" s="35">
        <v>2</v>
      </c>
      <c r="E32" s="35">
        <v>2</v>
      </c>
      <c r="F32" s="36">
        <f t="shared" si="2"/>
        <v>0.5</v>
      </c>
      <c r="G32" s="54">
        <f t="shared" si="1"/>
        <v>0.5</v>
      </c>
      <c r="H32" s="104">
        <v>19</v>
      </c>
    </row>
    <row r="33" spans="1:8" x14ac:dyDescent="0.3">
      <c r="A33" s="123" t="s">
        <v>138</v>
      </c>
      <c r="B33" s="111">
        <v>136</v>
      </c>
      <c r="C33" s="56">
        <v>127</v>
      </c>
      <c r="D33" s="56">
        <v>66</v>
      </c>
      <c r="E33" s="56">
        <v>61</v>
      </c>
      <c r="F33" s="36">
        <f t="shared" si="2"/>
        <v>0.51968503937007871</v>
      </c>
      <c r="G33" s="54">
        <f t="shared" si="1"/>
        <v>0.48031496062992124</v>
      </c>
      <c r="H33" s="104">
        <v>1862</v>
      </c>
    </row>
    <row r="34" spans="1:8" x14ac:dyDescent="0.3">
      <c r="A34" s="122" t="s">
        <v>139</v>
      </c>
      <c r="B34" s="111">
        <v>5</v>
      </c>
      <c r="C34" s="35">
        <v>5</v>
      </c>
      <c r="D34" s="35">
        <v>4</v>
      </c>
      <c r="E34" s="35">
        <v>1</v>
      </c>
      <c r="F34" s="36">
        <f t="shared" si="2"/>
        <v>0.8</v>
      </c>
      <c r="G34" s="54">
        <f t="shared" si="1"/>
        <v>0.2</v>
      </c>
      <c r="H34" s="104">
        <v>41</v>
      </c>
    </row>
    <row r="35" spans="1:8" x14ac:dyDescent="0.3">
      <c r="A35" s="122" t="s">
        <v>140</v>
      </c>
      <c r="B35" s="111">
        <v>84</v>
      </c>
      <c r="C35" s="35">
        <v>107</v>
      </c>
      <c r="D35" s="35">
        <v>75</v>
      </c>
      <c r="E35" s="35">
        <v>32</v>
      </c>
      <c r="F35" s="36">
        <f t="shared" si="2"/>
        <v>0.7009345794392523</v>
      </c>
      <c r="G35" s="54">
        <f>E35/C35</f>
        <v>0.29906542056074764</v>
      </c>
      <c r="H35" s="139">
        <v>1436</v>
      </c>
    </row>
    <row r="36" spans="1:8" x14ac:dyDescent="0.3">
      <c r="A36" s="122" t="s">
        <v>141</v>
      </c>
      <c r="B36" s="111">
        <v>12</v>
      </c>
      <c r="C36" s="35">
        <v>18</v>
      </c>
      <c r="D36" s="35">
        <v>12</v>
      </c>
      <c r="E36" s="35">
        <v>6</v>
      </c>
      <c r="F36" s="36">
        <f t="shared" si="0"/>
        <v>0.66666666666666663</v>
      </c>
      <c r="G36" s="54">
        <f t="shared" si="1"/>
        <v>0.33333333333333331</v>
      </c>
      <c r="H36" s="104">
        <v>172</v>
      </c>
    </row>
    <row r="37" spans="1:8" x14ac:dyDescent="0.3">
      <c r="A37" s="122" t="s">
        <v>142</v>
      </c>
      <c r="B37" s="111">
        <v>2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104">
        <v>0</v>
      </c>
    </row>
    <row r="38" spans="1:8" x14ac:dyDescent="0.3">
      <c r="A38" s="122" t="s">
        <v>143</v>
      </c>
      <c r="B38" s="111">
        <v>16</v>
      </c>
      <c r="C38" s="35">
        <v>23</v>
      </c>
      <c r="D38" s="35">
        <v>14</v>
      </c>
      <c r="E38" s="35">
        <v>9</v>
      </c>
      <c r="F38" s="36">
        <f t="shared" si="0"/>
        <v>0.60869565217391308</v>
      </c>
      <c r="G38" s="54">
        <f t="shared" si="1"/>
        <v>0.39130434782608697</v>
      </c>
      <c r="H38" s="104">
        <v>280</v>
      </c>
    </row>
    <row r="39" spans="1:8" x14ac:dyDescent="0.3">
      <c r="A39" s="122" t="s">
        <v>144</v>
      </c>
      <c r="B39" s="111">
        <v>17</v>
      </c>
      <c r="C39" s="35">
        <v>13</v>
      </c>
      <c r="D39" s="35">
        <v>5</v>
      </c>
      <c r="E39" s="35">
        <v>8</v>
      </c>
      <c r="F39" s="36">
        <f t="shared" si="0"/>
        <v>0.38461538461538464</v>
      </c>
      <c r="G39" s="54">
        <f t="shared" si="1"/>
        <v>0.61538461538461542</v>
      </c>
      <c r="H39" s="104">
        <v>137</v>
      </c>
    </row>
    <row r="40" spans="1:8" x14ac:dyDescent="0.3">
      <c r="A40" s="122" t="s">
        <v>145</v>
      </c>
      <c r="B40" s="111">
        <v>6</v>
      </c>
      <c r="C40" s="35">
        <v>7</v>
      </c>
      <c r="D40" s="35">
        <v>5</v>
      </c>
      <c r="E40" s="35">
        <v>2</v>
      </c>
      <c r="F40" s="36">
        <f>D40/C40</f>
        <v>0.7142857142857143</v>
      </c>
      <c r="G40" s="54">
        <f t="shared" si="1"/>
        <v>0.2857142857142857</v>
      </c>
      <c r="H40" s="104">
        <v>77</v>
      </c>
    </row>
    <row r="41" spans="1:8" x14ac:dyDescent="0.3">
      <c r="A41" s="122" t="s">
        <v>146</v>
      </c>
      <c r="B41" s="111">
        <v>9</v>
      </c>
      <c r="C41" s="35">
        <v>14</v>
      </c>
      <c r="D41" s="35">
        <v>8</v>
      </c>
      <c r="E41" s="35">
        <v>6</v>
      </c>
      <c r="F41" s="36">
        <f>D41/C41</f>
        <v>0.5714285714285714</v>
      </c>
      <c r="G41" s="54">
        <f>E41/C41</f>
        <v>0.42857142857142855</v>
      </c>
      <c r="H41" s="104">
        <v>112</v>
      </c>
    </row>
    <row r="42" spans="1:8" x14ac:dyDescent="0.3">
      <c r="A42" s="122" t="s">
        <v>147</v>
      </c>
      <c r="B42" s="111">
        <v>13</v>
      </c>
      <c r="C42" s="35">
        <v>25</v>
      </c>
      <c r="D42" s="35">
        <v>15</v>
      </c>
      <c r="E42" s="35">
        <v>10</v>
      </c>
      <c r="F42" s="36">
        <f t="shared" si="0"/>
        <v>0.6</v>
      </c>
      <c r="G42" s="54">
        <f t="shared" si="1"/>
        <v>0.4</v>
      </c>
      <c r="H42" s="104">
        <v>420</v>
      </c>
    </row>
    <row r="43" spans="1:8" x14ac:dyDescent="0.3">
      <c r="A43" s="123" t="s">
        <v>148</v>
      </c>
      <c r="B43" s="111">
        <v>103</v>
      </c>
      <c r="C43" s="56">
        <v>112</v>
      </c>
      <c r="D43" s="56">
        <v>53</v>
      </c>
      <c r="E43" s="56">
        <v>59</v>
      </c>
      <c r="F43" s="36">
        <f t="shared" si="0"/>
        <v>0.4732142857142857</v>
      </c>
      <c r="G43" s="54">
        <f t="shared" si="1"/>
        <v>0.5267857142857143</v>
      </c>
      <c r="H43" s="104">
        <v>1234</v>
      </c>
    </row>
    <row r="44" spans="1:8" x14ac:dyDescent="0.3">
      <c r="A44" s="122" t="s">
        <v>36</v>
      </c>
      <c r="B44" s="111">
        <v>43</v>
      </c>
      <c r="C44" s="35">
        <v>58</v>
      </c>
      <c r="D44" s="35">
        <v>50</v>
      </c>
      <c r="E44" s="35">
        <v>8</v>
      </c>
      <c r="F44" s="36">
        <f t="shared" si="0"/>
        <v>0.86206896551724133</v>
      </c>
      <c r="G44" s="54">
        <f t="shared" si="1"/>
        <v>0.13793103448275862</v>
      </c>
      <c r="H44" s="104">
        <v>892</v>
      </c>
    </row>
    <row r="45" spans="1:8" x14ac:dyDescent="0.3">
      <c r="A45" s="122" t="s">
        <v>15</v>
      </c>
      <c r="B45" s="111">
        <v>1</v>
      </c>
      <c r="C45" s="35">
        <v>0</v>
      </c>
      <c r="D45" s="35">
        <v>0</v>
      </c>
      <c r="E45" s="35">
        <v>0</v>
      </c>
      <c r="F45" s="36">
        <v>0</v>
      </c>
      <c r="G45" s="54">
        <v>0</v>
      </c>
      <c r="H45" s="104">
        <v>17</v>
      </c>
    </row>
    <row r="46" spans="1:8" x14ac:dyDescent="0.3">
      <c r="A46" s="122" t="s">
        <v>18</v>
      </c>
      <c r="B46" s="111">
        <v>7</v>
      </c>
      <c r="C46" s="35">
        <v>12</v>
      </c>
      <c r="D46" s="35">
        <v>10</v>
      </c>
      <c r="E46" s="35">
        <v>2</v>
      </c>
      <c r="F46" s="36">
        <f t="shared" si="0"/>
        <v>0.83333333333333337</v>
      </c>
      <c r="G46" s="54">
        <f t="shared" si="1"/>
        <v>0.16666666666666666</v>
      </c>
      <c r="H46" s="104">
        <v>216</v>
      </c>
    </row>
    <row r="47" spans="1:8" x14ac:dyDescent="0.3">
      <c r="A47" s="122" t="s">
        <v>35</v>
      </c>
      <c r="B47" s="111">
        <v>35</v>
      </c>
      <c r="C47" s="35">
        <v>41</v>
      </c>
      <c r="D47" s="35">
        <v>32</v>
      </c>
      <c r="E47" s="35">
        <v>9</v>
      </c>
      <c r="F47" s="36">
        <f t="shared" si="0"/>
        <v>0.78048780487804881</v>
      </c>
      <c r="G47" s="54">
        <f t="shared" si="1"/>
        <v>0.21951219512195122</v>
      </c>
      <c r="H47" s="104">
        <v>1059</v>
      </c>
    </row>
    <row r="48" spans="1:8" x14ac:dyDescent="0.3">
      <c r="A48" s="122" t="s">
        <v>24</v>
      </c>
      <c r="B48" s="111">
        <v>0</v>
      </c>
      <c r="C48" s="35">
        <v>0</v>
      </c>
      <c r="D48" s="35">
        <v>0</v>
      </c>
      <c r="E48" s="35">
        <v>0</v>
      </c>
      <c r="F48" s="36">
        <v>0</v>
      </c>
      <c r="G48" s="54">
        <v>0</v>
      </c>
      <c r="H48" s="104">
        <v>0</v>
      </c>
    </row>
    <row r="49" spans="1:8" x14ac:dyDescent="0.3">
      <c r="A49" s="122" t="s">
        <v>34</v>
      </c>
      <c r="B49" s="111">
        <v>20</v>
      </c>
      <c r="C49" s="35">
        <v>14</v>
      </c>
      <c r="D49" s="35">
        <v>10</v>
      </c>
      <c r="E49" s="35">
        <v>4</v>
      </c>
      <c r="F49" s="36">
        <f t="shared" si="0"/>
        <v>0.7142857142857143</v>
      </c>
      <c r="G49" s="54">
        <f t="shared" si="1"/>
        <v>0.2857142857142857</v>
      </c>
      <c r="H49" s="104">
        <v>106</v>
      </c>
    </row>
    <row r="50" spans="1:8" x14ac:dyDescent="0.3">
      <c r="A50" s="122" t="s">
        <v>33</v>
      </c>
      <c r="B50" s="111">
        <v>4</v>
      </c>
      <c r="C50" s="35">
        <v>1</v>
      </c>
      <c r="D50" s="35">
        <v>0</v>
      </c>
      <c r="E50" s="35">
        <v>1</v>
      </c>
      <c r="F50" s="36">
        <f t="shared" si="0"/>
        <v>0</v>
      </c>
      <c r="G50" s="54">
        <f t="shared" si="1"/>
        <v>1</v>
      </c>
      <c r="H50" s="104">
        <v>60</v>
      </c>
    </row>
    <row r="51" spans="1:8" x14ac:dyDescent="0.3">
      <c r="A51" s="122" t="s">
        <v>16</v>
      </c>
      <c r="B51" s="111">
        <v>19</v>
      </c>
      <c r="C51" s="35">
        <v>16</v>
      </c>
      <c r="D51" s="35">
        <v>10</v>
      </c>
      <c r="E51" s="35">
        <v>6</v>
      </c>
      <c r="F51" s="36">
        <f t="shared" si="0"/>
        <v>0.625</v>
      </c>
      <c r="G51" s="54">
        <f t="shared" si="1"/>
        <v>0.375</v>
      </c>
      <c r="H51" s="104">
        <v>199</v>
      </c>
    </row>
    <row r="52" spans="1:8" x14ac:dyDescent="0.3">
      <c r="A52" s="122" t="s">
        <v>32</v>
      </c>
      <c r="B52" s="111">
        <v>6</v>
      </c>
      <c r="C52" s="35">
        <v>11</v>
      </c>
      <c r="D52" s="35">
        <v>7</v>
      </c>
      <c r="E52" s="35">
        <v>4</v>
      </c>
      <c r="F52" s="36">
        <f t="shared" si="0"/>
        <v>0.63636363636363635</v>
      </c>
      <c r="G52" s="54">
        <f t="shared" si="1"/>
        <v>0.36363636363636365</v>
      </c>
      <c r="H52" s="104">
        <v>102</v>
      </c>
    </row>
    <row r="53" spans="1:8" x14ac:dyDescent="0.3">
      <c r="A53" s="122" t="s">
        <v>31</v>
      </c>
      <c r="B53" s="111">
        <v>0</v>
      </c>
      <c r="C53" s="35">
        <v>1</v>
      </c>
      <c r="D53" s="35">
        <v>1</v>
      </c>
      <c r="E53" s="35">
        <v>0</v>
      </c>
      <c r="F53" s="36">
        <f t="shared" si="0"/>
        <v>1</v>
      </c>
      <c r="G53" s="54">
        <f t="shared" si="1"/>
        <v>0</v>
      </c>
      <c r="H53" s="104">
        <v>11</v>
      </c>
    </row>
    <row r="54" spans="1:8" x14ac:dyDescent="0.3">
      <c r="A54" s="122" t="s">
        <v>77</v>
      </c>
      <c r="B54" s="111">
        <v>4</v>
      </c>
      <c r="C54" s="35">
        <v>2</v>
      </c>
      <c r="D54" s="35">
        <v>2</v>
      </c>
      <c r="E54" s="35">
        <v>0</v>
      </c>
      <c r="F54" s="36">
        <f t="shared" si="0"/>
        <v>1</v>
      </c>
      <c r="G54" s="54">
        <f>E54/C54</f>
        <v>0</v>
      </c>
      <c r="H54" s="104">
        <v>31</v>
      </c>
    </row>
    <row r="55" spans="1:8" x14ac:dyDescent="0.3">
      <c r="A55" s="122" t="s">
        <v>30</v>
      </c>
      <c r="B55" s="111">
        <v>13</v>
      </c>
      <c r="C55" s="35">
        <v>19</v>
      </c>
      <c r="D55" s="35">
        <v>15</v>
      </c>
      <c r="E55" s="35">
        <v>4</v>
      </c>
      <c r="F55" s="36">
        <f t="shared" si="0"/>
        <v>0.78947368421052633</v>
      </c>
      <c r="G55" s="54">
        <f t="shared" si="1"/>
        <v>0.21052631578947367</v>
      </c>
      <c r="H55" s="104">
        <v>302</v>
      </c>
    </row>
    <row r="56" spans="1:8" x14ac:dyDescent="0.3">
      <c r="A56" s="122" t="s">
        <v>21</v>
      </c>
      <c r="B56" s="111">
        <v>24</v>
      </c>
      <c r="C56" s="35">
        <v>33</v>
      </c>
      <c r="D56" s="35">
        <v>23</v>
      </c>
      <c r="E56" s="35">
        <v>10</v>
      </c>
      <c r="F56" s="36">
        <f t="shared" si="0"/>
        <v>0.69696969696969702</v>
      </c>
      <c r="G56" s="54">
        <f t="shared" si="1"/>
        <v>0.30303030303030304</v>
      </c>
      <c r="H56" s="104">
        <v>465</v>
      </c>
    </row>
    <row r="57" spans="1:8" x14ac:dyDescent="0.3">
      <c r="A57" s="122" t="s">
        <v>22</v>
      </c>
      <c r="B57" s="111">
        <v>17</v>
      </c>
      <c r="C57" s="35">
        <v>24</v>
      </c>
      <c r="D57" s="35">
        <v>16</v>
      </c>
      <c r="E57" s="35">
        <v>8</v>
      </c>
      <c r="F57" s="36">
        <f t="shared" si="0"/>
        <v>0.66666666666666663</v>
      </c>
      <c r="G57" s="54">
        <f t="shared" si="1"/>
        <v>0.33333333333333331</v>
      </c>
      <c r="H57" s="104">
        <v>264</v>
      </c>
    </row>
    <row r="58" spans="1:8" x14ac:dyDescent="0.3">
      <c r="A58" s="122" t="s">
        <v>79</v>
      </c>
      <c r="B58" s="111">
        <v>7</v>
      </c>
      <c r="C58" s="35">
        <v>11</v>
      </c>
      <c r="D58" s="35">
        <v>5</v>
      </c>
      <c r="E58" s="35">
        <v>6</v>
      </c>
      <c r="F58" s="36">
        <f t="shared" si="0"/>
        <v>0.45454545454545453</v>
      </c>
      <c r="G58" s="54">
        <f t="shared" si="1"/>
        <v>0.54545454545454541</v>
      </c>
      <c r="H58" s="104">
        <v>46</v>
      </c>
    </row>
    <row r="59" spans="1:8" x14ac:dyDescent="0.3">
      <c r="A59" s="122" t="s">
        <v>149</v>
      </c>
      <c r="B59" s="111">
        <v>57</v>
      </c>
      <c r="C59" s="35">
        <v>75</v>
      </c>
      <c r="D59" s="35">
        <v>53</v>
      </c>
      <c r="E59" s="35">
        <v>22</v>
      </c>
      <c r="F59" s="36">
        <f t="shared" si="0"/>
        <v>0.70666666666666667</v>
      </c>
      <c r="G59" s="54">
        <f t="shared" si="1"/>
        <v>0.29333333333333333</v>
      </c>
      <c r="H59" s="104">
        <v>718</v>
      </c>
    </row>
    <row r="60" spans="1:8" x14ac:dyDescent="0.3">
      <c r="A60" s="122" t="s">
        <v>29</v>
      </c>
      <c r="B60" s="114">
        <v>56</v>
      </c>
      <c r="C60" s="1">
        <v>52</v>
      </c>
      <c r="D60" s="1">
        <v>28</v>
      </c>
      <c r="E60" s="35">
        <v>24</v>
      </c>
      <c r="F60" s="36">
        <f t="shared" si="0"/>
        <v>0.53846153846153844</v>
      </c>
      <c r="G60" s="54">
        <f t="shared" si="1"/>
        <v>0.46153846153846156</v>
      </c>
      <c r="H60" s="104">
        <v>664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28</v>
      </c>
      <c r="C62" s="35">
        <v>35</v>
      </c>
      <c r="D62" s="35">
        <v>20</v>
      </c>
      <c r="E62" s="60">
        <v>15</v>
      </c>
      <c r="F62" s="36">
        <f t="shared" si="0"/>
        <v>0.5714285714285714</v>
      </c>
      <c r="G62" s="54">
        <f t="shared" si="1"/>
        <v>0.42857142857142855</v>
      </c>
      <c r="H62" s="104">
        <v>313</v>
      </c>
    </row>
    <row r="63" spans="1:8" x14ac:dyDescent="0.3">
      <c r="A63" s="122" t="s">
        <v>84</v>
      </c>
      <c r="B63" s="111">
        <v>5</v>
      </c>
      <c r="C63" s="35">
        <v>6</v>
      </c>
      <c r="D63" s="35">
        <v>3</v>
      </c>
      <c r="E63" s="60">
        <v>3</v>
      </c>
      <c r="F63" s="36">
        <f t="shared" si="0"/>
        <v>0.5</v>
      </c>
      <c r="G63" s="54">
        <f t="shared" si="1"/>
        <v>0.5</v>
      </c>
      <c r="H63" s="104">
        <v>26</v>
      </c>
    </row>
    <row r="64" spans="1:8" x14ac:dyDescent="0.3">
      <c r="A64" s="122" t="s">
        <v>85</v>
      </c>
      <c r="B64" s="111">
        <v>14</v>
      </c>
      <c r="C64" s="35">
        <v>20</v>
      </c>
      <c r="D64" s="35">
        <v>16</v>
      </c>
      <c r="E64" s="60">
        <v>4</v>
      </c>
      <c r="F64" s="36">
        <f t="shared" si="0"/>
        <v>0.8</v>
      </c>
      <c r="G64" s="54">
        <f t="shared" si="1"/>
        <v>0.2</v>
      </c>
      <c r="H64" s="104">
        <v>277</v>
      </c>
    </row>
    <row r="65" spans="1:16" x14ac:dyDescent="0.3">
      <c r="A65" s="122" t="s">
        <v>151</v>
      </c>
      <c r="B65" s="111">
        <v>2</v>
      </c>
      <c r="C65" s="35">
        <v>2</v>
      </c>
      <c r="D65" s="35">
        <v>2</v>
      </c>
      <c r="E65" s="60">
        <v>0</v>
      </c>
      <c r="F65" s="36">
        <f t="shared" si="0"/>
        <v>1</v>
      </c>
      <c r="G65" s="54">
        <f t="shared" si="1"/>
        <v>0</v>
      </c>
      <c r="H65" s="104">
        <v>22</v>
      </c>
    </row>
    <row r="66" spans="1:16" x14ac:dyDescent="0.3">
      <c r="A66" s="122" t="s">
        <v>152</v>
      </c>
      <c r="B66" s="111">
        <v>13</v>
      </c>
      <c r="C66" s="35">
        <v>15</v>
      </c>
      <c r="D66" s="35">
        <v>8</v>
      </c>
      <c r="E66" s="60">
        <v>7</v>
      </c>
      <c r="F66" s="36">
        <f t="shared" si="0"/>
        <v>0.53333333333333333</v>
      </c>
      <c r="G66" s="54">
        <f t="shared" si="1"/>
        <v>0.46666666666666667</v>
      </c>
      <c r="H66" s="104">
        <v>206</v>
      </c>
    </row>
    <row r="67" spans="1:16" x14ac:dyDescent="0.3">
      <c r="A67" s="122" t="s">
        <v>153</v>
      </c>
      <c r="B67" s="111">
        <v>8</v>
      </c>
      <c r="C67" s="35">
        <v>10</v>
      </c>
      <c r="D67" s="35">
        <v>6</v>
      </c>
      <c r="E67" s="60">
        <v>4</v>
      </c>
      <c r="F67" s="36">
        <f t="shared" si="0"/>
        <v>0.6</v>
      </c>
      <c r="G67" s="54">
        <f t="shared" si="1"/>
        <v>0.4</v>
      </c>
      <c r="H67" s="104">
        <v>93</v>
      </c>
    </row>
    <row r="68" spans="1:16" x14ac:dyDescent="0.3">
      <c r="A68" s="122" t="s">
        <v>157</v>
      </c>
      <c r="B68" s="111">
        <v>7</v>
      </c>
      <c r="C68" s="35">
        <v>6</v>
      </c>
      <c r="D68" s="35">
        <v>4</v>
      </c>
      <c r="E68" s="60">
        <v>2</v>
      </c>
      <c r="F68" s="36">
        <f t="shared" si="0"/>
        <v>0.66666666666666663</v>
      </c>
      <c r="G68" s="54">
        <f t="shared" si="1"/>
        <v>0.33333333333333331</v>
      </c>
      <c r="H68" s="104">
        <v>98</v>
      </c>
    </row>
    <row r="69" spans="1:16" s="58" customFormat="1" x14ac:dyDescent="0.3">
      <c r="A69" s="123" t="s">
        <v>154</v>
      </c>
      <c r="B69" s="112">
        <v>1</v>
      </c>
      <c r="C69" s="56">
        <v>1</v>
      </c>
      <c r="D69" s="56">
        <v>1</v>
      </c>
      <c r="E69" s="60">
        <v>0</v>
      </c>
      <c r="F69" s="36">
        <v>0</v>
      </c>
      <c r="G69" s="54">
        <f t="shared" si="1"/>
        <v>0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3</v>
      </c>
      <c r="C70" s="35">
        <v>9</v>
      </c>
      <c r="D70" s="35">
        <v>4</v>
      </c>
      <c r="E70" s="60">
        <v>5</v>
      </c>
      <c r="F70" s="36">
        <f t="shared" si="0"/>
        <v>0.44444444444444442</v>
      </c>
      <c r="G70" s="54">
        <f t="shared" si="1"/>
        <v>0.55555555555555558</v>
      </c>
      <c r="H70" s="104">
        <v>22</v>
      </c>
    </row>
    <row r="71" spans="1:16" ht="15" thickBot="1" x14ac:dyDescent="0.35">
      <c r="A71" s="124" t="s">
        <v>155</v>
      </c>
      <c r="B71" s="110">
        <v>0</v>
      </c>
      <c r="C71" s="105">
        <v>3</v>
      </c>
      <c r="D71" s="105">
        <v>1</v>
      </c>
      <c r="E71" s="106">
        <v>2</v>
      </c>
      <c r="F71" s="36">
        <f t="shared" si="0"/>
        <v>0.33333333333333331</v>
      </c>
      <c r="G71" s="54">
        <f t="shared" si="1"/>
        <v>0.66666666666666663</v>
      </c>
      <c r="H71" s="109">
        <v>31</v>
      </c>
    </row>
    <row r="72" spans="1:16" ht="15" thickBot="1" x14ac:dyDescent="0.35">
      <c r="A72" s="125" t="s">
        <v>105</v>
      </c>
      <c r="B72" s="96">
        <f>SUM(B8:B71)</f>
        <v>1237</v>
      </c>
      <c r="C72" s="96">
        <f>SUM(C8:C71)</f>
        <v>1423</v>
      </c>
      <c r="D72" s="96">
        <f>SUM(D8:D71)</f>
        <v>882</v>
      </c>
      <c r="E72" s="96">
        <f>SUM(E8:E71)</f>
        <v>541</v>
      </c>
      <c r="F72" s="98">
        <f>D72/C72</f>
        <v>0.61981728742094166</v>
      </c>
      <c r="G72" s="97">
        <f>E72/C72</f>
        <v>0.38018271257905834</v>
      </c>
      <c r="H72" s="96">
        <f>SUM(H8:H71)</f>
        <v>19059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222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26</v>
      </c>
      <c r="C8" s="99">
        <v>26</v>
      </c>
      <c r="D8" s="99">
        <v>12</v>
      </c>
      <c r="E8" s="99">
        <v>14</v>
      </c>
      <c r="F8" s="100">
        <f t="shared" ref="F8:F71" si="0">D8/C8</f>
        <v>0.46153846153846156</v>
      </c>
      <c r="G8" s="101">
        <f t="shared" ref="G8:G71" si="1">E8/C8</f>
        <v>0.53846153846153844</v>
      </c>
      <c r="H8" s="103">
        <v>337</v>
      </c>
    </row>
    <row r="9" spans="1:8" x14ac:dyDescent="0.3">
      <c r="A9" s="122" t="s">
        <v>121</v>
      </c>
      <c r="B9" s="116">
        <v>2</v>
      </c>
      <c r="C9" s="35">
        <v>6</v>
      </c>
      <c r="D9" s="35">
        <v>4</v>
      </c>
      <c r="E9" s="35">
        <v>2</v>
      </c>
      <c r="F9" s="100">
        <f t="shared" si="0"/>
        <v>0.66666666666666663</v>
      </c>
      <c r="G9" s="101">
        <f t="shared" si="1"/>
        <v>0.33333333333333331</v>
      </c>
      <c r="H9" s="104">
        <v>31</v>
      </c>
    </row>
    <row r="10" spans="1:8" x14ac:dyDescent="0.3">
      <c r="A10" s="122" t="s">
        <v>122</v>
      </c>
      <c r="B10" s="116">
        <v>17</v>
      </c>
      <c r="C10" s="35">
        <v>16</v>
      </c>
      <c r="D10" s="35">
        <v>10</v>
      </c>
      <c r="E10" s="35">
        <v>6</v>
      </c>
      <c r="F10" s="36">
        <f t="shared" si="0"/>
        <v>0.625</v>
      </c>
      <c r="G10" s="101">
        <f t="shared" si="1"/>
        <v>0.375</v>
      </c>
      <c r="H10" s="104">
        <v>324</v>
      </c>
    </row>
    <row r="11" spans="1:8" x14ac:dyDescent="0.3">
      <c r="A11" s="122" t="s">
        <v>123</v>
      </c>
      <c r="B11" s="116">
        <v>1</v>
      </c>
      <c r="C11" s="35">
        <v>0</v>
      </c>
      <c r="D11" s="35">
        <v>0</v>
      </c>
      <c r="E11" s="35">
        <v>0</v>
      </c>
      <c r="F11" s="36">
        <v>0</v>
      </c>
      <c r="G11" s="101">
        <v>0</v>
      </c>
      <c r="H11" s="104">
        <v>0</v>
      </c>
    </row>
    <row r="12" spans="1:8" x14ac:dyDescent="0.3">
      <c r="A12" s="122" t="s">
        <v>124</v>
      </c>
      <c r="B12" s="116">
        <v>6</v>
      </c>
      <c r="C12" s="35">
        <v>12</v>
      </c>
      <c r="D12" s="35">
        <v>9</v>
      </c>
      <c r="E12" s="35">
        <v>3</v>
      </c>
      <c r="F12" s="36">
        <f t="shared" si="0"/>
        <v>0.75</v>
      </c>
      <c r="G12" s="101">
        <f t="shared" si="1"/>
        <v>0.25</v>
      </c>
      <c r="H12" s="104">
        <v>359</v>
      </c>
    </row>
    <row r="13" spans="1:8" x14ac:dyDescent="0.3">
      <c r="A13" s="122" t="s">
        <v>125</v>
      </c>
      <c r="B13" s="111">
        <v>4</v>
      </c>
      <c r="C13" s="35">
        <v>10</v>
      </c>
      <c r="D13" s="35">
        <v>6</v>
      </c>
      <c r="E13" s="35">
        <v>4</v>
      </c>
      <c r="F13" s="36">
        <f t="shared" si="0"/>
        <v>0.6</v>
      </c>
      <c r="G13" s="101">
        <f t="shared" si="1"/>
        <v>0.4</v>
      </c>
      <c r="H13" s="104">
        <v>93</v>
      </c>
    </row>
    <row r="14" spans="1:8" x14ac:dyDescent="0.3">
      <c r="A14" s="122" t="s">
        <v>126</v>
      </c>
      <c r="B14" s="111">
        <v>2</v>
      </c>
      <c r="C14" s="35">
        <v>3</v>
      </c>
      <c r="D14" s="35">
        <v>1</v>
      </c>
      <c r="E14" s="35">
        <v>2</v>
      </c>
      <c r="F14" s="36">
        <f t="shared" si="0"/>
        <v>0.33333333333333331</v>
      </c>
      <c r="G14" s="101">
        <f t="shared" si="1"/>
        <v>0.66666666666666663</v>
      </c>
      <c r="H14" s="104">
        <v>48</v>
      </c>
    </row>
    <row r="15" spans="1:8" x14ac:dyDescent="0.3">
      <c r="A15" s="122" t="s">
        <v>127</v>
      </c>
      <c r="B15" s="111">
        <v>21</v>
      </c>
      <c r="C15" s="35">
        <v>34</v>
      </c>
      <c r="D15" s="35">
        <v>18</v>
      </c>
      <c r="E15" s="35">
        <v>16</v>
      </c>
      <c r="F15" s="36">
        <f t="shared" si="0"/>
        <v>0.52941176470588236</v>
      </c>
      <c r="G15" s="101">
        <f t="shared" si="1"/>
        <v>0.47058823529411764</v>
      </c>
      <c r="H15" s="104">
        <v>381</v>
      </c>
    </row>
    <row r="16" spans="1:8" x14ac:dyDescent="0.3">
      <c r="A16" s="122" t="s">
        <v>128</v>
      </c>
      <c r="B16" s="111">
        <v>74</v>
      </c>
      <c r="C16" s="57">
        <v>89</v>
      </c>
      <c r="D16" s="35">
        <v>41</v>
      </c>
      <c r="E16" s="35">
        <v>48</v>
      </c>
      <c r="F16" s="36">
        <f t="shared" si="0"/>
        <v>0.4606741573033708</v>
      </c>
      <c r="G16" s="101">
        <f t="shared" si="1"/>
        <v>0.5393258426966292</v>
      </c>
      <c r="H16" s="104">
        <v>1541</v>
      </c>
    </row>
    <row r="17" spans="1:8" x14ac:dyDescent="0.3">
      <c r="A17" s="122" t="s">
        <v>39</v>
      </c>
      <c r="B17" s="111">
        <v>48</v>
      </c>
      <c r="C17" s="57">
        <v>83</v>
      </c>
      <c r="D17" s="35">
        <v>60</v>
      </c>
      <c r="E17" s="35">
        <v>23</v>
      </c>
      <c r="F17" s="36">
        <f>D17/C17</f>
        <v>0.72289156626506024</v>
      </c>
      <c r="G17" s="101">
        <f t="shared" si="1"/>
        <v>0.27710843373493976</v>
      </c>
      <c r="H17" s="104">
        <v>385</v>
      </c>
    </row>
    <row r="18" spans="1:8" x14ac:dyDescent="0.3">
      <c r="A18" s="122" t="s">
        <v>25</v>
      </c>
      <c r="B18" s="111">
        <v>1</v>
      </c>
      <c r="C18" s="57">
        <v>1</v>
      </c>
      <c r="D18" s="35">
        <v>0</v>
      </c>
      <c r="E18" s="35">
        <v>1</v>
      </c>
      <c r="F18" s="36">
        <f t="shared" ref="F18:F22" si="2">D18/C18</f>
        <v>0</v>
      </c>
      <c r="G18" s="101">
        <f t="shared" si="1"/>
        <v>1</v>
      </c>
      <c r="H18" s="104">
        <v>0</v>
      </c>
    </row>
    <row r="19" spans="1:8" x14ac:dyDescent="0.3">
      <c r="A19" s="122" t="s">
        <v>129</v>
      </c>
      <c r="B19" s="111">
        <v>2</v>
      </c>
      <c r="C19" s="57">
        <v>0</v>
      </c>
      <c r="D19" s="35">
        <v>0</v>
      </c>
      <c r="E19" s="35">
        <v>0</v>
      </c>
      <c r="F19" s="36">
        <v>0</v>
      </c>
      <c r="G19" s="101">
        <v>0</v>
      </c>
      <c r="H19" s="104">
        <v>0</v>
      </c>
    </row>
    <row r="20" spans="1:8" x14ac:dyDescent="0.3">
      <c r="A20" s="122" t="s">
        <v>130</v>
      </c>
      <c r="B20" s="111">
        <v>0</v>
      </c>
      <c r="C20" s="57">
        <v>0</v>
      </c>
      <c r="D20" s="35">
        <v>0</v>
      </c>
      <c r="E20" s="35">
        <v>0</v>
      </c>
      <c r="F20" s="36">
        <v>0</v>
      </c>
      <c r="G20" s="101">
        <v>0</v>
      </c>
      <c r="H20" s="104">
        <v>7</v>
      </c>
    </row>
    <row r="21" spans="1:8" x14ac:dyDescent="0.3">
      <c r="A21" s="122" t="s">
        <v>131</v>
      </c>
      <c r="B21" s="111">
        <v>4</v>
      </c>
      <c r="C21" s="57">
        <v>2</v>
      </c>
      <c r="D21" s="35">
        <v>0</v>
      </c>
      <c r="E21" s="35">
        <v>2</v>
      </c>
      <c r="F21" s="36">
        <f t="shared" si="2"/>
        <v>0</v>
      </c>
      <c r="G21" s="101">
        <f t="shared" si="1"/>
        <v>1</v>
      </c>
      <c r="H21" s="104">
        <v>0</v>
      </c>
    </row>
    <row r="22" spans="1:8" x14ac:dyDescent="0.3">
      <c r="A22" s="122" t="s">
        <v>132</v>
      </c>
      <c r="B22" s="111">
        <v>2</v>
      </c>
      <c r="C22" s="57">
        <v>4</v>
      </c>
      <c r="D22" s="35">
        <v>3</v>
      </c>
      <c r="E22" s="35">
        <v>1</v>
      </c>
      <c r="F22" s="36">
        <f t="shared" si="2"/>
        <v>0.75</v>
      </c>
      <c r="G22" s="101">
        <f t="shared" si="1"/>
        <v>0.25</v>
      </c>
      <c r="H22" s="104">
        <v>18</v>
      </c>
    </row>
    <row r="23" spans="1:8" x14ac:dyDescent="0.3">
      <c r="A23" s="122" t="s">
        <v>133</v>
      </c>
      <c r="B23" s="116">
        <v>2</v>
      </c>
      <c r="C23" s="57">
        <v>2</v>
      </c>
      <c r="D23" s="35">
        <v>1</v>
      </c>
      <c r="E23" s="35">
        <v>1</v>
      </c>
      <c r="F23" s="36">
        <f t="shared" ref="F23:F35" si="3">D23/C23</f>
        <v>0.5</v>
      </c>
      <c r="G23" s="101">
        <f t="shared" si="1"/>
        <v>0.5</v>
      </c>
      <c r="H23" s="104">
        <v>58</v>
      </c>
    </row>
    <row r="24" spans="1:8" x14ac:dyDescent="0.3">
      <c r="A24" s="123" t="s">
        <v>134</v>
      </c>
      <c r="B24" s="111">
        <v>142</v>
      </c>
      <c r="C24" s="57">
        <v>271</v>
      </c>
      <c r="D24" s="56">
        <v>176</v>
      </c>
      <c r="E24" s="56">
        <v>95</v>
      </c>
      <c r="F24" s="36">
        <f t="shared" si="3"/>
        <v>0.64944649446494462</v>
      </c>
      <c r="G24" s="101">
        <f t="shared" si="1"/>
        <v>0.35055350553505538</v>
      </c>
      <c r="H24" s="104">
        <v>2572</v>
      </c>
    </row>
    <row r="25" spans="1:8" x14ac:dyDescent="0.3">
      <c r="A25" s="122" t="s">
        <v>135</v>
      </c>
      <c r="B25" s="111">
        <v>0</v>
      </c>
      <c r="C25" s="57">
        <v>0</v>
      </c>
      <c r="D25" s="35">
        <v>0</v>
      </c>
      <c r="E25" s="35">
        <v>0</v>
      </c>
      <c r="F25" s="36">
        <v>0</v>
      </c>
      <c r="G25" s="101">
        <v>0</v>
      </c>
      <c r="H25" s="104">
        <v>36</v>
      </c>
    </row>
    <row r="26" spans="1:8" x14ac:dyDescent="0.3">
      <c r="A26" s="122" t="s">
        <v>38</v>
      </c>
      <c r="B26" s="111">
        <v>1</v>
      </c>
      <c r="C26" s="57">
        <v>4</v>
      </c>
      <c r="D26" s="35">
        <v>4</v>
      </c>
      <c r="E26" s="35">
        <v>0</v>
      </c>
      <c r="F26" s="36">
        <f t="shared" si="3"/>
        <v>1</v>
      </c>
      <c r="G26" s="101">
        <f t="shared" si="1"/>
        <v>0</v>
      </c>
      <c r="H26" s="104">
        <v>0</v>
      </c>
    </row>
    <row r="27" spans="1:8" x14ac:dyDescent="0.3">
      <c r="A27" s="122" t="s">
        <v>37</v>
      </c>
      <c r="B27" s="111">
        <v>5</v>
      </c>
      <c r="C27" s="57">
        <v>6</v>
      </c>
      <c r="D27" s="35">
        <v>4</v>
      </c>
      <c r="E27" s="35">
        <v>2</v>
      </c>
      <c r="F27" s="36">
        <f t="shared" si="3"/>
        <v>0.66666666666666663</v>
      </c>
      <c r="G27" s="101">
        <f t="shared" si="1"/>
        <v>0.33333333333333331</v>
      </c>
      <c r="H27" s="104">
        <v>80</v>
      </c>
    </row>
    <row r="28" spans="1:8" x14ac:dyDescent="0.3">
      <c r="A28" s="122" t="s">
        <v>27</v>
      </c>
      <c r="B28" s="111">
        <v>15</v>
      </c>
      <c r="C28" s="35">
        <v>14</v>
      </c>
      <c r="D28" s="35">
        <v>9</v>
      </c>
      <c r="E28" s="35">
        <v>5</v>
      </c>
      <c r="F28" s="36">
        <f t="shared" si="3"/>
        <v>0.6428571428571429</v>
      </c>
      <c r="G28" s="101">
        <f t="shared" si="1"/>
        <v>0.35714285714285715</v>
      </c>
      <c r="H28" s="104">
        <v>217</v>
      </c>
    </row>
    <row r="29" spans="1:8" x14ac:dyDescent="0.3">
      <c r="A29" s="122" t="s">
        <v>62</v>
      </c>
      <c r="B29" s="111">
        <v>2</v>
      </c>
      <c r="C29" s="35">
        <v>4</v>
      </c>
      <c r="D29" s="35">
        <v>2</v>
      </c>
      <c r="E29" s="35">
        <v>2</v>
      </c>
      <c r="F29" s="36">
        <f t="shared" si="3"/>
        <v>0.5</v>
      </c>
      <c r="G29" s="101">
        <f t="shared" si="1"/>
        <v>0.5</v>
      </c>
      <c r="H29" s="104">
        <v>81</v>
      </c>
    </row>
    <row r="30" spans="1:8" x14ac:dyDescent="0.3">
      <c r="A30" s="122" t="s">
        <v>136</v>
      </c>
      <c r="B30" s="111">
        <v>34</v>
      </c>
      <c r="C30" s="35">
        <v>40</v>
      </c>
      <c r="D30" s="35">
        <v>13</v>
      </c>
      <c r="E30" s="35">
        <v>27</v>
      </c>
      <c r="F30" s="36">
        <f t="shared" si="3"/>
        <v>0.32500000000000001</v>
      </c>
      <c r="G30" s="101">
        <f t="shared" si="1"/>
        <v>0.67500000000000004</v>
      </c>
      <c r="H30" s="104">
        <v>382</v>
      </c>
    </row>
    <row r="31" spans="1:8" x14ac:dyDescent="0.3">
      <c r="A31" s="122" t="s">
        <v>17</v>
      </c>
      <c r="B31" s="111">
        <v>14</v>
      </c>
      <c r="C31" s="35">
        <v>26</v>
      </c>
      <c r="D31" s="35">
        <v>18</v>
      </c>
      <c r="E31" s="35">
        <v>8</v>
      </c>
      <c r="F31" s="36">
        <f t="shared" si="3"/>
        <v>0.69230769230769229</v>
      </c>
      <c r="G31" s="101">
        <f t="shared" si="1"/>
        <v>0.30769230769230771</v>
      </c>
      <c r="H31" s="104">
        <v>162</v>
      </c>
    </row>
    <row r="32" spans="1:8" x14ac:dyDescent="0.3">
      <c r="A32" s="122" t="s">
        <v>137</v>
      </c>
      <c r="B32" s="111">
        <v>7</v>
      </c>
      <c r="C32" s="35">
        <v>9</v>
      </c>
      <c r="D32" s="35">
        <v>9</v>
      </c>
      <c r="E32" s="35">
        <v>0</v>
      </c>
      <c r="F32" s="36">
        <f t="shared" si="3"/>
        <v>1</v>
      </c>
      <c r="G32" s="101">
        <f t="shared" si="1"/>
        <v>0</v>
      </c>
      <c r="H32" s="104">
        <v>18</v>
      </c>
    </row>
    <row r="33" spans="1:8" x14ac:dyDescent="0.3">
      <c r="A33" s="123" t="s">
        <v>138</v>
      </c>
      <c r="B33" s="111">
        <v>129</v>
      </c>
      <c r="C33" s="56">
        <v>159</v>
      </c>
      <c r="D33" s="56">
        <v>83</v>
      </c>
      <c r="E33" s="56">
        <v>76</v>
      </c>
      <c r="F33" s="36">
        <f t="shared" si="3"/>
        <v>0.5220125786163522</v>
      </c>
      <c r="G33" s="101">
        <f t="shared" si="1"/>
        <v>0.4779874213836478</v>
      </c>
      <c r="H33" s="104">
        <v>1822</v>
      </c>
    </row>
    <row r="34" spans="1:8" x14ac:dyDescent="0.3">
      <c r="A34" s="122" t="s">
        <v>139</v>
      </c>
      <c r="B34" s="111">
        <v>3</v>
      </c>
      <c r="C34" s="35">
        <v>4</v>
      </c>
      <c r="D34" s="35">
        <v>2</v>
      </c>
      <c r="E34" s="35">
        <v>2</v>
      </c>
      <c r="F34" s="36">
        <f t="shared" si="3"/>
        <v>0.5</v>
      </c>
      <c r="G34" s="101">
        <f t="shared" si="1"/>
        <v>0.5</v>
      </c>
      <c r="H34" s="104">
        <v>38</v>
      </c>
    </row>
    <row r="35" spans="1:8" x14ac:dyDescent="0.3">
      <c r="A35" s="122" t="s">
        <v>140</v>
      </c>
      <c r="B35" s="111">
        <v>95</v>
      </c>
      <c r="C35" s="35">
        <v>106</v>
      </c>
      <c r="D35" s="35">
        <v>60</v>
      </c>
      <c r="E35" s="35">
        <v>46</v>
      </c>
      <c r="F35" s="36">
        <f t="shared" si="3"/>
        <v>0.56603773584905659</v>
      </c>
      <c r="G35" s="101">
        <f t="shared" si="1"/>
        <v>0.43396226415094341</v>
      </c>
      <c r="H35" s="139">
        <v>1457</v>
      </c>
    </row>
    <row r="36" spans="1:8" x14ac:dyDescent="0.3">
      <c r="A36" s="122" t="s">
        <v>141</v>
      </c>
      <c r="B36" s="111">
        <v>25</v>
      </c>
      <c r="C36" s="35">
        <v>16</v>
      </c>
      <c r="D36" s="35">
        <v>9</v>
      </c>
      <c r="E36" s="35">
        <v>7</v>
      </c>
      <c r="F36" s="36">
        <f t="shared" si="0"/>
        <v>0.5625</v>
      </c>
      <c r="G36" s="101">
        <f t="shared" si="1"/>
        <v>0.4375</v>
      </c>
      <c r="H36" s="104">
        <v>172</v>
      </c>
    </row>
    <row r="37" spans="1:8" x14ac:dyDescent="0.3">
      <c r="A37" s="122" t="s">
        <v>142</v>
      </c>
      <c r="B37" s="111">
        <v>1</v>
      </c>
      <c r="C37" s="35">
        <v>1</v>
      </c>
      <c r="D37" s="35">
        <v>0</v>
      </c>
      <c r="E37" s="35">
        <v>1</v>
      </c>
      <c r="F37" s="36">
        <f t="shared" si="0"/>
        <v>0</v>
      </c>
      <c r="G37" s="101">
        <f t="shared" si="1"/>
        <v>1</v>
      </c>
      <c r="H37" s="104">
        <v>0</v>
      </c>
    </row>
    <row r="38" spans="1:8" x14ac:dyDescent="0.3">
      <c r="A38" s="122" t="s">
        <v>143</v>
      </c>
      <c r="B38" s="111">
        <v>14</v>
      </c>
      <c r="C38" s="35">
        <v>13</v>
      </c>
      <c r="D38" s="35">
        <v>5</v>
      </c>
      <c r="E38" s="35">
        <v>8</v>
      </c>
      <c r="F38" s="36">
        <f t="shared" si="0"/>
        <v>0.38461538461538464</v>
      </c>
      <c r="G38" s="101">
        <f t="shared" si="1"/>
        <v>0.61538461538461542</v>
      </c>
      <c r="H38" s="104">
        <v>274</v>
      </c>
    </row>
    <row r="39" spans="1:8" x14ac:dyDescent="0.3">
      <c r="A39" s="122" t="s">
        <v>144</v>
      </c>
      <c r="B39" s="111">
        <v>28</v>
      </c>
      <c r="C39" s="35">
        <v>23</v>
      </c>
      <c r="D39" s="35">
        <v>11</v>
      </c>
      <c r="E39" s="35">
        <v>12</v>
      </c>
      <c r="F39" s="36">
        <f t="shared" si="0"/>
        <v>0.47826086956521741</v>
      </c>
      <c r="G39" s="101">
        <f t="shared" si="1"/>
        <v>0.52173913043478259</v>
      </c>
      <c r="H39" s="104">
        <v>120</v>
      </c>
    </row>
    <row r="40" spans="1:8" x14ac:dyDescent="0.3">
      <c r="A40" s="122" t="s">
        <v>145</v>
      </c>
      <c r="B40" s="111">
        <v>5</v>
      </c>
      <c r="C40" s="35">
        <v>5</v>
      </c>
      <c r="D40" s="35">
        <v>3</v>
      </c>
      <c r="E40" s="35">
        <v>2</v>
      </c>
      <c r="F40" s="36">
        <f>D40/C40</f>
        <v>0.6</v>
      </c>
      <c r="G40" s="101">
        <f t="shared" si="1"/>
        <v>0.4</v>
      </c>
      <c r="H40" s="104">
        <v>75</v>
      </c>
    </row>
    <row r="41" spans="1:8" x14ac:dyDescent="0.3">
      <c r="A41" s="122" t="s">
        <v>146</v>
      </c>
      <c r="B41" s="111">
        <v>6</v>
      </c>
      <c r="C41" s="35">
        <v>4</v>
      </c>
      <c r="D41" s="35">
        <v>1</v>
      </c>
      <c r="E41" s="35">
        <v>3</v>
      </c>
      <c r="F41" s="36">
        <f>D41/C41</f>
        <v>0.25</v>
      </c>
      <c r="G41" s="101">
        <f t="shared" si="1"/>
        <v>0.75</v>
      </c>
      <c r="H41" s="104">
        <v>106</v>
      </c>
    </row>
    <row r="42" spans="1:8" x14ac:dyDescent="0.3">
      <c r="A42" s="122" t="s">
        <v>147</v>
      </c>
      <c r="B42" s="111">
        <v>12</v>
      </c>
      <c r="C42" s="35">
        <v>12</v>
      </c>
      <c r="D42" s="35">
        <v>8</v>
      </c>
      <c r="E42" s="35">
        <v>4</v>
      </c>
      <c r="F42" s="36">
        <f t="shared" si="0"/>
        <v>0.66666666666666663</v>
      </c>
      <c r="G42" s="101">
        <f t="shared" si="1"/>
        <v>0.33333333333333331</v>
      </c>
      <c r="H42" s="104">
        <v>425</v>
      </c>
    </row>
    <row r="43" spans="1:8" x14ac:dyDescent="0.3">
      <c r="A43" s="123" t="s">
        <v>148</v>
      </c>
      <c r="B43" s="111">
        <v>119</v>
      </c>
      <c r="C43" s="56">
        <v>130</v>
      </c>
      <c r="D43" s="56">
        <v>68</v>
      </c>
      <c r="E43" s="56">
        <v>62</v>
      </c>
      <c r="F43" s="36">
        <f t="shared" si="0"/>
        <v>0.52307692307692311</v>
      </c>
      <c r="G43" s="101">
        <f t="shared" si="1"/>
        <v>0.47692307692307695</v>
      </c>
      <c r="H43" s="104">
        <v>1142</v>
      </c>
    </row>
    <row r="44" spans="1:8" x14ac:dyDescent="0.3">
      <c r="A44" s="122" t="s">
        <v>36</v>
      </c>
      <c r="B44" s="111">
        <v>53</v>
      </c>
      <c r="C44" s="35">
        <v>51</v>
      </c>
      <c r="D44" s="35">
        <v>18</v>
      </c>
      <c r="E44" s="35">
        <v>33</v>
      </c>
      <c r="F44" s="36">
        <f t="shared" si="0"/>
        <v>0.35294117647058826</v>
      </c>
      <c r="G44" s="101">
        <f t="shared" si="1"/>
        <v>0.6470588235294118</v>
      </c>
      <c r="H44" s="104">
        <v>906</v>
      </c>
    </row>
    <row r="45" spans="1:8" x14ac:dyDescent="0.3">
      <c r="A45" s="122" t="s">
        <v>15</v>
      </c>
      <c r="B45" s="111">
        <v>2</v>
      </c>
      <c r="C45" s="35">
        <v>5</v>
      </c>
      <c r="D45" s="35">
        <v>4</v>
      </c>
      <c r="E45" s="35">
        <v>1</v>
      </c>
      <c r="F45" s="36">
        <f t="shared" si="0"/>
        <v>0.8</v>
      </c>
      <c r="G45" s="101">
        <f t="shared" si="1"/>
        <v>0.2</v>
      </c>
      <c r="H45" s="104">
        <v>20</v>
      </c>
    </row>
    <row r="46" spans="1:8" x14ac:dyDescent="0.3">
      <c r="A46" s="122" t="s">
        <v>18</v>
      </c>
      <c r="B46" s="111">
        <v>8</v>
      </c>
      <c r="C46" s="35">
        <v>17</v>
      </c>
      <c r="D46" s="35">
        <v>16</v>
      </c>
      <c r="E46" s="35">
        <v>1</v>
      </c>
      <c r="F46" s="36">
        <f t="shared" si="0"/>
        <v>0.94117647058823528</v>
      </c>
      <c r="G46" s="101">
        <f t="shared" si="1"/>
        <v>5.8823529411764705E-2</v>
      </c>
      <c r="H46" s="104">
        <v>213</v>
      </c>
    </row>
    <row r="47" spans="1:8" x14ac:dyDescent="0.3">
      <c r="A47" s="122" t="s">
        <v>35</v>
      </c>
      <c r="B47" s="111">
        <v>26</v>
      </c>
      <c r="C47" s="35">
        <v>33</v>
      </c>
      <c r="D47" s="35">
        <v>18</v>
      </c>
      <c r="E47" s="35">
        <v>15</v>
      </c>
      <c r="F47" s="36">
        <f t="shared" si="0"/>
        <v>0.54545454545454541</v>
      </c>
      <c r="G47" s="101">
        <f t="shared" si="1"/>
        <v>0.45454545454545453</v>
      </c>
      <c r="H47" s="104">
        <v>1091</v>
      </c>
    </row>
    <row r="48" spans="1:8" x14ac:dyDescent="0.3">
      <c r="A48" s="122" t="s">
        <v>24</v>
      </c>
      <c r="B48" s="111">
        <v>0</v>
      </c>
      <c r="C48" s="35">
        <v>0</v>
      </c>
      <c r="D48" s="35">
        <v>0</v>
      </c>
      <c r="E48" s="35">
        <v>0</v>
      </c>
      <c r="F48" s="36">
        <v>0</v>
      </c>
      <c r="G48" s="101">
        <v>0</v>
      </c>
      <c r="H48" s="104">
        <v>0</v>
      </c>
    </row>
    <row r="49" spans="1:8" x14ac:dyDescent="0.3">
      <c r="A49" s="122" t="s">
        <v>34</v>
      </c>
      <c r="B49" s="111">
        <v>11</v>
      </c>
      <c r="C49" s="35">
        <v>19</v>
      </c>
      <c r="D49" s="35">
        <v>7</v>
      </c>
      <c r="E49" s="35">
        <v>12</v>
      </c>
      <c r="F49" s="36">
        <f t="shared" si="0"/>
        <v>0.36842105263157893</v>
      </c>
      <c r="G49" s="101">
        <f t="shared" si="1"/>
        <v>0.63157894736842102</v>
      </c>
      <c r="H49" s="104">
        <v>115</v>
      </c>
    </row>
    <row r="50" spans="1:8" x14ac:dyDescent="0.3">
      <c r="A50" s="122" t="s">
        <v>33</v>
      </c>
      <c r="B50" s="111">
        <v>1</v>
      </c>
      <c r="C50" s="35">
        <v>3</v>
      </c>
      <c r="D50" s="35">
        <v>1</v>
      </c>
      <c r="E50" s="35">
        <v>2</v>
      </c>
      <c r="F50" s="36">
        <f t="shared" si="0"/>
        <v>0.33333333333333331</v>
      </c>
      <c r="G50" s="101">
        <f t="shared" si="1"/>
        <v>0.66666666666666663</v>
      </c>
      <c r="H50" s="104">
        <v>59</v>
      </c>
    </row>
    <row r="51" spans="1:8" x14ac:dyDescent="0.3">
      <c r="A51" s="122" t="s">
        <v>16</v>
      </c>
      <c r="B51" s="111">
        <v>19</v>
      </c>
      <c r="C51" s="35">
        <v>19</v>
      </c>
      <c r="D51" s="35">
        <v>12</v>
      </c>
      <c r="E51" s="35">
        <v>7</v>
      </c>
      <c r="F51" s="36">
        <f t="shared" si="0"/>
        <v>0.63157894736842102</v>
      </c>
      <c r="G51" s="101">
        <f t="shared" si="1"/>
        <v>0.36842105263157893</v>
      </c>
      <c r="H51" s="104">
        <v>210</v>
      </c>
    </row>
    <row r="52" spans="1:8" x14ac:dyDescent="0.3">
      <c r="A52" s="122" t="s">
        <v>32</v>
      </c>
      <c r="B52" s="111">
        <v>8</v>
      </c>
      <c r="C52" s="35">
        <v>4</v>
      </c>
      <c r="D52" s="35">
        <v>3</v>
      </c>
      <c r="E52" s="35">
        <v>1</v>
      </c>
      <c r="F52" s="36">
        <f t="shared" si="0"/>
        <v>0.75</v>
      </c>
      <c r="G52" s="101">
        <f t="shared" si="1"/>
        <v>0.25</v>
      </c>
      <c r="H52" s="104">
        <v>95</v>
      </c>
    </row>
    <row r="53" spans="1:8" x14ac:dyDescent="0.3">
      <c r="A53" s="122" t="s">
        <v>31</v>
      </c>
      <c r="B53" s="111">
        <v>1</v>
      </c>
      <c r="C53" s="35">
        <v>0</v>
      </c>
      <c r="D53" s="35">
        <v>0</v>
      </c>
      <c r="E53" s="35">
        <v>0</v>
      </c>
      <c r="F53" s="36">
        <v>0</v>
      </c>
      <c r="G53" s="101">
        <v>0</v>
      </c>
      <c r="H53" s="104">
        <v>13</v>
      </c>
    </row>
    <row r="54" spans="1:8" x14ac:dyDescent="0.3">
      <c r="A54" s="122" t="s">
        <v>77</v>
      </c>
      <c r="B54" s="111">
        <v>5</v>
      </c>
      <c r="C54" s="35">
        <v>3</v>
      </c>
      <c r="D54" s="35">
        <v>1</v>
      </c>
      <c r="E54" s="35">
        <v>2</v>
      </c>
      <c r="F54" s="36">
        <f t="shared" si="0"/>
        <v>0.33333333333333331</v>
      </c>
      <c r="G54" s="101">
        <f t="shared" si="1"/>
        <v>0.66666666666666663</v>
      </c>
      <c r="H54" s="104">
        <v>34</v>
      </c>
    </row>
    <row r="55" spans="1:8" x14ac:dyDescent="0.3">
      <c r="A55" s="122" t="s">
        <v>30</v>
      </c>
      <c r="B55" s="111">
        <v>8</v>
      </c>
      <c r="C55" s="35">
        <v>12</v>
      </c>
      <c r="D55" s="35">
        <v>7</v>
      </c>
      <c r="E55" s="35">
        <v>5</v>
      </c>
      <c r="F55" s="36">
        <f t="shared" si="0"/>
        <v>0.58333333333333337</v>
      </c>
      <c r="G55" s="101">
        <f t="shared" si="1"/>
        <v>0.41666666666666669</v>
      </c>
      <c r="H55" s="104">
        <v>294</v>
      </c>
    </row>
    <row r="56" spans="1:8" x14ac:dyDescent="0.3">
      <c r="A56" s="122" t="s">
        <v>21</v>
      </c>
      <c r="B56" s="111">
        <v>19</v>
      </c>
      <c r="C56" s="35">
        <v>31</v>
      </c>
      <c r="D56" s="35">
        <v>17</v>
      </c>
      <c r="E56" s="35">
        <v>14</v>
      </c>
      <c r="F56" s="36">
        <f t="shared" si="0"/>
        <v>0.54838709677419351</v>
      </c>
      <c r="G56" s="101">
        <f t="shared" si="1"/>
        <v>0.45161290322580644</v>
      </c>
      <c r="H56" s="104">
        <v>451</v>
      </c>
    </row>
    <row r="57" spans="1:8" x14ac:dyDescent="0.3">
      <c r="A57" s="122" t="s">
        <v>22</v>
      </c>
      <c r="B57" s="111">
        <v>24</v>
      </c>
      <c r="C57" s="35">
        <v>19</v>
      </c>
      <c r="D57" s="35">
        <v>14</v>
      </c>
      <c r="E57" s="35">
        <v>5</v>
      </c>
      <c r="F57" s="36">
        <f t="shared" si="0"/>
        <v>0.73684210526315785</v>
      </c>
      <c r="G57" s="101">
        <f t="shared" si="1"/>
        <v>0.26315789473684209</v>
      </c>
      <c r="H57" s="104">
        <v>269</v>
      </c>
    </row>
    <row r="58" spans="1:8" x14ac:dyDescent="0.3">
      <c r="A58" s="122" t="s">
        <v>79</v>
      </c>
      <c r="B58" s="111">
        <v>3</v>
      </c>
      <c r="C58" s="35">
        <v>6</v>
      </c>
      <c r="D58" s="35">
        <v>2</v>
      </c>
      <c r="E58" s="35">
        <v>4</v>
      </c>
      <c r="F58" s="36">
        <f t="shared" si="0"/>
        <v>0.33333333333333331</v>
      </c>
      <c r="G58" s="101">
        <f t="shared" si="1"/>
        <v>0.66666666666666663</v>
      </c>
      <c r="H58" s="104">
        <v>45</v>
      </c>
    </row>
    <row r="59" spans="1:8" x14ac:dyDescent="0.3">
      <c r="A59" s="122" t="s">
        <v>149</v>
      </c>
      <c r="B59" s="111">
        <v>60</v>
      </c>
      <c r="C59" s="35">
        <v>50</v>
      </c>
      <c r="D59" s="35">
        <v>24</v>
      </c>
      <c r="E59" s="35">
        <v>26</v>
      </c>
      <c r="F59" s="36">
        <f t="shared" si="0"/>
        <v>0.48</v>
      </c>
      <c r="G59" s="101">
        <f t="shared" si="1"/>
        <v>0.52</v>
      </c>
      <c r="H59" s="104">
        <v>719</v>
      </c>
    </row>
    <row r="60" spans="1:8" x14ac:dyDescent="0.3">
      <c r="A60" s="122" t="s">
        <v>29</v>
      </c>
      <c r="B60" s="114">
        <v>53</v>
      </c>
      <c r="C60" s="1">
        <v>57</v>
      </c>
      <c r="D60" s="1">
        <v>29</v>
      </c>
      <c r="E60" s="35">
        <v>28</v>
      </c>
      <c r="F60" s="36">
        <f t="shared" si="0"/>
        <v>0.50877192982456143</v>
      </c>
      <c r="G60" s="101">
        <f t="shared" si="1"/>
        <v>0.49122807017543857</v>
      </c>
      <c r="H60" s="104">
        <v>661</v>
      </c>
    </row>
    <row r="61" spans="1:8" x14ac:dyDescent="0.3">
      <c r="A61" s="122" t="s">
        <v>82</v>
      </c>
      <c r="B61" s="113">
        <v>2</v>
      </c>
      <c r="C61" s="1">
        <v>0</v>
      </c>
      <c r="D61" s="1">
        <v>0</v>
      </c>
      <c r="E61" s="1">
        <v>0</v>
      </c>
      <c r="F61" s="36">
        <v>0</v>
      </c>
      <c r="G61" s="101">
        <v>0</v>
      </c>
      <c r="H61" s="104">
        <v>1</v>
      </c>
    </row>
    <row r="62" spans="1:8" x14ac:dyDescent="0.3">
      <c r="A62" s="122" t="s">
        <v>150</v>
      </c>
      <c r="B62" s="111">
        <v>40</v>
      </c>
      <c r="C62" s="35">
        <v>31</v>
      </c>
      <c r="D62" s="35">
        <v>19</v>
      </c>
      <c r="E62" s="60">
        <v>12</v>
      </c>
      <c r="F62" s="36">
        <f t="shared" si="0"/>
        <v>0.61290322580645162</v>
      </c>
      <c r="G62" s="101">
        <f t="shared" si="1"/>
        <v>0.38709677419354838</v>
      </c>
      <c r="H62" s="104">
        <v>333</v>
      </c>
    </row>
    <row r="63" spans="1:8" x14ac:dyDescent="0.3">
      <c r="A63" s="122" t="s">
        <v>84</v>
      </c>
      <c r="B63" s="111">
        <v>7</v>
      </c>
      <c r="C63" s="35">
        <v>9</v>
      </c>
      <c r="D63" s="35">
        <v>3</v>
      </c>
      <c r="E63" s="60">
        <v>6</v>
      </c>
      <c r="F63" s="36">
        <f t="shared" si="0"/>
        <v>0.33333333333333331</v>
      </c>
      <c r="G63" s="101">
        <f t="shared" si="1"/>
        <v>0.66666666666666663</v>
      </c>
      <c r="H63" s="104">
        <v>27</v>
      </c>
    </row>
    <row r="64" spans="1:8" x14ac:dyDescent="0.3">
      <c r="A64" s="122" t="s">
        <v>85</v>
      </c>
      <c r="B64" s="111">
        <v>18</v>
      </c>
      <c r="C64" s="35">
        <v>18</v>
      </c>
      <c r="D64" s="35">
        <v>9</v>
      </c>
      <c r="E64" s="60">
        <v>9</v>
      </c>
      <c r="F64" s="36">
        <f t="shared" si="0"/>
        <v>0.5</v>
      </c>
      <c r="G64" s="101">
        <f t="shared" si="1"/>
        <v>0.5</v>
      </c>
      <c r="H64" s="104">
        <v>299</v>
      </c>
    </row>
    <row r="65" spans="1:16" x14ac:dyDescent="0.3">
      <c r="A65" s="122" t="s">
        <v>151</v>
      </c>
      <c r="B65" s="111">
        <v>1</v>
      </c>
      <c r="C65" s="35">
        <v>1</v>
      </c>
      <c r="D65" s="35">
        <v>1</v>
      </c>
      <c r="E65" s="60">
        <v>0</v>
      </c>
      <c r="F65" s="36">
        <f t="shared" si="0"/>
        <v>1</v>
      </c>
      <c r="G65" s="101">
        <f t="shared" si="1"/>
        <v>0</v>
      </c>
      <c r="H65" s="104">
        <v>26</v>
      </c>
    </row>
    <row r="66" spans="1:16" x14ac:dyDescent="0.3">
      <c r="A66" s="122" t="s">
        <v>152</v>
      </c>
      <c r="B66" s="111">
        <v>13</v>
      </c>
      <c r="C66" s="35">
        <v>12</v>
      </c>
      <c r="D66" s="35">
        <v>9</v>
      </c>
      <c r="E66" s="60">
        <v>3</v>
      </c>
      <c r="F66" s="36">
        <f t="shared" si="0"/>
        <v>0.75</v>
      </c>
      <c r="G66" s="101">
        <f t="shared" si="1"/>
        <v>0.25</v>
      </c>
      <c r="H66" s="104">
        <v>205</v>
      </c>
    </row>
    <row r="67" spans="1:16" x14ac:dyDescent="0.3">
      <c r="A67" s="122" t="s">
        <v>153</v>
      </c>
      <c r="B67" s="111">
        <v>7</v>
      </c>
      <c r="C67" s="35">
        <v>7</v>
      </c>
      <c r="D67" s="35">
        <v>5</v>
      </c>
      <c r="E67" s="60">
        <v>2</v>
      </c>
      <c r="F67" s="36">
        <f t="shared" si="0"/>
        <v>0.7142857142857143</v>
      </c>
      <c r="G67" s="101">
        <f t="shared" si="1"/>
        <v>0.2857142857142857</v>
      </c>
      <c r="H67" s="104">
        <v>98</v>
      </c>
    </row>
    <row r="68" spans="1:16" x14ac:dyDescent="0.3">
      <c r="A68" s="122" t="s">
        <v>157</v>
      </c>
      <c r="B68" s="111">
        <v>6</v>
      </c>
      <c r="C68" s="35">
        <v>18</v>
      </c>
      <c r="D68" s="35">
        <v>15</v>
      </c>
      <c r="E68" s="60">
        <v>3</v>
      </c>
      <c r="F68" s="36">
        <f t="shared" si="0"/>
        <v>0.83333333333333337</v>
      </c>
      <c r="G68" s="101">
        <f t="shared" si="1"/>
        <v>0.16666666666666666</v>
      </c>
      <c r="H68" s="104">
        <v>103</v>
      </c>
    </row>
    <row r="69" spans="1:16" s="58" customFormat="1" x14ac:dyDescent="0.3">
      <c r="A69" s="123" t="s">
        <v>154</v>
      </c>
      <c r="B69" s="112">
        <v>1</v>
      </c>
      <c r="C69" s="56">
        <v>2</v>
      </c>
      <c r="D69" s="56">
        <v>0</v>
      </c>
      <c r="E69" s="60">
        <v>2</v>
      </c>
      <c r="F69" s="36">
        <f t="shared" si="0"/>
        <v>0</v>
      </c>
      <c r="G69" s="101">
        <f t="shared" si="1"/>
        <v>1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2</v>
      </c>
      <c r="C70" s="35">
        <v>5</v>
      </c>
      <c r="D70" s="35">
        <v>4</v>
      </c>
      <c r="E70" s="60">
        <v>1</v>
      </c>
      <c r="F70" s="36">
        <f t="shared" si="0"/>
        <v>0.8</v>
      </c>
      <c r="G70" s="101">
        <f t="shared" si="1"/>
        <v>0.2</v>
      </c>
      <c r="H70" s="104">
        <v>25</v>
      </c>
    </row>
    <row r="71" spans="1:16" ht="15" thickBot="1" x14ac:dyDescent="0.35">
      <c r="A71" s="124" t="s">
        <v>155</v>
      </c>
      <c r="B71" s="110">
        <v>2</v>
      </c>
      <c r="C71" s="105">
        <v>1</v>
      </c>
      <c r="D71" s="105">
        <v>0</v>
      </c>
      <c r="E71" s="106">
        <v>1</v>
      </c>
      <c r="F71" s="36">
        <f t="shared" si="0"/>
        <v>0</v>
      </c>
      <c r="G71" s="101">
        <f t="shared" si="1"/>
        <v>1</v>
      </c>
      <c r="H71" s="109">
        <v>31</v>
      </c>
    </row>
    <row r="72" spans="1:16" ht="15" thickBot="1" x14ac:dyDescent="0.35">
      <c r="A72" s="125" t="s">
        <v>105</v>
      </c>
      <c r="B72" s="96">
        <f>SUM(B8:B71)</f>
        <v>1269</v>
      </c>
      <c r="C72" s="96">
        <f>SUM(C8:C71)</f>
        <v>1568</v>
      </c>
      <c r="D72" s="96">
        <f>SUM(D8:D71)</f>
        <v>888</v>
      </c>
      <c r="E72" s="96">
        <f>SUM(E8:E71)</f>
        <v>680</v>
      </c>
      <c r="F72" s="98">
        <f>D72/C72</f>
        <v>0.56632653061224492</v>
      </c>
      <c r="G72" s="97">
        <f>E72/C72</f>
        <v>0.43367346938775508</v>
      </c>
      <c r="H72" s="96">
        <f>SUM(H8:H71)</f>
        <v>19105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2:R79"/>
  <sheetViews>
    <sheetView workbookViewId="0"/>
  </sheetViews>
  <sheetFormatPr defaultColWidth="9.109375" defaultRowHeight="14.4" x14ac:dyDescent="0.3"/>
  <cols>
    <col min="1" max="1" width="19.6640625" style="10" bestFit="1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33203125" style="7" customWidth="1"/>
    <col min="9" max="16384" width="9.109375" style="7"/>
  </cols>
  <sheetData>
    <row r="2" spans="1:9" ht="15" thickBot="1" x14ac:dyDescent="0.35"/>
    <row r="3" spans="1:9" x14ac:dyDescent="0.3">
      <c r="C3" s="184" t="s">
        <v>118</v>
      </c>
      <c r="D3" s="176"/>
      <c r="E3" s="176"/>
      <c r="F3" s="176"/>
      <c r="G3" s="176"/>
    </row>
    <row r="4" spans="1:9" ht="15" thickBot="1" x14ac:dyDescent="0.35">
      <c r="C4" s="179"/>
      <c r="D4" s="179"/>
      <c r="E4" s="179"/>
      <c r="F4" s="179"/>
      <c r="G4" s="179"/>
    </row>
    <row r="7" spans="1:9" ht="16.8" thickBot="1" x14ac:dyDescent="0.35">
      <c r="A7" s="18" t="s">
        <v>110</v>
      </c>
      <c r="B7" s="19" t="s">
        <v>111</v>
      </c>
      <c r="C7" s="26" t="s">
        <v>112</v>
      </c>
      <c r="D7" s="18" t="s">
        <v>113</v>
      </c>
      <c r="E7" s="34" t="s">
        <v>106</v>
      </c>
      <c r="F7" s="34" t="s">
        <v>107</v>
      </c>
      <c r="G7" s="34" t="s">
        <v>108</v>
      </c>
      <c r="H7" s="34" t="s">
        <v>119</v>
      </c>
    </row>
    <row r="8" spans="1:9" x14ac:dyDescent="0.3">
      <c r="A8" s="15" t="s">
        <v>53</v>
      </c>
      <c r="B8" s="20">
        <v>30</v>
      </c>
      <c r="C8" s="27">
        <v>60</v>
      </c>
      <c r="D8" s="16">
        <v>22</v>
      </c>
      <c r="E8" s="28">
        <v>38</v>
      </c>
      <c r="F8" s="23">
        <f>D8/C8</f>
        <v>0.36666666666666664</v>
      </c>
      <c r="G8" s="17">
        <f>E8/C8</f>
        <v>0.6333333333333333</v>
      </c>
      <c r="I8" s="12"/>
    </row>
    <row r="9" spans="1:9" x14ac:dyDescent="0.3">
      <c r="A9" s="9" t="s">
        <v>54</v>
      </c>
      <c r="B9" s="21">
        <v>10</v>
      </c>
      <c r="C9" s="29">
        <v>12</v>
      </c>
      <c r="D9" s="1">
        <v>3</v>
      </c>
      <c r="E9" s="30">
        <v>9</v>
      </c>
      <c r="F9" s="24">
        <f t="shared" ref="F9:F70" si="0">D9/C9</f>
        <v>0.25</v>
      </c>
      <c r="G9" s="2">
        <f t="shared" ref="G9:G70" si="1">E9/C9</f>
        <v>0.75</v>
      </c>
      <c r="I9" s="12"/>
    </row>
    <row r="10" spans="1:9" x14ac:dyDescent="0.3">
      <c r="A10" s="9" t="s">
        <v>55</v>
      </c>
      <c r="B10" s="21">
        <v>35</v>
      </c>
      <c r="C10" s="29">
        <v>77</v>
      </c>
      <c r="D10" s="1">
        <v>23</v>
      </c>
      <c r="E10" s="30">
        <v>54</v>
      </c>
      <c r="F10" s="24">
        <f t="shared" si="0"/>
        <v>0.29870129870129869</v>
      </c>
      <c r="G10" s="2">
        <f t="shared" si="1"/>
        <v>0.70129870129870131</v>
      </c>
      <c r="I10" s="12"/>
    </row>
    <row r="11" spans="1:9" x14ac:dyDescent="0.3">
      <c r="A11" s="9" t="s">
        <v>94</v>
      </c>
      <c r="B11" s="21">
        <v>3</v>
      </c>
      <c r="C11" s="29">
        <v>5</v>
      </c>
      <c r="D11" s="1">
        <v>0</v>
      </c>
      <c r="E11" s="30">
        <v>5</v>
      </c>
      <c r="F11" s="24">
        <f t="shared" si="0"/>
        <v>0</v>
      </c>
      <c r="G11" s="2">
        <f t="shared" si="1"/>
        <v>1</v>
      </c>
      <c r="I11" s="12"/>
    </row>
    <row r="12" spans="1:9" x14ac:dyDescent="0.3">
      <c r="A12" s="9" t="s">
        <v>56</v>
      </c>
      <c r="B12" s="21">
        <v>30</v>
      </c>
      <c r="C12" s="29">
        <v>54</v>
      </c>
      <c r="D12" s="1">
        <v>16</v>
      </c>
      <c r="E12" s="30">
        <v>38</v>
      </c>
      <c r="F12" s="24">
        <f t="shared" si="0"/>
        <v>0.29629629629629628</v>
      </c>
      <c r="G12" s="2">
        <f t="shared" si="1"/>
        <v>0.70370370370370372</v>
      </c>
      <c r="I12" s="12"/>
    </row>
    <row r="13" spans="1:9" x14ac:dyDescent="0.3">
      <c r="A13" s="9" t="s">
        <v>40</v>
      </c>
      <c r="B13" s="21">
        <v>6</v>
      </c>
      <c r="C13" s="29">
        <v>17</v>
      </c>
      <c r="D13" s="1">
        <v>5</v>
      </c>
      <c r="E13" s="30">
        <v>12</v>
      </c>
      <c r="F13" s="24">
        <f t="shared" si="0"/>
        <v>0.29411764705882354</v>
      </c>
      <c r="G13" s="2">
        <f t="shared" si="1"/>
        <v>0.70588235294117652</v>
      </c>
      <c r="I13" s="12"/>
    </row>
    <row r="14" spans="1:9" x14ac:dyDescent="0.3">
      <c r="A14" s="9" t="s">
        <v>41</v>
      </c>
      <c r="B14" s="21">
        <v>4</v>
      </c>
      <c r="C14" s="29">
        <v>5</v>
      </c>
      <c r="D14" s="1">
        <v>0</v>
      </c>
      <c r="E14" s="30">
        <v>5</v>
      </c>
      <c r="F14" s="24">
        <f t="shared" si="0"/>
        <v>0</v>
      </c>
      <c r="G14" s="2">
        <f t="shared" si="1"/>
        <v>1</v>
      </c>
      <c r="I14" s="12"/>
    </row>
    <row r="15" spans="1:9" x14ac:dyDescent="0.3">
      <c r="A15" s="9" t="s">
        <v>42</v>
      </c>
      <c r="B15" s="21">
        <v>34</v>
      </c>
      <c r="C15" s="29">
        <v>55</v>
      </c>
      <c r="D15" s="1">
        <v>17</v>
      </c>
      <c r="E15" s="30">
        <v>38</v>
      </c>
      <c r="F15" s="24">
        <f t="shared" si="0"/>
        <v>0.30909090909090908</v>
      </c>
      <c r="G15" s="2">
        <f t="shared" si="1"/>
        <v>0.69090909090909092</v>
      </c>
      <c r="I15" s="12"/>
    </row>
    <row r="16" spans="1:9" x14ac:dyDescent="0.3">
      <c r="A16" s="9" t="s">
        <v>57</v>
      </c>
      <c r="B16" s="21">
        <v>143</v>
      </c>
      <c r="C16" s="29">
        <v>226</v>
      </c>
      <c r="D16" s="1">
        <v>59</v>
      </c>
      <c r="E16" s="30">
        <v>167</v>
      </c>
      <c r="F16" s="24">
        <f t="shared" si="0"/>
        <v>0.26106194690265488</v>
      </c>
      <c r="G16" s="2">
        <f t="shared" si="1"/>
        <v>0.73893805309734517</v>
      </c>
      <c r="I16" s="12"/>
    </row>
    <row r="17" spans="1:9" x14ac:dyDescent="0.3">
      <c r="A17" s="9" t="s">
        <v>58</v>
      </c>
      <c r="B17" s="21">
        <v>73</v>
      </c>
      <c r="C17" s="29">
        <v>152</v>
      </c>
      <c r="D17" s="1">
        <v>50</v>
      </c>
      <c r="E17" s="30">
        <v>102</v>
      </c>
      <c r="F17" s="24">
        <f t="shared" si="0"/>
        <v>0.32894736842105265</v>
      </c>
      <c r="G17" s="2">
        <f t="shared" si="1"/>
        <v>0.67105263157894735</v>
      </c>
      <c r="I17" s="12"/>
    </row>
    <row r="18" spans="1:9" x14ac:dyDescent="0.3">
      <c r="A18" s="9" t="s">
        <v>43</v>
      </c>
      <c r="B18" s="21">
        <v>1</v>
      </c>
      <c r="C18" s="29">
        <v>1</v>
      </c>
      <c r="D18" s="1">
        <v>0</v>
      </c>
      <c r="E18" s="30">
        <v>1</v>
      </c>
      <c r="F18" s="24">
        <f t="shared" si="0"/>
        <v>0</v>
      </c>
      <c r="G18" s="2">
        <f t="shared" si="1"/>
        <v>1</v>
      </c>
      <c r="I18" s="12"/>
    </row>
    <row r="19" spans="1:9" x14ac:dyDescent="0.3">
      <c r="A19" s="9" t="s">
        <v>59</v>
      </c>
      <c r="B19" s="21">
        <v>2</v>
      </c>
      <c r="C19" s="29">
        <v>0</v>
      </c>
      <c r="D19" s="1">
        <v>0</v>
      </c>
      <c r="E19" s="30">
        <v>0</v>
      </c>
      <c r="F19" s="24">
        <v>0</v>
      </c>
      <c r="G19" s="2">
        <v>0</v>
      </c>
      <c r="I19" s="12"/>
    </row>
    <row r="20" spans="1:9" x14ac:dyDescent="0.3">
      <c r="A20" s="9" t="s">
        <v>60</v>
      </c>
      <c r="B20" s="21">
        <v>2</v>
      </c>
      <c r="C20" s="29">
        <v>5</v>
      </c>
      <c r="D20" s="1">
        <v>0</v>
      </c>
      <c r="E20" s="30">
        <v>5</v>
      </c>
      <c r="F20" s="24">
        <f t="shared" si="0"/>
        <v>0</v>
      </c>
      <c r="G20" s="2">
        <f t="shared" si="1"/>
        <v>1</v>
      </c>
      <c r="I20" s="12"/>
    </row>
    <row r="21" spans="1:9" x14ac:dyDescent="0.3">
      <c r="A21" s="9" t="s">
        <v>44</v>
      </c>
      <c r="B21" s="21">
        <v>6</v>
      </c>
      <c r="C21" s="29">
        <v>16</v>
      </c>
      <c r="D21" s="1">
        <v>5</v>
      </c>
      <c r="E21" s="30">
        <v>11</v>
      </c>
      <c r="F21" s="24">
        <f t="shared" si="0"/>
        <v>0.3125</v>
      </c>
      <c r="G21" s="2">
        <f t="shared" si="1"/>
        <v>0.6875</v>
      </c>
      <c r="I21" s="12"/>
    </row>
    <row r="22" spans="1:9" x14ac:dyDescent="0.3">
      <c r="A22" s="9" t="s">
        <v>45</v>
      </c>
      <c r="B22" s="21">
        <v>11</v>
      </c>
      <c r="C22" s="29">
        <v>18</v>
      </c>
      <c r="D22" s="1">
        <v>4</v>
      </c>
      <c r="E22" s="30">
        <v>14</v>
      </c>
      <c r="F22" s="24">
        <f t="shared" si="0"/>
        <v>0.22222222222222221</v>
      </c>
      <c r="G22" s="2">
        <f t="shared" si="1"/>
        <v>0.77777777777777779</v>
      </c>
      <c r="I22" s="12"/>
    </row>
    <row r="23" spans="1:9" x14ac:dyDescent="0.3">
      <c r="A23" s="9" t="s">
        <v>20</v>
      </c>
      <c r="B23" s="21">
        <v>420</v>
      </c>
      <c r="C23" s="29">
        <v>516</v>
      </c>
      <c r="D23" s="1">
        <v>120</v>
      </c>
      <c r="E23" s="30">
        <v>396</v>
      </c>
      <c r="F23" s="24">
        <f t="shared" si="0"/>
        <v>0.23255813953488372</v>
      </c>
      <c r="G23" s="2">
        <f t="shared" si="1"/>
        <v>0.76744186046511631</v>
      </c>
      <c r="I23" s="12"/>
    </row>
    <row r="24" spans="1:9" x14ac:dyDescent="0.3">
      <c r="A24" s="9" t="s">
        <v>26</v>
      </c>
      <c r="B24" s="21">
        <v>6</v>
      </c>
      <c r="C24" s="29">
        <v>8</v>
      </c>
      <c r="D24" s="1">
        <v>2</v>
      </c>
      <c r="E24" s="30">
        <v>6</v>
      </c>
      <c r="F24" s="24">
        <f t="shared" si="0"/>
        <v>0.25</v>
      </c>
      <c r="G24" s="2">
        <f t="shared" si="1"/>
        <v>0.75</v>
      </c>
      <c r="I24" s="12"/>
    </row>
    <row r="25" spans="1:9" x14ac:dyDescent="0.3">
      <c r="A25" s="9" t="s">
        <v>38</v>
      </c>
      <c r="B25" s="21">
        <v>6</v>
      </c>
      <c r="C25" s="29">
        <v>12</v>
      </c>
      <c r="D25" s="1">
        <v>0</v>
      </c>
      <c r="E25" s="30">
        <v>12</v>
      </c>
      <c r="F25" s="24">
        <f t="shared" si="0"/>
        <v>0</v>
      </c>
      <c r="G25" s="2">
        <f t="shared" si="1"/>
        <v>1</v>
      </c>
      <c r="I25" s="12"/>
    </row>
    <row r="26" spans="1:9" x14ac:dyDescent="0.3">
      <c r="A26" s="9" t="s">
        <v>37</v>
      </c>
      <c r="B26" s="21">
        <v>13</v>
      </c>
      <c r="C26" s="29">
        <v>33</v>
      </c>
      <c r="D26" s="1">
        <v>13</v>
      </c>
      <c r="E26" s="30">
        <v>20</v>
      </c>
      <c r="F26" s="24">
        <f t="shared" si="0"/>
        <v>0.39393939393939392</v>
      </c>
      <c r="G26" s="2">
        <f t="shared" si="1"/>
        <v>0.60606060606060608</v>
      </c>
      <c r="I26" s="12"/>
    </row>
    <row r="27" spans="1:9" x14ac:dyDescent="0.3">
      <c r="A27" s="9" t="s">
        <v>61</v>
      </c>
      <c r="B27" s="21">
        <v>22</v>
      </c>
      <c r="C27" s="29">
        <v>26</v>
      </c>
      <c r="D27" s="1">
        <v>7</v>
      </c>
      <c r="E27" s="30">
        <v>19</v>
      </c>
      <c r="F27" s="24">
        <f t="shared" si="0"/>
        <v>0.26923076923076922</v>
      </c>
      <c r="G27" s="2">
        <f t="shared" si="1"/>
        <v>0.73076923076923073</v>
      </c>
      <c r="I27" s="12"/>
    </row>
    <row r="28" spans="1:9" x14ac:dyDescent="0.3">
      <c r="A28" s="9" t="s">
        <v>62</v>
      </c>
      <c r="B28" s="21">
        <v>12</v>
      </c>
      <c r="C28" s="29">
        <v>16</v>
      </c>
      <c r="D28" s="1">
        <v>2</v>
      </c>
      <c r="E28" s="30">
        <v>14</v>
      </c>
      <c r="F28" s="24">
        <f t="shared" si="0"/>
        <v>0.125</v>
      </c>
      <c r="G28" s="2">
        <f t="shared" si="1"/>
        <v>0.875</v>
      </c>
      <c r="I28" s="12"/>
    </row>
    <row r="29" spans="1:9" x14ac:dyDescent="0.3">
      <c r="A29" s="9" t="s">
        <v>63</v>
      </c>
      <c r="B29" s="21">
        <v>26</v>
      </c>
      <c r="C29" s="29">
        <v>45</v>
      </c>
      <c r="D29" s="1">
        <v>14</v>
      </c>
      <c r="E29" s="30">
        <v>31</v>
      </c>
      <c r="F29" s="24">
        <f t="shared" si="0"/>
        <v>0.31111111111111112</v>
      </c>
      <c r="G29" s="2">
        <f t="shared" si="1"/>
        <v>0.68888888888888888</v>
      </c>
      <c r="I29" s="12"/>
    </row>
    <row r="30" spans="1:9" x14ac:dyDescent="0.3">
      <c r="A30" s="9" t="s">
        <v>64</v>
      </c>
      <c r="B30" s="21">
        <v>21</v>
      </c>
      <c r="C30" s="29">
        <v>36</v>
      </c>
      <c r="D30" s="1">
        <v>14</v>
      </c>
      <c r="E30" s="30">
        <v>22</v>
      </c>
      <c r="F30" s="24">
        <f t="shared" si="0"/>
        <v>0.3888888888888889</v>
      </c>
      <c r="G30" s="2">
        <f t="shared" si="1"/>
        <v>0.61111111111111116</v>
      </c>
      <c r="I30" s="12"/>
    </row>
    <row r="31" spans="1:9" x14ac:dyDescent="0.3">
      <c r="A31" s="9" t="s">
        <v>65</v>
      </c>
      <c r="B31" s="21">
        <v>5</v>
      </c>
      <c r="C31" s="29">
        <v>5</v>
      </c>
      <c r="D31" s="1">
        <v>0</v>
      </c>
      <c r="E31" s="30">
        <v>5</v>
      </c>
      <c r="F31" s="24">
        <f t="shared" si="0"/>
        <v>0</v>
      </c>
      <c r="G31" s="2">
        <f t="shared" si="1"/>
        <v>1</v>
      </c>
      <c r="I31" s="12"/>
    </row>
    <row r="32" spans="1:9" x14ac:dyDescent="0.3">
      <c r="A32" s="9" t="s">
        <v>109</v>
      </c>
      <c r="B32" s="21">
        <v>155</v>
      </c>
      <c r="C32" s="29">
        <v>304</v>
      </c>
      <c r="D32" s="1">
        <v>114</v>
      </c>
      <c r="E32" s="30">
        <v>190</v>
      </c>
      <c r="F32" s="24">
        <f t="shared" si="0"/>
        <v>0.375</v>
      </c>
      <c r="G32" s="2">
        <f t="shared" si="1"/>
        <v>0.625</v>
      </c>
      <c r="I32" s="12"/>
    </row>
    <row r="33" spans="1:9" x14ac:dyDescent="0.3">
      <c r="A33" s="9" t="s">
        <v>46</v>
      </c>
      <c r="B33" s="21">
        <v>3</v>
      </c>
      <c r="C33" s="29">
        <v>5</v>
      </c>
      <c r="D33" s="1">
        <v>1</v>
      </c>
      <c r="E33" s="30">
        <v>4</v>
      </c>
      <c r="F33" s="24">
        <f t="shared" si="0"/>
        <v>0.2</v>
      </c>
      <c r="G33" s="2">
        <f t="shared" si="1"/>
        <v>0.8</v>
      </c>
      <c r="I33" s="12"/>
    </row>
    <row r="34" spans="1:9" x14ac:dyDescent="0.3">
      <c r="A34" s="9" t="s">
        <v>66</v>
      </c>
      <c r="B34" s="21">
        <v>101</v>
      </c>
      <c r="C34" s="29">
        <v>167</v>
      </c>
      <c r="D34" s="1">
        <v>55</v>
      </c>
      <c r="E34" s="30">
        <v>112</v>
      </c>
      <c r="F34" s="24">
        <f t="shared" si="0"/>
        <v>0.32934131736526945</v>
      </c>
      <c r="G34" s="2">
        <f t="shared" si="1"/>
        <v>0.6706586826347305</v>
      </c>
      <c r="I34" s="12"/>
    </row>
    <row r="35" spans="1:9" x14ac:dyDescent="0.3">
      <c r="A35" s="9" t="s">
        <v>47</v>
      </c>
      <c r="B35" s="21">
        <v>15</v>
      </c>
      <c r="C35" s="29">
        <v>29</v>
      </c>
      <c r="D35" s="1">
        <v>8</v>
      </c>
      <c r="E35" s="30">
        <v>21</v>
      </c>
      <c r="F35" s="24">
        <f t="shared" si="0"/>
        <v>0.27586206896551724</v>
      </c>
      <c r="G35" s="2">
        <f t="shared" si="1"/>
        <v>0.72413793103448276</v>
      </c>
      <c r="I35" s="12"/>
    </row>
    <row r="36" spans="1:9" x14ac:dyDescent="0.3">
      <c r="A36" s="9" t="s">
        <v>67</v>
      </c>
      <c r="B36" s="21">
        <v>1</v>
      </c>
      <c r="C36" s="29">
        <v>2</v>
      </c>
      <c r="D36" s="1">
        <v>0</v>
      </c>
      <c r="E36" s="30">
        <v>2</v>
      </c>
      <c r="F36" s="24">
        <f t="shared" si="0"/>
        <v>0</v>
      </c>
      <c r="G36" s="2">
        <f t="shared" si="1"/>
        <v>1</v>
      </c>
      <c r="I36" s="12"/>
    </row>
    <row r="37" spans="1:9" x14ac:dyDescent="0.3">
      <c r="A37" s="9" t="s">
        <v>68</v>
      </c>
      <c r="B37" s="21">
        <v>26</v>
      </c>
      <c r="C37" s="29">
        <v>68</v>
      </c>
      <c r="D37" s="1">
        <v>29</v>
      </c>
      <c r="E37" s="30">
        <v>39</v>
      </c>
      <c r="F37" s="24">
        <f t="shared" si="0"/>
        <v>0.4264705882352941</v>
      </c>
      <c r="G37" s="2">
        <f t="shared" si="1"/>
        <v>0.57352941176470584</v>
      </c>
      <c r="I37" s="12"/>
    </row>
    <row r="38" spans="1:9" x14ac:dyDescent="0.3">
      <c r="A38" s="9" t="s">
        <v>69</v>
      </c>
      <c r="B38" s="21">
        <v>28</v>
      </c>
      <c r="C38" s="29">
        <v>50</v>
      </c>
      <c r="D38" s="1">
        <v>13</v>
      </c>
      <c r="E38" s="30">
        <v>37</v>
      </c>
      <c r="F38" s="24">
        <f t="shared" si="0"/>
        <v>0.26</v>
      </c>
      <c r="G38" s="2">
        <f t="shared" si="1"/>
        <v>0.74</v>
      </c>
      <c r="I38" s="12"/>
    </row>
    <row r="39" spans="1:9" x14ac:dyDescent="0.3">
      <c r="A39" s="9" t="s">
        <v>48</v>
      </c>
      <c r="B39" s="21">
        <v>6</v>
      </c>
      <c r="C39" s="29">
        <v>10</v>
      </c>
      <c r="D39" s="1">
        <v>5</v>
      </c>
      <c r="E39" s="30">
        <v>5</v>
      </c>
      <c r="F39" s="24">
        <f t="shared" si="0"/>
        <v>0.5</v>
      </c>
      <c r="G39" s="2">
        <f t="shared" si="1"/>
        <v>0.5</v>
      </c>
      <c r="I39" s="12"/>
    </row>
    <row r="40" spans="1:9" x14ac:dyDescent="0.3">
      <c r="A40" s="9" t="s">
        <v>70</v>
      </c>
      <c r="B40" s="21">
        <v>13</v>
      </c>
      <c r="C40" s="29">
        <v>24</v>
      </c>
      <c r="D40" s="1">
        <v>7</v>
      </c>
      <c r="E40" s="30">
        <v>17</v>
      </c>
      <c r="F40" s="24">
        <f t="shared" si="0"/>
        <v>0.29166666666666669</v>
      </c>
      <c r="G40" s="2">
        <f t="shared" si="1"/>
        <v>0.70833333333333337</v>
      </c>
      <c r="I40" s="12"/>
    </row>
    <row r="41" spans="1:9" x14ac:dyDescent="0.3">
      <c r="A41" s="9" t="s">
        <v>23</v>
      </c>
      <c r="B41" s="21">
        <v>23</v>
      </c>
      <c r="C41" s="29">
        <v>32</v>
      </c>
      <c r="D41" s="1">
        <v>9</v>
      </c>
      <c r="E41" s="30">
        <v>23</v>
      </c>
      <c r="F41" s="24">
        <f t="shared" si="0"/>
        <v>0.28125</v>
      </c>
      <c r="G41" s="2">
        <f t="shared" si="1"/>
        <v>0.71875</v>
      </c>
      <c r="I41" s="12"/>
    </row>
    <row r="42" spans="1:9" x14ac:dyDescent="0.3">
      <c r="A42" s="9" t="s">
        <v>93</v>
      </c>
      <c r="B42" s="21">
        <v>176</v>
      </c>
      <c r="C42" s="29">
        <v>310</v>
      </c>
      <c r="D42" s="1">
        <v>77</v>
      </c>
      <c r="E42" s="30">
        <v>233</v>
      </c>
      <c r="F42" s="24">
        <f t="shared" si="0"/>
        <v>0.24838709677419354</v>
      </c>
      <c r="G42" s="2">
        <f t="shared" si="1"/>
        <v>0.75161290322580643</v>
      </c>
      <c r="I42" s="12"/>
    </row>
    <row r="43" spans="1:9" x14ac:dyDescent="0.3">
      <c r="A43" s="9" t="s">
        <v>71</v>
      </c>
      <c r="B43" s="21">
        <v>82</v>
      </c>
      <c r="C43" s="29">
        <v>166</v>
      </c>
      <c r="D43" s="1">
        <v>56</v>
      </c>
      <c r="E43" s="30">
        <v>110</v>
      </c>
      <c r="F43" s="24">
        <f t="shared" si="0"/>
        <v>0.33734939759036142</v>
      </c>
      <c r="G43" s="2">
        <f t="shared" si="1"/>
        <v>0.66265060240963858</v>
      </c>
      <c r="I43" s="12"/>
    </row>
    <row r="44" spans="1:9" x14ac:dyDescent="0.3">
      <c r="A44" s="9" t="s">
        <v>72</v>
      </c>
      <c r="B44" s="21">
        <v>9</v>
      </c>
      <c r="C44" s="29">
        <v>10</v>
      </c>
      <c r="D44" s="1">
        <v>3</v>
      </c>
      <c r="E44" s="30">
        <v>7</v>
      </c>
      <c r="F44" s="24">
        <f t="shared" si="0"/>
        <v>0.3</v>
      </c>
      <c r="G44" s="2">
        <f t="shared" si="1"/>
        <v>0.7</v>
      </c>
      <c r="I44" s="12"/>
    </row>
    <row r="45" spans="1:9" x14ac:dyDescent="0.3">
      <c r="A45" s="9" t="s">
        <v>73</v>
      </c>
      <c r="B45" s="21">
        <v>13</v>
      </c>
      <c r="C45" s="29">
        <v>24</v>
      </c>
      <c r="D45" s="1">
        <v>9</v>
      </c>
      <c r="E45" s="30">
        <v>15</v>
      </c>
      <c r="F45" s="24">
        <f t="shared" si="0"/>
        <v>0.375</v>
      </c>
      <c r="G45" s="2">
        <f t="shared" si="1"/>
        <v>0.625</v>
      </c>
      <c r="I45" s="12"/>
    </row>
    <row r="46" spans="1:9" x14ac:dyDescent="0.3">
      <c r="A46" s="9" t="s">
        <v>49</v>
      </c>
      <c r="B46" s="21">
        <v>68</v>
      </c>
      <c r="C46" s="29">
        <v>128</v>
      </c>
      <c r="D46" s="1">
        <v>39</v>
      </c>
      <c r="E46" s="30">
        <v>89</v>
      </c>
      <c r="F46" s="24">
        <f t="shared" si="0"/>
        <v>0.3046875</v>
      </c>
      <c r="G46" s="2">
        <f t="shared" si="1"/>
        <v>0.6953125</v>
      </c>
      <c r="I46" s="12"/>
    </row>
    <row r="47" spans="1:9" x14ac:dyDescent="0.3">
      <c r="A47" s="9" t="s">
        <v>50</v>
      </c>
      <c r="B47" s="21">
        <v>3</v>
      </c>
      <c r="C47" s="29">
        <v>6</v>
      </c>
      <c r="D47" s="1">
        <v>2</v>
      </c>
      <c r="E47" s="30">
        <v>4</v>
      </c>
      <c r="F47" s="24">
        <f t="shared" si="0"/>
        <v>0.33333333333333331</v>
      </c>
      <c r="G47" s="2">
        <f t="shared" si="1"/>
        <v>0.66666666666666663</v>
      </c>
      <c r="I47" s="12"/>
    </row>
    <row r="48" spans="1:9" x14ac:dyDescent="0.3">
      <c r="A48" s="9" t="s">
        <v>74</v>
      </c>
      <c r="B48" s="21">
        <v>14</v>
      </c>
      <c r="C48" s="29">
        <v>17</v>
      </c>
      <c r="D48" s="1">
        <v>4</v>
      </c>
      <c r="E48" s="30">
        <v>13</v>
      </c>
      <c r="F48" s="24">
        <f t="shared" si="0"/>
        <v>0.23529411764705882</v>
      </c>
      <c r="G48" s="2">
        <f t="shared" si="1"/>
        <v>0.76470588235294112</v>
      </c>
      <c r="I48" s="12"/>
    </row>
    <row r="49" spans="1:9" x14ac:dyDescent="0.3">
      <c r="A49" s="9" t="s">
        <v>75</v>
      </c>
      <c r="B49" s="21">
        <v>7</v>
      </c>
      <c r="C49" s="29">
        <v>10</v>
      </c>
      <c r="D49" s="1">
        <v>2</v>
      </c>
      <c r="E49" s="30">
        <v>8</v>
      </c>
      <c r="F49" s="24">
        <f t="shared" si="0"/>
        <v>0.2</v>
      </c>
      <c r="G49" s="2">
        <f t="shared" si="1"/>
        <v>0.8</v>
      </c>
      <c r="I49" s="12"/>
    </row>
    <row r="50" spans="1:9" x14ac:dyDescent="0.3">
      <c r="A50" s="9" t="s">
        <v>51</v>
      </c>
      <c r="B50" s="21">
        <v>19</v>
      </c>
      <c r="C50" s="29">
        <v>42</v>
      </c>
      <c r="D50" s="1">
        <v>21</v>
      </c>
      <c r="E50" s="30">
        <v>21</v>
      </c>
      <c r="F50" s="24">
        <f t="shared" si="0"/>
        <v>0.5</v>
      </c>
      <c r="G50" s="2">
        <f t="shared" si="1"/>
        <v>0.5</v>
      </c>
      <c r="I50" s="12"/>
    </row>
    <row r="51" spans="1:9" x14ac:dyDescent="0.3">
      <c r="A51" s="9" t="s">
        <v>76</v>
      </c>
      <c r="B51" s="21">
        <v>13</v>
      </c>
      <c r="C51" s="29">
        <v>25</v>
      </c>
      <c r="D51" s="1">
        <v>6</v>
      </c>
      <c r="E51" s="30">
        <v>19</v>
      </c>
      <c r="F51" s="24">
        <f t="shared" si="0"/>
        <v>0.24</v>
      </c>
      <c r="G51" s="2">
        <f t="shared" si="1"/>
        <v>0.76</v>
      </c>
      <c r="I51" s="12"/>
    </row>
    <row r="52" spans="1:9" x14ac:dyDescent="0.3">
      <c r="A52" s="9" t="s">
        <v>31</v>
      </c>
      <c r="B52" s="21">
        <v>3</v>
      </c>
      <c r="C52" s="29">
        <v>6</v>
      </c>
      <c r="D52" s="1">
        <v>0</v>
      </c>
      <c r="E52" s="30">
        <v>6</v>
      </c>
      <c r="F52" s="24">
        <f t="shared" si="0"/>
        <v>0</v>
      </c>
      <c r="G52" s="2">
        <f t="shared" si="1"/>
        <v>1</v>
      </c>
      <c r="I52" s="12"/>
    </row>
    <row r="53" spans="1:9" x14ac:dyDescent="0.3">
      <c r="A53" s="9" t="s">
        <v>77</v>
      </c>
      <c r="B53" s="21">
        <v>9</v>
      </c>
      <c r="C53" s="29">
        <v>12</v>
      </c>
      <c r="D53" s="1">
        <v>4</v>
      </c>
      <c r="E53" s="30">
        <v>8</v>
      </c>
      <c r="F53" s="24">
        <f t="shared" si="0"/>
        <v>0.33333333333333331</v>
      </c>
      <c r="G53" s="2">
        <f t="shared" si="1"/>
        <v>0.66666666666666663</v>
      </c>
      <c r="I53" s="12"/>
    </row>
    <row r="54" spans="1:9" x14ac:dyDescent="0.3">
      <c r="A54" s="9" t="s">
        <v>78</v>
      </c>
      <c r="B54" s="21">
        <v>20</v>
      </c>
      <c r="C54" s="29">
        <v>31</v>
      </c>
      <c r="D54" s="1">
        <v>8</v>
      </c>
      <c r="E54" s="30">
        <v>23</v>
      </c>
      <c r="F54" s="24">
        <f t="shared" si="0"/>
        <v>0.25806451612903225</v>
      </c>
      <c r="G54" s="2">
        <f t="shared" si="1"/>
        <v>0.74193548387096775</v>
      </c>
      <c r="I54" s="12"/>
    </row>
    <row r="55" spans="1:9" x14ac:dyDescent="0.3">
      <c r="A55" s="9" t="s">
        <v>52</v>
      </c>
      <c r="B55" s="21">
        <v>43</v>
      </c>
      <c r="C55" s="29">
        <v>69</v>
      </c>
      <c r="D55" s="1">
        <v>25</v>
      </c>
      <c r="E55" s="30">
        <v>44</v>
      </c>
      <c r="F55" s="24">
        <f t="shared" si="0"/>
        <v>0.36231884057971014</v>
      </c>
      <c r="G55" s="2">
        <f t="shared" si="1"/>
        <v>0.6376811594202898</v>
      </c>
      <c r="I55" s="12"/>
    </row>
    <row r="56" spans="1:9" x14ac:dyDescent="0.3">
      <c r="A56" s="9" t="s">
        <v>22</v>
      </c>
      <c r="B56" s="21">
        <v>19</v>
      </c>
      <c r="C56" s="29">
        <v>35</v>
      </c>
      <c r="D56" s="1">
        <v>9</v>
      </c>
      <c r="E56" s="30">
        <v>26</v>
      </c>
      <c r="F56" s="24">
        <f t="shared" si="0"/>
        <v>0.25714285714285712</v>
      </c>
      <c r="G56" s="2">
        <f t="shared" si="1"/>
        <v>0.74285714285714288</v>
      </c>
      <c r="I56" s="12"/>
    </row>
    <row r="57" spans="1:9" x14ac:dyDescent="0.3">
      <c r="A57" s="9" t="s">
        <v>79</v>
      </c>
      <c r="B57" s="21">
        <v>8</v>
      </c>
      <c r="C57" s="29">
        <v>13</v>
      </c>
      <c r="D57" s="1">
        <v>2</v>
      </c>
      <c r="E57" s="30">
        <v>11</v>
      </c>
      <c r="F57" s="24">
        <f t="shared" si="0"/>
        <v>0.15384615384615385</v>
      </c>
      <c r="G57" s="2">
        <f t="shared" si="1"/>
        <v>0.84615384615384615</v>
      </c>
      <c r="I57" s="12"/>
    </row>
    <row r="58" spans="1:9" x14ac:dyDescent="0.3">
      <c r="A58" s="9" t="s">
        <v>80</v>
      </c>
      <c r="B58" s="21">
        <v>50</v>
      </c>
      <c r="C58" s="29">
        <v>103</v>
      </c>
      <c r="D58" s="1">
        <v>34</v>
      </c>
      <c r="E58" s="30">
        <v>69</v>
      </c>
      <c r="F58" s="24">
        <f t="shared" si="0"/>
        <v>0.3300970873786408</v>
      </c>
      <c r="G58" s="2">
        <f t="shared" si="1"/>
        <v>0.66990291262135926</v>
      </c>
      <c r="I58" s="12"/>
    </row>
    <row r="59" spans="1:9" x14ac:dyDescent="0.3">
      <c r="A59" s="9" t="s">
        <v>81</v>
      </c>
      <c r="B59" s="21">
        <v>68</v>
      </c>
      <c r="C59" s="29">
        <v>105</v>
      </c>
      <c r="D59" s="1">
        <v>31</v>
      </c>
      <c r="E59" s="30">
        <v>74</v>
      </c>
      <c r="F59" s="24">
        <v>0</v>
      </c>
      <c r="G59" s="2">
        <v>0</v>
      </c>
      <c r="I59" s="12"/>
    </row>
    <row r="60" spans="1:9" x14ac:dyDescent="0.3">
      <c r="A60" s="9" t="s">
        <v>82</v>
      </c>
      <c r="B60" s="21">
        <v>0</v>
      </c>
      <c r="C60" s="29">
        <v>1</v>
      </c>
      <c r="D60" s="1">
        <v>0</v>
      </c>
      <c r="E60" s="30">
        <v>1</v>
      </c>
      <c r="F60" s="24">
        <f t="shared" si="0"/>
        <v>0</v>
      </c>
      <c r="G60" s="2">
        <f t="shared" si="1"/>
        <v>1</v>
      </c>
      <c r="I60" s="12"/>
    </row>
    <row r="61" spans="1:9" x14ac:dyDescent="0.3">
      <c r="A61" s="9" t="s">
        <v>83</v>
      </c>
      <c r="B61" s="21">
        <v>42</v>
      </c>
      <c r="C61" s="29">
        <v>63</v>
      </c>
      <c r="D61" s="1">
        <v>6</v>
      </c>
      <c r="E61" s="30">
        <v>57</v>
      </c>
      <c r="F61" s="24">
        <f t="shared" si="0"/>
        <v>9.5238095238095233E-2</v>
      </c>
      <c r="G61" s="2">
        <f t="shared" si="1"/>
        <v>0.90476190476190477</v>
      </c>
      <c r="I61" s="12"/>
    </row>
    <row r="62" spans="1:9" x14ac:dyDescent="0.3">
      <c r="A62" s="9" t="s">
        <v>84</v>
      </c>
      <c r="B62" s="21">
        <v>8</v>
      </c>
      <c r="C62" s="29">
        <v>12</v>
      </c>
      <c r="D62" s="1">
        <v>2</v>
      </c>
      <c r="E62" s="30">
        <v>10</v>
      </c>
      <c r="F62" s="24">
        <f t="shared" si="0"/>
        <v>0.16666666666666666</v>
      </c>
      <c r="G62" s="2">
        <f t="shared" si="1"/>
        <v>0.83333333333333337</v>
      </c>
      <c r="I62" s="12"/>
    </row>
    <row r="63" spans="1:9" x14ac:dyDescent="0.3">
      <c r="A63" s="9" t="s">
        <v>85</v>
      </c>
      <c r="B63" s="21">
        <v>21</v>
      </c>
      <c r="C63" s="29">
        <v>32</v>
      </c>
      <c r="D63" s="1">
        <v>5</v>
      </c>
      <c r="E63" s="30">
        <v>27</v>
      </c>
      <c r="F63" s="24">
        <f t="shared" si="0"/>
        <v>0.15625</v>
      </c>
      <c r="G63" s="2">
        <f t="shared" si="1"/>
        <v>0.84375</v>
      </c>
      <c r="I63" s="12"/>
    </row>
    <row r="64" spans="1:9" x14ac:dyDescent="0.3">
      <c r="A64" s="9" t="s">
        <v>86</v>
      </c>
      <c r="B64" s="21">
        <v>7</v>
      </c>
      <c r="C64" s="29">
        <v>20</v>
      </c>
      <c r="D64" s="1">
        <v>3</v>
      </c>
      <c r="E64" s="30">
        <v>17</v>
      </c>
      <c r="F64" s="24">
        <f t="shared" si="0"/>
        <v>0.15</v>
      </c>
      <c r="G64" s="2">
        <f t="shared" si="1"/>
        <v>0.85</v>
      </c>
      <c r="I64" s="12"/>
    </row>
    <row r="65" spans="1:18" x14ac:dyDescent="0.3">
      <c r="A65" s="15" t="s">
        <v>87</v>
      </c>
      <c r="B65" s="20">
        <v>15</v>
      </c>
      <c r="C65" s="27">
        <v>28</v>
      </c>
      <c r="D65" s="16">
        <v>7</v>
      </c>
      <c r="E65" s="28">
        <v>21</v>
      </c>
      <c r="F65" s="23">
        <f t="shared" si="0"/>
        <v>0.25</v>
      </c>
      <c r="G65" s="17">
        <f t="shared" si="1"/>
        <v>0.75</v>
      </c>
      <c r="I65" s="12"/>
    </row>
    <row r="66" spans="1:18" x14ac:dyDescent="0.3">
      <c r="A66" s="9" t="s">
        <v>88</v>
      </c>
      <c r="B66" s="21">
        <v>14</v>
      </c>
      <c r="C66" s="29">
        <v>21</v>
      </c>
      <c r="D66" s="1">
        <v>5</v>
      </c>
      <c r="E66" s="30">
        <v>16</v>
      </c>
      <c r="F66" s="24">
        <f t="shared" si="0"/>
        <v>0.23809523809523808</v>
      </c>
      <c r="G66" s="2">
        <f t="shared" si="1"/>
        <v>0.76190476190476186</v>
      </c>
      <c r="I66" s="12"/>
    </row>
    <row r="67" spans="1:18" x14ac:dyDescent="0.3">
      <c r="A67" s="9" t="s">
        <v>19</v>
      </c>
      <c r="B67" s="21">
        <v>12</v>
      </c>
      <c r="C67" s="29">
        <v>14</v>
      </c>
      <c r="D67" s="1">
        <v>4</v>
      </c>
      <c r="E67" s="30">
        <v>10</v>
      </c>
      <c r="F67" s="24">
        <f t="shared" si="0"/>
        <v>0.2857142857142857</v>
      </c>
      <c r="G67" s="2">
        <f t="shared" si="1"/>
        <v>0.7142857142857143</v>
      </c>
      <c r="I67" s="12"/>
    </row>
    <row r="68" spans="1:18" x14ac:dyDescent="0.3">
      <c r="A68" s="9" t="s">
        <v>89</v>
      </c>
      <c r="B68" s="21">
        <v>3</v>
      </c>
      <c r="C68" s="29">
        <v>6</v>
      </c>
      <c r="D68" s="1">
        <v>1</v>
      </c>
      <c r="E68" s="30">
        <v>5</v>
      </c>
      <c r="F68" s="24">
        <f t="shared" si="0"/>
        <v>0.16666666666666666</v>
      </c>
      <c r="G68" s="2">
        <f t="shared" si="1"/>
        <v>0.83333333333333337</v>
      </c>
      <c r="I68" s="12"/>
    </row>
    <row r="69" spans="1:18" x14ac:dyDescent="0.3">
      <c r="A69" s="9" t="s">
        <v>28</v>
      </c>
      <c r="B69" s="21">
        <v>1</v>
      </c>
      <c r="C69" s="29">
        <v>2</v>
      </c>
      <c r="D69" s="1">
        <v>0</v>
      </c>
      <c r="E69" s="30">
        <v>2</v>
      </c>
      <c r="F69" s="24">
        <f t="shared" si="0"/>
        <v>0</v>
      </c>
      <c r="G69" s="2">
        <f t="shared" si="1"/>
        <v>1</v>
      </c>
      <c r="I69" s="12"/>
    </row>
    <row r="70" spans="1:18" x14ac:dyDescent="0.3">
      <c r="A70" s="9" t="s">
        <v>90</v>
      </c>
      <c r="B70" s="21">
        <v>3</v>
      </c>
      <c r="C70" s="29">
        <v>2</v>
      </c>
      <c r="D70" s="1">
        <v>0</v>
      </c>
      <c r="E70" s="30">
        <v>2</v>
      </c>
      <c r="F70" s="24">
        <f t="shared" si="0"/>
        <v>0</v>
      </c>
      <c r="G70" s="2">
        <f t="shared" si="1"/>
        <v>1</v>
      </c>
      <c r="I70" s="12"/>
    </row>
    <row r="71" spans="1:18" x14ac:dyDescent="0.3">
      <c r="A71" s="13" t="s">
        <v>105</v>
      </c>
      <c r="B71" s="22">
        <f>SUM(B8:B70)</f>
        <v>2042</v>
      </c>
      <c r="C71" s="31">
        <f>SUM(C8:C70)</f>
        <v>3404</v>
      </c>
      <c r="D71" s="11">
        <f>SUM(D8:D70)</f>
        <v>982</v>
      </c>
      <c r="E71" s="32">
        <f>SUM(E8:E70)</f>
        <v>2422</v>
      </c>
      <c r="F71" s="25">
        <f>D71/C71</f>
        <v>0.28848413631022329</v>
      </c>
      <c r="G71" s="14">
        <f>E71/C71</f>
        <v>0.71151586368977671</v>
      </c>
      <c r="I71" s="12"/>
    </row>
    <row r="73" spans="1:18" x14ac:dyDescent="0.3">
      <c r="A73" s="8" t="s">
        <v>104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4"/>
    </row>
    <row r="74" spans="1:18" x14ac:dyDescent="0.3">
      <c r="A74" s="181" t="s">
        <v>114</v>
      </c>
      <c r="B74" s="181"/>
      <c r="C74" s="181"/>
      <c r="D74" s="181"/>
      <c r="E74" s="181"/>
      <c r="F74" s="181"/>
      <c r="G74" s="181"/>
      <c r="H74" s="5"/>
      <c r="I74" s="5"/>
      <c r="J74" s="5"/>
      <c r="K74" s="5"/>
      <c r="L74" s="5"/>
      <c r="M74" s="5"/>
      <c r="N74" s="5"/>
      <c r="O74" s="5"/>
      <c r="P74" s="5"/>
      <c r="Q74" s="5"/>
      <c r="R74" s="4"/>
    </row>
    <row r="75" spans="1:18" ht="15" customHeight="1" x14ac:dyDescent="0.3">
      <c r="A75" s="182" t="s">
        <v>115</v>
      </c>
      <c r="B75" s="182"/>
      <c r="C75" s="182"/>
      <c r="D75" s="182"/>
      <c r="E75" s="182"/>
      <c r="F75" s="182"/>
      <c r="G75" s="18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 x14ac:dyDescent="0.3">
      <c r="A76" s="182"/>
      <c r="B76" s="182"/>
      <c r="C76" s="182"/>
      <c r="D76" s="182"/>
      <c r="E76" s="182"/>
      <c r="F76" s="182"/>
      <c r="G76" s="18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18" x14ac:dyDescent="0.3">
      <c r="A77" s="183" t="s">
        <v>116</v>
      </c>
      <c r="B77" s="183"/>
      <c r="C77" s="183"/>
      <c r="D77" s="183"/>
      <c r="E77" s="183"/>
      <c r="F77" s="183"/>
      <c r="G77" s="183"/>
    </row>
    <row r="78" spans="1:18" x14ac:dyDescent="0.3">
      <c r="A78" s="183"/>
      <c r="B78" s="183"/>
      <c r="C78" s="183"/>
      <c r="D78" s="183"/>
      <c r="E78" s="183"/>
      <c r="F78" s="183"/>
      <c r="G78" s="183"/>
    </row>
    <row r="79" spans="1:18" x14ac:dyDescent="0.3">
      <c r="A79" s="10" t="s">
        <v>117</v>
      </c>
    </row>
  </sheetData>
  <mergeCells count="4">
    <mergeCell ref="C3:G4"/>
    <mergeCell ref="A74:G74"/>
    <mergeCell ref="A75:G76"/>
    <mergeCell ref="A77:G78"/>
  </mergeCells>
  <pageMargins left="0.7" right="0.7" top="0.75" bottom="0.75" header="0.3" footer="0.3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F995-1AA1-4041-85A8-3DE148EA0F44}">
  <dimension ref="A6:N80"/>
  <sheetViews>
    <sheetView tabSelected="1" workbookViewId="0">
      <selection activeCell="O13" sqref="O13"/>
    </sheetView>
  </sheetViews>
  <sheetFormatPr defaultRowHeight="14.4" x14ac:dyDescent="0.3"/>
  <cols>
    <col min="1" max="1" width="19.6640625" style="10" customWidth="1"/>
    <col min="14" max="14" width="12" bestFit="1" customWidth="1"/>
  </cols>
  <sheetData>
    <row r="6" spans="1:14" ht="15" thickBot="1" x14ac:dyDescent="0.35">
      <c r="B6" s="187" t="s">
        <v>119</v>
      </c>
    </row>
    <row r="7" spans="1:14" ht="16.8" thickBot="1" x14ac:dyDescent="0.35">
      <c r="A7" s="102" t="s">
        <v>110</v>
      </c>
      <c r="B7" s="186">
        <v>43831</v>
      </c>
      <c r="C7" s="185">
        <v>43862</v>
      </c>
      <c r="D7" s="185">
        <v>43891</v>
      </c>
      <c r="E7" s="185">
        <v>43922</v>
      </c>
      <c r="F7" s="185">
        <v>43952</v>
      </c>
      <c r="G7" s="185">
        <v>43983</v>
      </c>
      <c r="H7" s="185">
        <v>44013</v>
      </c>
      <c r="I7" s="185">
        <v>44044</v>
      </c>
      <c r="J7" s="185">
        <v>44075</v>
      </c>
      <c r="K7" s="185">
        <v>44105</v>
      </c>
      <c r="L7" s="185">
        <v>44136</v>
      </c>
      <c r="M7" s="185">
        <v>44166</v>
      </c>
      <c r="N7" s="185" t="s">
        <v>234</v>
      </c>
    </row>
    <row r="8" spans="1:14" x14ac:dyDescent="0.3">
      <c r="A8" s="121" t="s">
        <v>120</v>
      </c>
      <c r="B8" s="103">
        <v>261</v>
      </c>
      <c r="C8" s="103">
        <v>269</v>
      </c>
      <c r="D8" s="103">
        <v>303</v>
      </c>
      <c r="E8" s="103">
        <v>309</v>
      </c>
      <c r="F8" s="103">
        <v>314</v>
      </c>
      <c r="G8" s="103">
        <v>326</v>
      </c>
      <c r="H8" s="103">
        <v>340</v>
      </c>
      <c r="I8" s="103">
        <v>320</v>
      </c>
      <c r="J8" s="103">
        <v>334</v>
      </c>
      <c r="K8" s="103">
        <v>333</v>
      </c>
      <c r="L8" s="103">
        <v>324</v>
      </c>
      <c r="M8" s="188">
        <v>337</v>
      </c>
      <c r="N8" s="192">
        <f>AVERAGE(B8:M8)</f>
        <v>314.16666666666669</v>
      </c>
    </row>
    <row r="9" spans="1:14" x14ac:dyDescent="0.3">
      <c r="A9" s="122" t="s">
        <v>121</v>
      </c>
      <c r="B9" s="104">
        <v>30</v>
      </c>
      <c r="C9" s="104">
        <v>31</v>
      </c>
      <c r="D9" s="104">
        <v>33</v>
      </c>
      <c r="E9" s="104">
        <v>34</v>
      </c>
      <c r="F9" s="104">
        <v>33</v>
      </c>
      <c r="G9" s="104">
        <v>30</v>
      </c>
      <c r="H9" s="104">
        <v>28</v>
      </c>
      <c r="I9" s="104">
        <v>32</v>
      </c>
      <c r="J9" s="104">
        <v>30</v>
      </c>
      <c r="K9" s="104">
        <v>33</v>
      </c>
      <c r="L9" s="104">
        <v>31</v>
      </c>
      <c r="M9" s="189">
        <v>31</v>
      </c>
      <c r="N9" s="193">
        <f>AVERAGE(B9:M9)</f>
        <v>31.333333333333332</v>
      </c>
    </row>
    <row r="10" spans="1:14" x14ac:dyDescent="0.3">
      <c r="A10" s="122" t="s">
        <v>122</v>
      </c>
      <c r="B10" s="104">
        <v>238</v>
      </c>
      <c r="C10" s="104">
        <v>246</v>
      </c>
      <c r="D10" s="104">
        <v>307</v>
      </c>
      <c r="E10" s="104">
        <v>302</v>
      </c>
      <c r="F10" s="104">
        <v>387</v>
      </c>
      <c r="G10" s="104">
        <v>551</v>
      </c>
      <c r="H10" s="104">
        <v>535</v>
      </c>
      <c r="I10" s="104">
        <v>319</v>
      </c>
      <c r="J10" s="104">
        <v>336</v>
      </c>
      <c r="K10" s="104">
        <v>315</v>
      </c>
      <c r="L10" s="104">
        <v>320</v>
      </c>
      <c r="M10" s="189">
        <v>324</v>
      </c>
      <c r="N10" s="193">
        <f t="shared" ref="N10:N71" si="0">AVERAGE(B10:M10)</f>
        <v>348.33333333333331</v>
      </c>
    </row>
    <row r="11" spans="1:14" x14ac:dyDescent="0.3">
      <c r="A11" s="122" t="s">
        <v>123</v>
      </c>
      <c r="B11" s="104">
        <v>0</v>
      </c>
      <c r="C11" s="104">
        <v>0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89">
        <v>0</v>
      </c>
      <c r="N11" s="193">
        <f t="shared" si="0"/>
        <v>0</v>
      </c>
    </row>
    <row r="12" spans="1:14" x14ac:dyDescent="0.3">
      <c r="A12" s="122" t="s">
        <v>124</v>
      </c>
      <c r="B12" s="104">
        <v>246</v>
      </c>
      <c r="C12" s="104">
        <v>264</v>
      </c>
      <c r="D12" s="104">
        <v>307</v>
      </c>
      <c r="E12" s="104">
        <v>345</v>
      </c>
      <c r="F12" s="104">
        <v>354</v>
      </c>
      <c r="G12" s="104">
        <v>378</v>
      </c>
      <c r="H12" s="104">
        <v>377</v>
      </c>
      <c r="I12" s="104">
        <v>321</v>
      </c>
      <c r="J12" s="104">
        <v>343</v>
      </c>
      <c r="K12" s="104">
        <v>374</v>
      </c>
      <c r="L12" s="104">
        <v>365</v>
      </c>
      <c r="M12" s="189">
        <v>359</v>
      </c>
      <c r="N12" s="193">
        <f t="shared" si="0"/>
        <v>336.08333333333331</v>
      </c>
    </row>
    <row r="13" spans="1:14" x14ac:dyDescent="0.3">
      <c r="A13" s="122" t="s">
        <v>125</v>
      </c>
      <c r="B13" s="104">
        <v>77</v>
      </c>
      <c r="C13" s="104">
        <v>80</v>
      </c>
      <c r="D13" s="104">
        <v>91</v>
      </c>
      <c r="E13" s="104">
        <v>124</v>
      </c>
      <c r="F13" s="104">
        <v>129</v>
      </c>
      <c r="G13" s="104">
        <v>156</v>
      </c>
      <c r="H13" s="104">
        <v>152</v>
      </c>
      <c r="I13" s="104">
        <v>102</v>
      </c>
      <c r="J13" s="104">
        <v>100</v>
      </c>
      <c r="K13" s="104">
        <v>77</v>
      </c>
      <c r="L13" s="104">
        <v>83</v>
      </c>
      <c r="M13" s="189">
        <v>93</v>
      </c>
      <c r="N13" s="193">
        <f t="shared" si="0"/>
        <v>105.33333333333333</v>
      </c>
    </row>
    <row r="14" spans="1:14" x14ac:dyDescent="0.3">
      <c r="A14" s="122" t="s">
        <v>126</v>
      </c>
      <c r="B14" s="104">
        <v>39</v>
      </c>
      <c r="C14" s="104">
        <v>41</v>
      </c>
      <c r="D14" s="104">
        <v>40</v>
      </c>
      <c r="E14" s="104">
        <v>45</v>
      </c>
      <c r="F14" s="104">
        <v>47</v>
      </c>
      <c r="G14" s="104">
        <v>46</v>
      </c>
      <c r="H14" s="104">
        <v>44</v>
      </c>
      <c r="I14" s="104">
        <v>42</v>
      </c>
      <c r="J14" s="104">
        <v>44</v>
      </c>
      <c r="K14" s="104">
        <v>46</v>
      </c>
      <c r="L14" s="104">
        <v>47</v>
      </c>
      <c r="M14" s="189">
        <v>48</v>
      </c>
      <c r="N14" s="193">
        <f t="shared" si="0"/>
        <v>44.083333333333336</v>
      </c>
    </row>
    <row r="15" spans="1:14" x14ac:dyDescent="0.3">
      <c r="A15" s="122" t="s">
        <v>127</v>
      </c>
      <c r="B15" s="104">
        <v>242</v>
      </c>
      <c r="C15" s="104">
        <v>268</v>
      </c>
      <c r="D15" s="104">
        <v>314</v>
      </c>
      <c r="E15" s="104">
        <v>452</v>
      </c>
      <c r="F15" s="104">
        <v>521</v>
      </c>
      <c r="G15" s="104">
        <v>558</v>
      </c>
      <c r="H15" s="104">
        <v>562</v>
      </c>
      <c r="I15" s="104">
        <v>372</v>
      </c>
      <c r="J15" s="104">
        <v>392</v>
      </c>
      <c r="K15" s="104">
        <v>407</v>
      </c>
      <c r="L15" s="104">
        <v>389</v>
      </c>
      <c r="M15" s="189">
        <v>381</v>
      </c>
      <c r="N15" s="193">
        <f t="shared" si="0"/>
        <v>404.83333333333331</v>
      </c>
    </row>
    <row r="16" spans="1:14" x14ac:dyDescent="0.3">
      <c r="A16" s="122" t="s">
        <v>128</v>
      </c>
      <c r="B16" s="104">
        <v>1332</v>
      </c>
      <c r="C16" s="104">
        <v>1379</v>
      </c>
      <c r="D16" s="104">
        <v>1643</v>
      </c>
      <c r="E16" s="104">
        <v>1904</v>
      </c>
      <c r="F16" s="104">
        <v>2107</v>
      </c>
      <c r="G16" s="104">
        <v>2242</v>
      </c>
      <c r="H16" s="104">
        <v>2228</v>
      </c>
      <c r="I16" s="104">
        <v>1621</v>
      </c>
      <c r="J16" s="104">
        <v>1625</v>
      </c>
      <c r="K16" s="104">
        <v>1640</v>
      </c>
      <c r="L16" s="104">
        <v>1568</v>
      </c>
      <c r="M16" s="189">
        <v>1541</v>
      </c>
      <c r="N16" s="193">
        <f t="shared" si="0"/>
        <v>1735.8333333333333</v>
      </c>
    </row>
    <row r="17" spans="1:14" x14ac:dyDescent="0.3">
      <c r="A17" s="122" t="s">
        <v>39</v>
      </c>
      <c r="B17" s="104">
        <v>502</v>
      </c>
      <c r="C17" s="104">
        <v>526</v>
      </c>
      <c r="D17" s="104">
        <v>622</v>
      </c>
      <c r="E17" s="104">
        <v>765</v>
      </c>
      <c r="F17" s="104">
        <v>887</v>
      </c>
      <c r="G17" s="104">
        <v>991</v>
      </c>
      <c r="H17" s="104">
        <v>985</v>
      </c>
      <c r="I17" s="104">
        <v>625</v>
      </c>
      <c r="J17" s="104">
        <v>618</v>
      </c>
      <c r="K17" s="104">
        <v>330</v>
      </c>
      <c r="L17" s="104">
        <v>287</v>
      </c>
      <c r="M17" s="189">
        <v>385</v>
      </c>
      <c r="N17" s="193">
        <f t="shared" si="0"/>
        <v>626.91666666666663</v>
      </c>
    </row>
    <row r="18" spans="1:14" x14ac:dyDescent="0.3">
      <c r="A18" s="122" t="s">
        <v>25</v>
      </c>
      <c r="B18" s="104">
        <v>0</v>
      </c>
      <c r="C18" s="104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89">
        <v>0</v>
      </c>
      <c r="N18" s="193">
        <f t="shared" si="0"/>
        <v>0</v>
      </c>
    </row>
    <row r="19" spans="1:14" x14ac:dyDescent="0.3">
      <c r="A19" s="122" t="s">
        <v>129</v>
      </c>
      <c r="B19" s="104">
        <v>0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89">
        <v>0</v>
      </c>
      <c r="N19" s="193">
        <f t="shared" si="0"/>
        <v>0</v>
      </c>
    </row>
    <row r="20" spans="1:14" x14ac:dyDescent="0.3">
      <c r="A20" s="122" t="s">
        <v>130</v>
      </c>
      <c r="B20" s="104">
        <v>6</v>
      </c>
      <c r="C20" s="104">
        <v>6</v>
      </c>
      <c r="D20" s="104">
        <v>6</v>
      </c>
      <c r="E20" s="104">
        <v>6</v>
      </c>
      <c r="F20" s="104">
        <v>6</v>
      </c>
      <c r="G20" s="104">
        <v>8</v>
      </c>
      <c r="H20" s="104">
        <v>8</v>
      </c>
      <c r="I20" s="104">
        <v>8</v>
      </c>
      <c r="J20" s="104">
        <v>8</v>
      </c>
      <c r="K20" s="104">
        <v>8</v>
      </c>
      <c r="L20" s="104">
        <v>8</v>
      </c>
      <c r="M20" s="189">
        <v>7</v>
      </c>
      <c r="N20" s="193">
        <f t="shared" si="0"/>
        <v>7.083333333333333</v>
      </c>
    </row>
    <row r="21" spans="1:14" x14ac:dyDescent="0.3">
      <c r="A21" s="122" t="s">
        <v>131</v>
      </c>
      <c r="B21" s="104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89">
        <v>0</v>
      </c>
      <c r="N21" s="193">
        <f t="shared" si="0"/>
        <v>0</v>
      </c>
    </row>
    <row r="22" spans="1:14" x14ac:dyDescent="0.3">
      <c r="A22" s="122" t="s">
        <v>132</v>
      </c>
      <c r="B22" s="104">
        <v>27</v>
      </c>
      <c r="C22" s="104">
        <v>25</v>
      </c>
      <c r="D22" s="104">
        <v>34</v>
      </c>
      <c r="E22" s="104">
        <v>32</v>
      </c>
      <c r="F22" s="104">
        <v>28</v>
      </c>
      <c r="G22" s="104">
        <v>28</v>
      </c>
      <c r="H22" s="104">
        <v>27</v>
      </c>
      <c r="I22" s="104">
        <v>27</v>
      </c>
      <c r="J22" s="104">
        <v>20</v>
      </c>
      <c r="K22" s="104">
        <v>26</v>
      </c>
      <c r="L22" s="104">
        <v>22</v>
      </c>
      <c r="M22" s="189">
        <v>18</v>
      </c>
      <c r="N22" s="193">
        <f t="shared" si="0"/>
        <v>26.166666666666668</v>
      </c>
    </row>
    <row r="23" spans="1:14" x14ac:dyDescent="0.3">
      <c r="A23" s="122" t="s">
        <v>133</v>
      </c>
      <c r="B23" s="104">
        <v>47</v>
      </c>
      <c r="C23" s="104">
        <v>48</v>
      </c>
      <c r="D23" s="104">
        <v>49</v>
      </c>
      <c r="E23" s="104">
        <v>49</v>
      </c>
      <c r="F23" s="104">
        <v>51</v>
      </c>
      <c r="G23" s="104">
        <v>52</v>
      </c>
      <c r="H23" s="104">
        <v>54</v>
      </c>
      <c r="I23" s="104">
        <v>53</v>
      </c>
      <c r="J23" s="104">
        <v>53</v>
      </c>
      <c r="K23" s="104">
        <v>56</v>
      </c>
      <c r="L23" s="104">
        <v>58</v>
      </c>
      <c r="M23" s="189">
        <v>58</v>
      </c>
      <c r="N23" s="193">
        <f t="shared" si="0"/>
        <v>52.333333333333336</v>
      </c>
    </row>
    <row r="24" spans="1:14" x14ac:dyDescent="0.3">
      <c r="A24" s="123" t="s">
        <v>134</v>
      </c>
      <c r="B24" s="104">
        <v>2012</v>
      </c>
      <c r="C24" s="104">
        <v>2067</v>
      </c>
      <c r="D24" s="104">
        <v>2488</v>
      </c>
      <c r="E24" s="104">
        <v>2733</v>
      </c>
      <c r="F24" s="104">
        <v>2906</v>
      </c>
      <c r="G24" s="104">
        <v>3166</v>
      </c>
      <c r="H24" s="104">
        <v>3151</v>
      </c>
      <c r="I24" s="104">
        <v>2556</v>
      </c>
      <c r="J24" s="104">
        <v>2653</v>
      </c>
      <c r="K24" s="104">
        <v>2639</v>
      </c>
      <c r="L24" s="104">
        <v>2579</v>
      </c>
      <c r="M24" s="189">
        <v>2572</v>
      </c>
      <c r="N24" s="193">
        <f t="shared" si="0"/>
        <v>2626.8333333333335</v>
      </c>
    </row>
    <row r="25" spans="1:14" x14ac:dyDescent="0.3">
      <c r="A25" s="122" t="s">
        <v>135</v>
      </c>
      <c r="B25" s="104">
        <v>28</v>
      </c>
      <c r="C25" s="104">
        <v>28</v>
      </c>
      <c r="D25" s="104">
        <v>33</v>
      </c>
      <c r="E25" s="104">
        <v>38</v>
      </c>
      <c r="F25" s="104">
        <v>36</v>
      </c>
      <c r="G25" s="104">
        <v>37</v>
      </c>
      <c r="H25" s="104">
        <v>36</v>
      </c>
      <c r="I25" s="104">
        <v>34</v>
      </c>
      <c r="J25" s="104">
        <v>35</v>
      </c>
      <c r="K25" s="104">
        <v>36</v>
      </c>
      <c r="L25" s="104">
        <v>36</v>
      </c>
      <c r="M25" s="189">
        <v>36</v>
      </c>
      <c r="N25" s="193">
        <f t="shared" si="0"/>
        <v>34.416666666666664</v>
      </c>
    </row>
    <row r="26" spans="1:14" x14ac:dyDescent="0.3">
      <c r="A26" s="122" t="s">
        <v>38</v>
      </c>
      <c r="B26" s="104">
        <v>0</v>
      </c>
      <c r="C26" s="104">
        <v>0</v>
      </c>
      <c r="D26" s="104">
        <v>0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89">
        <v>0</v>
      </c>
      <c r="N26" s="193">
        <f t="shared" si="0"/>
        <v>0</v>
      </c>
    </row>
    <row r="27" spans="1:14" x14ac:dyDescent="0.3">
      <c r="A27" s="122" t="s">
        <v>37</v>
      </c>
      <c r="B27" s="104">
        <v>48</v>
      </c>
      <c r="C27" s="104">
        <v>52</v>
      </c>
      <c r="D27" s="104">
        <v>60</v>
      </c>
      <c r="E27" s="104">
        <v>66</v>
      </c>
      <c r="F27" s="104">
        <v>80</v>
      </c>
      <c r="G27" s="104">
        <v>91</v>
      </c>
      <c r="H27" s="104">
        <v>94</v>
      </c>
      <c r="I27" s="104">
        <v>71</v>
      </c>
      <c r="J27" s="104">
        <v>72</v>
      </c>
      <c r="K27" s="104">
        <v>78</v>
      </c>
      <c r="L27" s="104">
        <v>77</v>
      </c>
      <c r="M27" s="189">
        <v>80</v>
      </c>
      <c r="N27" s="193">
        <f t="shared" si="0"/>
        <v>72.416666666666671</v>
      </c>
    </row>
    <row r="28" spans="1:14" x14ac:dyDescent="0.3">
      <c r="A28" s="122" t="s">
        <v>27</v>
      </c>
      <c r="B28" s="104">
        <v>222</v>
      </c>
      <c r="C28" s="104">
        <v>216</v>
      </c>
      <c r="D28" s="104">
        <v>236</v>
      </c>
      <c r="E28" s="104">
        <v>234</v>
      </c>
      <c r="F28" s="104">
        <v>209</v>
      </c>
      <c r="G28" s="104">
        <v>219</v>
      </c>
      <c r="H28" s="104">
        <v>208</v>
      </c>
      <c r="I28" s="104">
        <v>213</v>
      </c>
      <c r="J28" s="104">
        <v>221</v>
      </c>
      <c r="K28" s="104">
        <v>223</v>
      </c>
      <c r="L28" s="104">
        <v>210</v>
      </c>
      <c r="M28" s="189">
        <v>217</v>
      </c>
      <c r="N28" s="193">
        <f t="shared" si="0"/>
        <v>219</v>
      </c>
    </row>
    <row r="29" spans="1:14" x14ac:dyDescent="0.3">
      <c r="A29" s="122" t="s">
        <v>62</v>
      </c>
      <c r="B29" s="104">
        <v>39</v>
      </c>
      <c r="C29" s="104">
        <v>39</v>
      </c>
      <c r="D29" s="104">
        <v>60</v>
      </c>
      <c r="E29" s="104">
        <v>58</v>
      </c>
      <c r="F29" s="104">
        <v>56</v>
      </c>
      <c r="G29" s="104">
        <v>57</v>
      </c>
      <c r="H29" s="104">
        <v>57</v>
      </c>
      <c r="I29" s="104">
        <v>66</v>
      </c>
      <c r="J29" s="104">
        <v>66</v>
      </c>
      <c r="K29" s="104">
        <v>67</v>
      </c>
      <c r="L29" s="104">
        <v>76</v>
      </c>
      <c r="M29" s="189">
        <v>81</v>
      </c>
      <c r="N29" s="193">
        <f t="shared" si="0"/>
        <v>60.166666666666664</v>
      </c>
    </row>
    <row r="30" spans="1:14" x14ac:dyDescent="0.3">
      <c r="A30" s="122" t="s">
        <v>136</v>
      </c>
      <c r="B30" s="104">
        <v>310</v>
      </c>
      <c r="C30" s="104">
        <v>310</v>
      </c>
      <c r="D30" s="104">
        <v>353</v>
      </c>
      <c r="E30" s="104">
        <v>374</v>
      </c>
      <c r="F30" s="104">
        <v>410</v>
      </c>
      <c r="G30" s="104">
        <v>444</v>
      </c>
      <c r="H30" s="104">
        <v>451</v>
      </c>
      <c r="I30" s="104">
        <v>391</v>
      </c>
      <c r="J30" s="104">
        <v>395</v>
      </c>
      <c r="K30" s="104">
        <v>391</v>
      </c>
      <c r="L30" s="104">
        <v>387</v>
      </c>
      <c r="M30" s="189">
        <v>382</v>
      </c>
      <c r="N30" s="193">
        <f t="shared" si="0"/>
        <v>383.16666666666669</v>
      </c>
    </row>
    <row r="31" spans="1:14" x14ac:dyDescent="0.3">
      <c r="A31" s="122" t="s">
        <v>17</v>
      </c>
      <c r="B31" s="104">
        <v>153</v>
      </c>
      <c r="C31" s="104">
        <v>160</v>
      </c>
      <c r="D31" s="104">
        <v>179</v>
      </c>
      <c r="E31" s="104">
        <v>173</v>
      </c>
      <c r="F31" s="104">
        <v>164</v>
      </c>
      <c r="G31" s="104">
        <v>188</v>
      </c>
      <c r="H31" s="104">
        <v>180</v>
      </c>
      <c r="I31" s="104">
        <v>162</v>
      </c>
      <c r="J31" s="104">
        <v>161</v>
      </c>
      <c r="K31" s="104">
        <v>161</v>
      </c>
      <c r="L31" s="104">
        <v>160</v>
      </c>
      <c r="M31" s="189">
        <v>162</v>
      </c>
      <c r="N31" s="193">
        <f t="shared" si="0"/>
        <v>166.91666666666666</v>
      </c>
    </row>
    <row r="32" spans="1:14" x14ac:dyDescent="0.3">
      <c r="A32" s="122" t="s">
        <v>137</v>
      </c>
      <c r="B32" s="104">
        <v>5</v>
      </c>
      <c r="C32" s="104">
        <v>5</v>
      </c>
      <c r="D32" s="104">
        <v>7</v>
      </c>
      <c r="E32" s="104">
        <v>7</v>
      </c>
      <c r="F32" s="104">
        <v>7</v>
      </c>
      <c r="G32" s="104">
        <v>15</v>
      </c>
      <c r="H32" s="104">
        <v>18</v>
      </c>
      <c r="I32" s="104">
        <v>14</v>
      </c>
      <c r="J32" s="104">
        <v>14</v>
      </c>
      <c r="K32" s="104">
        <v>19</v>
      </c>
      <c r="L32" s="104">
        <v>19</v>
      </c>
      <c r="M32" s="189">
        <v>18</v>
      </c>
      <c r="N32" s="193">
        <f t="shared" si="0"/>
        <v>12.333333333333334</v>
      </c>
    </row>
    <row r="33" spans="1:14" x14ac:dyDescent="0.3">
      <c r="A33" s="123" t="s">
        <v>138</v>
      </c>
      <c r="B33" s="104">
        <v>1589</v>
      </c>
      <c r="C33" s="104">
        <v>1612</v>
      </c>
      <c r="D33" s="104">
        <v>1876</v>
      </c>
      <c r="E33" s="104">
        <v>1924</v>
      </c>
      <c r="F33" s="104">
        <v>1975</v>
      </c>
      <c r="G33" s="104">
        <v>2102</v>
      </c>
      <c r="H33" s="104">
        <v>2089</v>
      </c>
      <c r="I33" s="104">
        <v>1928</v>
      </c>
      <c r="J33" s="104">
        <v>1956</v>
      </c>
      <c r="K33" s="104">
        <v>1986</v>
      </c>
      <c r="L33" s="104">
        <v>1862</v>
      </c>
      <c r="M33" s="189">
        <v>1822</v>
      </c>
      <c r="N33" s="193">
        <f t="shared" si="0"/>
        <v>1893.4166666666667</v>
      </c>
    </row>
    <row r="34" spans="1:14" x14ac:dyDescent="0.3">
      <c r="A34" s="122" t="s">
        <v>139</v>
      </c>
      <c r="B34" s="104">
        <v>31</v>
      </c>
      <c r="C34" s="104">
        <v>30</v>
      </c>
      <c r="D34" s="104">
        <v>40</v>
      </c>
      <c r="E34" s="104">
        <v>37</v>
      </c>
      <c r="F34" s="104">
        <v>37</v>
      </c>
      <c r="G34" s="104">
        <v>40</v>
      </c>
      <c r="H34" s="104">
        <v>43</v>
      </c>
      <c r="I34" s="104">
        <v>48</v>
      </c>
      <c r="J34" s="104">
        <v>48</v>
      </c>
      <c r="K34" s="104">
        <v>48</v>
      </c>
      <c r="L34" s="104">
        <v>41</v>
      </c>
      <c r="M34" s="189">
        <v>38</v>
      </c>
      <c r="N34" s="193">
        <f t="shared" si="0"/>
        <v>40.083333333333336</v>
      </c>
    </row>
    <row r="35" spans="1:14" x14ac:dyDescent="0.3">
      <c r="A35" s="122" t="s">
        <v>140</v>
      </c>
      <c r="B35" s="104">
        <v>1014</v>
      </c>
      <c r="C35" s="104">
        <v>1054</v>
      </c>
      <c r="D35" s="104">
        <v>1205</v>
      </c>
      <c r="E35" s="104">
        <v>1514</v>
      </c>
      <c r="F35" s="104">
        <v>1719</v>
      </c>
      <c r="G35" s="104">
        <v>1826</v>
      </c>
      <c r="H35" s="104">
        <v>1875</v>
      </c>
      <c r="I35" s="104">
        <v>1357</v>
      </c>
      <c r="J35" s="139">
        <v>1405</v>
      </c>
      <c r="K35" s="139">
        <v>1425</v>
      </c>
      <c r="L35" s="139">
        <v>1436</v>
      </c>
      <c r="M35" s="190">
        <v>1457</v>
      </c>
      <c r="N35" s="193">
        <f t="shared" si="0"/>
        <v>1440.5833333333333</v>
      </c>
    </row>
    <row r="36" spans="1:14" x14ac:dyDescent="0.3">
      <c r="A36" s="122" t="s">
        <v>141</v>
      </c>
      <c r="B36" s="104">
        <v>116</v>
      </c>
      <c r="C36" s="104">
        <v>125</v>
      </c>
      <c r="D36" s="104">
        <v>138</v>
      </c>
      <c r="E36" s="104">
        <v>211</v>
      </c>
      <c r="F36" s="104">
        <v>255</v>
      </c>
      <c r="G36" s="104">
        <v>281</v>
      </c>
      <c r="H36" s="104">
        <v>271</v>
      </c>
      <c r="I36" s="104">
        <v>163</v>
      </c>
      <c r="J36" s="104">
        <v>159</v>
      </c>
      <c r="K36" s="104">
        <v>169</v>
      </c>
      <c r="L36" s="104">
        <v>172</v>
      </c>
      <c r="M36" s="189">
        <v>172</v>
      </c>
      <c r="N36" s="193">
        <f t="shared" si="0"/>
        <v>186</v>
      </c>
    </row>
    <row r="37" spans="1:14" x14ac:dyDescent="0.3">
      <c r="A37" s="122" t="s">
        <v>142</v>
      </c>
      <c r="B37" s="104">
        <v>0</v>
      </c>
      <c r="C37" s="104">
        <v>0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89">
        <v>0</v>
      </c>
      <c r="N37" s="193">
        <f t="shared" si="0"/>
        <v>0</v>
      </c>
    </row>
    <row r="38" spans="1:14" x14ac:dyDescent="0.3">
      <c r="A38" s="122" t="s">
        <v>143</v>
      </c>
      <c r="B38" s="104">
        <v>194</v>
      </c>
      <c r="C38" s="104">
        <v>204</v>
      </c>
      <c r="D38" s="104">
        <v>245</v>
      </c>
      <c r="E38" s="104">
        <v>244</v>
      </c>
      <c r="F38" s="104">
        <v>257</v>
      </c>
      <c r="G38" s="104">
        <v>275</v>
      </c>
      <c r="H38" s="104">
        <v>291</v>
      </c>
      <c r="I38" s="104">
        <v>258</v>
      </c>
      <c r="J38" s="104">
        <v>266</v>
      </c>
      <c r="K38" s="104">
        <v>279</v>
      </c>
      <c r="L38" s="104">
        <v>280</v>
      </c>
      <c r="M38" s="189">
        <v>274</v>
      </c>
      <c r="N38" s="193">
        <f t="shared" si="0"/>
        <v>255.58333333333334</v>
      </c>
    </row>
    <row r="39" spans="1:14" x14ac:dyDescent="0.3">
      <c r="A39" s="122" t="s">
        <v>144</v>
      </c>
      <c r="B39" s="104">
        <v>107</v>
      </c>
      <c r="C39" s="104">
        <v>112</v>
      </c>
      <c r="D39" s="104">
        <v>123</v>
      </c>
      <c r="E39" s="104">
        <v>147</v>
      </c>
      <c r="F39" s="104">
        <v>136</v>
      </c>
      <c r="G39" s="104">
        <v>151</v>
      </c>
      <c r="H39" s="104">
        <v>163</v>
      </c>
      <c r="I39" s="104">
        <v>133</v>
      </c>
      <c r="J39" s="104">
        <v>135</v>
      </c>
      <c r="K39" s="104">
        <v>133</v>
      </c>
      <c r="L39" s="104">
        <v>137</v>
      </c>
      <c r="M39" s="189">
        <v>120</v>
      </c>
      <c r="N39" s="193">
        <f t="shared" si="0"/>
        <v>133.08333333333334</v>
      </c>
    </row>
    <row r="40" spans="1:14" x14ac:dyDescent="0.3">
      <c r="A40" s="122" t="s">
        <v>145</v>
      </c>
      <c r="B40" s="104">
        <v>69</v>
      </c>
      <c r="C40" s="104">
        <v>74</v>
      </c>
      <c r="D40" s="104">
        <v>75</v>
      </c>
      <c r="E40" s="104">
        <v>79</v>
      </c>
      <c r="F40" s="104">
        <v>85</v>
      </c>
      <c r="G40" s="104">
        <v>85</v>
      </c>
      <c r="H40" s="104">
        <v>84</v>
      </c>
      <c r="I40" s="104">
        <v>76</v>
      </c>
      <c r="J40" s="104">
        <v>79</v>
      </c>
      <c r="K40" s="104">
        <v>78</v>
      </c>
      <c r="L40" s="104">
        <v>77</v>
      </c>
      <c r="M40" s="189">
        <v>75</v>
      </c>
      <c r="N40" s="193">
        <f t="shared" si="0"/>
        <v>78</v>
      </c>
    </row>
    <row r="41" spans="1:14" x14ac:dyDescent="0.3">
      <c r="A41" s="122" t="s">
        <v>146</v>
      </c>
      <c r="B41" s="104">
        <v>106</v>
      </c>
      <c r="C41" s="104">
        <v>106</v>
      </c>
      <c r="D41" s="104">
        <v>123</v>
      </c>
      <c r="E41" s="104">
        <v>121</v>
      </c>
      <c r="F41" s="104">
        <v>120</v>
      </c>
      <c r="G41" s="104">
        <v>122</v>
      </c>
      <c r="H41" s="104">
        <v>127</v>
      </c>
      <c r="I41" s="104">
        <v>129</v>
      </c>
      <c r="J41" s="104">
        <v>126</v>
      </c>
      <c r="K41" s="104">
        <v>123</v>
      </c>
      <c r="L41" s="104">
        <v>112</v>
      </c>
      <c r="M41" s="189">
        <v>106</v>
      </c>
      <c r="N41" s="193">
        <f t="shared" si="0"/>
        <v>118.41666666666667</v>
      </c>
    </row>
    <row r="42" spans="1:14" x14ac:dyDescent="0.3">
      <c r="A42" s="122" t="s">
        <v>147</v>
      </c>
      <c r="B42" s="104">
        <v>324</v>
      </c>
      <c r="C42" s="104">
        <v>354</v>
      </c>
      <c r="D42" s="104">
        <v>399</v>
      </c>
      <c r="E42" s="104">
        <v>408</v>
      </c>
      <c r="F42" s="104">
        <v>439</v>
      </c>
      <c r="G42" s="104">
        <v>461</v>
      </c>
      <c r="H42" s="104">
        <v>446</v>
      </c>
      <c r="I42" s="104">
        <v>389</v>
      </c>
      <c r="J42" s="104">
        <v>401</v>
      </c>
      <c r="K42" s="104">
        <v>407</v>
      </c>
      <c r="L42" s="104">
        <v>420</v>
      </c>
      <c r="M42" s="189">
        <v>425</v>
      </c>
      <c r="N42" s="193">
        <f t="shared" si="0"/>
        <v>406.08333333333331</v>
      </c>
    </row>
    <row r="43" spans="1:14" x14ac:dyDescent="0.3">
      <c r="A43" s="123" t="s">
        <v>148</v>
      </c>
      <c r="B43" s="104">
        <v>1066</v>
      </c>
      <c r="C43" s="104">
        <v>1106</v>
      </c>
      <c r="D43" s="104">
        <v>1296</v>
      </c>
      <c r="E43" s="104">
        <v>1380</v>
      </c>
      <c r="F43" s="104">
        <v>1423</v>
      </c>
      <c r="G43" s="104">
        <v>1477</v>
      </c>
      <c r="H43" s="104">
        <v>1486</v>
      </c>
      <c r="I43" s="104">
        <v>1338</v>
      </c>
      <c r="J43" s="104">
        <v>1392</v>
      </c>
      <c r="K43" s="104">
        <v>1360</v>
      </c>
      <c r="L43" s="104">
        <v>1234</v>
      </c>
      <c r="M43" s="189">
        <v>1142</v>
      </c>
      <c r="N43" s="193">
        <f t="shared" si="0"/>
        <v>1308.3333333333333</v>
      </c>
    </row>
    <row r="44" spans="1:14" x14ac:dyDescent="0.3">
      <c r="A44" s="122" t="s">
        <v>36</v>
      </c>
      <c r="B44" s="104">
        <v>633</v>
      </c>
      <c r="C44" s="104">
        <v>679</v>
      </c>
      <c r="D44" s="104">
        <v>783</v>
      </c>
      <c r="E44" s="104">
        <v>900</v>
      </c>
      <c r="F44" s="104">
        <v>1091</v>
      </c>
      <c r="G44" s="104">
        <v>1122</v>
      </c>
      <c r="H44" s="104">
        <v>1148</v>
      </c>
      <c r="I44" s="104">
        <v>854</v>
      </c>
      <c r="J44" s="104">
        <v>887</v>
      </c>
      <c r="K44" s="104">
        <v>879</v>
      </c>
      <c r="L44" s="104">
        <v>892</v>
      </c>
      <c r="M44" s="189">
        <v>906</v>
      </c>
      <c r="N44" s="193">
        <f t="shared" si="0"/>
        <v>897.83333333333337</v>
      </c>
    </row>
    <row r="45" spans="1:14" x14ac:dyDescent="0.3">
      <c r="A45" s="122" t="s">
        <v>15</v>
      </c>
      <c r="B45" s="104">
        <v>21</v>
      </c>
      <c r="C45" s="104">
        <v>20</v>
      </c>
      <c r="D45" s="104">
        <v>26</v>
      </c>
      <c r="E45" s="104">
        <v>30</v>
      </c>
      <c r="F45" s="104">
        <v>36</v>
      </c>
      <c r="G45" s="104">
        <v>41</v>
      </c>
      <c r="H45" s="104">
        <v>37</v>
      </c>
      <c r="I45" s="104">
        <v>28</v>
      </c>
      <c r="J45" s="104">
        <v>32</v>
      </c>
      <c r="K45" s="104">
        <v>21</v>
      </c>
      <c r="L45" s="104">
        <v>17</v>
      </c>
      <c r="M45" s="189">
        <v>20</v>
      </c>
      <c r="N45" s="193">
        <f t="shared" si="0"/>
        <v>27.416666666666668</v>
      </c>
    </row>
    <row r="46" spans="1:14" x14ac:dyDescent="0.3">
      <c r="A46" s="122" t="s">
        <v>18</v>
      </c>
      <c r="B46" s="104">
        <v>160</v>
      </c>
      <c r="C46" s="104">
        <v>158</v>
      </c>
      <c r="D46" s="104">
        <v>176</v>
      </c>
      <c r="E46" s="104">
        <v>257</v>
      </c>
      <c r="F46" s="104">
        <v>270</v>
      </c>
      <c r="G46" s="104">
        <v>291</v>
      </c>
      <c r="H46" s="104">
        <v>289</v>
      </c>
      <c r="I46" s="104">
        <v>194</v>
      </c>
      <c r="J46" s="104">
        <v>224</v>
      </c>
      <c r="K46" s="104">
        <v>210</v>
      </c>
      <c r="L46" s="104">
        <v>216</v>
      </c>
      <c r="M46" s="189">
        <v>213</v>
      </c>
      <c r="N46" s="193">
        <f t="shared" si="0"/>
        <v>221.5</v>
      </c>
    </row>
    <row r="47" spans="1:14" x14ac:dyDescent="0.3">
      <c r="A47" s="122" t="s">
        <v>35</v>
      </c>
      <c r="B47" s="104">
        <v>737</v>
      </c>
      <c r="C47" s="104">
        <v>730</v>
      </c>
      <c r="D47" s="104">
        <v>878</v>
      </c>
      <c r="E47" s="104">
        <v>974</v>
      </c>
      <c r="F47" s="104">
        <v>1045</v>
      </c>
      <c r="G47" s="104">
        <v>1368</v>
      </c>
      <c r="H47" s="104">
        <v>1364</v>
      </c>
      <c r="I47" s="104">
        <v>1011</v>
      </c>
      <c r="J47" s="104">
        <v>1019</v>
      </c>
      <c r="K47" s="104">
        <v>1009</v>
      </c>
      <c r="L47" s="104">
        <v>1059</v>
      </c>
      <c r="M47" s="189">
        <v>1091</v>
      </c>
      <c r="N47" s="193">
        <f t="shared" si="0"/>
        <v>1023.75</v>
      </c>
    </row>
    <row r="48" spans="1:14" x14ac:dyDescent="0.3">
      <c r="A48" s="122" t="s">
        <v>24</v>
      </c>
      <c r="B48" s="104">
        <v>0</v>
      </c>
      <c r="C48" s="104">
        <v>3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89">
        <v>0</v>
      </c>
      <c r="N48" s="193">
        <f t="shared" si="0"/>
        <v>0.25</v>
      </c>
    </row>
    <row r="49" spans="1:14" x14ac:dyDescent="0.3">
      <c r="A49" s="122" t="s">
        <v>34</v>
      </c>
      <c r="B49" s="104">
        <v>69</v>
      </c>
      <c r="C49" s="104">
        <v>77</v>
      </c>
      <c r="D49" s="104">
        <v>95</v>
      </c>
      <c r="E49" s="104">
        <v>111</v>
      </c>
      <c r="F49" s="104">
        <v>139</v>
      </c>
      <c r="G49" s="104">
        <v>164</v>
      </c>
      <c r="H49" s="104">
        <v>163</v>
      </c>
      <c r="I49" s="104">
        <v>107</v>
      </c>
      <c r="J49" s="104">
        <v>114</v>
      </c>
      <c r="K49" s="104">
        <v>115</v>
      </c>
      <c r="L49" s="104">
        <v>106</v>
      </c>
      <c r="M49" s="189">
        <v>115</v>
      </c>
      <c r="N49" s="193">
        <f t="shared" si="0"/>
        <v>114.58333333333333</v>
      </c>
    </row>
    <row r="50" spans="1:14" x14ac:dyDescent="0.3">
      <c r="A50" s="122" t="s">
        <v>33</v>
      </c>
      <c r="B50" s="104">
        <v>36</v>
      </c>
      <c r="C50" s="104">
        <v>45</v>
      </c>
      <c r="D50" s="104">
        <v>84</v>
      </c>
      <c r="E50" s="104">
        <v>51</v>
      </c>
      <c r="F50" s="104">
        <v>49</v>
      </c>
      <c r="G50" s="104">
        <v>51</v>
      </c>
      <c r="H50" s="104">
        <v>56</v>
      </c>
      <c r="I50" s="104">
        <v>58</v>
      </c>
      <c r="J50" s="104">
        <v>58</v>
      </c>
      <c r="K50" s="104">
        <v>60</v>
      </c>
      <c r="L50" s="104">
        <v>60</v>
      </c>
      <c r="M50" s="189">
        <v>59</v>
      </c>
      <c r="N50" s="193">
        <f t="shared" si="0"/>
        <v>55.583333333333336</v>
      </c>
    </row>
    <row r="51" spans="1:14" x14ac:dyDescent="0.3">
      <c r="A51" s="122" t="s">
        <v>16</v>
      </c>
      <c r="B51" s="104">
        <v>143</v>
      </c>
      <c r="C51" s="104">
        <v>150</v>
      </c>
      <c r="D51" s="104">
        <v>178</v>
      </c>
      <c r="E51" s="104">
        <v>198</v>
      </c>
      <c r="F51" s="104">
        <v>200</v>
      </c>
      <c r="G51" s="104">
        <v>260</v>
      </c>
      <c r="H51" s="104">
        <v>265</v>
      </c>
      <c r="I51" s="104">
        <v>198</v>
      </c>
      <c r="J51" s="104">
        <v>203</v>
      </c>
      <c r="K51" s="104">
        <v>203</v>
      </c>
      <c r="L51" s="104">
        <v>199</v>
      </c>
      <c r="M51" s="189">
        <v>210</v>
      </c>
      <c r="N51" s="193">
        <f t="shared" si="0"/>
        <v>200.58333333333334</v>
      </c>
    </row>
    <row r="52" spans="1:14" x14ac:dyDescent="0.3">
      <c r="A52" s="122" t="s">
        <v>32</v>
      </c>
      <c r="B52" s="104">
        <v>91</v>
      </c>
      <c r="C52" s="104">
        <v>92</v>
      </c>
      <c r="D52" s="104">
        <v>108</v>
      </c>
      <c r="E52" s="104">
        <v>108</v>
      </c>
      <c r="F52" s="104">
        <v>108</v>
      </c>
      <c r="G52" s="104">
        <v>110</v>
      </c>
      <c r="H52" s="104">
        <v>111</v>
      </c>
      <c r="I52" s="104">
        <v>113</v>
      </c>
      <c r="J52" s="104">
        <v>108</v>
      </c>
      <c r="K52" s="104">
        <v>108</v>
      </c>
      <c r="L52" s="104">
        <v>102</v>
      </c>
      <c r="M52" s="189">
        <v>95</v>
      </c>
      <c r="N52" s="193">
        <f t="shared" si="0"/>
        <v>104.5</v>
      </c>
    </row>
    <row r="53" spans="1:14" x14ac:dyDescent="0.3">
      <c r="A53" s="122" t="s">
        <v>31</v>
      </c>
      <c r="B53" s="104">
        <v>14</v>
      </c>
      <c r="C53" s="104">
        <v>14</v>
      </c>
      <c r="D53" s="104">
        <v>21</v>
      </c>
      <c r="E53" s="104">
        <v>22</v>
      </c>
      <c r="F53" s="104">
        <v>20</v>
      </c>
      <c r="G53" s="104">
        <v>22</v>
      </c>
      <c r="H53" s="104">
        <v>19</v>
      </c>
      <c r="I53" s="104">
        <v>19</v>
      </c>
      <c r="J53" s="104">
        <v>19</v>
      </c>
      <c r="K53" s="104">
        <v>18</v>
      </c>
      <c r="L53" s="104">
        <v>11</v>
      </c>
      <c r="M53" s="189">
        <v>13</v>
      </c>
      <c r="N53" s="193">
        <f t="shared" si="0"/>
        <v>17.666666666666668</v>
      </c>
    </row>
    <row r="54" spans="1:14" x14ac:dyDescent="0.3">
      <c r="A54" s="122" t="s">
        <v>77</v>
      </c>
      <c r="B54" s="104">
        <v>26</v>
      </c>
      <c r="C54" s="104">
        <v>28</v>
      </c>
      <c r="D54" s="104">
        <v>30</v>
      </c>
      <c r="E54" s="104">
        <v>34</v>
      </c>
      <c r="F54" s="104">
        <v>36</v>
      </c>
      <c r="G54" s="104">
        <v>36</v>
      </c>
      <c r="H54" s="104">
        <v>36</v>
      </c>
      <c r="I54" s="104">
        <v>29</v>
      </c>
      <c r="J54" s="104">
        <v>32</v>
      </c>
      <c r="K54" s="104">
        <v>35</v>
      </c>
      <c r="L54" s="104">
        <v>31</v>
      </c>
      <c r="M54" s="189">
        <v>34</v>
      </c>
      <c r="N54" s="193">
        <f t="shared" si="0"/>
        <v>32.25</v>
      </c>
    </row>
    <row r="55" spans="1:14" x14ac:dyDescent="0.3">
      <c r="A55" s="122" t="s">
        <v>30</v>
      </c>
      <c r="B55" s="104">
        <v>254</v>
      </c>
      <c r="C55" s="104">
        <v>270</v>
      </c>
      <c r="D55" s="104">
        <v>325</v>
      </c>
      <c r="E55" s="104">
        <v>307</v>
      </c>
      <c r="F55" s="104">
        <v>313</v>
      </c>
      <c r="G55" s="104">
        <v>322</v>
      </c>
      <c r="H55" s="104">
        <v>299</v>
      </c>
      <c r="I55" s="104">
        <v>306</v>
      </c>
      <c r="J55" s="104">
        <v>309</v>
      </c>
      <c r="K55" s="104">
        <v>297</v>
      </c>
      <c r="L55" s="104">
        <v>302</v>
      </c>
      <c r="M55" s="189">
        <v>294</v>
      </c>
      <c r="N55" s="193">
        <f t="shared" si="0"/>
        <v>299.83333333333331</v>
      </c>
    </row>
    <row r="56" spans="1:14" x14ac:dyDescent="0.3">
      <c r="A56" s="122" t="s">
        <v>21</v>
      </c>
      <c r="B56" s="104">
        <v>404</v>
      </c>
      <c r="C56" s="104">
        <v>411</v>
      </c>
      <c r="D56" s="104">
        <v>463</v>
      </c>
      <c r="E56" s="104">
        <v>458</v>
      </c>
      <c r="F56" s="104">
        <v>484</v>
      </c>
      <c r="G56" s="104">
        <v>493</v>
      </c>
      <c r="H56" s="104">
        <v>516</v>
      </c>
      <c r="I56" s="104">
        <v>471</v>
      </c>
      <c r="J56" s="104">
        <v>484</v>
      </c>
      <c r="K56" s="104">
        <v>467</v>
      </c>
      <c r="L56" s="104">
        <v>465</v>
      </c>
      <c r="M56" s="189">
        <v>451</v>
      </c>
      <c r="N56" s="193">
        <f t="shared" si="0"/>
        <v>463.91666666666669</v>
      </c>
    </row>
    <row r="57" spans="1:14" x14ac:dyDescent="0.3">
      <c r="A57" s="122" t="s">
        <v>22</v>
      </c>
      <c r="B57" s="104">
        <v>215</v>
      </c>
      <c r="C57" s="104">
        <v>220</v>
      </c>
      <c r="D57" s="104">
        <v>242</v>
      </c>
      <c r="E57" s="104">
        <v>258</v>
      </c>
      <c r="F57" s="104">
        <v>278</v>
      </c>
      <c r="G57" s="104">
        <v>311</v>
      </c>
      <c r="H57" s="104">
        <v>313</v>
      </c>
      <c r="I57" s="104">
        <v>262</v>
      </c>
      <c r="J57" s="104">
        <v>266</v>
      </c>
      <c r="K57" s="104">
        <v>264</v>
      </c>
      <c r="L57" s="104">
        <v>264</v>
      </c>
      <c r="M57" s="189">
        <v>269</v>
      </c>
      <c r="N57" s="193">
        <f t="shared" si="0"/>
        <v>263.5</v>
      </c>
    </row>
    <row r="58" spans="1:14" x14ac:dyDescent="0.3">
      <c r="A58" s="122" t="s">
        <v>79</v>
      </c>
      <c r="B58" s="104">
        <v>43</v>
      </c>
      <c r="C58" s="104">
        <v>46</v>
      </c>
      <c r="D58" s="104">
        <v>48</v>
      </c>
      <c r="E58" s="104">
        <v>49</v>
      </c>
      <c r="F58" s="104">
        <v>47</v>
      </c>
      <c r="G58" s="104">
        <v>46</v>
      </c>
      <c r="H58" s="104">
        <v>46</v>
      </c>
      <c r="I58" s="104">
        <v>44</v>
      </c>
      <c r="J58" s="104">
        <v>43</v>
      </c>
      <c r="K58" s="104">
        <v>40</v>
      </c>
      <c r="L58" s="104">
        <v>46</v>
      </c>
      <c r="M58" s="189">
        <v>45</v>
      </c>
      <c r="N58" s="193">
        <f t="shared" si="0"/>
        <v>45.25</v>
      </c>
    </row>
    <row r="59" spans="1:14" x14ac:dyDescent="0.3">
      <c r="A59" s="122" t="s">
        <v>149</v>
      </c>
      <c r="B59" s="104">
        <v>502</v>
      </c>
      <c r="C59" s="104">
        <v>517</v>
      </c>
      <c r="D59" s="104">
        <v>592</v>
      </c>
      <c r="E59" s="104">
        <v>828</v>
      </c>
      <c r="F59" s="104">
        <v>1015</v>
      </c>
      <c r="G59" s="104">
        <v>1121</v>
      </c>
      <c r="H59" s="104">
        <v>1142</v>
      </c>
      <c r="I59" s="104">
        <v>715</v>
      </c>
      <c r="J59" s="104">
        <v>731</v>
      </c>
      <c r="K59" s="104">
        <v>726</v>
      </c>
      <c r="L59" s="104">
        <v>718</v>
      </c>
      <c r="M59" s="189">
        <v>719</v>
      </c>
      <c r="N59" s="193">
        <f t="shared" si="0"/>
        <v>777.16666666666663</v>
      </c>
    </row>
    <row r="60" spans="1:14" x14ac:dyDescent="0.3">
      <c r="A60" s="122" t="s">
        <v>29</v>
      </c>
      <c r="B60" s="104">
        <v>586</v>
      </c>
      <c r="C60" s="104">
        <v>597</v>
      </c>
      <c r="D60" s="104">
        <v>688</v>
      </c>
      <c r="E60" s="104">
        <v>685</v>
      </c>
      <c r="F60" s="104">
        <v>734</v>
      </c>
      <c r="G60" s="104">
        <v>787</v>
      </c>
      <c r="H60" s="104">
        <v>789</v>
      </c>
      <c r="I60" s="104">
        <v>699</v>
      </c>
      <c r="J60" s="104">
        <v>700</v>
      </c>
      <c r="K60" s="104">
        <v>702</v>
      </c>
      <c r="L60" s="104">
        <v>664</v>
      </c>
      <c r="M60" s="189">
        <v>661</v>
      </c>
      <c r="N60" s="193">
        <f t="shared" si="0"/>
        <v>691</v>
      </c>
    </row>
    <row r="61" spans="1:14" x14ac:dyDescent="0.3">
      <c r="A61" s="122" t="s">
        <v>82</v>
      </c>
      <c r="B61" s="104">
        <v>1</v>
      </c>
      <c r="C61" s="104">
        <v>1</v>
      </c>
      <c r="D61" s="104">
        <v>0</v>
      </c>
      <c r="E61" s="104">
        <v>1</v>
      </c>
      <c r="F61" s="104">
        <v>1</v>
      </c>
      <c r="G61" s="104">
        <v>1</v>
      </c>
      <c r="H61" s="104">
        <v>1</v>
      </c>
      <c r="I61" s="104">
        <v>1</v>
      </c>
      <c r="J61" s="104">
        <v>1</v>
      </c>
      <c r="K61" s="104">
        <v>1</v>
      </c>
      <c r="L61" s="104">
        <v>1</v>
      </c>
      <c r="M61" s="189">
        <v>1</v>
      </c>
      <c r="N61" s="193">
        <f t="shared" si="0"/>
        <v>0.91666666666666663</v>
      </c>
    </row>
    <row r="62" spans="1:14" x14ac:dyDescent="0.3">
      <c r="A62" s="122" t="s">
        <v>150</v>
      </c>
      <c r="B62" s="104">
        <v>263</v>
      </c>
      <c r="C62" s="104">
        <v>263</v>
      </c>
      <c r="D62" s="104">
        <v>320</v>
      </c>
      <c r="E62" s="104">
        <v>343</v>
      </c>
      <c r="F62" s="104">
        <v>397</v>
      </c>
      <c r="G62" s="104">
        <v>429</v>
      </c>
      <c r="H62" s="104">
        <v>435</v>
      </c>
      <c r="I62" s="104">
        <v>301</v>
      </c>
      <c r="J62" s="104">
        <v>317</v>
      </c>
      <c r="K62" s="104">
        <v>321</v>
      </c>
      <c r="L62" s="104">
        <v>313</v>
      </c>
      <c r="M62" s="189">
        <v>333</v>
      </c>
      <c r="N62" s="193">
        <f t="shared" si="0"/>
        <v>336.25</v>
      </c>
    </row>
    <row r="63" spans="1:14" x14ac:dyDescent="0.3">
      <c r="A63" s="122" t="s">
        <v>84</v>
      </c>
      <c r="B63" s="104">
        <v>8</v>
      </c>
      <c r="C63" s="104">
        <v>9</v>
      </c>
      <c r="D63" s="104">
        <v>10</v>
      </c>
      <c r="E63" s="104">
        <v>25</v>
      </c>
      <c r="F63" s="104">
        <v>28</v>
      </c>
      <c r="G63" s="104">
        <v>30</v>
      </c>
      <c r="H63" s="104">
        <v>30</v>
      </c>
      <c r="I63" s="104">
        <v>18</v>
      </c>
      <c r="J63" s="104">
        <v>20</v>
      </c>
      <c r="K63" s="104">
        <v>20</v>
      </c>
      <c r="L63" s="104">
        <v>26</v>
      </c>
      <c r="M63" s="189">
        <v>27</v>
      </c>
      <c r="N63" s="193">
        <f t="shared" si="0"/>
        <v>20.916666666666668</v>
      </c>
    </row>
    <row r="64" spans="1:14" x14ac:dyDescent="0.3">
      <c r="A64" s="122" t="s">
        <v>85</v>
      </c>
      <c r="B64" s="104">
        <v>174</v>
      </c>
      <c r="C64" s="104">
        <v>179</v>
      </c>
      <c r="D64" s="104">
        <v>219</v>
      </c>
      <c r="E64" s="104">
        <v>278</v>
      </c>
      <c r="F64" s="104">
        <v>389</v>
      </c>
      <c r="G64" s="104">
        <v>417</v>
      </c>
      <c r="H64" s="104">
        <v>416</v>
      </c>
      <c r="I64" s="104">
        <v>252</v>
      </c>
      <c r="J64" s="104">
        <v>262</v>
      </c>
      <c r="K64" s="104">
        <v>271</v>
      </c>
      <c r="L64" s="104">
        <v>277</v>
      </c>
      <c r="M64" s="189">
        <v>299</v>
      </c>
      <c r="N64" s="193">
        <f t="shared" si="0"/>
        <v>286.08333333333331</v>
      </c>
    </row>
    <row r="65" spans="1:14" x14ac:dyDescent="0.3">
      <c r="A65" s="122" t="s">
        <v>151</v>
      </c>
      <c r="B65" s="104">
        <v>18</v>
      </c>
      <c r="C65" s="104">
        <v>19</v>
      </c>
      <c r="D65" s="104">
        <v>22</v>
      </c>
      <c r="E65" s="104">
        <v>21</v>
      </c>
      <c r="F65" s="104">
        <v>20</v>
      </c>
      <c r="G65" s="104">
        <v>25</v>
      </c>
      <c r="H65" s="104">
        <v>24</v>
      </c>
      <c r="I65" s="104">
        <v>19</v>
      </c>
      <c r="J65" s="104">
        <v>20</v>
      </c>
      <c r="K65" s="104">
        <v>22</v>
      </c>
      <c r="L65" s="104">
        <v>22</v>
      </c>
      <c r="M65" s="189">
        <v>26</v>
      </c>
      <c r="N65" s="193">
        <f t="shared" si="0"/>
        <v>21.5</v>
      </c>
    </row>
    <row r="66" spans="1:14" x14ac:dyDescent="0.3">
      <c r="A66" s="122" t="s">
        <v>152</v>
      </c>
      <c r="B66" s="104">
        <v>155</v>
      </c>
      <c r="C66" s="104">
        <v>158</v>
      </c>
      <c r="D66" s="104">
        <v>203</v>
      </c>
      <c r="E66" s="104">
        <v>206</v>
      </c>
      <c r="F66" s="104">
        <v>250</v>
      </c>
      <c r="G66" s="104">
        <v>264</v>
      </c>
      <c r="H66" s="104">
        <v>266</v>
      </c>
      <c r="I66" s="104">
        <v>204</v>
      </c>
      <c r="J66" s="104">
        <v>205</v>
      </c>
      <c r="K66" s="104">
        <v>204</v>
      </c>
      <c r="L66" s="104">
        <v>206</v>
      </c>
      <c r="M66" s="189">
        <v>205</v>
      </c>
      <c r="N66" s="193">
        <f t="shared" si="0"/>
        <v>210.5</v>
      </c>
    </row>
    <row r="67" spans="1:14" x14ac:dyDescent="0.3">
      <c r="A67" s="122" t="s">
        <v>153</v>
      </c>
      <c r="B67" s="104">
        <v>82</v>
      </c>
      <c r="C67" s="104">
        <v>78</v>
      </c>
      <c r="D67" s="104">
        <v>83</v>
      </c>
      <c r="E67" s="104">
        <v>103</v>
      </c>
      <c r="F67" s="104">
        <v>156</v>
      </c>
      <c r="G67" s="104">
        <v>164</v>
      </c>
      <c r="H67" s="104">
        <v>161</v>
      </c>
      <c r="I67" s="104">
        <v>93</v>
      </c>
      <c r="J67" s="104">
        <v>95</v>
      </c>
      <c r="K67" s="104">
        <v>99</v>
      </c>
      <c r="L67" s="104">
        <v>93</v>
      </c>
      <c r="M67" s="189">
        <v>98</v>
      </c>
      <c r="N67" s="193">
        <f t="shared" si="0"/>
        <v>108.75</v>
      </c>
    </row>
    <row r="68" spans="1:14" x14ac:dyDescent="0.3">
      <c r="A68" s="122" t="s">
        <v>157</v>
      </c>
      <c r="B68" s="104">
        <v>77</v>
      </c>
      <c r="C68" s="104">
        <v>75</v>
      </c>
      <c r="D68" s="104">
        <v>81</v>
      </c>
      <c r="E68" s="104">
        <v>106</v>
      </c>
      <c r="F68" s="104">
        <v>116</v>
      </c>
      <c r="G68" s="104">
        <v>122</v>
      </c>
      <c r="H68" s="104">
        <v>120</v>
      </c>
      <c r="I68" s="104">
        <v>86</v>
      </c>
      <c r="J68" s="104">
        <v>90</v>
      </c>
      <c r="K68" s="104">
        <v>92</v>
      </c>
      <c r="L68" s="104">
        <v>98</v>
      </c>
      <c r="M68" s="189">
        <v>103</v>
      </c>
      <c r="N68" s="193">
        <f t="shared" si="0"/>
        <v>97.166666666666671</v>
      </c>
    </row>
    <row r="69" spans="1:14" x14ac:dyDescent="0.3">
      <c r="A69" s="123" t="s">
        <v>154</v>
      </c>
      <c r="B69" s="104">
        <v>1</v>
      </c>
      <c r="C69" s="104">
        <v>1</v>
      </c>
      <c r="D69" s="104">
        <v>1</v>
      </c>
      <c r="E69" s="104">
        <v>1</v>
      </c>
      <c r="F69" s="104">
        <v>1</v>
      </c>
      <c r="G69" s="104">
        <v>4</v>
      </c>
      <c r="H69" s="104">
        <v>4</v>
      </c>
      <c r="I69" s="104">
        <v>1</v>
      </c>
      <c r="J69" s="104">
        <v>1</v>
      </c>
      <c r="K69" s="104">
        <v>1</v>
      </c>
      <c r="L69" s="104">
        <v>1</v>
      </c>
      <c r="M69" s="189">
        <v>1</v>
      </c>
      <c r="N69" s="193">
        <f t="shared" si="0"/>
        <v>1.5</v>
      </c>
    </row>
    <row r="70" spans="1:14" x14ac:dyDescent="0.3">
      <c r="A70" s="122" t="s">
        <v>28</v>
      </c>
      <c r="B70" s="104">
        <v>7</v>
      </c>
      <c r="C70" s="104">
        <v>12</v>
      </c>
      <c r="D70" s="104">
        <v>16</v>
      </c>
      <c r="E70" s="104">
        <v>19</v>
      </c>
      <c r="F70" s="104">
        <v>22</v>
      </c>
      <c r="G70" s="104">
        <v>26</v>
      </c>
      <c r="H70" s="104">
        <v>26</v>
      </c>
      <c r="I70" s="104">
        <v>19</v>
      </c>
      <c r="J70" s="104">
        <v>23</v>
      </c>
      <c r="K70" s="104">
        <v>21</v>
      </c>
      <c r="L70" s="104">
        <v>22</v>
      </c>
      <c r="M70" s="189">
        <v>25</v>
      </c>
      <c r="N70" s="193">
        <f t="shared" si="0"/>
        <v>19.833333333333332</v>
      </c>
    </row>
    <row r="71" spans="1:14" ht="15" thickBot="1" x14ac:dyDescent="0.35">
      <c r="A71" s="124" t="s">
        <v>155</v>
      </c>
      <c r="B71" s="109">
        <v>23</v>
      </c>
      <c r="C71" s="109">
        <v>20</v>
      </c>
      <c r="D71" s="109">
        <v>27</v>
      </c>
      <c r="E71" s="109">
        <v>26</v>
      </c>
      <c r="F71" s="109">
        <v>26</v>
      </c>
      <c r="G71" s="109">
        <v>27</v>
      </c>
      <c r="H71" s="109">
        <v>24</v>
      </c>
      <c r="I71" s="109">
        <v>24</v>
      </c>
      <c r="J71" s="109">
        <v>24</v>
      </c>
      <c r="K71" s="109">
        <v>29</v>
      </c>
      <c r="L71" s="109">
        <v>31</v>
      </c>
      <c r="M71" s="191">
        <v>31</v>
      </c>
      <c r="N71" s="193">
        <f t="shared" si="0"/>
        <v>26</v>
      </c>
    </row>
    <row r="72" spans="1:14" ht="15" thickBot="1" x14ac:dyDescent="0.35">
      <c r="A72" s="125" t="s">
        <v>105</v>
      </c>
      <c r="B72" s="96">
        <f>SUM(B8:B71)</f>
        <v>15223</v>
      </c>
      <c r="C72" s="96">
        <f>SUM(C8:C71)</f>
        <v>15709</v>
      </c>
      <c r="D72" s="96">
        <f>SUM(D8:D71)</f>
        <v>18404</v>
      </c>
      <c r="E72" s="96">
        <f>SUM(E8:E71)</f>
        <v>20514</v>
      </c>
      <c r="F72" s="96">
        <f>SUM(F8:F71)</f>
        <v>22449</v>
      </c>
      <c r="G72" s="96">
        <f>SUM(G8:G71)</f>
        <v>24457</v>
      </c>
      <c r="H72" s="96">
        <f>SUM(H8:H71)</f>
        <v>24510</v>
      </c>
      <c r="I72" s="96">
        <f>SUM(I8:I71)</f>
        <v>19294</v>
      </c>
      <c r="J72" s="96">
        <f>SUM(J8:J71)</f>
        <v>19774</v>
      </c>
      <c r="K72" s="96">
        <f>SUM(K8:K71)</f>
        <v>19502</v>
      </c>
      <c r="L72" s="96">
        <f>SUM(L8:L71)</f>
        <v>19059</v>
      </c>
      <c r="M72" s="194">
        <f>SUM(M8:M71)</f>
        <v>19105</v>
      </c>
      <c r="N72" s="195">
        <f>SUM(N8:N71)</f>
        <v>19833.333333333343</v>
      </c>
    </row>
    <row r="74" spans="1:14" x14ac:dyDescent="0.3">
      <c r="A74" s="8" t="s">
        <v>104</v>
      </c>
    </row>
    <row r="75" spans="1:14" x14ac:dyDescent="0.3">
      <c r="A75"/>
    </row>
    <row r="76" spans="1:14" x14ac:dyDescent="0.3">
      <c r="A76"/>
    </row>
    <row r="77" spans="1:14" x14ac:dyDescent="0.3">
      <c r="A77"/>
    </row>
    <row r="78" spans="1:14" x14ac:dyDescent="0.3">
      <c r="A78"/>
    </row>
    <row r="79" spans="1:14" x14ac:dyDescent="0.3">
      <c r="A79"/>
    </row>
    <row r="80" spans="1:14" x14ac:dyDescent="0.3">
      <c r="A80" s="10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170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21</v>
      </c>
      <c r="C8" s="99">
        <v>33</v>
      </c>
      <c r="D8" s="99">
        <v>14</v>
      </c>
      <c r="E8" s="99">
        <v>19</v>
      </c>
      <c r="F8" s="100">
        <f>D8/C8</f>
        <v>0.42424242424242425</v>
      </c>
      <c r="G8" s="101">
        <f t="shared" ref="G8:G61" si="0">E8/C8</f>
        <v>0.5757575757575758</v>
      </c>
      <c r="H8" s="103">
        <v>261</v>
      </c>
    </row>
    <row r="9" spans="1:8" x14ac:dyDescent="0.3">
      <c r="A9" s="122" t="s">
        <v>121</v>
      </c>
      <c r="B9" s="116">
        <v>6</v>
      </c>
      <c r="C9" s="35">
        <v>7</v>
      </c>
      <c r="D9" s="35">
        <v>3</v>
      </c>
      <c r="E9" s="35">
        <v>4</v>
      </c>
      <c r="F9" s="36">
        <f t="shared" ref="F9:F61" si="1">D9/C9</f>
        <v>0.42857142857142855</v>
      </c>
      <c r="G9" s="54">
        <f t="shared" si="0"/>
        <v>0.5714285714285714</v>
      </c>
      <c r="H9" s="104">
        <v>30</v>
      </c>
    </row>
    <row r="10" spans="1:8" x14ac:dyDescent="0.3">
      <c r="A10" s="122" t="s">
        <v>122</v>
      </c>
      <c r="B10" s="116">
        <v>27</v>
      </c>
      <c r="C10" s="35">
        <v>34</v>
      </c>
      <c r="D10" s="35">
        <v>18</v>
      </c>
      <c r="E10" s="35">
        <v>16</v>
      </c>
      <c r="F10" s="36">
        <f t="shared" si="1"/>
        <v>0.52941176470588236</v>
      </c>
      <c r="G10" s="54">
        <f t="shared" si="0"/>
        <v>0.47058823529411764</v>
      </c>
      <c r="H10" s="104">
        <v>238</v>
      </c>
    </row>
    <row r="11" spans="1:8" x14ac:dyDescent="0.3">
      <c r="A11" s="122" t="s">
        <v>123</v>
      </c>
      <c r="B11" s="116">
        <v>0</v>
      </c>
      <c r="C11" s="35">
        <v>1</v>
      </c>
      <c r="D11" s="35">
        <v>0</v>
      </c>
      <c r="E11" s="35">
        <v>1</v>
      </c>
      <c r="F11" s="36">
        <f t="shared" si="1"/>
        <v>0</v>
      </c>
      <c r="G11" s="54">
        <f t="shared" si="0"/>
        <v>1</v>
      </c>
      <c r="H11" s="104">
        <v>0</v>
      </c>
    </row>
    <row r="12" spans="1:8" x14ac:dyDescent="0.3">
      <c r="A12" s="122" t="s">
        <v>124</v>
      </c>
      <c r="B12" s="116">
        <v>28</v>
      </c>
      <c r="C12" s="35">
        <v>35</v>
      </c>
      <c r="D12" s="35">
        <v>14</v>
      </c>
      <c r="E12" s="35">
        <v>21</v>
      </c>
      <c r="F12" s="36">
        <f t="shared" si="1"/>
        <v>0.4</v>
      </c>
      <c r="G12" s="54">
        <f t="shared" si="0"/>
        <v>0.6</v>
      </c>
      <c r="H12" s="104">
        <v>246</v>
      </c>
    </row>
    <row r="13" spans="1:8" x14ac:dyDescent="0.3">
      <c r="A13" s="122" t="s">
        <v>125</v>
      </c>
      <c r="B13" s="111">
        <v>2</v>
      </c>
      <c r="C13" s="35">
        <v>6</v>
      </c>
      <c r="D13" s="35">
        <v>4</v>
      </c>
      <c r="E13" s="35">
        <v>2</v>
      </c>
      <c r="F13" s="36">
        <f t="shared" si="1"/>
        <v>0.66666666666666663</v>
      </c>
      <c r="G13" s="54">
        <f t="shared" si="0"/>
        <v>0.33333333333333331</v>
      </c>
      <c r="H13" s="104">
        <v>77</v>
      </c>
    </row>
    <row r="14" spans="1:8" x14ac:dyDescent="0.3">
      <c r="A14" s="122" t="s">
        <v>126</v>
      </c>
      <c r="B14" s="111">
        <v>3</v>
      </c>
      <c r="C14" s="35">
        <v>6</v>
      </c>
      <c r="D14" s="35">
        <v>2</v>
      </c>
      <c r="E14" s="35">
        <v>4</v>
      </c>
      <c r="F14" s="36">
        <f t="shared" si="1"/>
        <v>0.33333333333333331</v>
      </c>
      <c r="G14" s="54">
        <f t="shared" si="0"/>
        <v>0.66666666666666663</v>
      </c>
      <c r="H14" s="104">
        <v>39</v>
      </c>
    </row>
    <row r="15" spans="1:8" x14ac:dyDescent="0.3">
      <c r="A15" s="122" t="s">
        <v>127</v>
      </c>
      <c r="B15" s="111">
        <v>26</v>
      </c>
      <c r="C15" s="35">
        <v>33</v>
      </c>
      <c r="D15" s="35">
        <v>11</v>
      </c>
      <c r="E15" s="35">
        <v>22</v>
      </c>
      <c r="F15" s="36">
        <f t="shared" si="1"/>
        <v>0.33333333333333331</v>
      </c>
      <c r="G15" s="54">
        <f t="shared" si="0"/>
        <v>0.66666666666666663</v>
      </c>
      <c r="H15" s="104">
        <v>242</v>
      </c>
    </row>
    <row r="16" spans="1:8" x14ac:dyDescent="0.3">
      <c r="A16" s="122" t="s">
        <v>128</v>
      </c>
      <c r="B16" s="111">
        <v>114</v>
      </c>
      <c r="C16" s="57">
        <v>170</v>
      </c>
      <c r="D16" s="35">
        <v>67</v>
      </c>
      <c r="E16" s="35">
        <v>103</v>
      </c>
      <c r="F16" s="36">
        <f t="shared" si="1"/>
        <v>0.39411764705882352</v>
      </c>
      <c r="G16" s="54">
        <f t="shared" si="0"/>
        <v>0.60588235294117643</v>
      </c>
      <c r="H16" s="104">
        <v>1332</v>
      </c>
    </row>
    <row r="17" spans="1:8" x14ac:dyDescent="0.3">
      <c r="A17" s="122" t="s">
        <v>39</v>
      </c>
      <c r="B17" s="111">
        <v>58</v>
      </c>
      <c r="C17" s="57">
        <v>93</v>
      </c>
      <c r="D17" s="35">
        <v>44</v>
      </c>
      <c r="E17" s="35">
        <v>49</v>
      </c>
      <c r="F17" s="36">
        <f>D17/C17</f>
        <v>0.4731182795698925</v>
      </c>
      <c r="G17" s="54">
        <f t="shared" si="0"/>
        <v>0.5268817204301075</v>
      </c>
      <c r="H17" s="104">
        <v>502</v>
      </c>
    </row>
    <row r="18" spans="1:8" x14ac:dyDescent="0.3">
      <c r="A18" s="122" t="s">
        <v>25</v>
      </c>
      <c r="B18" s="111">
        <v>0</v>
      </c>
      <c r="C18" s="57">
        <v>2</v>
      </c>
      <c r="D18" s="35">
        <v>0</v>
      </c>
      <c r="E18" s="35">
        <v>2</v>
      </c>
      <c r="F18" s="36">
        <f>D18/C18</f>
        <v>0</v>
      </c>
      <c r="G18" s="54">
        <f t="shared" si="0"/>
        <v>1</v>
      </c>
      <c r="H18" s="104">
        <v>0</v>
      </c>
    </row>
    <row r="19" spans="1:8" x14ac:dyDescent="0.3">
      <c r="A19" s="122" t="s">
        <v>129</v>
      </c>
      <c r="B19" s="111">
        <v>3</v>
      </c>
      <c r="C19" s="57">
        <v>2</v>
      </c>
      <c r="D19" s="35">
        <v>2</v>
      </c>
      <c r="E19" s="35">
        <v>0</v>
      </c>
      <c r="F19" s="36">
        <f>D19/C19</f>
        <v>1</v>
      </c>
      <c r="G19" s="54">
        <f t="shared" si="0"/>
        <v>0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2</v>
      </c>
      <c r="D20" s="35">
        <v>1</v>
      </c>
      <c r="E20" s="35">
        <v>1</v>
      </c>
      <c r="F20" s="36">
        <f t="shared" si="1"/>
        <v>0.5</v>
      </c>
      <c r="G20" s="54">
        <f t="shared" si="0"/>
        <v>0.5</v>
      </c>
      <c r="H20" s="104">
        <v>6</v>
      </c>
    </row>
    <row r="21" spans="1:8" x14ac:dyDescent="0.3">
      <c r="A21" s="122" t="s">
        <v>131</v>
      </c>
      <c r="B21" s="111">
        <v>1</v>
      </c>
      <c r="C21" s="57">
        <v>1</v>
      </c>
      <c r="D21" s="35">
        <v>1</v>
      </c>
      <c r="E21" s="35">
        <v>0</v>
      </c>
      <c r="F21" s="36">
        <f t="shared" si="1"/>
        <v>1</v>
      </c>
      <c r="G21" s="54">
        <f t="shared" si="0"/>
        <v>0</v>
      </c>
      <c r="H21" s="104">
        <v>0</v>
      </c>
    </row>
    <row r="22" spans="1:8" x14ac:dyDescent="0.3">
      <c r="A22" s="122" t="s">
        <v>132</v>
      </c>
      <c r="B22" s="111">
        <v>4</v>
      </c>
      <c r="C22" s="57">
        <v>7</v>
      </c>
      <c r="D22" s="35">
        <v>2</v>
      </c>
      <c r="E22" s="35">
        <v>5</v>
      </c>
      <c r="F22" s="36">
        <f t="shared" si="1"/>
        <v>0.2857142857142857</v>
      </c>
      <c r="G22" s="54">
        <f t="shared" si="0"/>
        <v>0.7142857142857143</v>
      </c>
      <c r="H22" s="104">
        <v>27</v>
      </c>
    </row>
    <row r="23" spans="1:8" x14ac:dyDescent="0.3">
      <c r="A23" s="122" t="s">
        <v>133</v>
      </c>
      <c r="B23" s="116">
        <v>6</v>
      </c>
      <c r="C23" s="57">
        <v>10</v>
      </c>
      <c r="D23" s="35">
        <v>5</v>
      </c>
      <c r="E23" s="35">
        <v>5</v>
      </c>
      <c r="F23" s="36">
        <f t="shared" si="1"/>
        <v>0.5</v>
      </c>
      <c r="G23" s="54">
        <f t="shared" si="0"/>
        <v>0.5</v>
      </c>
      <c r="H23" s="104">
        <v>47</v>
      </c>
    </row>
    <row r="24" spans="1:8" x14ac:dyDescent="0.3">
      <c r="A24" s="123" t="s">
        <v>134</v>
      </c>
      <c r="B24" s="111">
        <v>218</v>
      </c>
      <c r="C24" s="57">
        <v>299</v>
      </c>
      <c r="D24" s="56">
        <v>140</v>
      </c>
      <c r="E24" s="56">
        <v>159</v>
      </c>
      <c r="F24" s="36">
        <f t="shared" si="1"/>
        <v>0.4682274247491639</v>
      </c>
      <c r="G24" s="54">
        <f t="shared" si="0"/>
        <v>0.5317725752508361</v>
      </c>
      <c r="H24" s="104">
        <v>2012</v>
      </c>
    </row>
    <row r="25" spans="1:8" x14ac:dyDescent="0.3">
      <c r="A25" s="122" t="s">
        <v>135</v>
      </c>
      <c r="B25" s="111">
        <v>1</v>
      </c>
      <c r="C25" s="57">
        <v>3</v>
      </c>
      <c r="D25" s="35">
        <v>1</v>
      </c>
      <c r="E25" s="35">
        <v>2</v>
      </c>
      <c r="F25" s="36">
        <f t="shared" si="1"/>
        <v>0.33333333333333331</v>
      </c>
      <c r="G25" s="54">
        <f t="shared" si="0"/>
        <v>0.66666666666666663</v>
      </c>
      <c r="H25" s="104">
        <v>28</v>
      </c>
    </row>
    <row r="26" spans="1:8" x14ac:dyDescent="0.3">
      <c r="A26" s="122" t="s">
        <v>38</v>
      </c>
      <c r="B26" s="111">
        <v>6</v>
      </c>
      <c r="C26" s="57">
        <v>10</v>
      </c>
      <c r="D26" s="35">
        <v>6</v>
      </c>
      <c r="E26" s="35">
        <v>4</v>
      </c>
      <c r="F26" s="36">
        <f t="shared" si="1"/>
        <v>0.6</v>
      </c>
      <c r="G26" s="54">
        <f t="shared" si="0"/>
        <v>0.4</v>
      </c>
      <c r="H26" s="104">
        <v>0</v>
      </c>
    </row>
    <row r="27" spans="1:8" x14ac:dyDescent="0.3">
      <c r="A27" s="122" t="s">
        <v>37</v>
      </c>
      <c r="B27" s="111">
        <v>15</v>
      </c>
      <c r="C27" s="57">
        <v>29</v>
      </c>
      <c r="D27" s="35">
        <v>9</v>
      </c>
      <c r="E27" s="35">
        <v>20</v>
      </c>
      <c r="F27" s="36">
        <f t="shared" si="1"/>
        <v>0.31034482758620691</v>
      </c>
      <c r="G27" s="54">
        <f t="shared" si="0"/>
        <v>0.68965517241379315</v>
      </c>
      <c r="H27" s="104">
        <v>48</v>
      </c>
    </row>
    <row r="28" spans="1:8" x14ac:dyDescent="0.3">
      <c r="A28" s="122" t="s">
        <v>27</v>
      </c>
      <c r="B28" s="111">
        <v>10</v>
      </c>
      <c r="C28" s="35">
        <v>17</v>
      </c>
      <c r="D28" s="35">
        <v>4</v>
      </c>
      <c r="E28" s="35">
        <v>13</v>
      </c>
      <c r="F28" s="36">
        <f t="shared" si="1"/>
        <v>0.23529411764705882</v>
      </c>
      <c r="G28" s="54">
        <f t="shared" si="0"/>
        <v>0.76470588235294112</v>
      </c>
      <c r="H28" s="104">
        <v>222</v>
      </c>
    </row>
    <row r="29" spans="1:8" x14ac:dyDescent="0.3">
      <c r="A29" s="122" t="s">
        <v>62</v>
      </c>
      <c r="B29" s="111">
        <v>5</v>
      </c>
      <c r="C29" s="35">
        <v>7</v>
      </c>
      <c r="D29" s="35">
        <v>3</v>
      </c>
      <c r="E29" s="35">
        <v>4</v>
      </c>
      <c r="F29" s="36">
        <f t="shared" si="1"/>
        <v>0.42857142857142855</v>
      </c>
      <c r="G29" s="54">
        <f t="shared" si="0"/>
        <v>0.5714285714285714</v>
      </c>
      <c r="H29" s="104">
        <v>39</v>
      </c>
    </row>
    <row r="30" spans="1:8" x14ac:dyDescent="0.3">
      <c r="A30" s="122" t="s">
        <v>136</v>
      </c>
      <c r="B30" s="111">
        <v>39</v>
      </c>
      <c r="C30" s="35">
        <v>55</v>
      </c>
      <c r="D30" s="35">
        <v>13</v>
      </c>
      <c r="E30" s="35">
        <v>42</v>
      </c>
      <c r="F30" s="36">
        <f t="shared" si="1"/>
        <v>0.23636363636363636</v>
      </c>
      <c r="G30" s="54">
        <f t="shared" si="0"/>
        <v>0.76363636363636367</v>
      </c>
      <c r="H30" s="104">
        <v>310</v>
      </c>
    </row>
    <row r="31" spans="1:8" x14ac:dyDescent="0.3">
      <c r="A31" s="122" t="s">
        <v>17</v>
      </c>
      <c r="B31" s="111">
        <v>22</v>
      </c>
      <c r="C31" s="35">
        <v>33</v>
      </c>
      <c r="D31" s="35">
        <v>15</v>
      </c>
      <c r="E31" s="35">
        <v>18</v>
      </c>
      <c r="F31" s="36">
        <f t="shared" si="1"/>
        <v>0.45454545454545453</v>
      </c>
      <c r="G31" s="54">
        <f t="shared" si="0"/>
        <v>0.54545454545454541</v>
      </c>
      <c r="H31" s="104">
        <v>153</v>
      </c>
    </row>
    <row r="32" spans="1:8" x14ac:dyDescent="0.3">
      <c r="A32" s="122" t="s">
        <v>137</v>
      </c>
      <c r="B32" s="111">
        <v>4</v>
      </c>
      <c r="C32" s="35">
        <v>9</v>
      </c>
      <c r="D32" s="35">
        <v>2</v>
      </c>
      <c r="E32" s="35">
        <v>7</v>
      </c>
      <c r="F32" s="36">
        <f t="shared" si="1"/>
        <v>0.22222222222222221</v>
      </c>
      <c r="G32" s="54">
        <f t="shared" si="0"/>
        <v>0.77777777777777779</v>
      </c>
      <c r="H32" s="104">
        <v>5</v>
      </c>
    </row>
    <row r="33" spans="1:8" x14ac:dyDescent="0.3">
      <c r="A33" s="123" t="s">
        <v>138</v>
      </c>
      <c r="B33" s="111">
        <v>144</v>
      </c>
      <c r="C33" s="56">
        <v>210</v>
      </c>
      <c r="D33" s="56">
        <v>135</v>
      </c>
      <c r="E33" s="56">
        <v>75</v>
      </c>
      <c r="F33" s="36">
        <f t="shared" si="1"/>
        <v>0.6428571428571429</v>
      </c>
      <c r="G33" s="54">
        <f t="shared" si="0"/>
        <v>0.35714285714285715</v>
      </c>
      <c r="H33" s="104">
        <v>1589</v>
      </c>
    </row>
    <row r="34" spans="1:8" x14ac:dyDescent="0.3">
      <c r="A34" s="122" t="s">
        <v>139</v>
      </c>
      <c r="B34" s="111">
        <v>2</v>
      </c>
      <c r="C34" s="35">
        <v>2</v>
      </c>
      <c r="D34" s="35">
        <v>1</v>
      </c>
      <c r="E34" s="35">
        <v>1</v>
      </c>
      <c r="F34" s="36">
        <f t="shared" si="1"/>
        <v>0.5</v>
      </c>
      <c r="G34" s="54">
        <f t="shared" si="0"/>
        <v>0.5</v>
      </c>
      <c r="H34" s="104">
        <v>31</v>
      </c>
    </row>
    <row r="35" spans="1:8" x14ac:dyDescent="0.3">
      <c r="A35" s="122" t="s">
        <v>140</v>
      </c>
      <c r="B35" s="111">
        <v>104</v>
      </c>
      <c r="C35" s="35">
        <v>168</v>
      </c>
      <c r="D35" s="35">
        <v>50</v>
      </c>
      <c r="E35" s="35">
        <v>118</v>
      </c>
      <c r="F35" s="36">
        <f t="shared" si="1"/>
        <v>0.29761904761904762</v>
      </c>
      <c r="G35" s="54">
        <f t="shared" si="0"/>
        <v>0.70238095238095233</v>
      </c>
      <c r="H35" s="104">
        <v>1014</v>
      </c>
    </row>
    <row r="36" spans="1:8" x14ac:dyDescent="0.3">
      <c r="A36" s="122" t="s">
        <v>141</v>
      </c>
      <c r="B36" s="111">
        <v>18</v>
      </c>
      <c r="C36" s="35">
        <v>19</v>
      </c>
      <c r="D36" s="35">
        <v>7</v>
      </c>
      <c r="E36" s="35">
        <v>12</v>
      </c>
      <c r="F36" s="36">
        <f t="shared" si="1"/>
        <v>0.36842105263157893</v>
      </c>
      <c r="G36" s="54">
        <f t="shared" si="0"/>
        <v>0.63157894736842102</v>
      </c>
      <c r="H36" s="104">
        <v>116</v>
      </c>
    </row>
    <row r="37" spans="1:8" x14ac:dyDescent="0.3">
      <c r="A37" s="122" t="s">
        <v>142</v>
      </c>
      <c r="B37" s="111">
        <v>2</v>
      </c>
      <c r="C37" s="35">
        <v>1</v>
      </c>
      <c r="D37" s="35">
        <v>0</v>
      </c>
      <c r="E37" s="35">
        <v>1</v>
      </c>
      <c r="F37" s="36">
        <f t="shared" si="1"/>
        <v>0</v>
      </c>
      <c r="G37" s="54">
        <f t="shared" si="0"/>
        <v>1</v>
      </c>
      <c r="H37" s="104">
        <v>0</v>
      </c>
    </row>
    <row r="38" spans="1:8" x14ac:dyDescent="0.3">
      <c r="A38" s="122" t="s">
        <v>143</v>
      </c>
      <c r="B38" s="111">
        <v>30</v>
      </c>
      <c r="C38" s="35">
        <v>39</v>
      </c>
      <c r="D38" s="35">
        <v>11</v>
      </c>
      <c r="E38" s="35">
        <v>28</v>
      </c>
      <c r="F38" s="36">
        <f t="shared" si="1"/>
        <v>0.28205128205128205</v>
      </c>
      <c r="G38" s="54">
        <f t="shared" si="0"/>
        <v>0.71794871794871795</v>
      </c>
      <c r="H38" s="104">
        <v>194</v>
      </c>
    </row>
    <row r="39" spans="1:8" x14ac:dyDescent="0.3">
      <c r="A39" s="122" t="s">
        <v>144</v>
      </c>
      <c r="B39" s="111">
        <v>17</v>
      </c>
      <c r="C39" s="35">
        <v>31</v>
      </c>
      <c r="D39" s="35">
        <v>18</v>
      </c>
      <c r="E39" s="35">
        <v>13</v>
      </c>
      <c r="F39" s="36">
        <f t="shared" si="1"/>
        <v>0.58064516129032262</v>
      </c>
      <c r="G39" s="54">
        <f t="shared" si="0"/>
        <v>0.41935483870967744</v>
      </c>
      <c r="H39" s="104">
        <v>107</v>
      </c>
    </row>
    <row r="40" spans="1:8" x14ac:dyDescent="0.3">
      <c r="A40" s="122" t="s">
        <v>145</v>
      </c>
      <c r="B40" s="111">
        <v>8</v>
      </c>
      <c r="C40" s="35">
        <v>18</v>
      </c>
      <c r="D40" s="35">
        <v>6</v>
      </c>
      <c r="E40" s="35">
        <v>12</v>
      </c>
      <c r="F40" s="36">
        <f t="shared" si="1"/>
        <v>0.33333333333333331</v>
      </c>
      <c r="G40" s="54">
        <f t="shared" si="0"/>
        <v>0.66666666666666663</v>
      </c>
      <c r="H40" s="104">
        <v>69</v>
      </c>
    </row>
    <row r="41" spans="1:8" x14ac:dyDescent="0.3">
      <c r="A41" s="122" t="s">
        <v>146</v>
      </c>
      <c r="B41" s="111">
        <v>9</v>
      </c>
      <c r="C41" s="35">
        <v>16</v>
      </c>
      <c r="D41" s="35">
        <v>5</v>
      </c>
      <c r="E41" s="35">
        <v>11</v>
      </c>
      <c r="F41" s="36">
        <f t="shared" si="1"/>
        <v>0.3125</v>
      </c>
      <c r="G41" s="54">
        <f t="shared" si="0"/>
        <v>0.6875</v>
      </c>
      <c r="H41" s="104">
        <v>106</v>
      </c>
    </row>
    <row r="42" spans="1:8" x14ac:dyDescent="0.3">
      <c r="A42" s="122" t="s">
        <v>147</v>
      </c>
      <c r="B42" s="111">
        <v>25</v>
      </c>
      <c r="C42" s="35">
        <v>37</v>
      </c>
      <c r="D42" s="35">
        <v>19</v>
      </c>
      <c r="E42" s="35">
        <v>18</v>
      </c>
      <c r="F42" s="36">
        <f t="shared" si="1"/>
        <v>0.51351351351351349</v>
      </c>
      <c r="G42" s="54">
        <f t="shared" si="0"/>
        <v>0.48648648648648651</v>
      </c>
      <c r="H42" s="104">
        <v>324</v>
      </c>
    </row>
    <row r="43" spans="1:8" x14ac:dyDescent="0.3">
      <c r="A43" s="123" t="s">
        <v>148</v>
      </c>
      <c r="B43" s="111">
        <v>147</v>
      </c>
      <c r="C43" s="56">
        <v>221</v>
      </c>
      <c r="D43" s="56">
        <v>125</v>
      </c>
      <c r="E43" s="56">
        <v>96</v>
      </c>
      <c r="F43" s="36">
        <f t="shared" si="1"/>
        <v>0.56561085972850678</v>
      </c>
      <c r="G43" s="54">
        <f t="shared" si="0"/>
        <v>0.43438914027149322</v>
      </c>
      <c r="H43" s="104">
        <v>1066</v>
      </c>
    </row>
    <row r="44" spans="1:8" x14ac:dyDescent="0.3">
      <c r="A44" s="122" t="s">
        <v>36</v>
      </c>
      <c r="B44" s="111">
        <v>90</v>
      </c>
      <c r="C44" s="35">
        <v>144</v>
      </c>
      <c r="D44" s="35">
        <v>53</v>
      </c>
      <c r="E44" s="35">
        <v>91</v>
      </c>
      <c r="F44" s="36">
        <f t="shared" si="1"/>
        <v>0.36805555555555558</v>
      </c>
      <c r="G44" s="54">
        <f t="shared" si="0"/>
        <v>0.63194444444444442</v>
      </c>
      <c r="H44" s="104">
        <v>633</v>
      </c>
    </row>
    <row r="45" spans="1:8" x14ac:dyDescent="0.3">
      <c r="A45" s="122" t="s">
        <v>15</v>
      </c>
      <c r="B45" s="111">
        <v>6</v>
      </c>
      <c r="C45" s="35">
        <v>3</v>
      </c>
      <c r="D45" s="35">
        <v>1</v>
      </c>
      <c r="E45" s="35">
        <v>2</v>
      </c>
      <c r="F45" s="36">
        <f t="shared" si="1"/>
        <v>0.33333333333333331</v>
      </c>
      <c r="G45" s="54">
        <f t="shared" si="0"/>
        <v>0.66666666666666663</v>
      </c>
      <c r="H45" s="104">
        <v>21</v>
      </c>
    </row>
    <row r="46" spans="1:8" x14ac:dyDescent="0.3">
      <c r="A46" s="122" t="s">
        <v>18</v>
      </c>
      <c r="B46" s="111">
        <v>7</v>
      </c>
      <c r="C46" s="35">
        <v>16</v>
      </c>
      <c r="D46" s="35">
        <v>9</v>
      </c>
      <c r="E46" s="35">
        <v>7</v>
      </c>
      <c r="F46" s="36">
        <f t="shared" si="1"/>
        <v>0.5625</v>
      </c>
      <c r="G46" s="54">
        <f t="shared" si="0"/>
        <v>0.4375</v>
      </c>
      <c r="H46" s="104">
        <v>160</v>
      </c>
    </row>
    <row r="47" spans="1:8" x14ac:dyDescent="0.3">
      <c r="A47" s="122" t="s">
        <v>35</v>
      </c>
      <c r="B47" s="111">
        <v>58</v>
      </c>
      <c r="C47" s="35">
        <v>84</v>
      </c>
      <c r="D47" s="35">
        <v>40</v>
      </c>
      <c r="E47" s="35">
        <v>44</v>
      </c>
      <c r="F47" s="36">
        <f t="shared" si="1"/>
        <v>0.47619047619047616</v>
      </c>
      <c r="G47" s="54">
        <f t="shared" si="0"/>
        <v>0.52380952380952384</v>
      </c>
      <c r="H47" s="104">
        <v>737</v>
      </c>
    </row>
    <row r="48" spans="1:8" x14ac:dyDescent="0.3">
      <c r="A48" s="122" t="s">
        <v>24</v>
      </c>
      <c r="B48" s="111">
        <v>0</v>
      </c>
      <c r="C48" s="35">
        <v>0</v>
      </c>
      <c r="D48" s="35">
        <v>0</v>
      </c>
      <c r="E48" s="35">
        <v>0</v>
      </c>
      <c r="F48" s="36">
        <v>0</v>
      </c>
      <c r="G48" s="54">
        <v>0</v>
      </c>
      <c r="H48" s="104">
        <v>0</v>
      </c>
    </row>
    <row r="49" spans="1:8" x14ac:dyDescent="0.3">
      <c r="A49" s="122" t="s">
        <v>34</v>
      </c>
      <c r="B49" s="111">
        <v>11</v>
      </c>
      <c r="C49" s="35">
        <v>15</v>
      </c>
      <c r="D49" s="35">
        <v>7</v>
      </c>
      <c r="E49" s="35">
        <v>8</v>
      </c>
      <c r="F49" s="36">
        <f t="shared" si="1"/>
        <v>0.46666666666666667</v>
      </c>
      <c r="G49" s="54">
        <f t="shared" si="0"/>
        <v>0.53333333333333333</v>
      </c>
      <c r="H49" s="104">
        <v>69</v>
      </c>
    </row>
    <row r="50" spans="1:8" x14ac:dyDescent="0.3">
      <c r="A50" s="122" t="s">
        <v>33</v>
      </c>
      <c r="B50" s="111">
        <v>9</v>
      </c>
      <c r="C50" s="35">
        <v>10</v>
      </c>
      <c r="D50" s="35">
        <v>4</v>
      </c>
      <c r="E50" s="35">
        <v>6</v>
      </c>
      <c r="F50" s="36">
        <f t="shared" si="1"/>
        <v>0.4</v>
      </c>
      <c r="G50" s="54">
        <f t="shared" si="0"/>
        <v>0.6</v>
      </c>
      <c r="H50" s="104">
        <v>36</v>
      </c>
    </row>
    <row r="51" spans="1:8" x14ac:dyDescent="0.3">
      <c r="A51" s="122" t="s">
        <v>16</v>
      </c>
      <c r="B51" s="111">
        <v>24</v>
      </c>
      <c r="C51" s="35">
        <v>39</v>
      </c>
      <c r="D51" s="35">
        <v>20</v>
      </c>
      <c r="E51" s="35">
        <v>19</v>
      </c>
      <c r="F51" s="36">
        <f t="shared" si="1"/>
        <v>0.51282051282051277</v>
      </c>
      <c r="G51" s="54">
        <f t="shared" si="0"/>
        <v>0.48717948717948717</v>
      </c>
      <c r="H51" s="104">
        <v>143</v>
      </c>
    </row>
    <row r="52" spans="1:8" x14ac:dyDescent="0.3">
      <c r="A52" s="122" t="s">
        <v>32</v>
      </c>
      <c r="B52" s="111">
        <v>13</v>
      </c>
      <c r="C52" s="35">
        <v>10</v>
      </c>
      <c r="D52" s="35">
        <v>4</v>
      </c>
      <c r="E52" s="35">
        <v>6</v>
      </c>
      <c r="F52" s="36">
        <f t="shared" si="1"/>
        <v>0.4</v>
      </c>
      <c r="G52" s="54">
        <f t="shared" si="0"/>
        <v>0.6</v>
      </c>
      <c r="H52" s="104">
        <v>91</v>
      </c>
    </row>
    <row r="53" spans="1:8" x14ac:dyDescent="0.3">
      <c r="A53" s="122" t="s">
        <v>31</v>
      </c>
      <c r="B53" s="111">
        <v>2</v>
      </c>
      <c r="C53" s="35">
        <v>3</v>
      </c>
      <c r="D53" s="35">
        <v>2</v>
      </c>
      <c r="E53" s="35">
        <v>1</v>
      </c>
      <c r="F53" s="36">
        <f t="shared" si="1"/>
        <v>0.66666666666666663</v>
      </c>
      <c r="G53" s="54">
        <f t="shared" si="0"/>
        <v>0.33333333333333331</v>
      </c>
      <c r="H53" s="104">
        <v>14</v>
      </c>
    </row>
    <row r="54" spans="1:8" x14ac:dyDescent="0.3">
      <c r="A54" s="122" t="s">
        <v>77</v>
      </c>
      <c r="B54" s="111">
        <v>5</v>
      </c>
      <c r="C54" s="35">
        <v>6</v>
      </c>
      <c r="D54" s="35">
        <v>3</v>
      </c>
      <c r="E54" s="35">
        <v>3</v>
      </c>
      <c r="F54" s="36">
        <f t="shared" si="1"/>
        <v>0.5</v>
      </c>
      <c r="G54" s="54">
        <f t="shared" si="0"/>
        <v>0.5</v>
      </c>
      <c r="H54" s="104">
        <v>26</v>
      </c>
    </row>
    <row r="55" spans="1:8" x14ac:dyDescent="0.3">
      <c r="A55" s="122" t="s">
        <v>30</v>
      </c>
      <c r="B55" s="111">
        <v>33</v>
      </c>
      <c r="C55" s="35">
        <v>30</v>
      </c>
      <c r="D55" s="35">
        <v>16</v>
      </c>
      <c r="E55" s="35">
        <v>14</v>
      </c>
      <c r="F55" s="36">
        <f t="shared" si="1"/>
        <v>0.53333333333333333</v>
      </c>
      <c r="G55" s="54">
        <f t="shared" si="0"/>
        <v>0.46666666666666667</v>
      </c>
      <c r="H55" s="104">
        <v>254</v>
      </c>
    </row>
    <row r="56" spans="1:8" x14ac:dyDescent="0.3">
      <c r="A56" s="122" t="s">
        <v>21</v>
      </c>
      <c r="B56" s="111">
        <v>34</v>
      </c>
      <c r="C56" s="35">
        <v>58</v>
      </c>
      <c r="D56" s="35">
        <v>16</v>
      </c>
      <c r="E56" s="35">
        <v>42</v>
      </c>
      <c r="F56" s="36">
        <f t="shared" si="1"/>
        <v>0.27586206896551724</v>
      </c>
      <c r="G56" s="54">
        <f t="shared" si="0"/>
        <v>0.72413793103448276</v>
      </c>
      <c r="H56" s="104">
        <v>404</v>
      </c>
    </row>
    <row r="57" spans="1:8" x14ac:dyDescent="0.3">
      <c r="A57" s="122" t="s">
        <v>22</v>
      </c>
      <c r="B57" s="111">
        <v>30</v>
      </c>
      <c r="C57" s="35">
        <v>51</v>
      </c>
      <c r="D57" s="35">
        <v>20</v>
      </c>
      <c r="E57" s="35">
        <v>31</v>
      </c>
      <c r="F57" s="36">
        <f t="shared" si="1"/>
        <v>0.39215686274509803</v>
      </c>
      <c r="G57" s="54">
        <f t="shared" si="0"/>
        <v>0.60784313725490191</v>
      </c>
      <c r="H57" s="104">
        <v>215</v>
      </c>
    </row>
    <row r="58" spans="1:8" x14ac:dyDescent="0.3">
      <c r="A58" s="122" t="s">
        <v>79</v>
      </c>
      <c r="B58" s="111">
        <v>12</v>
      </c>
      <c r="C58" s="35">
        <v>19</v>
      </c>
      <c r="D58" s="35">
        <v>5</v>
      </c>
      <c r="E58" s="35">
        <v>14</v>
      </c>
      <c r="F58" s="36">
        <f t="shared" si="1"/>
        <v>0.26315789473684209</v>
      </c>
      <c r="G58" s="54">
        <f t="shared" si="0"/>
        <v>0.73684210526315785</v>
      </c>
      <c r="H58" s="104">
        <v>43</v>
      </c>
    </row>
    <row r="59" spans="1:8" x14ac:dyDescent="0.3">
      <c r="A59" s="122" t="s">
        <v>149</v>
      </c>
      <c r="B59" s="111">
        <v>51</v>
      </c>
      <c r="C59" s="35">
        <v>78</v>
      </c>
      <c r="D59" s="35">
        <v>39</v>
      </c>
      <c r="E59" s="35">
        <v>39</v>
      </c>
      <c r="F59" s="36">
        <f t="shared" si="1"/>
        <v>0.5</v>
      </c>
      <c r="G59" s="54">
        <f t="shared" si="0"/>
        <v>0.5</v>
      </c>
      <c r="H59" s="104">
        <v>502</v>
      </c>
    </row>
    <row r="60" spans="1:8" x14ac:dyDescent="0.3">
      <c r="A60" s="122" t="s">
        <v>29</v>
      </c>
      <c r="B60" s="114">
        <v>54</v>
      </c>
      <c r="C60" s="1">
        <v>55</v>
      </c>
      <c r="D60" s="1">
        <v>19</v>
      </c>
      <c r="E60" s="35">
        <v>36</v>
      </c>
      <c r="F60" s="36">
        <f t="shared" si="1"/>
        <v>0.34545454545454546</v>
      </c>
      <c r="G60" s="54">
        <f t="shared" si="0"/>
        <v>0.65454545454545454</v>
      </c>
      <c r="H60" s="104">
        <v>586</v>
      </c>
    </row>
    <row r="61" spans="1:8" x14ac:dyDescent="0.3">
      <c r="A61" s="122" t="s">
        <v>82</v>
      </c>
      <c r="B61" s="113">
        <v>0</v>
      </c>
      <c r="C61" s="1">
        <v>1</v>
      </c>
      <c r="D61" s="1">
        <v>1</v>
      </c>
      <c r="E61" s="1">
        <v>0</v>
      </c>
      <c r="F61" s="36">
        <f t="shared" si="1"/>
        <v>1</v>
      </c>
      <c r="G61" s="54">
        <f t="shared" si="0"/>
        <v>0</v>
      </c>
      <c r="H61" s="104">
        <v>1</v>
      </c>
    </row>
    <row r="62" spans="1:8" x14ac:dyDescent="0.3">
      <c r="A62" s="122" t="s">
        <v>150</v>
      </c>
      <c r="B62" s="111">
        <v>10</v>
      </c>
      <c r="C62" s="35">
        <v>16</v>
      </c>
      <c r="D62" s="35">
        <v>7</v>
      </c>
      <c r="E62" s="60">
        <v>9</v>
      </c>
      <c r="F62" s="36">
        <f t="shared" ref="F62:F71" si="2">D62/C62</f>
        <v>0.4375</v>
      </c>
      <c r="G62" s="54">
        <f t="shared" ref="G62:G71" si="3">E62/C62</f>
        <v>0.5625</v>
      </c>
      <c r="H62" s="104">
        <v>263</v>
      </c>
    </row>
    <row r="63" spans="1:8" x14ac:dyDescent="0.3">
      <c r="A63" s="122" t="s">
        <v>84</v>
      </c>
      <c r="B63" s="111">
        <v>6</v>
      </c>
      <c r="C63" s="35">
        <v>15</v>
      </c>
      <c r="D63" s="35">
        <v>4</v>
      </c>
      <c r="E63" s="60">
        <v>11</v>
      </c>
      <c r="F63" s="36">
        <f t="shared" si="2"/>
        <v>0.26666666666666666</v>
      </c>
      <c r="G63" s="54">
        <f t="shared" si="3"/>
        <v>0.73333333333333328</v>
      </c>
      <c r="H63" s="104">
        <v>8</v>
      </c>
    </row>
    <row r="64" spans="1:8" x14ac:dyDescent="0.3">
      <c r="A64" s="122" t="s">
        <v>85</v>
      </c>
      <c r="B64" s="111">
        <v>16</v>
      </c>
      <c r="C64" s="35">
        <v>16</v>
      </c>
      <c r="D64" s="35">
        <v>7</v>
      </c>
      <c r="E64" s="60">
        <v>9</v>
      </c>
      <c r="F64" s="36">
        <f t="shared" si="2"/>
        <v>0.4375</v>
      </c>
      <c r="G64" s="54">
        <f t="shared" si="3"/>
        <v>0.5625</v>
      </c>
      <c r="H64" s="104">
        <v>174</v>
      </c>
    </row>
    <row r="65" spans="1:16" x14ac:dyDescent="0.3">
      <c r="A65" s="122" t="s">
        <v>151</v>
      </c>
      <c r="B65" s="111">
        <v>4</v>
      </c>
      <c r="C65" s="35">
        <v>4</v>
      </c>
      <c r="D65" s="35">
        <v>1</v>
      </c>
      <c r="E65" s="60">
        <v>3</v>
      </c>
      <c r="F65" s="36">
        <f t="shared" si="2"/>
        <v>0.25</v>
      </c>
      <c r="G65" s="54">
        <f t="shared" si="3"/>
        <v>0.75</v>
      </c>
      <c r="H65" s="104">
        <v>18</v>
      </c>
    </row>
    <row r="66" spans="1:16" x14ac:dyDescent="0.3">
      <c r="A66" s="122" t="s">
        <v>152</v>
      </c>
      <c r="B66" s="111">
        <v>20</v>
      </c>
      <c r="C66" s="35">
        <v>23</v>
      </c>
      <c r="D66" s="35">
        <v>7</v>
      </c>
      <c r="E66" s="60">
        <v>16</v>
      </c>
      <c r="F66" s="36">
        <f t="shared" si="2"/>
        <v>0.30434782608695654</v>
      </c>
      <c r="G66" s="54">
        <f t="shared" si="3"/>
        <v>0.69565217391304346</v>
      </c>
      <c r="H66" s="104">
        <v>155</v>
      </c>
    </row>
    <row r="67" spans="1:16" x14ac:dyDescent="0.3">
      <c r="A67" s="122" t="s">
        <v>153</v>
      </c>
      <c r="B67" s="111">
        <v>5</v>
      </c>
      <c r="C67" s="35">
        <v>5</v>
      </c>
      <c r="D67" s="35">
        <v>2</v>
      </c>
      <c r="E67" s="60">
        <v>3</v>
      </c>
      <c r="F67" s="36">
        <f t="shared" si="2"/>
        <v>0.4</v>
      </c>
      <c r="G67" s="54">
        <f t="shared" si="3"/>
        <v>0.6</v>
      </c>
      <c r="H67" s="104">
        <v>82</v>
      </c>
    </row>
    <row r="68" spans="1:16" x14ac:dyDescent="0.3">
      <c r="A68" s="122" t="s">
        <v>157</v>
      </c>
      <c r="B68" s="111">
        <v>5</v>
      </c>
      <c r="C68" s="35">
        <v>9</v>
      </c>
      <c r="D68" s="35">
        <v>3</v>
      </c>
      <c r="E68" s="60">
        <v>6</v>
      </c>
      <c r="F68" s="36">
        <f t="shared" si="2"/>
        <v>0.33333333333333331</v>
      </c>
      <c r="G68" s="54">
        <f t="shared" si="3"/>
        <v>0.66666666666666663</v>
      </c>
      <c r="H68" s="104">
        <v>77</v>
      </c>
    </row>
    <row r="69" spans="1:16" s="58" customFormat="1" x14ac:dyDescent="0.3">
      <c r="A69" s="123" t="s">
        <v>154</v>
      </c>
      <c r="B69" s="112">
        <v>0</v>
      </c>
      <c r="C69" s="56">
        <v>1</v>
      </c>
      <c r="D69" s="56">
        <v>0</v>
      </c>
      <c r="E69" s="60">
        <v>1</v>
      </c>
      <c r="F69" s="36">
        <f t="shared" si="2"/>
        <v>0</v>
      </c>
      <c r="G69" s="54">
        <f t="shared" si="3"/>
        <v>1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3</v>
      </c>
      <c r="C70" s="35">
        <v>5</v>
      </c>
      <c r="D70" s="35">
        <v>1</v>
      </c>
      <c r="E70" s="60">
        <v>4</v>
      </c>
      <c r="F70" s="36">
        <f t="shared" si="2"/>
        <v>0.2</v>
      </c>
      <c r="G70" s="54">
        <f t="shared" si="3"/>
        <v>0.8</v>
      </c>
      <c r="H70" s="104">
        <v>7</v>
      </c>
    </row>
    <row r="71" spans="1:16" ht="15" thickBot="1" x14ac:dyDescent="0.35">
      <c r="A71" s="124" t="s">
        <v>155</v>
      </c>
      <c r="B71" s="110">
        <v>1</v>
      </c>
      <c r="C71" s="105">
        <v>2</v>
      </c>
      <c r="D71" s="105">
        <v>0</v>
      </c>
      <c r="E71" s="106">
        <v>2</v>
      </c>
      <c r="F71" s="107">
        <f t="shared" si="2"/>
        <v>0</v>
      </c>
      <c r="G71" s="108">
        <f t="shared" si="3"/>
        <v>1</v>
      </c>
      <c r="H71" s="109">
        <v>23</v>
      </c>
    </row>
    <row r="72" spans="1:16" ht="15" thickBot="1" x14ac:dyDescent="0.35">
      <c r="A72" s="125" t="s">
        <v>105</v>
      </c>
      <c r="B72" s="96">
        <f>SUM(B8:B71)</f>
        <v>1635</v>
      </c>
      <c r="C72" s="96">
        <f>SUM(C8:C71)</f>
        <v>2384</v>
      </c>
      <c r="D72" s="96">
        <f>SUM(D8:D71)</f>
        <v>1049</v>
      </c>
      <c r="E72" s="96">
        <f>SUM(E8:E71)</f>
        <v>1335</v>
      </c>
      <c r="F72" s="98">
        <f>D72/C72</f>
        <v>0.44001677852348992</v>
      </c>
      <c r="G72" s="97">
        <f>E72/C72</f>
        <v>0.55998322147651003</v>
      </c>
      <c r="H72" s="96">
        <f>SUM(H8:H71)</f>
        <v>15223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176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26</v>
      </c>
      <c r="C8" s="99">
        <v>26</v>
      </c>
      <c r="D8" s="99">
        <v>7</v>
      </c>
      <c r="E8" s="99">
        <v>19</v>
      </c>
      <c r="F8" s="100">
        <f t="shared" ref="F8:F71" si="0">D8/C8</f>
        <v>0.26923076923076922</v>
      </c>
      <c r="G8" s="101">
        <f t="shared" ref="G8:G71" si="1">E8/C8</f>
        <v>0.73076923076923073</v>
      </c>
      <c r="H8" s="103">
        <v>269</v>
      </c>
    </row>
    <row r="9" spans="1:8" x14ac:dyDescent="0.3">
      <c r="A9" s="122" t="s">
        <v>121</v>
      </c>
      <c r="B9" s="116">
        <v>0</v>
      </c>
      <c r="C9" s="35">
        <v>0</v>
      </c>
      <c r="D9" s="35">
        <v>0</v>
      </c>
      <c r="E9" s="35">
        <v>0</v>
      </c>
      <c r="F9" s="36">
        <v>0</v>
      </c>
      <c r="G9" s="54">
        <v>0</v>
      </c>
      <c r="H9" s="104">
        <v>31</v>
      </c>
    </row>
    <row r="10" spans="1:8" x14ac:dyDescent="0.3">
      <c r="A10" s="122" t="s">
        <v>122</v>
      </c>
      <c r="B10" s="116">
        <v>19</v>
      </c>
      <c r="C10" s="35">
        <v>18</v>
      </c>
      <c r="D10" s="35">
        <v>13</v>
      </c>
      <c r="E10" s="35">
        <v>5</v>
      </c>
      <c r="F10" s="36">
        <f t="shared" si="0"/>
        <v>0.72222222222222221</v>
      </c>
      <c r="G10" s="54">
        <f t="shared" si="1"/>
        <v>0.27777777777777779</v>
      </c>
      <c r="H10" s="104">
        <v>246</v>
      </c>
    </row>
    <row r="11" spans="1:8" x14ac:dyDescent="0.3">
      <c r="A11" s="122" t="s">
        <v>123</v>
      </c>
      <c r="B11" s="116">
        <v>0</v>
      </c>
      <c r="C11" s="35">
        <v>1</v>
      </c>
      <c r="D11" s="35">
        <v>1</v>
      </c>
      <c r="E11" s="35">
        <v>0</v>
      </c>
      <c r="F11" s="36">
        <f t="shared" si="0"/>
        <v>1</v>
      </c>
      <c r="G11" s="54">
        <f t="shared" si="1"/>
        <v>0</v>
      </c>
      <c r="H11" s="104">
        <v>0</v>
      </c>
    </row>
    <row r="12" spans="1:8" x14ac:dyDescent="0.3">
      <c r="A12" s="122" t="s">
        <v>124</v>
      </c>
      <c r="B12" s="116">
        <v>21</v>
      </c>
      <c r="C12" s="35">
        <v>19</v>
      </c>
      <c r="D12" s="35">
        <v>10</v>
      </c>
      <c r="E12" s="35">
        <v>9</v>
      </c>
      <c r="F12" s="36">
        <f t="shared" si="0"/>
        <v>0.52631578947368418</v>
      </c>
      <c r="G12" s="54">
        <f t="shared" si="1"/>
        <v>0.47368421052631576</v>
      </c>
      <c r="H12" s="104">
        <v>264</v>
      </c>
    </row>
    <row r="13" spans="1:8" x14ac:dyDescent="0.3">
      <c r="A13" s="122" t="s">
        <v>125</v>
      </c>
      <c r="B13" s="111">
        <v>6</v>
      </c>
      <c r="C13" s="35">
        <v>4</v>
      </c>
      <c r="D13" s="35">
        <v>2</v>
      </c>
      <c r="E13" s="35">
        <v>2</v>
      </c>
      <c r="F13" s="36">
        <f t="shared" si="0"/>
        <v>0.5</v>
      </c>
      <c r="G13" s="54">
        <f t="shared" si="1"/>
        <v>0.5</v>
      </c>
      <c r="H13" s="104">
        <v>80</v>
      </c>
    </row>
    <row r="14" spans="1:8" x14ac:dyDescent="0.3">
      <c r="A14" s="122" t="s">
        <v>126</v>
      </c>
      <c r="B14" s="111">
        <v>1</v>
      </c>
      <c r="C14" s="35">
        <v>1</v>
      </c>
      <c r="D14" s="35">
        <v>0</v>
      </c>
      <c r="E14" s="35">
        <v>1</v>
      </c>
      <c r="F14" s="36">
        <f t="shared" si="0"/>
        <v>0</v>
      </c>
      <c r="G14" s="54">
        <f t="shared" si="1"/>
        <v>1</v>
      </c>
      <c r="H14" s="104">
        <v>41</v>
      </c>
    </row>
    <row r="15" spans="1:8" x14ac:dyDescent="0.3">
      <c r="A15" s="122" t="s">
        <v>127</v>
      </c>
      <c r="B15" s="111">
        <v>12</v>
      </c>
      <c r="C15" s="35">
        <v>18</v>
      </c>
      <c r="D15" s="35">
        <v>9</v>
      </c>
      <c r="E15" s="35">
        <v>9</v>
      </c>
      <c r="F15" s="36">
        <f t="shared" si="0"/>
        <v>0.5</v>
      </c>
      <c r="G15" s="54">
        <f t="shared" si="1"/>
        <v>0.5</v>
      </c>
      <c r="H15" s="104">
        <v>268</v>
      </c>
    </row>
    <row r="16" spans="1:8" x14ac:dyDescent="0.3">
      <c r="A16" s="122" t="s">
        <v>128</v>
      </c>
      <c r="B16" s="111">
        <v>74</v>
      </c>
      <c r="C16" s="57">
        <v>77</v>
      </c>
      <c r="D16" s="35">
        <v>39</v>
      </c>
      <c r="E16" s="35">
        <v>38</v>
      </c>
      <c r="F16" s="36">
        <f t="shared" si="0"/>
        <v>0.50649350649350644</v>
      </c>
      <c r="G16" s="54">
        <f t="shared" si="1"/>
        <v>0.4935064935064935</v>
      </c>
      <c r="H16" s="104">
        <v>1379</v>
      </c>
    </row>
    <row r="17" spans="1:8" x14ac:dyDescent="0.3">
      <c r="A17" s="122" t="s">
        <v>39</v>
      </c>
      <c r="B17" s="111">
        <v>44</v>
      </c>
      <c r="C17" s="57">
        <v>50</v>
      </c>
      <c r="D17" s="35">
        <v>28</v>
      </c>
      <c r="E17" s="35">
        <v>22</v>
      </c>
      <c r="F17" s="36">
        <f>D17/C17</f>
        <v>0.56000000000000005</v>
      </c>
      <c r="G17" s="54">
        <f t="shared" si="1"/>
        <v>0.44</v>
      </c>
      <c r="H17" s="104">
        <v>526</v>
      </c>
    </row>
    <row r="18" spans="1:8" x14ac:dyDescent="0.3">
      <c r="A18" s="122" t="s">
        <v>25</v>
      </c>
      <c r="B18" s="111">
        <v>0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1</v>
      </c>
      <c r="D20" s="35">
        <v>1</v>
      </c>
      <c r="E20" s="35">
        <v>0</v>
      </c>
      <c r="F20" s="36">
        <f t="shared" ref="F20:F35" si="2">D20/C20</f>
        <v>1</v>
      </c>
      <c r="G20" s="54">
        <f t="shared" si="1"/>
        <v>0</v>
      </c>
      <c r="H20" s="104">
        <v>6</v>
      </c>
    </row>
    <row r="21" spans="1:8" x14ac:dyDescent="0.3">
      <c r="A21" s="122" t="s">
        <v>131</v>
      </c>
      <c r="B21" s="111">
        <v>1</v>
      </c>
      <c r="C21" s="57">
        <v>0</v>
      </c>
      <c r="D21" s="35">
        <v>0</v>
      </c>
      <c r="E21" s="35">
        <v>0</v>
      </c>
      <c r="F21" s="36">
        <v>0</v>
      </c>
      <c r="G21" s="54">
        <v>0</v>
      </c>
      <c r="H21" s="104">
        <v>0</v>
      </c>
    </row>
    <row r="22" spans="1:8" x14ac:dyDescent="0.3">
      <c r="A22" s="122" t="s">
        <v>132</v>
      </c>
      <c r="B22" s="111">
        <v>1</v>
      </c>
      <c r="C22" s="57">
        <v>1</v>
      </c>
      <c r="D22" s="35">
        <v>0</v>
      </c>
      <c r="E22" s="35">
        <v>1</v>
      </c>
      <c r="F22" s="36">
        <f t="shared" si="2"/>
        <v>0</v>
      </c>
      <c r="G22" s="54">
        <f t="shared" si="1"/>
        <v>1</v>
      </c>
      <c r="H22" s="104">
        <v>25</v>
      </c>
    </row>
    <row r="23" spans="1:8" x14ac:dyDescent="0.3">
      <c r="A23" s="122" t="s">
        <v>133</v>
      </c>
      <c r="B23" s="116">
        <v>2</v>
      </c>
      <c r="C23" s="57">
        <v>1</v>
      </c>
      <c r="D23" s="35">
        <v>0</v>
      </c>
      <c r="E23" s="35">
        <v>1</v>
      </c>
      <c r="F23" s="36">
        <f t="shared" si="2"/>
        <v>0</v>
      </c>
      <c r="G23" s="54">
        <f t="shared" si="1"/>
        <v>1</v>
      </c>
      <c r="H23" s="104">
        <v>48</v>
      </c>
    </row>
    <row r="24" spans="1:8" x14ac:dyDescent="0.3">
      <c r="A24" s="123" t="s">
        <v>134</v>
      </c>
      <c r="B24" s="111">
        <v>120</v>
      </c>
      <c r="C24" s="57">
        <v>146</v>
      </c>
      <c r="D24" s="56">
        <v>75</v>
      </c>
      <c r="E24" s="56">
        <v>71</v>
      </c>
      <c r="F24" s="36">
        <f t="shared" si="2"/>
        <v>0.51369863013698636</v>
      </c>
      <c r="G24" s="54">
        <f t="shared" si="1"/>
        <v>0.4863013698630137</v>
      </c>
      <c r="H24" s="104">
        <v>2067</v>
      </c>
    </row>
    <row r="25" spans="1:8" x14ac:dyDescent="0.3">
      <c r="A25" s="122" t="s">
        <v>135</v>
      </c>
      <c r="B25" s="111">
        <v>3</v>
      </c>
      <c r="C25" s="57">
        <v>3</v>
      </c>
      <c r="D25" s="35">
        <v>2</v>
      </c>
      <c r="E25" s="35">
        <v>1</v>
      </c>
      <c r="F25" s="36">
        <f t="shared" si="2"/>
        <v>0.66666666666666663</v>
      </c>
      <c r="G25" s="54">
        <f t="shared" si="1"/>
        <v>0.33333333333333331</v>
      </c>
      <c r="H25" s="104">
        <v>28</v>
      </c>
    </row>
    <row r="26" spans="1:8" x14ac:dyDescent="0.3">
      <c r="A26" s="122" t="s">
        <v>38</v>
      </c>
      <c r="B26" s="111">
        <v>2</v>
      </c>
      <c r="C26" s="57">
        <v>2</v>
      </c>
      <c r="D26" s="35">
        <v>1</v>
      </c>
      <c r="E26" s="35">
        <v>1</v>
      </c>
      <c r="F26" s="36">
        <f t="shared" si="2"/>
        <v>0.5</v>
      </c>
      <c r="G26" s="54">
        <f t="shared" si="1"/>
        <v>0.5</v>
      </c>
      <c r="H26" s="104">
        <v>0</v>
      </c>
    </row>
    <row r="27" spans="1:8" x14ac:dyDescent="0.3">
      <c r="A27" s="122" t="s">
        <v>37</v>
      </c>
      <c r="B27" s="111">
        <v>5</v>
      </c>
      <c r="C27" s="57">
        <v>5</v>
      </c>
      <c r="D27" s="35">
        <v>3</v>
      </c>
      <c r="E27" s="35">
        <v>2</v>
      </c>
      <c r="F27" s="36">
        <f t="shared" si="2"/>
        <v>0.6</v>
      </c>
      <c r="G27" s="54">
        <f t="shared" si="1"/>
        <v>0.4</v>
      </c>
      <c r="H27" s="104">
        <v>52</v>
      </c>
    </row>
    <row r="28" spans="1:8" x14ac:dyDescent="0.3">
      <c r="A28" s="122" t="s">
        <v>27</v>
      </c>
      <c r="B28" s="111">
        <v>15</v>
      </c>
      <c r="C28" s="35">
        <v>12</v>
      </c>
      <c r="D28" s="35">
        <v>5</v>
      </c>
      <c r="E28" s="35">
        <v>7</v>
      </c>
      <c r="F28" s="36">
        <f t="shared" si="2"/>
        <v>0.41666666666666669</v>
      </c>
      <c r="G28" s="54">
        <f t="shared" si="1"/>
        <v>0.58333333333333337</v>
      </c>
      <c r="H28" s="104">
        <v>216</v>
      </c>
    </row>
    <row r="29" spans="1:8" x14ac:dyDescent="0.3">
      <c r="A29" s="122" t="s">
        <v>62</v>
      </c>
      <c r="B29" s="111">
        <v>7</v>
      </c>
      <c r="C29" s="35">
        <v>7</v>
      </c>
      <c r="D29" s="35">
        <v>4</v>
      </c>
      <c r="E29" s="35">
        <v>3</v>
      </c>
      <c r="F29" s="36">
        <f t="shared" si="2"/>
        <v>0.5714285714285714</v>
      </c>
      <c r="G29" s="54">
        <f t="shared" si="1"/>
        <v>0.42857142857142855</v>
      </c>
      <c r="H29" s="104">
        <v>39</v>
      </c>
    </row>
    <row r="30" spans="1:8" x14ac:dyDescent="0.3">
      <c r="A30" s="122" t="s">
        <v>136</v>
      </c>
      <c r="B30" s="111">
        <v>15</v>
      </c>
      <c r="C30" s="35">
        <v>19</v>
      </c>
      <c r="D30" s="35">
        <v>7</v>
      </c>
      <c r="E30" s="35">
        <v>12</v>
      </c>
      <c r="F30" s="36">
        <f t="shared" si="2"/>
        <v>0.36842105263157893</v>
      </c>
      <c r="G30" s="54">
        <f t="shared" si="1"/>
        <v>0.63157894736842102</v>
      </c>
      <c r="H30" s="104">
        <v>310</v>
      </c>
    </row>
    <row r="31" spans="1:8" x14ac:dyDescent="0.3">
      <c r="A31" s="122" t="s">
        <v>17</v>
      </c>
      <c r="B31" s="111">
        <v>9</v>
      </c>
      <c r="C31" s="35">
        <v>12</v>
      </c>
      <c r="D31" s="35">
        <v>5</v>
      </c>
      <c r="E31" s="35">
        <v>7</v>
      </c>
      <c r="F31" s="36">
        <f t="shared" si="2"/>
        <v>0.41666666666666669</v>
      </c>
      <c r="G31" s="54">
        <f t="shared" si="1"/>
        <v>0.58333333333333337</v>
      </c>
      <c r="H31" s="104">
        <v>160</v>
      </c>
    </row>
    <row r="32" spans="1:8" x14ac:dyDescent="0.3">
      <c r="A32" s="122" t="s">
        <v>137</v>
      </c>
      <c r="B32" s="111">
        <v>4</v>
      </c>
      <c r="C32" s="35">
        <v>1</v>
      </c>
      <c r="D32" s="35">
        <v>1</v>
      </c>
      <c r="E32" s="35">
        <v>0</v>
      </c>
      <c r="F32" s="36">
        <f t="shared" si="2"/>
        <v>1</v>
      </c>
      <c r="G32" s="54">
        <f t="shared" si="1"/>
        <v>0</v>
      </c>
      <c r="H32" s="104">
        <v>5</v>
      </c>
    </row>
    <row r="33" spans="1:8" x14ac:dyDescent="0.3">
      <c r="A33" s="123" t="s">
        <v>138</v>
      </c>
      <c r="B33" s="111">
        <v>87</v>
      </c>
      <c r="C33" s="56">
        <v>97</v>
      </c>
      <c r="D33" s="56">
        <v>35</v>
      </c>
      <c r="E33" s="56">
        <v>62</v>
      </c>
      <c r="F33" s="36">
        <f t="shared" si="2"/>
        <v>0.36082474226804123</v>
      </c>
      <c r="G33" s="54">
        <f t="shared" si="1"/>
        <v>0.63917525773195871</v>
      </c>
      <c r="H33" s="104">
        <v>1612</v>
      </c>
    </row>
    <row r="34" spans="1:8" x14ac:dyDescent="0.3">
      <c r="A34" s="122" t="s">
        <v>139</v>
      </c>
      <c r="B34" s="111">
        <v>1</v>
      </c>
      <c r="C34" s="35">
        <v>2</v>
      </c>
      <c r="D34" s="35">
        <v>2</v>
      </c>
      <c r="E34" s="35">
        <v>0</v>
      </c>
      <c r="F34" s="36">
        <f t="shared" si="2"/>
        <v>1</v>
      </c>
      <c r="G34" s="54">
        <f t="shared" si="1"/>
        <v>0</v>
      </c>
      <c r="H34" s="104">
        <v>30</v>
      </c>
    </row>
    <row r="35" spans="1:8" x14ac:dyDescent="0.3">
      <c r="A35" s="122" t="s">
        <v>140</v>
      </c>
      <c r="B35" s="111">
        <v>86</v>
      </c>
      <c r="C35" s="35">
        <v>81</v>
      </c>
      <c r="D35" s="35">
        <v>34</v>
      </c>
      <c r="E35" s="35">
        <v>47</v>
      </c>
      <c r="F35" s="36">
        <f t="shared" si="2"/>
        <v>0.41975308641975306</v>
      </c>
      <c r="G35" s="54">
        <f t="shared" si="1"/>
        <v>0.58024691358024694</v>
      </c>
      <c r="H35" s="104">
        <v>1054</v>
      </c>
    </row>
    <row r="36" spans="1:8" x14ac:dyDescent="0.3">
      <c r="A36" s="122" t="s">
        <v>141</v>
      </c>
      <c r="B36" s="111">
        <v>8</v>
      </c>
      <c r="C36" s="35">
        <v>11</v>
      </c>
      <c r="D36" s="35">
        <v>4</v>
      </c>
      <c r="E36" s="35">
        <v>7</v>
      </c>
      <c r="F36" s="36">
        <f t="shared" si="0"/>
        <v>0.36363636363636365</v>
      </c>
      <c r="G36" s="54">
        <f t="shared" si="1"/>
        <v>0.63636363636363635</v>
      </c>
      <c r="H36" s="104">
        <v>125</v>
      </c>
    </row>
    <row r="37" spans="1:8" x14ac:dyDescent="0.3">
      <c r="A37" s="122" t="s">
        <v>142</v>
      </c>
      <c r="B37" s="111">
        <v>0</v>
      </c>
      <c r="C37" s="35">
        <v>1</v>
      </c>
      <c r="D37" s="35">
        <v>0</v>
      </c>
      <c r="E37" s="35">
        <v>1</v>
      </c>
      <c r="F37" s="36">
        <f t="shared" si="0"/>
        <v>0</v>
      </c>
      <c r="G37" s="54">
        <f t="shared" si="1"/>
        <v>1</v>
      </c>
      <c r="H37" s="104">
        <v>0</v>
      </c>
    </row>
    <row r="38" spans="1:8" x14ac:dyDescent="0.3">
      <c r="A38" s="122" t="s">
        <v>143</v>
      </c>
      <c r="B38" s="111">
        <v>19</v>
      </c>
      <c r="C38" s="35">
        <v>21</v>
      </c>
      <c r="D38" s="35">
        <v>9</v>
      </c>
      <c r="E38" s="35">
        <v>12</v>
      </c>
      <c r="F38" s="36">
        <f t="shared" si="0"/>
        <v>0.42857142857142855</v>
      </c>
      <c r="G38" s="54">
        <f t="shared" si="1"/>
        <v>0.5714285714285714</v>
      </c>
      <c r="H38" s="104">
        <v>204</v>
      </c>
    </row>
    <row r="39" spans="1:8" x14ac:dyDescent="0.3">
      <c r="A39" s="122" t="s">
        <v>144</v>
      </c>
      <c r="B39" s="111">
        <v>22</v>
      </c>
      <c r="C39" s="35">
        <v>17</v>
      </c>
      <c r="D39" s="35">
        <v>6</v>
      </c>
      <c r="E39" s="35">
        <v>11</v>
      </c>
      <c r="F39" s="36">
        <f t="shared" si="0"/>
        <v>0.35294117647058826</v>
      </c>
      <c r="G39" s="54">
        <f t="shared" si="1"/>
        <v>0.6470588235294118</v>
      </c>
      <c r="H39" s="104">
        <v>112</v>
      </c>
    </row>
    <row r="40" spans="1:8" x14ac:dyDescent="0.3">
      <c r="A40" s="122" t="s">
        <v>145</v>
      </c>
      <c r="B40" s="111">
        <v>3</v>
      </c>
      <c r="C40" s="35">
        <v>4</v>
      </c>
      <c r="D40" s="35">
        <v>3</v>
      </c>
      <c r="E40" s="35">
        <v>1</v>
      </c>
      <c r="F40" s="36">
        <f t="shared" si="0"/>
        <v>0.75</v>
      </c>
      <c r="G40" s="54">
        <f t="shared" si="1"/>
        <v>0.25</v>
      </c>
      <c r="H40" s="104">
        <v>74</v>
      </c>
    </row>
    <row r="41" spans="1:8" x14ac:dyDescent="0.3">
      <c r="A41" s="122" t="s">
        <v>146</v>
      </c>
      <c r="B41" s="111">
        <v>10</v>
      </c>
      <c r="C41" s="35">
        <v>8</v>
      </c>
      <c r="D41" s="35">
        <v>2</v>
      </c>
      <c r="E41" s="35">
        <v>6</v>
      </c>
      <c r="F41" s="36">
        <f t="shared" si="0"/>
        <v>0.25</v>
      </c>
      <c r="G41" s="54">
        <f t="shared" si="1"/>
        <v>0.75</v>
      </c>
      <c r="H41" s="104">
        <v>106</v>
      </c>
    </row>
    <row r="42" spans="1:8" x14ac:dyDescent="0.3">
      <c r="A42" s="122" t="s">
        <v>147</v>
      </c>
      <c r="B42" s="111">
        <v>21</v>
      </c>
      <c r="C42" s="35">
        <v>20</v>
      </c>
      <c r="D42" s="35">
        <v>12</v>
      </c>
      <c r="E42" s="35">
        <v>8</v>
      </c>
      <c r="F42" s="36">
        <f t="shared" si="0"/>
        <v>0.6</v>
      </c>
      <c r="G42" s="54">
        <f t="shared" si="1"/>
        <v>0.4</v>
      </c>
      <c r="H42" s="104">
        <v>354</v>
      </c>
    </row>
    <row r="43" spans="1:8" x14ac:dyDescent="0.3">
      <c r="A43" s="123" t="s">
        <v>148</v>
      </c>
      <c r="B43" s="111">
        <v>117</v>
      </c>
      <c r="C43" s="56">
        <v>125</v>
      </c>
      <c r="D43" s="56">
        <v>59</v>
      </c>
      <c r="E43" s="56">
        <v>66</v>
      </c>
      <c r="F43" s="36">
        <f t="shared" si="0"/>
        <v>0.47199999999999998</v>
      </c>
      <c r="G43" s="54">
        <f t="shared" si="1"/>
        <v>0.52800000000000002</v>
      </c>
      <c r="H43" s="104">
        <v>1106</v>
      </c>
    </row>
    <row r="44" spans="1:8" x14ac:dyDescent="0.3">
      <c r="A44" s="122" t="s">
        <v>36</v>
      </c>
      <c r="B44" s="111">
        <v>68</v>
      </c>
      <c r="C44" s="35">
        <v>60</v>
      </c>
      <c r="D44" s="35">
        <v>25</v>
      </c>
      <c r="E44" s="35">
        <v>35</v>
      </c>
      <c r="F44" s="36">
        <f t="shared" si="0"/>
        <v>0.41666666666666669</v>
      </c>
      <c r="G44" s="54">
        <f t="shared" si="1"/>
        <v>0.58333333333333337</v>
      </c>
      <c r="H44" s="104">
        <v>679</v>
      </c>
    </row>
    <row r="45" spans="1:8" x14ac:dyDescent="0.3">
      <c r="A45" s="122" t="s">
        <v>15</v>
      </c>
      <c r="B45" s="111">
        <v>4</v>
      </c>
      <c r="C45" s="35">
        <v>4</v>
      </c>
      <c r="D45" s="35">
        <v>2</v>
      </c>
      <c r="E45" s="35">
        <v>2</v>
      </c>
      <c r="F45" s="36">
        <f t="shared" si="0"/>
        <v>0.5</v>
      </c>
      <c r="G45" s="54">
        <f t="shared" si="1"/>
        <v>0.5</v>
      </c>
      <c r="H45" s="104">
        <v>20</v>
      </c>
    </row>
    <row r="46" spans="1:8" x14ac:dyDescent="0.3">
      <c r="A46" s="122" t="s">
        <v>18</v>
      </c>
      <c r="B46" s="111">
        <v>6</v>
      </c>
      <c r="C46" s="35">
        <v>5</v>
      </c>
      <c r="D46" s="35">
        <v>3</v>
      </c>
      <c r="E46" s="35">
        <v>2</v>
      </c>
      <c r="F46" s="36">
        <f t="shared" si="0"/>
        <v>0.6</v>
      </c>
      <c r="G46" s="54">
        <f t="shared" si="1"/>
        <v>0.4</v>
      </c>
      <c r="H46" s="104">
        <v>158</v>
      </c>
    </row>
    <row r="47" spans="1:8" x14ac:dyDescent="0.3">
      <c r="A47" s="122" t="s">
        <v>35</v>
      </c>
      <c r="B47" s="111">
        <v>40</v>
      </c>
      <c r="C47" s="35">
        <v>44</v>
      </c>
      <c r="D47" s="35">
        <v>31</v>
      </c>
      <c r="E47" s="35">
        <v>13</v>
      </c>
      <c r="F47" s="36">
        <f t="shared" si="0"/>
        <v>0.70454545454545459</v>
      </c>
      <c r="G47" s="54">
        <f t="shared" si="1"/>
        <v>0.29545454545454547</v>
      </c>
      <c r="H47" s="104">
        <v>730</v>
      </c>
    </row>
    <row r="48" spans="1:8" x14ac:dyDescent="0.3">
      <c r="A48" s="122" t="s">
        <v>24</v>
      </c>
      <c r="B48" s="111">
        <v>1</v>
      </c>
      <c r="C48" s="35">
        <v>1</v>
      </c>
      <c r="D48" s="35">
        <v>0</v>
      </c>
      <c r="E48" s="35">
        <v>1</v>
      </c>
      <c r="F48" s="36">
        <f t="shared" si="0"/>
        <v>0</v>
      </c>
      <c r="G48" s="54">
        <f t="shared" si="1"/>
        <v>1</v>
      </c>
      <c r="H48" s="104">
        <v>3</v>
      </c>
    </row>
    <row r="49" spans="1:8" x14ac:dyDescent="0.3">
      <c r="A49" s="122" t="s">
        <v>34</v>
      </c>
      <c r="B49" s="111">
        <v>10</v>
      </c>
      <c r="C49" s="35">
        <v>9</v>
      </c>
      <c r="D49" s="35">
        <v>2</v>
      </c>
      <c r="E49" s="35">
        <v>7</v>
      </c>
      <c r="F49" s="36">
        <f t="shared" si="0"/>
        <v>0.22222222222222221</v>
      </c>
      <c r="G49" s="54">
        <f t="shared" si="1"/>
        <v>0.77777777777777779</v>
      </c>
      <c r="H49" s="104">
        <v>77</v>
      </c>
    </row>
    <row r="50" spans="1:8" x14ac:dyDescent="0.3">
      <c r="A50" s="122" t="s">
        <v>33</v>
      </c>
      <c r="B50" s="111">
        <v>7</v>
      </c>
      <c r="C50" s="35">
        <v>5</v>
      </c>
      <c r="D50" s="35">
        <v>2</v>
      </c>
      <c r="E50" s="35">
        <v>3</v>
      </c>
      <c r="F50" s="36">
        <f t="shared" si="0"/>
        <v>0.4</v>
      </c>
      <c r="G50" s="54">
        <f t="shared" si="1"/>
        <v>0.6</v>
      </c>
      <c r="H50" s="104">
        <v>45</v>
      </c>
    </row>
    <row r="51" spans="1:8" x14ac:dyDescent="0.3">
      <c r="A51" s="122" t="s">
        <v>16</v>
      </c>
      <c r="B51" s="111">
        <v>15</v>
      </c>
      <c r="C51" s="35">
        <v>13</v>
      </c>
      <c r="D51" s="35">
        <v>4</v>
      </c>
      <c r="E51" s="35">
        <v>9</v>
      </c>
      <c r="F51" s="36">
        <f t="shared" si="0"/>
        <v>0.30769230769230771</v>
      </c>
      <c r="G51" s="54">
        <f t="shared" si="1"/>
        <v>0.69230769230769229</v>
      </c>
      <c r="H51" s="104">
        <v>150</v>
      </c>
    </row>
    <row r="52" spans="1:8" x14ac:dyDescent="0.3">
      <c r="A52" s="122" t="s">
        <v>32</v>
      </c>
      <c r="B52" s="111">
        <v>6</v>
      </c>
      <c r="C52" s="35">
        <v>8</v>
      </c>
      <c r="D52" s="35">
        <v>4</v>
      </c>
      <c r="E52" s="35">
        <v>4</v>
      </c>
      <c r="F52" s="36">
        <f t="shared" si="0"/>
        <v>0.5</v>
      </c>
      <c r="G52" s="54">
        <f t="shared" si="1"/>
        <v>0.5</v>
      </c>
      <c r="H52" s="104">
        <v>92</v>
      </c>
    </row>
    <row r="53" spans="1:8" x14ac:dyDescent="0.3">
      <c r="A53" s="122" t="s">
        <v>31</v>
      </c>
      <c r="B53" s="111">
        <v>1</v>
      </c>
      <c r="C53" s="35">
        <v>2</v>
      </c>
      <c r="D53" s="35">
        <v>2</v>
      </c>
      <c r="E53" s="35">
        <v>0</v>
      </c>
      <c r="F53" s="36">
        <f t="shared" si="0"/>
        <v>1</v>
      </c>
      <c r="G53" s="54">
        <f t="shared" si="1"/>
        <v>0</v>
      </c>
      <c r="H53" s="104">
        <v>14</v>
      </c>
    </row>
    <row r="54" spans="1:8" x14ac:dyDescent="0.3">
      <c r="A54" s="122" t="s">
        <v>77</v>
      </c>
      <c r="B54" s="111">
        <v>4</v>
      </c>
      <c r="C54" s="35">
        <v>2</v>
      </c>
      <c r="D54" s="35">
        <v>1</v>
      </c>
      <c r="E54" s="35">
        <v>1</v>
      </c>
      <c r="F54" s="36">
        <f t="shared" si="0"/>
        <v>0.5</v>
      </c>
      <c r="G54" s="54">
        <f t="shared" si="1"/>
        <v>0.5</v>
      </c>
      <c r="H54" s="104">
        <v>28</v>
      </c>
    </row>
    <row r="55" spans="1:8" x14ac:dyDescent="0.3">
      <c r="A55" s="122" t="s">
        <v>30</v>
      </c>
      <c r="B55" s="111">
        <v>14</v>
      </c>
      <c r="C55" s="35">
        <v>15</v>
      </c>
      <c r="D55" s="35">
        <v>9</v>
      </c>
      <c r="E55" s="35">
        <v>6</v>
      </c>
      <c r="F55" s="36">
        <f t="shared" si="0"/>
        <v>0.6</v>
      </c>
      <c r="G55" s="54">
        <f t="shared" si="1"/>
        <v>0.4</v>
      </c>
      <c r="H55" s="104">
        <v>270</v>
      </c>
    </row>
    <row r="56" spans="1:8" x14ac:dyDescent="0.3">
      <c r="A56" s="122" t="s">
        <v>21</v>
      </c>
      <c r="B56" s="111">
        <v>25</v>
      </c>
      <c r="C56" s="35">
        <v>23</v>
      </c>
      <c r="D56" s="35">
        <v>13</v>
      </c>
      <c r="E56" s="35">
        <v>10</v>
      </c>
      <c r="F56" s="36">
        <f t="shared" si="0"/>
        <v>0.56521739130434778</v>
      </c>
      <c r="G56" s="54">
        <f t="shared" si="1"/>
        <v>0.43478260869565216</v>
      </c>
      <c r="H56" s="104">
        <v>411</v>
      </c>
    </row>
    <row r="57" spans="1:8" x14ac:dyDescent="0.3">
      <c r="A57" s="122" t="s">
        <v>22</v>
      </c>
      <c r="B57" s="111">
        <v>13</v>
      </c>
      <c r="C57" s="35">
        <v>16</v>
      </c>
      <c r="D57" s="35">
        <v>6</v>
      </c>
      <c r="E57" s="35">
        <v>10</v>
      </c>
      <c r="F57" s="36">
        <f t="shared" si="0"/>
        <v>0.375</v>
      </c>
      <c r="G57" s="54">
        <f t="shared" si="1"/>
        <v>0.625</v>
      </c>
      <c r="H57" s="104">
        <v>220</v>
      </c>
    </row>
    <row r="58" spans="1:8" x14ac:dyDescent="0.3">
      <c r="A58" s="122" t="s">
        <v>79</v>
      </c>
      <c r="B58" s="111">
        <v>7</v>
      </c>
      <c r="C58" s="35">
        <v>8</v>
      </c>
      <c r="D58" s="35">
        <v>3</v>
      </c>
      <c r="E58" s="35">
        <v>5</v>
      </c>
      <c r="F58" s="36">
        <f t="shared" si="0"/>
        <v>0.375</v>
      </c>
      <c r="G58" s="54">
        <f t="shared" si="1"/>
        <v>0.625</v>
      </c>
      <c r="H58" s="104">
        <v>46</v>
      </c>
    </row>
    <row r="59" spans="1:8" x14ac:dyDescent="0.3">
      <c r="A59" s="122" t="s">
        <v>149</v>
      </c>
      <c r="B59" s="111">
        <v>45</v>
      </c>
      <c r="C59" s="35">
        <v>39</v>
      </c>
      <c r="D59" s="35">
        <v>19</v>
      </c>
      <c r="E59" s="35">
        <v>20</v>
      </c>
      <c r="F59" s="36">
        <f t="shared" si="0"/>
        <v>0.48717948717948717</v>
      </c>
      <c r="G59" s="54">
        <f t="shared" si="1"/>
        <v>0.51282051282051277</v>
      </c>
      <c r="H59" s="104">
        <v>517</v>
      </c>
    </row>
    <row r="60" spans="1:8" x14ac:dyDescent="0.3">
      <c r="A60" s="122" t="s">
        <v>29</v>
      </c>
      <c r="B60" s="114">
        <v>17</v>
      </c>
      <c r="C60" s="1">
        <v>30</v>
      </c>
      <c r="D60" s="1">
        <v>11</v>
      </c>
      <c r="E60" s="35">
        <v>19</v>
      </c>
      <c r="F60" s="36">
        <f t="shared" si="0"/>
        <v>0.36666666666666664</v>
      </c>
      <c r="G60" s="54">
        <f t="shared" si="1"/>
        <v>0.6333333333333333</v>
      </c>
      <c r="H60" s="104">
        <v>597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18</v>
      </c>
      <c r="C62" s="35">
        <v>12</v>
      </c>
      <c r="D62" s="35">
        <v>7</v>
      </c>
      <c r="E62" s="60">
        <v>5</v>
      </c>
      <c r="F62" s="36">
        <f t="shared" si="0"/>
        <v>0.58333333333333337</v>
      </c>
      <c r="G62" s="54">
        <f t="shared" si="1"/>
        <v>0.41666666666666669</v>
      </c>
      <c r="H62" s="104">
        <v>263</v>
      </c>
    </row>
    <row r="63" spans="1:8" x14ac:dyDescent="0.3">
      <c r="A63" s="122" t="s">
        <v>84</v>
      </c>
      <c r="B63" s="111">
        <v>5</v>
      </c>
      <c r="C63" s="35">
        <v>4</v>
      </c>
      <c r="D63" s="35">
        <v>1</v>
      </c>
      <c r="E63" s="60">
        <v>3</v>
      </c>
      <c r="F63" s="36">
        <f t="shared" si="0"/>
        <v>0.25</v>
      </c>
      <c r="G63" s="54">
        <f t="shared" si="1"/>
        <v>0.75</v>
      </c>
      <c r="H63" s="104">
        <v>9</v>
      </c>
    </row>
    <row r="64" spans="1:8" x14ac:dyDescent="0.3">
      <c r="A64" s="122" t="s">
        <v>85</v>
      </c>
      <c r="B64" s="111">
        <v>22</v>
      </c>
      <c r="C64" s="35">
        <v>20</v>
      </c>
      <c r="D64" s="35">
        <v>11</v>
      </c>
      <c r="E64" s="60">
        <v>9</v>
      </c>
      <c r="F64" s="36">
        <f t="shared" si="0"/>
        <v>0.55000000000000004</v>
      </c>
      <c r="G64" s="54">
        <f t="shared" si="1"/>
        <v>0.45</v>
      </c>
      <c r="H64" s="104">
        <v>179</v>
      </c>
    </row>
    <row r="65" spans="1:16" x14ac:dyDescent="0.3">
      <c r="A65" s="122" t="s">
        <v>151</v>
      </c>
      <c r="B65" s="111">
        <v>6</v>
      </c>
      <c r="C65" s="35">
        <v>3</v>
      </c>
      <c r="D65" s="35">
        <v>2</v>
      </c>
      <c r="E65" s="60">
        <v>1</v>
      </c>
      <c r="F65" s="36">
        <f t="shared" si="0"/>
        <v>0.66666666666666663</v>
      </c>
      <c r="G65" s="54">
        <f t="shared" si="1"/>
        <v>0.33333333333333331</v>
      </c>
      <c r="H65" s="104">
        <v>19</v>
      </c>
    </row>
    <row r="66" spans="1:16" x14ac:dyDescent="0.3">
      <c r="A66" s="122" t="s">
        <v>152</v>
      </c>
      <c r="B66" s="111">
        <v>16</v>
      </c>
      <c r="C66" s="35">
        <v>18</v>
      </c>
      <c r="D66" s="35">
        <v>13</v>
      </c>
      <c r="E66" s="60">
        <v>5</v>
      </c>
      <c r="F66" s="36">
        <f t="shared" si="0"/>
        <v>0.72222222222222221</v>
      </c>
      <c r="G66" s="54">
        <f t="shared" si="1"/>
        <v>0.27777777777777779</v>
      </c>
      <c r="H66" s="104">
        <v>158</v>
      </c>
    </row>
    <row r="67" spans="1:16" x14ac:dyDescent="0.3">
      <c r="A67" s="122" t="s">
        <v>153</v>
      </c>
      <c r="B67" s="111">
        <v>7</v>
      </c>
      <c r="C67" s="35">
        <v>7</v>
      </c>
      <c r="D67" s="35">
        <v>2</v>
      </c>
      <c r="E67" s="60">
        <v>5</v>
      </c>
      <c r="F67" s="36">
        <f t="shared" si="0"/>
        <v>0.2857142857142857</v>
      </c>
      <c r="G67" s="54">
        <f t="shared" si="1"/>
        <v>0.7142857142857143</v>
      </c>
      <c r="H67" s="104">
        <v>78</v>
      </c>
    </row>
    <row r="68" spans="1:16" x14ac:dyDescent="0.3">
      <c r="A68" s="122" t="s">
        <v>157</v>
      </c>
      <c r="B68" s="111">
        <v>4</v>
      </c>
      <c r="C68" s="35">
        <v>2</v>
      </c>
      <c r="D68" s="35">
        <v>1</v>
      </c>
      <c r="E68" s="60">
        <v>1</v>
      </c>
      <c r="F68" s="36">
        <f t="shared" si="0"/>
        <v>0.5</v>
      </c>
      <c r="G68" s="54">
        <f t="shared" si="1"/>
        <v>0.5</v>
      </c>
      <c r="H68" s="104">
        <v>75</v>
      </c>
    </row>
    <row r="69" spans="1:16" s="58" customFormat="1" x14ac:dyDescent="0.3">
      <c r="A69" s="123" t="s">
        <v>154</v>
      </c>
      <c r="B69" s="112">
        <v>1</v>
      </c>
      <c r="C69" s="56">
        <v>1</v>
      </c>
      <c r="D69" s="56">
        <v>0</v>
      </c>
      <c r="E69" s="60">
        <v>1</v>
      </c>
      <c r="F69" s="36">
        <f t="shared" si="0"/>
        <v>0</v>
      </c>
      <c r="G69" s="54">
        <f t="shared" si="1"/>
        <v>1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6</v>
      </c>
      <c r="C70" s="35">
        <v>6</v>
      </c>
      <c r="D70" s="35">
        <v>2</v>
      </c>
      <c r="E70" s="60">
        <v>4</v>
      </c>
      <c r="F70" s="36">
        <f t="shared" si="0"/>
        <v>0.33333333333333331</v>
      </c>
      <c r="G70" s="54">
        <f t="shared" si="1"/>
        <v>0.66666666666666663</v>
      </c>
      <c r="H70" s="104">
        <v>12</v>
      </c>
    </row>
    <row r="71" spans="1:16" ht="15" thickBot="1" x14ac:dyDescent="0.35">
      <c r="A71" s="124" t="s">
        <v>155</v>
      </c>
      <c r="B71" s="110">
        <v>2</v>
      </c>
      <c r="C71" s="105">
        <v>2</v>
      </c>
      <c r="D71" s="105">
        <v>1</v>
      </c>
      <c r="E71" s="106">
        <v>1</v>
      </c>
      <c r="F71" s="107">
        <f t="shared" si="0"/>
        <v>0.5</v>
      </c>
      <c r="G71" s="108">
        <f t="shared" si="1"/>
        <v>0.5</v>
      </c>
      <c r="H71" s="109">
        <v>20</v>
      </c>
    </row>
    <row r="72" spans="1:16" ht="15" thickBot="1" x14ac:dyDescent="0.35">
      <c r="A72" s="125" t="s">
        <v>105</v>
      </c>
      <c r="B72" s="96">
        <f>SUM(B8:B71)</f>
        <v>1132</v>
      </c>
      <c r="C72" s="96">
        <f>SUM(C8:C71)</f>
        <v>1170</v>
      </c>
      <c r="D72" s="96">
        <f>SUM(D8:D71)</f>
        <v>556</v>
      </c>
      <c r="E72" s="96">
        <f>SUM(E8:E71)</f>
        <v>614</v>
      </c>
      <c r="F72" s="98">
        <f>D72/C72</f>
        <v>0.47521367521367519</v>
      </c>
      <c r="G72" s="97">
        <f>E72/C72</f>
        <v>0.52478632478632481</v>
      </c>
      <c r="H72" s="96">
        <f>SUM(H8:H71)</f>
        <v>15709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P80"/>
  <sheetViews>
    <sheetView topLeftCell="A60" zoomScaleNormal="100" workbookViewId="0">
      <selection activeCell="H72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177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29</v>
      </c>
      <c r="C8" s="99">
        <v>24</v>
      </c>
      <c r="D8" s="99">
        <v>17</v>
      </c>
      <c r="E8" s="99">
        <v>7</v>
      </c>
      <c r="F8" s="100">
        <f t="shared" ref="F8:F71" si="0">D8/C8</f>
        <v>0.70833333333333337</v>
      </c>
      <c r="G8" s="101">
        <f t="shared" ref="G8:G71" si="1">E8/C8</f>
        <v>0.29166666666666669</v>
      </c>
      <c r="H8" s="103">
        <v>303</v>
      </c>
    </row>
    <row r="9" spans="1:8" x14ac:dyDescent="0.3">
      <c r="A9" s="122" t="s">
        <v>121</v>
      </c>
      <c r="B9" s="116">
        <v>8</v>
      </c>
      <c r="C9" s="35">
        <v>3</v>
      </c>
      <c r="D9" s="35">
        <v>3</v>
      </c>
      <c r="E9" s="35">
        <v>0</v>
      </c>
      <c r="F9" s="100">
        <f t="shared" si="0"/>
        <v>1</v>
      </c>
      <c r="G9" s="54">
        <v>0</v>
      </c>
      <c r="H9" s="104">
        <v>33</v>
      </c>
    </row>
    <row r="10" spans="1:8" x14ac:dyDescent="0.3">
      <c r="A10" s="122" t="s">
        <v>122</v>
      </c>
      <c r="B10" s="116">
        <v>40</v>
      </c>
      <c r="C10" s="35">
        <v>28</v>
      </c>
      <c r="D10" s="35">
        <v>18</v>
      </c>
      <c r="E10" s="35">
        <v>10</v>
      </c>
      <c r="F10" s="36">
        <f t="shared" si="0"/>
        <v>0.6428571428571429</v>
      </c>
      <c r="G10" s="54">
        <f t="shared" si="1"/>
        <v>0.35714285714285715</v>
      </c>
      <c r="H10" s="104">
        <v>307</v>
      </c>
    </row>
    <row r="11" spans="1:8" x14ac:dyDescent="0.3">
      <c r="A11" s="122" t="s">
        <v>123</v>
      </c>
      <c r="B11" s="116">
        <v>3</v>
      </c>
      <c r="C11" s="35">
        <v>0</v>
      </c>
      <c r="D11" s="35">
        <v>0</v>
      </c>
      <c r="E11" s="35">
        <v>0</v>
      </c>
      <c r="F11" s="36">
        <v>0</v>
      </c>
      <c r="G11" s="54">
        <v>0</v>
      </c>
      <c r="H11" s="104">
        <v>0</v>
      </c>
    </row>
    <row r="12" spans="1:8" x14ac:dyDescent="0.3">
      <c r="A12" s="122" t="s">
        <v>124</v>
      </c>
      <c r="B12" s="116">
        <v>36</v>
      </c>
      <c r="C12" s="35">
        <v>36</v>
      </c>
      <c r="D12" s="35">
        <v>23</v>
      </c>
      <c r="E12" s="35">
        <v>13</v>
      </c>
      <c r="F12" s="36">
        <f t="shared" si="0"/>
        <v>0.63888888888888884</v>
      </c>
      <c r="G12" s="54">
        <f t="shared" si="1"/>
        <v>0.3611111111111111</v>
      </c>
      <c r="H12" s="104">
        <v>307</v>
      </c>
    </row>
    <row r="13" spans="1:8" x14ac:dyDescent="0.3">
      <c r="A13" s="122" t="s">
        <v>125</v>
      </c>
      <c r="B13" s="111">
        <v>10</v>
      </c>
      <c r="C13" s="35">
        <v>13</v>
      </c>
      <c r="D13" s="35">
        <v>9</v>
      </c>
      <c r="E13" s="35">
        <v>4</v>
      </c>
      <c r="F13" s="36">
        <f t="shared" si="0"/>
        <v>0.69230769230769229</v>
      </c>
      <c r="G13" s="54">
        <f t="shared" si="1"/>
        <v>0.30769230769230771</v>
      </c>
      <c r="H13" s="104">
        <v>91</v>
      </c>
    </row>
    <row r="14" spans="1:8" x14ac:dyDescent="0.3">
      <c r="A14" s="122" t="s">
        <v>126</v>
      </c>
      <c r="B14" s="111">
        <v>12</v>
      </c>
      <c r="C14" s="35">
        <v>8</v>
      </c>
      <c r="D14" s="35">
        <v>3</v>
      </c>
      <c r="E14" s="35">
        <v>5</v>
      </c>
      <c r="F14" s="36">
        <f t="shared" si="0"/>
        <v>0.375</v>
      </c>
      <c r="G14" s="54">
        <f t="shared" si="1"/>
        <v>0.625</v>
      </c>
      <c r="H14" s="104">
        <v>40</v>
      </c>
    </row>
    <row r="15" spans="1:8" x14ac:dyDescent="0.3">
      <c r="A15" s="122" t="s">
        <v>127</v>
      </c>
      <c r="B15" s="111">
        <v>101</v>
      </c>
      <c r="C15" s="35">
        <v>73</v>
      </c>
      <c r="D15" s="35">
        <v>57</v>
      </c>
      <c r="E15" s="35">
        <v>16</v>
      </c>
      <c r="F15" s="36">
        <f t="shared" si="0"/>
        <v>0.78082191780821919</v>
      </c>
      <c r="G15" s="54">
        <f t="shared" si="1"/>
        <v>0.21917808219178081</v>
      </c>
      <c r="H15" s="104">
        <v>314</v>
      </c>
    </row>
    <row r="16" spans="1:8" x14ac:dyDescent="0.3">
      <c r="A16" s="122" t="s">
        <v>128</v>
      </c>
      <c r="B16" s="111">
        <v>162</v>
      </c>
      <c r="C16" s="57">
        <v>136</v>
      </c>
      <c r="D16" s="35">
        <v>100</v>
      </c>
      <c r="E16" s="35">
        <v>36</v>
      </c>
      <c r="F16" s="36">
        <f t="shared" si="0"/>
        <v>0.73529411764705888</v>
      </c>
      <c r="G16" s="54">
        <f t="shared" si="1"/>
        <v>0.26470588235294118</v>
      </c>
      <c r="H16" s="104">
        <v>1643</v>
      </c>
    </row>
    <row r="17" spans="1:8" x14ac:dyDescent="0.3">
      <c r="A17" s="122" t="s">
        <v>39</v>
      </c>
      <c r="B17" s="111">
        <v>65</v>
      </c>
      <c r="C17" s="57">
        <v>70</v>
      </c>
      <c r="D17" s="35">
        <v>55</v>
      </c>
      <c r="E17" s="35">
        <v>15</v>
      </c>
      <c r="F17" s="36">
        <f>D17/C17</f>
        <v>0.7857142857142857</v>
      </c>
      <c r="G17" s="54">
        <f t="shared" si="1"/>
        <v>0.21428571428571427</v>
      </c>
      <c r="H17" s="104">
        <v>622</v>
      </c>
    </row>
    <row r="18" spans="1:8" x14ac:dyDescent="0.3">
      <c r="A18" s="122" t="s">
        <v>25</v>
      </c>
      <c r="B18" s="111">
        <v>1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2</v>
      </c>
      <c r="C19" s="57">
        <v>1</v>
      </c>
      <c r="D19" s="35">
        <v>1</v>
      </c>
      <c r="E19" s="35">
        <v>0</v>
      </c>
      <c r="F19" s="36">
        <f t="shared" ref="F19:F21" si="2">D19/C19</f>
        <v>1</v>
      </c>
      <c r="G19" s="54">
        <f t="shared" si="1"/>
        <v>0</v>
      </c>
      <c r="H19" s="104">
        <v>0</v>
      </c>
    </row>
    <row r="20" spans="1:8" x14ac:dyDescent="0.3">
      <c r="A20" s="122" t="s">
        <v>130</v>
      </c>
      <c r="B20" s="111">
        <v>0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104">
        <v>6</v>
      </c>
    </row>
    <row r="21" spans="1:8" x14ac:dyDescent="0.3">
      <c r="A21" s="122" t="s">
        <v>131</v>
      </c>
      <c r="B21" s="111">
        <v>1</v>
      </c>
      <c r="C21" s="57">
        <v>1</v>
      </c>
      <c r="D21" s="35">
        <v>0</v>
      </c>
      <c r="E21" s="35">
        <v>1</v>
      </c>
      <c r="F21" s="36">
        <f t="shared" si="2"/>
        <v>0</v>
      </c>
      <c r="G21" s="54">
        <f t="shared" si="1"/>
        <v>1</v>
      </c>
      <c r="H21" s="104">
        <v>0</v>
      </c>
    </row>
    <row r="22" spans="1:8" x14ac:dyDescent="0.3">
      <c r="A22" s="122" t="s">
        <v>132</v>
      </c>
      <c r="B22" s="111">
        <v>3</v>
      </c>
      <c r="C22" s="57">
        <v>2</v>
      </c>
      <c r="D22" s="35">
        <v>1</v>
      </c>
      <c r="E22" s="35">
        <v>1</v>
      </c>
      <c r="F22" s="36">
        <f t="shared" ref="F22:F35" si="3">D22/C22</f>
        <v>0.5</v>
      </c>
      <c r="G22" s="54">
        <f t="shared" si="1"/>
        <v>0.5</v>
      </c>
      <c r="H22" s="104">
        <v>34</v>
      </c>
    </row>
    <row r="23" spans="1:8" x14ac:dyDescent="0.3">
      <c r="A23" s="122" t="s">
        <v>133</v>
      </c>
      <c r="B23" s="116">
        <v>19</v>
      </c>
      <c r="C23" s="57">
        <v>12</v>
      </c>
      <c r="D23" s="35">
        <v>10</v>
      </c>
      <c r="E23" s="35">
        <v>2</v>
      </c>
      <c r="F23" s="36">
        <f t="shared" si="3"/>
        <v>0.83333333333333337</v>
      </c>
      <c r="G23" s="54">
        <f t="shared" si="1"/>
        <v>0.16666666666666666</v>
      </c>
      <c r="H23" s="104">
        <v>49</v>
      </c>
    </row>
    <row r="24" spans="1:8" x14ac:dyDescent="0.3">
      <c r="A24" s="123" t="s">
        <v>134</v>
      </c>
      <c r="B24" s="111">
        <v>229</v>
      </c>
      <c r="C24" s="57">
        <v>232</v>
      </c>
      <c r="D24" s="56">
        <v>170</v>
      </c>
      <c r="E24" s="56">
        <v>62</v>
      </c>
      <c r="F24" s="36">
        <f t="shared" si="3"/>
        <v>0.73275862068965514</v>
      </c>
      <c r="G24" s="54">
        <f t="shared" si="1"/>
        <v>0.26724137931034481</v>
      </c>
      <c r="H24" s="104">
        <v>2488</v>
      </c>
    </row>
    <row r="25" spans="1:8" x14ac:dyDescent="0.3">
      <c r="A25" s="122" t="s">
        <v>135</v>
      </c>
      <c r="B25" s="111">
        <v>2</v>
      </c>
      <c r="C25" s="57">
        <v>1</v>
      </c>
      <c r="D25" s="35">
        <v>0</v>
      </c>
      <c r="E25" s="35">
        <v>1</v>
      </c>
      <c r="F25" s="36">
        <f t="shared" si="3"/>
        <v>0</v>
      </c>
      <c r="G25" s="54">
        <f t="shared" si="1"/>
        <v>1</v>
      </c>
      <c r="H25" s="104">
        <v>33</v>
      </c>
    </row>
    <row r="26" spans="1:8" x14ac:dyDescent="0.3">
      <c r="A26" s="122" t="s">
        <v>38</v>
      </c>
      <c r="B26" s="111">
        <v>4</v>
      </c>
      <c r="C26" s="57">
        <v>3</v>
      </c>
      <c r="D26" s="35">
        <v>2</v>
      </c>
      <c r="E26" s="35">
        <v>1</v>
      </c>
      <c r="F26" s="36">
        <f t="shared" si="3"/>
        <v>0.66666666666666663</v>
      </c>
      <c r="G26" s="54">
        <f t="shared" si="1"/>
        <v>0.33333333333333331</v>
      </c>
      <c r="H26" s="104">
        <v>0</v>
      </c>
    </row>
    <row r="27" spans="1:8" x14ac:dyDescent="0.3">
      <c r="A27" s="122" t="s">
        <v>37</v>
      </c>
      <c r="B27" s="111">
        <v>18</v>
      </c>
      <c r="C27" s="57">
        <v>17</v>
      </c>
      <c r="D27" s="35">
        <v>13</v>
      </c>
      <c r="E27" s="35">
        <v>4</v>
      </c>
      <c r="F27" s="36">
        <f t="shared" si="3"/>
        <v>0.76470588235294112</v>
      </c>
      <c r="G27" s="54">
        <f t="shared" si="1"/>
        <v>0.23529411764705882</v>
      </c>
      <c r="H27" s="104">
        <v>60</v>
      </c>
    </row>
    <row r="28" spans="1:8" x14ac:dyDescent="0.3">
      <c r="A28" s="122" t="s">
        <v>27</v>
      </c>
      <c r="B28" s="111">
        <v>6</v>
      </c>
      <c r="C28" s="35">
        <v>6</v>
      </c>
      <c r="D28" s="35">
        <v>4</v>
      </c>
      <c r="E28" s="35">
        <v>2</v>
      </c>
      <c r="F28" s="36">
        <f t="shared" si="3"/>
        <v>0.66666666666666663</v>
      </c>
      <c r="G28" s="54">
        <f t="shared" si="1"/>
        <v>0.33333333333333331</v>
      </c>
      <c r="H28" s="104">
        <v>236</v>
      </c>
    </row>
    <row r="29" spans="1:8" x14ac:dyDescent="0.3">
      <c r="A29" s="122" t="s">
        <v>62</v>
      </c>
      <c r="B29" s="111">
        <v>11</v>
      </c>
      <c r="C29" s="35">
        <v>10</v>
      </c>
      <c r="D29" s="35">
        <v>6</v>
      </c>
      <c r="E29" s="35">
        <v>4</v>
      </c>
      <c r="F29" s="36">
        <f t="shared" si="3"/>
        <v>0.6</v>
      </c>
      <c r="G29" s="54">
        <f t="shared" si="1"/>
        <v>0.4</v>
      </c>
      <c r="H29" s="104">
        <v>60</v>
      </c>
    </row>
    <row r="30" spans="1:8" x14ac:dyDescent="0.3">
      <c r="A30" s="122" t="s">
        <v>136</v>
      </c>
      <c r="B30" s="111">
        <v>31</v>
      </c>
      <c r="C30" s="35">
        <v>27</v>
      </c>
      <c r="D30" s="35">
        <v>16</v>
      </c>
      <c r="E30" s="35">
        <v>11</v>
      </c>
      <c r="F30" s="36">
        <f t="shared" si="3"/>
        <v>0.59259259259259256</v>
      </c>
      <c r="G30" s="54">
        <f t="shared" si="1"/>
        <v>0.40740740740740738</v>
      </c>
      <c r="H30" s="104">
        <v>353</v>
      </c>
    </row>
    <row r="31" spans="1:8" x14ac:dyDescent="0.3">
      <c r="A31" s="122" t="s">
        <v>17</v>
      </c>
      <c r="B31" s="111">
        <v>13</v>
      </c>
      <c r="C31" s="35">
        <v>12</v>
      </c>
      <c r="D31" s="35">
        <v>10</v>
      </c>
      <c r="E31" s="35">
        <v>2</v>
      </c>
      <c r="F31" s="36">
        <f t="shared" si="3"/>
        <v>0.83333333333333337</v>
      </c>
      <c r="G31" s="54">
        <f t="shared" si="1"/>
        <v>0.16666666666666666</v>
      </c>
      <c r="H31" s="104">
        <v>179</v>
      </c>
    </row>
    <row r="32" spans="1:8" x14ac:dyDescent="0.3">
      <c r="A32" s="122" t="s">
        <v>137</v>
      </c>
      <c r="B32" s="111">
        <v>1</v>
      </c>
      <c r="C32" s="35">
        <v>3</v>
      </c>
      <c r="D32" s="35">
        <v>3</v>
      </c>
      <c r="E32" s="35">
        <v>0</v>
      </c>
      <c r="F32" s="36">
        <f t="shared" si="3"/>
        <v>1</v>
      </c>
      <c r="G32" s="54">
        <f t="shared" si="1"/>
        <v>0</v>
      </c>
      <c r="H32" s="104">
        <v>7</v>
      </c>
    </row>
    <row r="33" spans="1:8" x14ac:dyDescent="0.3">
      <c r="A33" s="123" t="s">
        <v>138</v>
      </c>
      <c r="B33" s="111">
        <v>130</v>
      </c>
      <c r="C33" s="56">
        <v>121</v>
      </c>
      <c r="D33" s="56">
        <v>54</v>
      </c>
      <c r="E33" s="56">
        <v>67</v>
      </c>
      <c r="F33" s="36">
        <f t="shared" si="3"/>
        <v>0.4462809917355372</v>
      </c>
      <c r="G33" s="54">
        <f t="shared" si="1"/>
        <v>0.55371900826446285</v>
      </c>
      <c r="H33" s="104">
        <v>1876</v>
      </c>
    </row>
    <row r="34" spans="1:8" x14ac:dyDescent="0.3">
      <c r="A34" s="122" t="s">
        <v>139</v>
      </c>
      <c r="B34" s="111">
        <v>7</v>
      </c>
      <c r="C34" s="35">
        <v>5</v>
      </c>
      <c r="D34" s="35">
        <v>3</v>
      </c>
      <c r="E34" s="35">
        <v>2</v>
      </c>
      <c r="F34" s="36">
        <f t="shared" si="3"/>
        <v>0.6</v>
      </c>
      <c r="G34" s="54">
        <f t="shared" si="1"/>
        <v>0.4</v>
      </c>
      <c r="H34" s="104">
        <v>40</v>
      </c>
    </row>
    <row r="35" spans="1:8" x14ac:dyDescent="0.3">
      <c r="A35" s="122" t="s">
        <v>140</v>
      </c>
      <c r="B35" s="111">
        <v>173</v>
      </c>
      <c r="C35" s="35">
        <v>133</v>
      </c>
      <c r="D35" s="35">
        <v>87</v>
      </c>
      <c r="E35" s="35">
        <v>46</v>
      </c>
      <c r="F35" s="36">
        <f t="shared" si="3"/>
        <v>0.65413533834586468</v>
      </c>
      <c r="G35" s="54">
        <f t="shared" si="1"/>
        <v>0.34586466165413532</v>
      </c>
      <c r="H35" s="104">
        <v>1205</v>
      </c>
    </row>
    <row r="36" spans="1:8" x14ac:dyDescent="0.3">
      <c r="A36" s="122" t="s">
        <v>141</v>
      </c>
      <c r="B36" s="111">
        <v>69</v>
      </c>
      <c r="C36" s="35">
        <v>39</v>
      </c>
      <c r="D36" s="35">
        <v>34</v>
      </c>
      <c r="E36" s="35">
        <v>5</v>
      </c>
      <c r="F36" s="36">
        <f t="shared" si="0"/>
        <v>0.87179487179487181</v>
      </c>
      <c r="G36" s="54">
        <f t="shared" si="1"/>
        <v>0.12820512820512819</v>
      </c>
      <c r="H36" s="104">
        <v>138</v>
      </c>
    </row>
    <row r="37" spans="1:8" x14ac:dyDescent="0.3">
      <c r="A37" s="122" t="s">
        <v>142</v>
      </c>
      <c r="B37" s="111">
        <v>4</v>
      </c>
      <c r="C37" s="35">
        <v>1</v>
      </c>
      <c r="D37" s="35">
        <v>0</v>
      </c>
      <c r="E37" s="35">
        <v>1</v>
      </c>
      <c r="F37" s="36">
        <f t="shared" si="0"/>
        <v>0</v>
      </c>
      <c r="G37" s="54">
        <f t="shared" si="1"/>
        <v>1</v>
      </c>
      <c r="H37" s="104">
        <v>0</v>
      </c>
    </row>
    <row r="38" spans="1:8" x14ac:dyDescent="0.3">
      <c r="A38" s="122" t="s">
        <v>143</v>
      </c>
      <c r="B38" s="111">
        <v>31</v>
      </c>
      <c r="C38" s="35">
        <v>18</v>
      </c>
      <c r="D38" s="35">
        <v>11</v>
      </c>
      <c r="E38" s="35">
        <v>7</v>
      </c>
      <c r="F38" s="36">
        <f t="shared" si="0"/>
        <v>0.61111111111111116</v>
      </c>
      <c r="G38" s="54">
        <f t="shared" si="1"/>
        <v>0.3888888888888889</v>
      </c>
      <c r="H38" s="104">
        <v>245</v>
      </c>
    </row>
    <row r="39" spans="1:8" x14ac:dyDescent="0.3">
      <c r="A39" s="122" t="s">
        <v>144</v>
      </c>
      <c r="B39" s="111">
        <v>65</v>
      </c>
      <c r="C39" s="35">
        <v>54</v>
      </c>
      <c r="D39" s="35">
        <v>36</v>
      </c>
      <c r="E39" s="35">
        <v>18</v>
      </c>
      <c r="F39" s="36">
        <f t="shared" si="0"/>
        <v>0.66666666666666663</v>
      </c>
      <c r="G39" s="54">
        <f t="shared" si="1"/>
        <v>0.33333333333333331</v>
      </c>
      <c r="H39" s="104">
        <v>123</v>
      </c>
    </row>
    <row r="40" spans="1:8" x14ac:dyDescent="0.3">
      <c r="A40" s="122" t="s">
        <v>145</v>
      </c>
      <c r="B40" s="111">
        <v>8</v>
      </c>
      <c r="C40" s="35">
        <v>5</v>
      </c>
      <c r="D40" s="35">
        <v>4</v>
      </c>
      <c r="E40" s="35">
        <v>1</v>
      </c>
      <c r="F40" s="36">
        <f t="shared" si="0"/>
        <v>0.8</v>
      </c>
      <c r="G40" s="54">
        <f t="shared" si="1"/>
        <v>0.2</v>
      </c>
      <c r="H40" s="104">
        <v>75</v>
      </c>
    </row>
    <row r="41" spans="1:8" x14ac:dyDescent="0.3">
      <c r="A41" s="122" t="s">
        <v>146</v>
      </c>
      <c r="B41" s="111">
        <v>15</v>
      </c>
      <c r="C41" s="35">
        <v>12</v>
      </c>
      <c r="D41" s="35">
        <v>6</v>
      </c>
      <c r="E41" s="35">
        <v>6</v>
      </c>
      <c r="F41" s="36">
        <f t="shared" si="0"/>
        <v>0.5</v>
      </c>
      <c r="G41" s="54">
        <f t="shared" si="1"/>
        <v>0.5</v>
      </c>
      <c r="H41" s="104">
        <v>123</v>
      </c>
    </row>
    <row r="42" spans="1:8" x14ac:dyDescent="0.3">
      <c r="A42" s="122" t="s">
        <v>147</v>
      </c>
      <c r="B42" s="111">
        <v>22</v>
      </c>
      <c r="C42" s="35">
        <v>20</v>
      </c>
      <c r="D42" s="35">
        <v>16</v>
      </c>
      <c r="E42" s="35">
        <v>4</v>
      </c>
      <c r="F42" s="36">
        <f t="shared" si="0"/>
        <v>0.8</v>
      </c>
      <c r="G42" s="54">
        <f t="shared" si="1"/>
        <v>0.2</v>
      </c>
      <c r="H42" s="104">
        <v>399</v>
      </c>
    </row>
    <row r="43" spans="1:8" x14ac:dyDescent="0.3">
      <c r="A43" s="123" t="s">
        <v>148</v>
      </c>
      <c r="B43" s="111">
        <v>111</v>
      </c>
      <c r="C43" s="56">
        <v>115</v>
      </c>
      <c r="D43" s="56">
        <v>56</v>
      </c>
      <c r="E43" s="56">
        <v>59</v>
      </c>
      <c r="F43" s="36">
        <f t="shared" si="0"/>
        <v>0.48695652173913045</v>
      </c>
      <c r="G43" s="54">
        <f t="shared" si="1"/>
        <v>0.5130434782608696</v>
      </c>
      <c r="H43" s="104">
        <v>1296</v>
      </c>
    </row>
    <row r="44" spans="1:8" x14ac:dyDescent="0.3">
      <c r="A44" s="122" t="s">
        <v>36</v>
      </c>
      <c r="B44" s="111">
        <v>98</v>
      </c>
      <c r="C44" s="35">
        <v>83</v>
      </c>
      <c r="D44" s="35">
        <v>53</v>
      </c>
      <c r="E44" s="35">
        <v>30</v>
      </c>
      <c r="F44" s="36">
        <f t="shared" si="0"/>
        <v>0.63855421686746983</v>
      </c>
      <c r="G44" s="54">
        <f t="shared" si="1"/>
        <v>0.36144578313253012</v>
      </c>
      <c r="H44" s="104">
        <v>783</v>
      </c>
    </row>
    <row r="45" spans="1:8" x14ac:dyDescent="0.3">
      <c r="A45" s="122" t="s">
        <v>15</v>
      </c>
      <c r="B45" s="111">
        <v>7</v>
      </c>
      <c r="C45" s="35">
        <v>4</v>
      </c>
      <c r="D45" s="35">
        <v>1</v>
      </c>
      <c r="E45" s="35">
        <v>3</v>
      </c>
      <c r="F45" s="36">
        <f t="shared" si="0"/>
        <v>0.25</v>
      </c>
      <c r="G45" s="54">
        <f t="shared" si="1"/>
        <v>0.75</v>
      </c>
      <c r="H45" s="104">
        <v>26</v>
      </c>
    </row>
    <row r="46" spans="1:8" x14ac:dyDescent="0.3">
      <c r="A46" s="122" t="s">
        <v>18</v>
      </c>
      <c r="B46" s="111">
        <v>65</v>
      </c>
      <c r="C46" s="35">
        <v>61</v>
      </c>
      <c r="D46" s="35">
        <v>54</v>
      </c>
      <c r="E46" s="35">
        <v>7</v>
      </c>
      <c r="F46" s="36">
        <f t="shared" si="0"/>
        <v>0.88524590163934425</v>
      </c>
      <c r="G46" s="54">
        <f t="shared" si="1"/>
        <v>0.11475409836065574</v>
      </c>
      <c r="H46" s="104">
        <v>176</v>
      </c>
    </row>
    <row r="47" spans="1:8" x14ac:dyDescent="0.3">
      <c r="A47" s="122" t="s">
        <v>35</v>
      </c>
      <c r="B47" s="111">
        <v>77</v>
      </c>
      <c r="C47" s="35">
        <v>70</v>
      </c>
      <c r="D47" s="35">
        <v>50</v>
      </c>
      <c r="E47" s="35">
        <v>20</v>
      </c>
      <c r="F47" s="36">
        <f t="shared" si="0"/>
        <v>0.7142857142857143</v>
      </c>
      <c r="G47" s="54">
        <f t="shared" si="1"/>
        <v>0.2857142857142857</v>
      </c>
      <c r="H47" s="104">
        <v>878</v>
      </c>
    </row>
    <row r="48" spans="1:8" x14ac:dyDescent="0.3">
      <c r="A48" s="122" t="s">
        <v>24</v>
      </c>
      <c r="B48" s="111">
        <v>4</v>
      </c>
      <c r="C48" s="35">
        <v>2</v>
      </c>
      <c r="D48" s="35">
        <v>0</v>
      </c>
      <c r="E48" s="35">
        <v>2</v>
      </c>
      <c r="F48" s="36">
        <f t="shared" si="0"/>
        <v>0</v>
      </c>
      <c r="G48" s="54">
        <f t="shared" si="1"/>
        <v>1</v>
      </c>
      <c r="H48" s="104">
        <v>0</v>
      </c>
    </row>
    <row r="49" spans="1:8" x14ac:dyDescent="0.3">
      <c r="A49" s="122" t="s">
        <v>34</v>
      </c>
      <c r="B49" s="111">
        <v>16</v>
      </c>
      <c r="C49" s="35">
        <v>11</v>
      </c>
      <c r="D49" s="35">
        <v>9</v>
      </c>
      <c r="E49" s="35">
        <v>2</v>
      </c>
      <c r="F49" s="36">
        <f t="shared" si="0"/>
        <v>0.81818181818181823</v>
      </c>
      <c r="G49" s="54">
        <f t="shared" si="1"/>
        <v>0.18181818181818182</v>
      </c>
      <c r="H49" s="104">
        <v>95</v>
      </c>
    </row>
    <row r="50" spans="1:8" x14ac:dyDescent="0.3">
      <c r="A50" s="122" t="s">
        <v>33</v>
      </c>
      <c r="B50" s="111">
        <v>8</v>
      </c>
      <c r="C50" s="35">
        <v>7</v>
      </c>
      <c r="D50" s="35">
        <v>5</v>
      </c>
      <c r="E50" s="35">
        <v>2</v>
      </c>
      <c r="F50" s="36">
        <f t="shared" si="0"/>
        <v>0.7142857142857143</v>
      </c>
      <c r="G50" s="54">
        <f t="shared" si="1"/>
        <v>0.2857142857142857</v>
      </c>
      <c r="H50" s="104">
        <v>84</v>
      </c>
    </row>
    <row r="51" spans="1:8" x14ac:dyDescent="0.3">
      <c r="A51" s="122" t="s">
        <v>16</v>
      </c>
      <c r="B51" s="111">
        <v>15</v>
      </c>
      <c r="C51" s="35">
        <v>18</v>
      </c>
      <c r="D51" s="35">
        <v>10</v>
      </c>
      <c r="E51" s="35">
        <v>8</v>
      </c>
      <c r="F51" s="36">
        <f t="shared" si="0"/>
        <v>0.55555555555555558</v>
      </c>
      <c r="G51" s="54">
        <f t="shared" si="1"/>
        <v>0.44444444444444442</v>
      </c>
      <c r="H51" s="104">
        <v>178</v>
      </c>
    </row>
    <row r="52" spans="1:8" x14ac:dyDescent="0.3">
      <c r="A52" s="122" t="s">
        <v>32</v>
      </c>
      <c r="B52" s="111">
        <v>5</v>
      </c>
      <c r="C52" s="35">
        <v>4</v>
      </c>
      <c r="D52" s="35">
        <v>2</v>
      </c>
      <c r="E52" s="35">
        <v>2</v>
      </c>
      <c r="F52" s="36">
        <f t="shared" si="0"/>
        <v>0.5</v>
      </c>
      <c r="G52" s="54">
        <f t="shared" si="1"/>
        <v>0.5</v>
      </c>
      <c r="H52" s="104">
        <v>108</v>
      </c>
    </row>
    <row r="53" spans="1:8" x14ac:dyDescent="0.3">
      <c r="A53" s="122" t="s">
        <v>31</v>
      </c>
      <c r="B53" s="111">
        <v>2</v>
      </c>
      <c r="C53" s="35">
        <v>2</v>
      </c>
      <c r="D53" s="35">
        <v>2</v>
      </c>
      <c r="E53" s="35">
        <v>0</v>
      </c>
      <c r="F53" s="36">
        <f t="shared" si="0"/>
        <v>1</v>
      </c>
      <c r="G53" s="54">
        <f>E53/C53</f>
        <v>0</v>
      </c>
      <c r="H53" s="104">
        <v>21</v>
      </c>
    </row>
    <row r="54" spans="1:8" x14ac:dyDescent="0.3">
      <c r="A54" s="122" t="s">
        <v>77</v>
      </c>
      <c r="B54" s="111">
        <v>9</v>
      </c>
      <c r="C54" s="35">
        <v>7</v>
      </c>
      <c r="D54" s="35">
        <v>4</v>
      </c>
      <c r="E54" s="35">
        <v>3</v>
      </c>
      <c r="F54" s="36">
        <f t="shared" si="0"/>
        <v>0.5714285714285714</v>
      </c>
      <c r="G54" s="54">
        <f t="shared" si="1"/>
        <v>0.42857142857142855</v>
      </c>
      <c r="H54" s="104">
        <v>30</v>
      </c>
    </row>
    <row r="55" spans="1:8" x14ac:dyDescent="0.3">
      <c r="A55" s="122" t="s">
        <v>30</v>
      </c>
      <c r="B55" s="111">
        <v>17</v>
      </c>
      <c r="C55" s="35">
        <v>15</v>
      </c>
      <c r="D55" s="35">
        <v>9</v>
      </c>
      <c r="E55" s="35">
        <v>6</v>
      </c>
      <c r="F55" s="36">
        <f t="shared" si="0"/>
        <v>0.6</v>
      </c>
      <c r="G55" s="54">
        <f t="shared" si="1"/>
        <v>0.4</v>
      </c>
      <c r="H55" s="104">
        <v>325</v>
      </c>
    </row>
    <row r="56" spans="1:8" x14ac:dyDescent="0.3">
      <c r="A56" s="122" t="s">
        <v>21</v>
      </c>
      <c r="B56" s="111">
        <v>43</v>
      </c>
      <c r="C56" s="35">
        <v>36</v>
      </c>
      <c r="D56" s="35">
        <v>18</v>
      </c>
      <c r="E56" s="35">
        <v>18</v>
      </c>
      <c r="F56" s="36">
        <f t="shared" si="0"/>
        <v>0.5</v>
      </c>
      <c r="G56" s="54">
        <f t="shared" si="1"/>
        <v>0.5</v>
      </c>
      <c r="H56" s="104">
        <v>463</v>
      </c>
    </row>
    <row r="57" spans="1:8" x14ac:dyDescent="0.3">
      <c r="A57" s="122" t="s">
        <v>22</v>
      </c>
      <c r="B57" s="111">
        <v>21</v>
      </c>
      <c r="C57" s="35">
        <v>11</v>
      </c>
      <c r="D57" s="35">
        <v>6</v>
      </c>
      <c r="E57" s="35">
        <v>5</v>
      </c>
      <c r="F57" s="36">
        <f t="shared" si="0"/>
        <v>0.54545454545454541</v>
      </c>
      <c r="G57" s="54">
        <f t="shared" si="1"/>
        <v>0.45454545454545453</v>
      </c>
      <c r="H57" s="104">
        <v>242</v>
      </c>
    </row>
    <row r="58" spans="1:8" x14ac:dyDescent="0.3">
      <c r="A58" s="122" t="s">
        <v>79</v>
      </c>
      <c r="B58" s="111">
        <v>9</v>
      </c>
      <c r="C58" s="35">
        <v>4</v>
      </c>
      <c r="D58" s="35">
        <v>2</v>
      </c>
      <c r="E58" s="35">
        <v>2</v>
      </c>
      <c r="F58" s="36">
        <f t="shared" si="0"/>
        <v>0.5</v>
      </c>
      <c r="G58" s="54">
        <f t="shared" si="1"/>
        <v>0.5</v>
      </c>
      <c r="H58" s="104">
        <v>48</v>
      </c>
    </row>
    <row r="59" spans="1:8" x14ac:dyDescent="0.3">
      <c r="A59" s="122" t="s">
        <v>149</v>
      </c>
      <c r="B59" s="111">
        <v>88</v>
      </c>
      <c r="C59" s="35">
        <v>77</v>
      </c>
      <c r="D59" s="35">
        <v>60</v>
      </c>
      <c r="E59" s="35">
        <v>17</v>
      </c>
      <c r="F59" s="36">
        <f t="shared" si="0"/>
        <v>0.77922077922077926</v>
      </c>
      <c r="G59" s="54">
        <f t="shared" si="1"/>
        <v>0.22077922077922077</v>
      </c>
      <c r="H59" s="104">
        <v>592</v>
      </c>
    </row>
    <row r="60" spans="1:8" x14ac:dyDescent="0.3">
      <c r="A60" s="122" t="s">
        <v>29</v>
      </c>
      <c r="B60" s="114">
        <v>39</v>
      </c>
      <c r="C60" s="1">
        <v>33</v>
      </c>
      <c r="D60" s="1">
        <v>19</v>
      </c>
      <c r="E60" s="35">
        <v>14</v>
      </c>
      <c r="F60" s="36">
        <f t="shared" si="0"/>
        <v>0.5757575757575758</v>
      </c>
      <c r="G60" s="54">
        <f t="shared" si="1"/>
        <v>0.42424242424242425</v>
      </c>
      <c r="H60" s="104">
        <v>688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0</v>
      </c>
    </row>
    <row r="62" spans="1:8" x14ac:dyDescent="0.3">
      <c r="A62" s="122" t="s">
        <v>150</v>
      </c>
      <c r="B62" s="111">
        <v>75</v>
      </c>
      <c r="C62" s="35">
        <v>49</v>
      </c>
      <c r="D62" s="35">
        <v>30</v>
      </c>
      <c r="E62" s="60">
        <v>19</v>
      </c>
      <c r="F62" s="36">
        <f t="shared" si="0"/>
        <v>0.61224489795918369</v>
      </c>
      <c r="G62" s="54">
        <f t="shared" si="1"/>
        <v>0.38775510204081631</v>
      </c>
      <c r="H62" s="104">
        <v>320</v>
      </c>
    </row>
    <row r="63" spans="1:8" x14ac:dyDescent="0.3">
      <c r="A63" s="122" t="s">
        <v>84</v>
      </c>
      <c r="B63" s="111">
        <v>11</v>
      </c>
      <c r="C63" s="35">
        <v>5</v>
      </c>
      <c r="D63" s="35">
        <v>4</v>
      </c>
      <c r="E63" s="60">
        <v>1</v>
      </c>
      <c r="F63" s="36">
        <f t="shared" si="0"/>
        <v>0.8</v>
      </c>
      <c r="G63" s="54">
        <f t="shared" si="1"/>
        <v>0.2</v>
      </c>
      <c r="H63" s="104">
        <v>10</v>
      </c>
    </row>
    <row r="64" spans="1:8" x14ac:dyDescent="0.3">
      <c r="A64" s="122" t="s">
        <v>85</v>
      </c>
      <c r="B64" s="111">
        <v>36</v>
      </c>
      <c r="C64" s="35">
        <v>31</v>
      </c>
      <c r="D64" s="35">
        <v>20</v>
      </c>
      <c r="E64" s="60">
        <v>11</v>
      </c>
      <c r="F64" s="36">
        <f t="shared" si="0"/>
        <v>0.64516129032258063</v>
      </c>
      <c r="G64" s="54">
        <f t="shared" si="1"/>
        <v>0.35483870967741937</v>
      </c>
      <c r="H64" s="104">
        <v>219</v>
      </c>
    </row>
    <row r="65" spans="1:16" x14ac:dyDescent="0.3">
      <c r="A65" s="122" t="s">
        <v>151</v>
      </c>
      <c r="B65" s="111">
        <v>4</v>
      </c>
      <c r="C65" s="35">
        <v>4</v>
      </c>
      <c r="D65" s="35">
        <v>3</v>
      </c>
      <c r="E65" s="60">
        <v>1</v>
      </c>
      <c r="F65" s="36">
        <f t="shared" si="0"/>
        <v>0.75</v>
      </c>
      <c r="G65" s="54">
        <f t="shared" si="1"/>
        <v>0.25</v>
      </c>
      <c r="H65" s="104">
        <v>22</v>
      </c>
    </row>
    <row r="66" spans="1:16" x14ac:dyDescent="0.3">
      <c r="A66" s="122" t="s">
        <v>152</v>
      </c>
      <c r="B66" s="111">
        <v>13</v>
      </c>
      <c r="C66" s="35">
        <v>15</v>
      </c>
      <c r="D66" s="35">
        <v>8</v>
      </c>
      <c r="E66" s="60">
        <v>7</v>
      </c>
      <c r="F66" s="36">
        <f t="shared" si="0"/>
        <v>0.53333333333333333</v>
      </c>
      <c r="G66" s="54">
        <f t="shared" si="1"/>
        <v>0.46666666666666667</v>
      </c>
      <c r="H66" s="104">
        <v>203</v>
      </c>
    </row>
    <row r="67" spans="1:16" x14ac:dyDescent="0.3">
      <c r="A67" s="122" t="s">
        <v>153</v>
      </c>
      <c r="B67" s="111">
        <v>16</v>
      </c>
      <c r="C67" s="35">
        <v>18</v>
      </c>
      <c r="D67" s="35">
        <v>14</v>
      </c>
      <c r="E67" s="60">
        <v>4</v>
      </c>
      <c r="F67" s="36">
        <f t="shared" si="0"/>
        <v>0.77777777777777779</v>
      </c>
      <c r="G67" s="54">
        <f t="shared" si="1"/>
        <v>0.22222222222222221</v>
      </c>
      <c r="H67" s="104">
        <v>83</v>
      </c>
    </row>
    <row r="68" spans="1:16" x14ac:dyDescent="0.3">
      <c r="A68" s="122" t="s">
        <v>157</v>
      </c>
      <c r="B68" s="111">
        <v>16</v>
      </c>
      <c r="C68" s="35">
        <v>13</v>
      </c>
      <c r="D68" s="35">
        <v>10</v>
      </c>
      <c r="E68" s="60">
        <v>3</v>
      </c>
      <c r="F68" s="36">
        <f t="shared" si="0"/>
        <v>0.76923076923076927</v>
      </c>
      <c r="G68" s="54">
        <f t="shared" si="1"/>
        <v>0.23076923076923078</v>
      </c>
      <c r="H68" s="104">
        <v>81</v>
      </c>
    </row>
    <row r="69" spans="1:16" s="58" customFormat="1" x14ac:dyDescent="0.3">
      <c r="A69" s="123" t="s">
        <v>154</v>
      </c>
      <c r="B69" s="112">
        <v>2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10</v>
      </c>
      <c r="C70" s="35">
        <v>6</v>
      </c>
      <c r="D70" s="35">
        <v>5</v>
      </c>
      <c r="E70" s="60">
        <v>1</v>
      </c>
      <c r="F70" s="36">
        <f t="shared" si="0"/>
        <v>0.83333333333333337</v>
      </c>
      <c r="G70" s="54">
        <f t="shared" si="1"/>
        <v>0.16666666666666666</v>
      </c>
      <c r="H70" s="104">
        <v>16</v>
      </c>
    </row>
    <row r="71" spans="1:16" ht="15" thickBot="1" x14ac:dyDescent="0.35">
      <c r="A71" s="124" t="s">
        <v>155</v>
      </c>
      <c r="B71" s="110">
        <v>2</v>
      </c>
      <c r="C71" s="105">
        <v>2</v>
      </c>
      <c r="D71" s="105">
        <v>2</v>
      </c>
      <c r="E71" s="106">
        <v>0</v>
      </c>
      <c r="F71" s="107">
        <f t="shared" si="0"/>
        <v>1</v>
      </c>
      <c r="G71" s="108">
        <f t="shared" si="1"/>
        <v>0</v>
      </c>
      <c r="H71" s="109">
        <v>27</v>
      </c>
    </row>
    <row r="72" spans="1:16" ht="15" thickBot="1" x14ac:dyDescent="0.35">
      <c r="A72" s="125" t="s">
        <v>105</v>
      </c>
      <c r="B72" s="96">
        <f>SUM(B8:B71)</f>
        <v>2150</v>
      </c>
      <c r="C72" s="96">
        <f>SUM(C8:C71)</f>
        <v>1829</v>
      </c>
      <c r="D72" s="96">
        <f>SUM(D8:D71)</f>
        <v>1228</v>
      </c>
      <c r="E72" s="96">
        <f>SUM(E8:E71)</f>
        <v>601</v>
      </c>
      <c r="F72" s="98">
        <f>D72/C72</f>
        <v>0.67140513942044833</v>
      </c>
      <c r="G72" s="97">
        <f>E72/C72</f>
        <v>0.32859486057955167</v>
      </c>
      <c r="H72" s="96">
        <f>SUM(H8:H71)</f>
        <v>18404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178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19</v>
      </c>
      <c r="C8" s="99">
        <v>25</v>
      </c>
      <c r="D8" s="99">
        <v>17</v>
      </c>
      <c r="E8" s="99">
        <v>8</v>
      </c>
      <c r="F8" s="100">
        <f t="shared" ref="F8:F71" si="0">D8/C8</f>
        <v>0.68</v>
      </c>
      <c r="G8" s="101">
        <f t="shared" ref="G8:G71" si="1">E8/C8</f>
        <v>0.32</v>
      </c>
      <c r="H8" s="103">
        <v>309</v>
      </c>
    </row>
    <row r="9" spans="1:8" x14ac:dyDescent="0.3">
      <c r="A9" s="122" t="s">
        <v>121</v>
      </c>
      <c r="B9" s="116">
        <v>7</v>
      </c>
      <c r="C9" s="35">
        <v>8</v>
      </c>
      <c r="D9" s="35">
        <v>5</v>
      </c>
      <c r="E9" s="35">
        <v>3</v>
      </c>
      <c r="F9" s="100">
        <f t="shared" si="0"/>
        <v>0.625</v>
      </c>
      <c r="G9" s="101">
        <f t="shared" si="1"/>
        <v>0.375</v>
      </c>
      <c r="H9" s="104">
        <v>34</v>
      </c>
    </row>
    <row r="10" spans="1:8" x14ac:dyDescent="0.3">
      <c r="A10" s="122" t="s">
        <v>122</v>
      </c>
      <c r="B10" s="116">
        <v>32</v>
      </c>
      <c r="C10" s="35">
        <v>39</v>
      </c>
      <c r="D10" s="35">
        <v>11</v>
      </c>
      <c r="E10" s="35">
        <v>28</v>
      </c>
      <c r="F10" s="36">
        <f t="shared" si="0"/>
        <v>0.28205128205128205</v>
      </c>
      <c r="G10" s="54">
        <f t="shared" si="1"/>
        <v>0.71794871794871795</v>
      </c>
      <c r="H10" s="104">
        <v>302</v>
      </c>
    </row>
    <row r="11" spans="1:8" x14ac:dyDescent="0.3">
      <c r="A11" s="122" t="s">
        <v>123</v>
      </c>
      <c r="B11" s="116">
        <v>4</v>
      </c>
      <c r="C11" s="35">
        <v>5</v>
      </c>
      <c r="D11" s="35">
        <v>3</v>
      </c>
      <c r="E11" s="35">
        <v>2</v>
      </c>
      <c r="F11" s="36">
        <f t="shared" si="0"/>
        <v>0.6</v>
      </c>
      <c r="G11" s="54">
        <f t="shared" si="1"/>
        <v>0.4</v>
      </c>
      <c r="H11" s="104">
        <v>0</v>
      </c>
    </row>
    <row r="12" spans="1:8" x14ac:dyDescent="0.3">
      <c r="A12" s="122" t="s">
        <v>124</v>
      </c>
      <c r="B12" s="116">
        <v>30</v>
      </c>
      <c r="C12" s="35">
        <v>34</v>
      </c>
      <c r="D12" s="35">
        <v>17</v>
      </c>
      <c r="E12" s="35">
        <v>17</v>
      </c>
      <c r="F12" s="36">
        <f t="shared" si="0"/>
        <v>0.5</v>
      </c>
      <c r="G12" s="54">
        <f t="shared" si="1"/>
        <v>0.5</v>
      </c>
      <c r="H12" s="104">
        <v>345</v>
      </c>
    </row>
    <row r="13" spans="1:8" x14ac:dyDescent="0.3">
      <c r="A13" s="122" t="s">
        <v>125</v>
      </c>
      <c r="B13" s="111">
        <v>21</v>
      </c>
      <c r="C13" s="35">
        <v>22</v>
      </c>
      <c r="D13" s="35">
        <v>20</v>
      </c>
      <c r="E13" s="35">
        <v>2</v>
      </c>
      <c r="F13" s="36">
        <f t="shared" si="0"/>
        <v>0.90909090909090906</v>
      </c>
      <c r="G13" s="54">
        <f t="shared" si="1"/>
        <v>9.0909090909090912E-2</v>
      </c>
      <c r="H13" s="104">
        <v>124</v>
      </c>
    </row>
    <row r="14" spans="1:8" x14ac:dyDescent="0.3">
      <c r="A14" s="122" t="s">
        <v>126</v>
      </c>
      <c r="B14" s="111">
        <v>0</v>
      </c>
      <c r="C14" s="35">
        <v>3</v>
      </c>
      <c r="D14" s="35">
        <v>1</v>
      </c>
      <c r="E14" s="35">
        <v>2</v>
      </c>
      <c r="F14" s="36">
        <f t="shared" si="0"/>
        <v>0.33333333333333331</v>
      </c>
      <c r="G14" s="54">
        <f t="shared" si="1"/>
        <v>0.66666666666666663</v>
      </c>
      <c r="H14" s="104">
        <v>45</v>
      </c>
    </row>
    <row r="15" spans="1:8" x14ac:dyDescent="0.3">
      <c r="A15" s="122" t="s">
        <v>127</v>
      </c>
      <c r="B15" s="111">
        <v>116</v>
      </c>
      <c r="C15" s="35">
        <v>130</v>
      </c>
      <c r="D15" s="35">
        <v>77</v>
      </c>
      <c r="E15" s="35">
        <v>53</v>
      </c>
      <c r="F15" s="36">
        <f t="shared" si="0"/>
        <v>0.59230769230769231</v>
      </c>
      <c r="G15" s="54">
        <f t="shared" si="1"/>
        <v>0.40769230769230769</v>
      </c>
      <c r="H15" s="104">
        <v>452</v>
      </c>
    </row>
    <row r="16" spans="1:8" x14ac:dyDescent="0.3">
      <c r="A16" s="122" t="s">
        <v>128</v>
      </c>
      <c r="B16" s="111">
        <v>267</v>
      </c>
      <c r="C16" s="57">
        <v>278</v>
      </c>
      <c r="D16" s="35">
        <v>212</v>
      </c>
      <c r="E16" s="35">
        <v>66</v>
      </c>
      <c r="F16" s="36">
        <f t="shared" si="0"/>
        <v>0.76258992805755399</v>
      </c>
      <c r="G16" s="54">
        <f t="shared" si="1"/>
        <v>0.23741007194244604</v>
      </c>
      <c r="H16" s="104">
        <v>1904</v>
      </c>
    </row>
    <row r="17" spans="1:8" x14ac:dyDescent="0.3">
      <c r="A17" s="122" t="s">
        <v>39</v>
      </c>
      <c r="B17" s="111">
        <v>187</v>
      </c>
      <c r="C17" s="57">
        <v>207</v>
      </c>
      <c r="D17" s="35">
        <v>173</v>
      </c>
      <c r="E17" s="35">
        <v>34</v>
      </c>
      <c r="F17" s="36">
        <f>D17/C17</f>
        <v>0.83574879227053145</v>
      </c>
      <c r="G17" s="54">
        <f t="shared" si="1"/>
        <v>0.16425120772946861</v>
      </c>
      <c r="H17" s="104">
        <v>765</v>
      </c>
    </row>
    <row r="18" spans="1:8" x14ac:dyDescent="0.3">
      <c r="A18" s="122" t="s">
        <v>25</v>
      </c>
      <c r="B18" s="111">
        <v>3</v>
      </c>
      <c r="C18" s="57">
        <v>4</v>
      </c>
      <c r="D18" s="35">
        <v>1</v>
      </c>
      <c r="E18" s="35">
        <v>3</v>
      </c>
      <c r="F18" s="36">
        <f>D18/C18</f>
        <v>0.25</v>
      </c>
      <c r="G18" s="54">
        <f t="shared" si="1"/>
        <v>0.75</v>
      </c>
      <c r="H18" s="104">
        <v>0</v>
      </c>
    </row>
    <row r="19" spans="1:8" x14ac:dyDescent="0.3">
      <c r="A19" s="122" t="s">
        <v>129</v>
      </c>
      <c r="B19" s="111">
        <v>1</v>
      </c>
      <c r="C19" s="57">
        <v>1</v>
      </c>
      <c r="D19" s="35">
        <v>1</v>
      </c>
      <c r="E19" s="35">
        <v>0</v>
      </c>
      <c r="F19" s="36">
        <f t="shared" ref="F19:F35" si="2">D19/C19</f>
        <v>1</v>
      </c>
      <c r="G19" s="54">
        <f t="shared" si="1"/>
        <v>0</v>
      </c>
      <c r="H19" s="104">
        <v>0</v>
      </c>
    </row>
    <row r="20" spans="1:8" x14ac:dyDescent="0.3">
      <c r="A20" s="122" t="s">
        <v>130</v>
      </c>
      <c r="B20" s="111">
        <v>0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104">
        <v>6</v>
      </c>
    </row>
    <row r="21" spans="1:8" x14ac:dyDescent="0.3">
      <c r="A21" s="122" t="s">
        <v>131</v>
      </c>
      <c r="B21" s="111">
        <v>3</v>
      </c>
      <c r="C21" s="57">
        <v>3</v>
      </c>
      <c r="D21" s="35">
        <v>2</v>
      </c>
      <c r="E21" s="35">
        <v>1</v>
      </c>
      <c r="F21" s="36">
        <f t="shared" si="2"/>
        <v>0.66666666666666663</v>
      </c>
      <c r="G21" s="54">
        <f t="shared" si="1"/>
        <v>0.33333333333333331</v>
      </c>
      <c r="H21" s="104">
        <v>0</v>
      </c>
    </row>
    <row r="22" spans="1:8" x14ac:dyDescent="0.3">
      <c r="A22" s="122" t="s">
        <v>132</v>
      </c>
      <c r="B22" s="111">
        <v>3</v>
      </c>
      <c r="C22" s="57">
        <v>4</v>
      </c>
      <c r="D22" s="35">
        <v>3</v>
      </c>
      <c r="E22" s="35">
        <v>1</v>
      </c>
      <c r="F22" s="36">
        <f t="shared" si="2"/>
        <v>0.75</v>
      </c>
      <c r="G22" s="54">
        <f t="shared" si="1"/>
        <v>0.25</v>
      </c>
      <c r="H22" s="104">
        <v>32</v>
      </c>
    </row>
    <row r="23" spans="1:8" x14ac:dyDescent="0.3">
      <c r="A23" s="122" t="s">
        <v>133</v>
      </c>
      <c r="B23" s="116">
        <v>22</v>
      </c>
      <c r="C23" s="57">
        <v>24</v>
      </c>
      <c r="D23" s="35">
        <v>17</v>
      </c>
      <c r="E23" s="35">
        <v>7</v>
      </c>
      <c r="F23" s="36">
        <f t="shared" si="2"/>
        <v>0.70833333333333337</v>
      </c>
      <c r="G23" s="54">
        <f t="shared" si="1"/>
        <v>0.29166666666666669</v>
      </c>
      <c r="H23" s="104">
        <v>49</v>
      </c>
    </row>
    <row r="24" spans="1:8" x14ac:dyDescent="0.3">
      <c r="A24" s="123" t="s">
        <v>134</v>
      </c>
      <c r="B24" s="111">
        <v>248</v>
      </c>
      <c r="C24" s="57">
        <v>290</v>
      </c>
      <c r="D24" s="56">
        <v>180</v>
      </c>
      <c r="E24" s="56">
        <v>110</v>
      </c>
      <c r="F24" s="36">
        <f t="shared" si="2"/>
        <v>0.62068965517241381</v>
      </c>
      <c r="G24" s="54">
        <f t="shared" si="1"/>
        <v>0.37931034482758619</v>
      </c>
      <c r="H24" s="104">
        <v>2733</v>
      </c>
    </row>
    <row r="25" spans="1:8" x14ac:dyDescent="0.3">
      <c r="A25" s="122" t="s">
        <v>135</v>
      </c>
      <c r="B25" s="111">
        <v>4</v>
      </c>
      <c r="C25" s="57">
        <v>4</v>
      </c>
      <c r="D25" s="35">
        <v>3</v>
      </c>
      <c r="E25" s="35">
        <v>1</v>
      </c>
      <c r="F25" s="36">
        <f t="shared" si="2"/>
        <v>0.75</v>
      </c>
      <c r="G25" s="54">
        <f t="shared" si="1"/>
        <v>0.25</v>
      </c>
      <c r="H25" s="104">
        <v>38</v>
      </c>
    </row>
    <row r="26" spans="1:8" x14ac:dyDescent="0.3">
      <c r="A26" s="122" t="s">
        <v>38</v>
      </c>
      <c r="B26" s="111">
        <v>6</v>
      </c>
      <c r="C26" s="57">
        <v>6</v>
      </c>
      <c r="D26" s="35">
        <v>2</v>
      </c>
      <c r="E26" s="35">
        <v>4</v>
      </c>
      <c r="F26" s="36">
        <f t="shared" si="2"/>
        <v>0.33333333333333331</v>
      </c>
      <c r="G26" s="54">
        <f t="shared" si="1"/>
        <v>0.66666666666666663</v>
      </c>
      <c r="H26" s="104">
        <v>0</v>
      </c>
    </row>
    <row r="27" spans="1:8" x14ac:dyDescent="0.3">
      <c r="A27" s="122" t="s">
        <v>37</v>
      </c>
      <c r="B27" s="111">
        <v>14</v>
      </c>
      <c r="C27" s="57">
        <v>15</v>
      </c>
      <c r="D27" s="35">
        <v>8</v>
      </c>
      <c r="E27" s="35">
        <v>7</v>
      </c>
      <c r="F27" s="36">
        <f t="shared" si="2"/>
        <v>0.53333333333333333</v>
      </c>
      <c r="G27" s="54">
        <f t="shared" si="1"/>
        <v>0.46666666666666667</v>
      </c>
      <c r="H27" s="104">
        <v>66</v>
      </c>
    </row>
    <row r="28" spans="1:8" x14ac:dyDescent="0.3">
      <c r="A28" s="122" t="s">
        <v>27</v>
      </c>
      <c r="B28" s="111">
        <v>7</v>
      </c>
      <c r="C28" s="35">
        <v>10</v>
      </c>
      <c r="D28" s="35">
        <v>6</v>
      </c>
      <c r="E28" s="35">
        <v>4</v>
      </c>
      <c r="F28" s="36">
        <f t="shared" si="2"/>
        <v>0.6</v>
      </c>
      <c r="G28" s="54">
        <f t="shared" si="1"/>
        <v>0.4</v>
      </c>
      <c r="H28" s="104">
        <v>234</v>
      </c>
    </row>
    <row r="29" spans="1:8" x14ac:dyDescent="0.3">
      <c r="A29" s="122" t="s">
        <v>62</v>
      </c>
      <c r="B29" s="111">
        <v>7</v>
      </c>
      <c r="C29" s="35">
        <v>11</v>
      </c>
      <c r="D29" s="35">
        <v>6</v>
      </c>
      <c r="E29" s="35">
        <v>5</v>
      </c>
      <c r="F29" s="36">
        <f t="shared" si="2"/>
        <v>0.54545454545454541</v>
      </c>
      <c r="G29" s="54">
        <f t="shared" si="1"/>
        <v>0.45454545454545453</v>
      </c>
      <c r="H29" s="104">
        <v>58</v>
      </c>
    </row>
    <row r="30" spans="1:8" x14ac:dyDescent="0.3">
      <c r="A30" s="122" t="s">
        <v>136</v>
      </c>
      <c r="B30" s="111">
        <v>69</v>
      </c>
      <c r="C30" s="35">
        <v>69</v>
      </c>
      <c r="D30" s="35">
        <v>45</v>
      </c>
      <c r="E30" s="35">
        <v>24</v>
      </c>
      <c r="F30" s="36">
        <f t="shared" si="2"/>
        <v>0.65217391304347827</v>
      </c>
      <c r="G30" s="54">
        <f t="shared" si="1"/>
        <v>0.34782608695652173</v>
      </c>
      <c r="H30" s="104">
        <v>374</v>
      </c>
    </row>
    <row r="31" spans="1:8" x14ac:dyDescent="0.3">
      <c r="A31" s="122" t="s">
        <v>17</v>
      </c>
      <c r="B31" s="111">
        <v>13</v>
      </c>
      <c r="C31" s="35">
        <v>15</v>
      </c>
      <c r="D31" s="35">
        <v>8</v>
      </c>
      <c r="E31" s="35">
        <v>7</v>
      </c>
      <c r="F31" s="36">
        <f t="shared" si="2"/>
        <v>0.53333333333333333</v>
      </c>
      <c r="G31" s="54">
        <f t="shared" si="1"/>
        <v>0.46666666666666667</v>
      </c>
      <c r="H31" s="104">
        <v>173</v>
      </c>
    </row>
    <row r="32" spans="1:8" x14ac:dyDescent="0.3">
      <c r="A32" s="122" t="s">
        <v>137</v>
      </c>
      <c r="B32" s="111">
        <v>2</v>
      </c>
      <c r="C32" s="35">
        <v>2</v>
      </c>
      <c r="D32" s="35">
        <v>1</v>
      </c>
      <c r="E32" s="35">
        <v>1</v>
      </c>
      <c r="F32" s="36">
        <f t="shared" si="2"/>
        <v>0.5</v>
      </c>
      <c r="G32" s="54">
        <f t="shared" si="1"/>
        <v>0.5</v>
      </c>
      <c r="H32" s="104">
        <v>7</v>
      </c>
    </row>
    <row r="33" spans="1:8" x14ac:dyDescent="0.3">
      <c r="A33" s="123" t="s">
        <v>138</v>
      </c>
      <c r="B33" s="111">
        <v>95</v>
      </c>
      <c r="C33" s="56">
        <v>122</v>
      </c>
      <c r="D33" s="56">
        <v>58</v>
      </c>
      <c r="E33" s="56">
        <v>64</v>
      </c>
      <c r="F33" s="36">
        <f t="shared" si="2"/>
        <v>0.47540983606557374</v>
      </c>
      <c r="G33" s="54">
        <f t="shared" si="1"/>
        <v>0.52459016393442626</v>
      </c>
      <c r="H33" s="104">
        <v>1924</v>
      </c>
    </row>
    <row r="34" spans="1:8" x14ac:dyDescent="0.3">
      <c r="A34" s="122" t="s">
        <v>139</v>
      </c>
      <c r="B34" s="111">
        <v>15</v>
      </c>
      <c r="C34" s="35">
        <v>14</v>
      </c>
      <c r="D34" s="35">
        <v>8</v>
      </c>
      <c r="E34" s="35">
        <v>6</v>
      </c>
      <c r="F34" s="36">
        <f t="shared" si="2"/>
        <v>0.5714285714285714</v>
      </c>
      <c r="G34" s="54">
        <f t="shared" si="1"/>
        <v>0.42857142857142855</v>
      </c>
      <c r="H34" s="104">
        <v>37</v>
      </c>
    </row>
    <row r="35" spans="1:8" x14ac:dyDescent="0.3">
      <c r="A35" s="122" t="s">
        <v>140</v>
      </c>
      <c r="B35" s="111">
        <v>326</v>
      </c>
      <c r="C35" s="35">
        <v>358</v>
      </c>
      <c r="D35" s="35">
        <v>282</v>
      </c>
      <c r="E35" s="35">
        <v>76</v>
      </c>
      <c r="F35" s="36">
        <f t="shared" si="2"/>
        <v>0.78770949720670391</v>
      </c>
      <c r="G35" s="54">
        <f t="shared" si="1"/>
        <v>0.21229050279329609</v>
      </c>
      <c r="H35" s="104">
        <v>1514</v>
      </c>
    </row>
    <row r="36" spans="1:8" x14ac:dyDescent="0.3">
      <c r="A36" s="122" t="s">
        <v>141</v>
      </c>
      <c r="B36" s="111">
        <v>53</v>
      </c>
      <c r="C36" s="35">
        <v>81</v>
      </c>
      <c r="D36" s="35">
        <v>44</v>
      </c>
      <c r="E36" s="35">
        <v>37</v>
      </c>
      <c r="F36" s="36">
        <f t="shared" si="0"/>
        <v>0.54320987654320985</v>
      </c>
      <c r="G36" s="54">
        <f t="shared" si="1"/>
        <v>0.4567901234567901</v>
      </c>
      <c r="H36" s="104">
        <v>211</v>
      </c>
    </row>
    <row r="37" spans="1:8" x14ac:dyDescent="0.3">
      <c r="A37" s="122" t="s">
        <v>142</v>
      </c>
      <c r="B37" s="111">
        <v>1</v>
      </c>
      <c r="C37" s="35">
        <v>3</v>
      </c>
      <c r="D37" s="35">
        <v>0</v>
      </c>
      <c r="E37" s="35">
        <v>3</v>
      </c>
      <c r="F37" s="36">
        <f t="shared" si="0"/>
        <v>0</v>
      </c>
      <c r="G37" s="54">
        <f t="shared" si="1"/>
        <v>1</v>
      </c>
      <c r="H37" s="104">
        <v>0</v>
      </c>
    </row>
    <row r="38" spans="1:8" x14ac:dyDescent="0.3">
      <c r="A38" s="122" t="s">
        <v>143</v>
      </c>
      <c r="B38" s="111">
        <v>26</v>
      </c>
      <c r="C38" s="35">
        <v>37</v>
      </c>
      <c r="D38" s="35">
        <v>15</v>
      </c>
      <c r="E38" s="35">
        <v>22</v>
      </c>
      <c r="F38" s="36">
        <f t="shared" si="0"/>
        <v>0.40540540540540543</v>
      </c>
      <c r="G38" s="54">
        <f t="shared" si="1"/>
        <v>0.59459459459459463</v>
      </c>
      <c r="H38" s="104">
        <v>244</v>
      </c>
    </row>
    <row r="39" spans="1:8" x14ac:dyDescent="0.3">
      <c r="A39" s="122" t="s">
        <v>144</v>
      </c>
      <c r="B39" s="111">
        <v>36</v>
      </c>
      <c r="C39" s="35">
        <v>53</v>
      </c>
      <c r="D39" s="35">
        <v>20</v>
      </c>
      <c r="E39" s="35">
        <v>33</v>
      </c>
      <c r="F39" s="36">
        <f t="shared" si="0"/>
        <v>0.37735849056603776</v>
      </c>
      <c r="G39" s="54">
        <f t="shared" si="1"/>
        <v>0.62264150943396224</v>
      </c>
      <c r="H39" s="104">
        <v>147</v>
      </c>
    </row>
    <row r="40" spans="1:8" x14ac:dyDescent="0.3">
      <c r="A40" s="122" t="s">
        <v>145</v>
      </c>
      <c r="B40" s="111">
        <v>7</v>
      </c>
      <c r="C40" s="35">
        <v>7</v>
      </c>
      <c r="D40" s="35">
        <v>3</v>
      </c>
      <c r="E40" s="35">
        <v>4</v>
      </c>
      <c r="F40" s="36">
        <f t="shared" si="0"/>
        <v>0.42857142857142855</v>
      </c>
      <c r="G40" s="54">
        <f t="shared" si="1"/>
        <v>0.5714285714285714</v>
      </c>
      <c r="H40" s="104">
        <v>79</v>
      </c>
    </row>
    <row r="41" spans="1:8" x14ac:dyDescent="0.3">
      <c r="A41" s="122" t="s">
        <v>146</v>
      </c>
      <c r="B41" s="111">
        <v>12</v>
      </c>
      <c r="C41" s="35">
        <v>14</v>
      </c>
      <c r="D41" s="35">
        <v>7</v>
      </c>
      <c r="E41" s="35">
        <v>7</v>
      </c>
      <c r="F41" s="36">
        <f t="shared" si="0"/>
        <v>0.5</v>
      </c>
      <c r="G41" s="54">
        <f t="shared" si="1"/>
        <v>0.5</v>
      </c>
      <c r="H41" s="104">
        <v>121</v>
      </c>
    </row>
    <row r="42" spans="1:8" x14ac:dyDescent="0.3">
      <c r="A42" s="122" t="s">
        <v>147</v>
      </c>
      <c r="B42" s="111">
        <v>14</v>
      </c>
      <c r="C42" s="35">
        <v>18</v>
      </c>
      <c r="D42" s="35">
        <v>9</v>
      </c>
      <c r="E42" s="35">
        <v>9</v>
      </c>
      <c r="F42" s="36">
        <f t="shared" si="0"/>
        <v>0.5</v>
      </c>
      <c r="G42" s="54">
        <f t="shared" si="1"/>
        <v>0.5</v>
      </c>
      <c r="H42" s="104">
        <v>408</v>
      </c>
    </row>
    <row r="43" spans="1:8" x14ac:dyDescent="0.3">
      <c r="A43" s="123" t="s">
        <v>148</v>
      </c>
      <c r="B43" s="111">
        <v>119</v>
      </c>
      <c r="C43" s="56">
        <v>136</v>
      </c>
      <c r="D43" s="56">
        <v>88</v>
      </c>
      <c r="E43" s="56">
        <v>48</v>
      </c>
      <c r="F43" s="36">
        <f t="shared" si="0"/>
        <v>0.6470588235294118</v>
      </c>
      <c r="G43" s="54">
        <f t="shared" si="1"/>
        <v>0.35294117647058826</v>
      </c>
      <c r="H43" s="104">
        <v>1380</v>
      </c>
    </row>
    <row r="44" spans="1:8" x14ac:dyDescent="0.3">
      <c r="A44" s="122" t="s">
        <v>36</v>
      </c>
      <c r="B44" s="111">
        <v>161</v>
      </c>
      <c r="C44" s="35">
        <v>182</v>
      </c>
      <c r="D44" s="35">
        <v>123</v>
      </c>
      <c r="E44" s="35">
        <v>59</v>
      </c>
      <c r="F44" s="36">
        <f t="shared" si="0"/>
        <v>0.67582417582417587</v>
      </c>
      <c r="G44" s="54">
        <f t="shared" si="1"/>
        <v>0.32417582417582419</v>
      </c>
      <c r="H44" s="104">
        <v>900</v>
      </c>
    </row>
    <row r="45" spans="1:8" x14ac:dyDescent="0.3">
      <c r="A45" s="122" t="s">
        <v>15</v>
      </c>
      <c r="B45" s="111">
        <v>7</v>
      </c>
      <c r="C45" s="35">
        <v>8</v>
      </c>
      <c r="D45" s="35">
        <v>7</v>
      </c>
      <c r="E45" s="35">
        <v>1</v>
      </c>
      <c r="F45" s="36">
        <f t="shared" si="0"/>
        <v>0.875</v>
      </c>
      <c r="G45" s="54">
        <f t="shared" si="1"/>
        <v>0.125</v>
      </c>
      <c r="H45" s="104">
        <v>30</v>
      </c>
    </row>
    <row r="46" spans="1:8" x14ac:dyDescent="0.3">
      <c r="A46" s="122" t="s">
        <v>18</v>
      </c>
      <c r="B46" s="111">
        <v>19</v>
      </c>
      <c r="C46" s="35">
        <v>25</v>
      </c>
      <c r="D46" s="35">
        <v>17</v>
      </c>
      <c r="E46" s="35">
        <v>8</v>
      </c>
      <c r="F46" s="36">
        <f t="shared" si="0"/>
        <v>0.68</v>
      </c>
      <c r="G46" s="54">
        <f t="shared" si="1"/>
        <v>0.32</v>
      </c>
      <c r="H46" s="104">
        <v>257</v>
      </c>
    </row>
    <row r="47" spans="1:8" x14ac:dyDescent="0.3">
      <c r="A47" s="122" t="s">
        <v>35</v>
      </c>
      <c r="B47" s="111">
        <v>65</v>
      </c>
      <c r="C47" s="35">
        <v>83</v>
      </c>
      <c r="D47" s="35">
        <v>58</v>
      </c>
      <c r="E47" s="35">
        <v>25</v>
      </c>
      <c r="F47" s="36">
        <f t="shared" si="0"/>
        <v>0.6987951807228916</v>
      </c>
      <c r="G47" s="54">
        <f t="shared" si="1"/>
        <v>0.30120481927710846</v>
      </c>
      <c r="H47" s="104">
        <v>974</v>
      </c>
    </row>
    <row r="48" spans="1:8" x14ac:dyDescent="0.3">
      <c r="A48" s="122" t="s">
        <v>24</v>
      </c>
      <c r="B48" s="111">
        <v>3</v>
      </c>
      <c r="C48" s="35">
        <v>3</v>
      </c>
      <c r="D48" s="35">
        <v>0</v>
      </c>
      <c r="E48" s="35">
        <v>3</v>
      </c>
      <c r="F48" s="36">
        <f t="shared" si="0"/>
        <v>0</v>
      </c>
      <c r="G48" s="54">
        <f t="shared" si="1"/>
        <v>1</v>
      </c>
      <c r="H48" s="104">
        <v>0</v>
      </c>
    </row>
    <row r="49" spans="1:8" x14ac:dyDescent="0.3">
      <c r="A49" s="122" t="s">
        <v>34</v>
      </c>
      <c r="B49" s="111">
        <v>28</v>
      </c>
      <c r="C49" s="35">
        <v>28</v>
      </c>
      <c r="D49" s="35">
        <v>18</v>
      </c>
      <c r="E49" s="35">
        <v>10</v>
      </c>
      <c r="F49" s="36">
        <f t="shared" si="0"/>
        <v>0.6428571428571429</v>
      </c>
      <c r="G49" s="54">
        <f t="shared" si="1"/>
        <v>0.35714285714285715</v>
      </c>
      <c r="H49" s="104">
        <v>111</v>
      </c>
    </row>
    <row r="50" spans="1:8" x14ac:dyDescent="0.3">
      <c r="A50" s="122" t="s">
        <v>33</v>
      </c>
      <c r="B50" s="111">
        <v>4</v>
      </c>
      <c r="C50" s="35">
        <v>8</v>
      </c>
      <c r="D50" s="35">
        <v>4</v>
      </c>
      <c r="E50" s="35">
        <v>4</v>
      </c>
      <c r="F50" s="36">
        <f t="shared" si="0"/>
        <v>0.5</v>
      </c>
      <c r="G50" s="54">
        <f t="shared" si="1"/>
        <v>0.5</v>
      </c>
      <c r="H50" s="104">
        <v>51</v>
      </c>
    </row>
    <row r="51" spans="1:8" x14ac:dyDescent="0.3">
      <c r="A51" s="122" t="s">
        <v>16</v>
      </c>
      <c r="B51" s="111">
        <v>28</v>
      </c>
      <c r="C51" s="35">
        <v>23</v>
      </c>
      <c r="D51" s="35">
        <v>18</v>
      </c>
      <c r="E51" s="35">
        <v>5</v>
      </c>
      <c r="F51" s="36">
        <f t="shared" si="0"/>
        <v>0.78260869565217395</v>
      </c>
      <c r="G51" s="54">
        <f t="shared" si="1"/>
        <v>0.21739130434782608</v>
      </c>
      <c r="H51" s="104">
        <v>198</v>
      </c>
    </row>
    <row r="52" spans="1:8" x14ac:dyDescent="0.3">
      <c r="A52" s="122" t="s">
        <v>32</v>
      </c>
      <c r="B52" s="111">
        <v>6</v>
      </c>
      <c r="C52" s="35">
        <v>4</v>
      </c>
      <c r="D52" s="35">
        <v>1</v>
      </c>
      <c r="E52" s="35">
        <v>3</v>
      </c>
      <c r="F52" s="36">
        <f t="shared" si="0"/>
        <v>0.25</v>
      </c>
      <c r="G52" s="54">
        <f t="shared" si="1"/>
        <v>0.75</v>
      </c>
      <c r="H52" s="104">
        <v>108</v>
      </c>
    </row>
    <row r="53" spans="1:8" x14ac:dyDescent="0.3">
      <c r="A53" s="122" t="s">
        <v>31</v>
      </c>
      <c r="B53" s="111">
        <v>0</v>
      </c>
      <c r="C53" s="35">
        <v>0</v>
      </c>
      <c r="D53" s="35">
        <v>0</v>
      </c>
      <c r="E53" s="35">
        <v>0</v>
      </c>
      <c r="F53" s="36">
        <v>0</v>
      </c>
      <c r="G53" s="54">
        <v>0</v>
      </c>
      <c r="H53" s="104">
        <v>22</v>
      </c>
    </row>
    <row r="54" spans="1:8" x14ac:dyDescent="0.3">
      <c r="A54" s="122" t="s">
        <v>77</v>
      </c>
      <c r="B54" s="111">
        <v>8</v>
      </c>
      <c r="C54" s="35">
        <v>10</v>
      </c>
      <c r="D54" s="35">
        <v>4</v>
      </c>
      <c r="E54" s="35">
        <v>6</v>
      </c>
      <c r="F54" s="36">
        <f t="shared" si="0"/>
        <v>0.4</v>
      </c>
      <c r="G54" s="54">
        <f t="shared" si="1"/>
        <v>0.6</v>
      </c>
      <c r="H54" s="104">
        <v>34</v>
      </c>
    </row>
    <row r="55" spans="1:8" x14ac:dyDescent="0.3">
      <c r="A55" s="122" t="s">
        <v>30</v>
      </c>
      <c r="B55" s="111">
        <v>8</v>
      </c>
      <c r="C55" s="35">
        <v>9</v>
      </c>
      <c r="D55" s="35">
        <v>1</v>
      </c>
      <c r="E55" s="35">
        <v>8</v>
      </c>
      <c r="F55" s="36">
        <f t="shared" si="0"/>
        <v>0.1111111111111111</v>
      </c>
      <c r="G55" s="54">
        <f t="shared" si="1"/>
        <v>0.88888888888888884</v>
      </c>
      <c r="H55" s="104">
        <v>307</v>
      </c>
    </row>
    <row r="56" spans="1:8" x14ac:dyDescent="0.3">
      <c r="A56" s="122" t="s">
        <v>21</v>
      </c>
      <c r="B56" s="111">
        <v>31</v>
      </c>
      <c r="C56" s="35">
        <v>40</v>
      </c>
      <c r="D56" s="35">
        <v>22</v>
      </c>
      <c r="E56" s="35">
        <v>18</v>
      </c>
      <c r="F56" s="36">
        <f t="shared" si="0"/>
        <v>0.55000000000000004</v>
      </c>
      <c r="G56" s="54">
        <f t="shared" si="1"/>
        <v>0.45</v>
      </c>
      <c r="H56" s="104">
        <v>458</v>
      </c>
    </row>
    <row r="57" spans="1:8" x14ac:dyDescent="0.3">
      <c r="A57" s="122" t="s">
        <v>22</v>
      </c>
      <c r="B57" s="111">
        <v>33</v>
      </c>
      <c r="C57" s="35">
        <v>40</v>
      </c>
      <c r="D57" s="35">
        <v>28</v>
      </c>
      <c r="E57" s="35">
        <v>12</v>
      </c>
      <c r="F57" s="36">
        <f t="shared" si="0"/>
        <v>0.7</v>
      </c>
      <c r="G57" s="54">
        <f t="shared" si="1"/>
        <v>0.3</v>
      </c>
      <c r="H57" s="104">
        <v>258</v>
      </c>
    </row>
    <row r="58" spans="1:8" x14ac:dyDescent="0.3">
      <c r="A58" s="122" t="s">
        <v>79</v>
      </c>
      <c r="B58" s="111">
        <v>4</v>
      </c>
      <c r="C58" s="35">
        <v>6</v>
      </c>
      <c r="D58" s="35">
        <v>4</v>
      </c>
      <c r="E58" s="35">
        <v>2</v>
      </c>
      <c r="F58" s="36">
        <f t="shared" si="0"/>
        <v>0.66666666666666663</v>
      </c>
      <c r="G58" s="54">
        <f t="shared" si="1"/>
        <v>0.33333333333333331</v>
      </c>
      <c r="H58" s="104">
        <v>49</v>
      </c>
    </row>
    <row r="59" spans="1:8" x14ac:dyDescent="0.3">
      <c r="A59" s="122" t="s">
        <v>149</v>
      </c>
      <c r="B59" s="111">
        <v>195</v>
      </c>
      <c r="C59" s="35">
        <v>217</v>
      </c>
      <c r="D59" s="35">
        <v>177</v>
      </c>
      <c r="E59" s="35">
        <v>40</v>
      </c>
      <c r="F59" s="36">
        <f t="shared" si="0"/>
        <v>0.81566820276497698</v>
      </c>
      <c r="G59" s="54">
        <f t="shared" si="1"/>
        <v>0.18433179723502305</v>
      </c>
      <c r="H59" s="104">
        <v>828</v>
      </c>
    </row>
    <row r="60" spans="1:8" x14ac:dyDescent="0.3">
      <c r="A60" s="122" t="s">
        <v>29</v>
      </c>
      <c r="B60" s="114">
        <v>63</v>
      </c>
      <c r="C60" s="1">
        <v>64</v>
      </c>
      <c r="D60" s="1">
        <v>40</v>
      </c>
      <c r="E60" s="35">
        <v>24</v>
      </c>
      <c r="F60" s="36">
        <f t="shared" si="0"/>
        <v>0.625</v>
      </c>
      <c r="G60" s="54">
        <f t="shared" si="1"/>
        <v>0.375</v>
      </c>
      <c r="H60" s="104">
        <v>685</v>
      </c>
    </row>
    <row r="61" spans="1:8" x14ac:dyDescent="0.3">
      <c r="A61" s="122" t="s">
        <v>82</v>
      </c>
      <c r="B61" s="113">
        <v>1</v>
      </c>
      <c r="C61" s="1">
        <v>1</v>
      </c>
      <c r="D61" s="1">
        <v>0</v>
      </c>
      <c r="E61" s="1">
        <v>1</v>
      </c>
      <c r="F61" s="36">
        <f t="shared" si="0"/>
        <v>0</v>
      </c>
      <c r="G61" s="54">
        <f t="shared" si="1"/>
        <v>1</v>
      </c>
      <c r="H61" s="104">
        <v>1</v>
      </c>
    </row>
    <row r="62" spans="1:8" x14ac:dyDescent="0.3">
      <c r="A62" s="122" t="s">
        <v>150</v>
      </c>
      <c r="B62" s="111">
        <v>61</v>
      </c>
      <c r="C62" s="35">
        <v>87</v>
      </c>
      <c r="D62" s="35">
        <v>48</v>
      </c>
      <c r="E62" s="60">
        <v>39</v>
      </c>
      <c r="F62" s="36">
        <f t="shared" si="0"/>
        <v>0.55172413793103448</v>
      </c>
      <c r="G62" s="54">
        <f t="shared" si="1"/>
        <v>0.44827586206896552</v>
      </c>
      <c r="H62" s="104">
        <v>343</v>
      </c>
    </row>
    <row r="63" spans="1:8" x14ac:dyDescent="0.3">
      <c r="A63" s="122" t="s">
        <v>84</v>
      </c>
      <c r="B63" s="111">
        <v>16</v>
      </c>
      <c r="C63" s="35">
        <v>20</v>
      </c>
      <c r="D63" s="35">
        <v>13</v>
      </c>
      <c r="E63" s="60">
        <v>7</v>
      </c>
      <c r="F63" s="36">
        <f t="shared" si="0"/>
        <v>0.65</v>
      </c>
      <c r="G63" s="54">
        <f t="shared" si="1"/>
        <v>0.35</v>
      </c>
      <c r="H63" s="104">
        <v>25</v>
      </c>
    </row>
    <row r="64" spans="1:8" x14ac:dyDescent="0.3">
      <c r="A64" s="122" t="s">
        <v>85</v>
      </c>
      <c r="B64" s="111">
        <v>56</v>
      </c>
      <c r="C64" s="35">
        <v>59</v>
      </c>
      <c r="D64" s="35">
        <v>46</v>
      </c>
      <c r="E64" s="60">
        <v>13</v>
      </c>
      <c r="F64" s="36">
        <f t="shared" si="0"/>
        <v>0.77966101694915257</v>
      </c>
      <c r="G64" s="54">
        <f t="shared" si="1"/>
        <v>0.22033898305084745</v>
      </c>
      <c r="H64" s="104">
        <v>278</v>
      </c>
    </row>
    <row r="65" spans="1:16" x14ac:dyDescent="0.3">
      <c r="A65" s="122" t="s">
        <v>151</v>
      </c>
      <c r="B65" s="111">
        <v>4</v>
      </c>
      <c r="C65" s="35">
        <v>6</v>
      </c>
      <c r="D65" s="35">
        <v>5</v>
      </c>
      <c r="E65" s="60">
        <v>1</v>
      </c>
      <c r="F65" s="36">
        <f t="shared" si="0"/>
        <v>0.83333333333333337</v>
      </c>
      <c r="G65" s="54">
        <f t="shared" si="1"/>
        <v>0.16666666666666666</v>
      </c>
      <c r="H65" s="104">
        <v>21</v>
      </c>
    </row>
    <row r="66" spans="1:16" x14ac:dyDescent="0.3">
      <c r="A66" s="122" t="s">
        <v>152</v>
      </c>
      <c r="B66" s="111">
        <v>14</v>
      </c>
      <c r="C66" s="35">
        <v>15</v>
      </c>
      <c r="D66" s="35">
        <v>10</v>
      </c>
      <c r="E66" s="60">
        <v>5</v>
      </c>
      <c r="F66" s="36">
        <f t="shared" si="0"/>
        <v>0.66666666666666663</v>
      </c>
      <c r="G66" s="54">
        <f t="shared" si="1"/>
        <v>0.33333333333333331</v>
      </c>
      <c r="H66" s="104">
        <v>206</v>
      </c>
    </row>
    <row r="67" spans="1:16" x14ac:dyDescent="0.3">
      <c r="A67" s="122" t="s">
        <v>153</v>
      </c>
      <c r="B67" s="111">
        <v>27</v>
      </c>
      <c r="C67" s="35">
        <v>27</v>
      </c>
      <c r="D67" s="35">
        <v>26</v>
      </c>
      <c r="E67" s="60">
        <v>1</v>
      </c>
      <c r="F67" s="36">
        <f t="shared" si="0"/>
        <v>0.96296296296296291</v>
      </c>
      <c r="G67" s="54">
        <f t="shared" si="1"/>
        <v>3.7037037037037035E-2</v>
      </c>
      <c r="H67" s="104">
        <v>103</v>
      </c>
    </row>
    <row r="68" spans="1:16" x14ac:dyDescent="0.3">
      <c r="A68" s="122" t="s">
        <v>157</v>
      </c>
      <c r="B68" s="111">
        <v>30</v>
      </c>
      <c r="C68" s="35">
        <v>35</v>
      </c>
      <c r="D68" s="35">
        <v>25</v>
      </c>
      <c r="E68" s="60">
        <v>10</v>
      </c>
      <c r="F68" s="36">
        <f t="shared" si="0"/>
        <v>0.7142857142857143</v>
      </c>
      <c r="G68" s="54">
        <f t="shared" si="1"/>
        <v>0.2857142857142857</v>
      </c>
      <c r="H68" s="104">
        <v>106</v>
      </c>
    </row>
    <row r="69" spans="1:16" s="58" customFormat="1" x14ac:dyDescent="0.3">
      <c r="A69" s="123" t="s">
        <v>154</v>
      </c>
      <c r="B69" s="112">
        <v>3</v>
      </c>
      <c r="C69" s="56">
        <v>2</v>
      </c>
      <c r="D69" s="56">
        <v>0</v>
      </c>
      <c r="E69" s="60">
        <v>2</v>
      </c>
      <c r="F69" s="36">
        <f t="shared" si="0"/>
        <v>0</v>
      </c>
      <c r="G69" s="54">
        <f t="shared" si="1"/>
        <v>1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6</v>
      </c>
      <c r="C70" s="35">
        <v>10</v>
      </c>
      <c r="D70" s="35">
        <v>4</v>
      </c>
      <c r="E70" s="60">
        <v>6</v>
      </c>
      <c r="F70" s="36">
        <f t="shared" si="0"/>
        <v>0.4</v>
      </c>
      <c r="G70" s="54">
        <f t="shared" si="1"/>
        <v>0.6</v>
      </c>
      <c r="H70" s="104">
        <v>19</v>
      </c>
    </row>
    <row r="71" spans="1:16" ht="15" thickBot="1" x14ac:dyDescent="0.35">
      <c r="A71" s="124" t="s">
        <v>155</v>
      </c>
      <c r="B71" s="110">
        <v>1</v>
      </c>
      <c r="C71" s="105">
        <v>1</v>
      </c>
      <c r="D71" s="105">
        <v>0</v>
      </c>
      <c r="E71" s="106">
        <v>1</v>
      </c>
      <c r="F71" s="107">
        <f t="shared" si="0"/>
        <v>0</v>
      </c>
      <c r="G71" s="108">
        <f t="shared" si="1"/>
        <v>1</v>
      </c>
      <c r="H71" s="109">
        <v>26</v>
      </c>
    </row>
    <row r="72" spans="1:16" ht="15" thickBot="1" x14ac:dyDescent="0.35">
      <c r="A72" s="125" t="s">
        <v>105</v>
      </c>
      <c r="B72" s="96">
        <f>SUM(B8:B71)</f>
        <v>2671</v>
      </c>
      <c r="C72" s="96">
        <f>SUM(C8:C71)</f>
        <v>3065</v>
      </c>
      <c r="D72" s="96">
        <f>SUM(D8:D71)</f>
        <v>2052</v>
      </c>
      <c r="E72" s="96">
        <f>SUM(E8:E71)</f>
        <v>1013</v>
      </c>
      <c r="F72" s="98">
        <f>D72/C72</f>
        <v>0.66949429037520392</v>
      </c>
      <c r="G72" s="97">
        <f>E72/C72</f>
        <v>0.33050570962479608</v>
      </c>
      <c r="H72" s="96">
        <f>SUM(H8:H71)</f>
        <v>20514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179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26</v>
      </c>
      <c r="C8" s="99">
        <v>24</v>
      </c>
      <c r="D8" s="99">
        <v>17</v>
      </c>
      <c r="E8" s="99">
        <v>7</v>
      </c>
      <c r="F8" s="100">
        <f t="shared" ref="F8:F71" si="0">D8/C8</f>
        <v>0.70833333333333337</v>
      </c>
      <c r="G8" s="101">
        <f t="shared" ref="G8:G71" si="1">E8/C8</f>
        <v>0.29166666666666669</v>
      </c>
      <c r="H8" s="103">
        <v>314</v>
      </c>
    </row>
    <row r="9" spans="1:8" x14ac:dyDescent="0.3">
      <c r="A9" s="122" t="s">
        <v>121</v>
      </c>
      <c r="B9" s="116">
        <v>5</v>
      </c>
      <c r="C9" s="35">
        <v>6</v>
      </c>
      <c r="D9" s="35">
        <v>3</v>
      </c>
      <c r="E9" s="35">
        <v>3</v>
      </c>
      <c r="F9" s="100">
        <f t="shared" si="0"/>
        <v>0.5</v>
      </c>
      <c r="G9" s="101">
        <f t="shared" si="1"/>
        <v>0.5</v>
      </c>
      <c r="H9" s="104">
        <v>33</v>
      </c>
    </row>
    <row r="10" spans="1:8" x14ac:dyDescent="0.3">
      <c r="A10" s="122" t="s">
        <v>122</v>
      </c>
      <c r="B10" s="116">
        <v>111</v>
      </c>
      <c r="C10" s="35">
        <v>115</v>
      </c>
      <c r="D10" s="35">
        <v>100</v>
      </c>
      <c r="E10" s="35">
        <v>15</v>
      </c>
      <c r="F10" s="36">
        <f t="shared" si="0"/>
        <v>0.86956521739130432</v>
      </c>
      <c r="G10" s="54">
        <f t="shared" si="1"/>
        <v>0.13043478260869565</v>
      </c>
      <c r="H10" s="104">
        <v>387</v>
      </c>
    </row>
    <row r="11" spans="1:8" x14ac:dyDescent="0.3">
      <c r="A11" s="122" t="s">
        <v>123</v>
      </c>
      <c r="B11" s="116">
        <v>2</v>
      </c>
      <c r="C11" s="35">
        <v>2</v>
      </c>
      <c r="D11" s="35">
        <v>1</v>
      </c>
      <c r="E11" s="35">
        <v>1</v>
      </c>
      <c r="F11" s="36">
        <f t="shared" si="0"/>
        <v>0.5</v>
      </c>
      <c r="G11" s="54">
        <f t="shared" si="1"/>
        <v>0.5</v>
      </c>
      <c r="H11" s="104">
        <v>0</v>
      </c>
    </row>
    <row r="12" spans="1:8" x14ac:dyDescent="0.3">
      <c r="A12" s="122" t="s">
        <v>124</v>
      </c>
      <c r="B12" s="116">
        <v>30</v>
      </c>
      <c r="C12" s="35">
        <v>30</v>
      </c>
      <c r="D12" s="35">
        <v>19</v>
      </c>
      <c r="E12" s="35">
        <v>11</v>
      </c>
      <c r="F12" s="36">
        <f t="shared" si="0"/>
        <v>0.6333333333333333</v>
      </c>
      <c r="G12" s="54">
        <f t="shared" si="1"/>
        <v>0.36666666666666664</v>
      </c>
      <c r="H12" s="104">
        <v>354</v>
      </c>
    </row>
    <row r="13" spans="1:8" x14ac:dyDescent="0.3">
      <c r="A13" s="122" t="s">
        <v>125</v>
      </c>
      <c r="B13" s="111">
        <v>15</v>
      </c>
      <c r="C13" s="35">
        <v>16</v>
      </c>
      <c r="D13" s="35">
        <v>13</v>
      </c>
      <c r="E13" s="35">
        <v>3</v>
      </c>
      <c r="F13" s="36">
        <f t="shared" si="0"/>
        <v>0.8125</v>
      </c>
      <c r="G13" s="54">
        <f t="shared" si="1"/>
        <v>0.1875</v>
      </c>
      <c r="H13" s="104">
        <v>129</v>
      </c>
    </row>
    <row r="14" spans="1:8" x14ac:dyDescent="0.3">
      <c r="A14" s="122" t="s">
        <v>126</v>
      </c>
      <c r="B14" s="111">
        <v>6</v>
      </c>
      <c r="C14" s="35">
        <v>6</v>
      </c>
      <c r="D14" s="35">
        <v>6</v>
      </c>
      <c r="E14" s="35">
        <v>0</v>
      </c>
      <c r="F14" s="36">
        <f t="shared" si="0"/>
        <v>1</v>
      </c>
      <c r="G14" s="54">
        <f t="shared" si="1"/>
        <v>0</v>
      </c>
      <c r="H14" s="104">
        <v>47</v>
      </c>
    </row>
    <row r="15" spans="1:8" x14ac:dyDescent="0.3">
      <c r="A15" s="122" t="s">
        <v>127</v>
      </c>
      <c r="B15" s="111">
        <v>75</v>
      </c>
      <c r="C15" s="35">
        <v>77</v>
      </c>
      <c r="D15" s="35">
        <v>61</v>
      </c>
      <c r="E15" s="35">
        <v>16</v>
      </c>
      <c r="F15" s="36">
        <f t="shared" si="0"/>
        <v>0.79220779220779225</v>
      </c>
      <c r="G15" s="54">
        <f t="shared" si="1"/>
        <v>0.20779220779220781</v>
      </c>
      <c r="H15" s="104">
        <v>521</v>
      </c>
    </row>
    <row r="16" spans="1:8" x14ac:dyDescent="0.3">
      <c r="A16" s="122" t="s">
        <v>128</v>
      </c>
      <c r="B16" s="111">
        <v>201</v>
      </c>
      <c r="C16" s="57">
        <v>225</v>
      </c>
      <c r="D16" s="35">
        <v>188</v>
      </c>
      <c r="E16" s="35">
        <v>37</v>
      </c>
      <c r="F16" s="36">
        <f t="shared" si="0"/>
        <v>0.83555555555555561</v>
      </c>
      <c r="G16" s="54">
        <f t="shared" si="1"/>
        <v>0.16444444444444445</v>
      </c>
      <c r="H16" s="104">
        <v>2107</v>
      </c>
    </row>
    <row r="17" spans="1:8" x14ac:dyDescent="0.3">
      <c r="A17" s="122" t="s">
        <v>39</v>
      </c>
      <c r="B17" s="111">
        <v>94</v>
      </c>
      <c r="C17" s="57">
        <v>96</v>
      </c>
      <c r="D17" s="35">
        <v>83</v>
      </c>
      <c r="E17" s="35">
        <v>13</v>
      </c>
      <c r="F17" s="36">
        <f>D17/C17</f>
        <v>0.86458333333333337</v>
      </c>
      <c r="G17" s="54">
        <f t="shared" si="1"/>
        <v>0.13541666666666666</v>
      </c>
      <c r="H17" s="104">
        <v>887</v>
      </c>
    </row>
    <row r="18" spans="1:8" x14ac:dyDescent="0.3">
      <c r="A18" s="122" t="s">
        <v>25</v>
      </c>
      <c r="B18" s="111">
        <v>0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3</v>
      </c>
      <c r="C20" s="57">
        <v>3</v>
      </c>
      <c r="D20" s="35">
        <v>1</v>
      </c>
      <c r="E20" s="35">
        <v>2</v>
      </c>
      <c r="F20" s="36">
        <f t="shared" ref="F20" si="2">D20/C20</f>
        <v>0.33333333333333331</v>
      </c>
      <c r="G20" s="54">
        <f t="shared" si="1"/>
        <v>0.66666666666666663</v>
      </c>
      <c r="H20" s="104">
        <v>6</v>
      </c>
    </row>
    <row r="21" spans="1:8" x14ac:dyDescent="0.3">
      <c r="A21" s="122" t="s">
        <v>131</v>
      </c>
      <c r="B21" s="111">
        <v>1</v>
      </c>
      <c r="C21" s="57">
        <v>2</v>
      </c>
      <c r="D21" s="35">
        <v>1</v>
      </c>
      <c r="E21" s="35">
        <v>1</v>
      </c>
      <c r="F21" s="36">
        <f t="shared" ref="F21:F35" si="3">D21/C21</f>
        <v>0.5</v>
      </c>
      <c r="G21" s="54">
        <f t="shared" si="1"/>
        <v>0.5</v>
      </c>
      <c r="H21" s="104">
        <v>0</v>
      </c>
    </row>
    <row r="22" spans="1:8" x14ac:dyDescent="0.3">
      <c r="A22" s="122" t="s">
        <v>132</v>
      </c>
      <c r="B22" s="111">
        <v>0</v>
      </c>
      <c r="C22" s="57">
        <v>0</v>
      </c>
      <c r="D22" s="35">
        <v>0</v>
      </c>
      <c r="E22" s="35">
        <v>0</v>
      </c>
      <c r="F22" s="36">
        <v>0</v>
      </c>
      <c r="G22" s="54">
        <v>0</v>
      </c>
      <c r="H22" s="104">
        <v>28</v>
      </c>
    </row>
    <row r="23" spans="1:8" x14ac:dyDescent="0.3">
      <c r="A23" s="122" t="s">
        <v>133</v>
      </c>
      <c r="B23" s="116">
        <v>10</v>
      </c>
      <c r="C23" s="57">
        <v>9</v>
      </c>
      <c r="D23" s="35">
        <v>9</v>
      </c>
      <c r="E23" s="35">
        <v>0</v>
      </c>
      <c r="F23" s="36">
        <f t="shared" si="3"/>
        <v>1</v>
      </c>
      <c r="G23" s="54">
        <f t="shared" si="1"/>
        <v>0</v>
      </c>
      <c r="H23" s="104">
        <v>51</v>
      </c>
    </row>
    <row r="24" spans="1:8" x14ac:dyDescent="0.3">
      <c r="A24" s="123" t="s">
        <v>134</v>
      </c>
      <c r="B24" s="111">
        <v>250</v>
      </c>
      <c r="C24" s="57">
        <v>274</v>
      </c>
      <c r="D24" s="56">
        <v>205</v>
      </c>
      <c r="E24" s="56">
        <v>69</v>
      </c>
      <c r="F24" s="36">
        <f t="shared" si="3"/>
        <v>0.74817518248175185</v>
      </c>
      <c r="G24" s="54">
        <f t="shared" si="1"/>
        <v>0.2518248175182482</v>
      </c>
      <c r="H24" s="104">
        <v>2906</v>
      </c>
    </row>
    <row r="25" spans="1:8" x14ac:dyDescent="0.3">
      <c r="A25" s="122" t="s">
        <v>135</v>
      </c>
      <c r="B25" s="111">
        <v>0</v>
      </c>
      <c r="C25" s="57">
        <v>1</v>
      </c>
      <c r="D25" s="35">
        <v>1</v>
      </c>
      <c r="E25" s="35">
        <v>0</v>
      </c>
      <c r="F25" s="36">
        <f t="shared" si="3"/>
        <v>1</v>
      </c>
      <c r="G25" s="54">
        <f t="shared" si="1"/>
        <v>0</v>
      </c>
      <c r="H25" s="104">
        <v>36</v>
      </c>
    </row>
    <row r="26" spans="1:8" x14ac:dyDescent="0.3">
      <c r="A26" s="122" t="s">
        <v>38</v>
      </c>
      <c r="B26" s="111">
        <v>10</v>
      </c>
      <c r="C26" s="57">
        <v>7</v>
      </c>
      <c r="D26" s="35">
        <v>6</v>
      </c>
      <c r="E26" s="35">
        <v>1</v>
      </c>
      <c r="F26" s="36">
        <f t="shared" si="3"/>
        <v>0.8571428571428571</v>
      </c>
      <c r="G26" s="54">
        <f t="shared" si="1"/>
        <v>0.14285714285714285</v>
      </c>
      <c r="H26" s="104">
        <v>0</v>
      </c>
    </row>
    <row r="27" spans="1:8" x14ac:dyDescent="0.3">
      <c r="A27" s="122" t="s">
        <v>37</v>
      </c>
      <c r="B27" s="111">
        <v>16</v>
      </c>
      <c r="C27" s="57">
        <v>17</v>
      </c>
      <c r="D27" s="35">
        <v>12</v>
      </c>
      <c r="E27" s="35">
        <v>5</v>
      </c>
      <c r="F27" s="36">
        <f t="shared" si="3"/>
        <v>0.70588235294117652</v>
      </c>
      <c r="G27" s="54">
        <f t="shared" si="1"/>
        <v>0.29411764705882354</v>
      </c>
      <c r="H27" s="104">
        <v>80</v>
      </c>
    </row>
    <row r="28" spans="1:8" x14ac:dyDescent="0.3">
      <c r="A28" s="122" t="s">
        <v>27</v>
      </c>
      <c r="B28" s="111">
        <v>2</v>
      </c>
      <c r="C28" s="35">
        <v>3</v>
      </c>
      <c r="D28" s="35">
        <v>2</v>
      </c>
      <c r="E28" s="35">
        <v>1</v>
      </c>
      <c r="F28" s="36">
        <f t="shared" si="3"/>
        <v>0.66666666666666663</v>
      </c>
      <c r="G28" s="54">
        <f t="shared" si="1"/>
        <v>0.33333333333333331</v>
      </c>
      <c r="H28" s="104">
        <v>209</v>
      </c>
    </row>
    <row r="29" spans="1:8" x14ac:dyDescent="0.3">
      <c r="A29" s="122" t="s">
        <v>62</v>
      </c>
      <c r="B29" s="111">
        <v>21</v>
      </c>
      <c r="C29" s="35">
        <v>17</v>
      </c>
      <c r="D29" s="35">
        <v>15</v>
      </c>
      <c r="E29" s="35">
        <v>2</v>
      </c>
      <c r="F29" s="36">
        <f t="shared" si="3"/>
        <v>0.88235294117647056</v>
      </c>
      <c r="G29" s="54">
        <f t="shared" si="1"/>
        <v>0.11764705882352941</v>
      </c>
      <c r="H29" s="104">
        <v>56</v>
      </c>
    </row>
    <row r="30" spans="1:8" x14ac:dyDescent="0.3">
      <c r="A30" s="122" t="s">
        <v>136</v>
      </c>
      <c r="B30" s="111">
        <v>43</v>
      </c>
      <c r="C30" s="35">
        <v>50</v>
      </c>
      <c r="D30" s="35">
        <v>35</v>
      </c>
      <c r="E30" s="35">
        <v>15</v>
      </c>
      <c r="F30" s="36">
        <f t="shared" si="3"/>
        <v>0.7</v>
      </c>
      <c r="G30" s="54">
        <f t="shared" si="1"/>
        <v>0.3</v>
      </c>
      <c r="H30" s="104">
        <v>410</v>
      </c>
    </row>
    <row r="31" spans="1:8" x14ac:dyDescent="0.3">
      <c r="A31" s="122" t="s">
        <v>17</v>
      </c>
      <c r="B31" s="111">
        <v>16</v>
      </c>
      <c r="C31" s="35">
        <v>17</v>
      </c>
      <c r="D31" s="35">
        <v>9</v>
      </c>
      <c r="E31" s="35">
        <v>8</v>
      </c>
      <c r="F31" s="36">
        <f t="shared" si="3"/>
        <v>0.52941176470588236</v>
      </c>
      <c r="G31" s="54">
        <f t="shared" si="1"/>
        <v>0.47058823529411764</v>
      </c>
      <c r="H31" s="104">
        <v>164</v>
      </c>
    </row>
    <row r="32" spans="1:8" x14ac:dyDescent="0.3">
      <c r="A32" s="122" t="s">
        <v>137</v>
      </c>
      <c r="B32" s="111">
        <v>6</v>
      </c>
      <c r="C32" s="35">
        <v>6</v>
      </c>
      <c r="D32" s="35">
        <v>6</v>
      </c>
      <c r="E32" s="35">
        <v>0</v>
      </c>
      <c r="F32" s="36">
        <f t="shared" si="3"/>
        <v>1</v>
      </c>
      <c r="G32" s="54">
        <f t="shared" si="1"/>
        <v>0</v>
      </c>
      <c r="H32" s="104">
        <v>7</v>
      </c>
    </row>
    <row r="33" spans="1:8" x14ac:dyDescent="0.3">
      <c r="A33" s="123" t="s">
        <v>138</v>
      </c>
      <c r="B33" s="111">
        <v>115</v>
      </c>
      <c r="C33" s="56">
        <v>112</v>
      </c>
      <c r="D33" s="56">
        <v>76</v>
      </c>
      <c r="E33" s="56">
        <v>36</v>
      </c>
      <c r="F33" s="36">
        <f t="shared" si="3"/>
        <v>0.6785714285714286</v>
      </c>
      <c r="G33" s="54">
        <f t="shared" si="1"/>
        <v>0.32142857142857145</v>
      </c>
      <c r="H33" s="104">
        <v>1975</v>
      </c>
    </row>
    <row r="34" spans="1:8" x14ac:dyDescent="0.3">
      <c r="A34" s="122" t="s">
        <v>139</v>
      </c>
      <c r="B34" s="111">
        <v>11</v>
      </c>
      <c r="C34" s="35">
        <v>10</v>
      </c>
      <c r="D34" s="35">
        <v>6</v>
      </c>
      <c r="E34" s="35">
        <v>4</v>
      </c>
      <c r="F34" s="36">
        <f t="shared" si="3"/>
        <v>0.6</v>
      </c>
      <c r="G34" s="54">
        <f t="shared" si="1"/>
        <v>0.4</v>
      </c>
      <c r="H34" s="104">
        <v>37</v>
      </c>
    </row>
    <row r="35" spans="1:8" x14ac:dyDescent="0.3">
      <c r="A35" s="122" t="s">
        <v>140</v>
      </c>
      <c r="B35" s="111">
        <v>154</v>
      </c>
      <c r="C35" s="35">
        <v>172</v>
      </c>
      <c r="D35" s="35">
        <v>120</v>
      </c>
      <c r="E35" s="35">
        <v>52</v>
      </c>
      <c r="F35" s="36">
        <f t="shared" si="3"/>
        <v>0.69767441860465118</v>
      </c>
      <c r="G35" s="54">
        <f t="shared" si="1"/>
        <v>0.30232558139534882</v>
      </c>
      <c r="H35" s="104">
        <v>1719</v>
      </c>
    </row>
    <row r="36" spans="1:8" x14ac:dyDescent="0.3">
      <c r="A36" s="122" t="s">
        <v>141</v>
      </c>
      <c r="B36" s="111">
        <v>54</v>
      </c>
      <c r="C36" s="35">
        <v>62</v>
      </c>
      <c r="D36" s="35">
        <v>51</v>
      </c>
      <c r="E36" s="35">
        <v>11</v>
      </c>
      <c r="F36" s="36">
        <f t="shared" si="0"/>
        <v>0.82258064516129037</v>
      </c>
      <c r="G36" s="54">
        <f t="shared" si="1"/>
        <v>0.17741935483870969</v>
      </c>
      <c r="H36" s="104">
        <v>255</v>
      </c>
    </row>
    <row r="37" spans="1:8" x14ac:dyDescent="0.3">
      <c r="A37" s="122" t="s">
        <v>142</v>
      </c>
      <c r="B37" s="111">
        <v>0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104">
        <v>0</v>
      </c>
    </row>
    <row r="38" spans="1:8" x14ac:dyDescent="0.3">
      <c r="A38" s="122" t="s">
        <v>143</v>
      </c>
      <c r="B38" s="111">
        <v>18</v>
      </c>
      <c r="C38" s="35">
        <v>20</v>
      </c>
      <c r="D38" s="35">
        <v>16</v>
      </c>
      <c r="E38" s="35">
        <v>4</v>
      </c>
      <c r="F38" s="36">
        <f t="shared" si="0"/>
        <v>0.8</v>
      </c>
      <c r="G38" s="54">
        <f t="shared" si="1"/>
        <v>0.2</v>
      </c>
      <c r="H38" s="104">
        <v>257</v>
      </c>
    </row>
    <row r="39" spans="1:8" x14ac:dyDescent="0.3">
      <c r="A39" s="122" t="s">
        <v>144</v>
      </c>
      <c r="B39" s="111">
        <v>35</v>
      </c>
      <c r="C39" s="35">
        <v>35</v>
      </c>
      <c r="D39" s="35">
        <v>24</v>
      </c>
      <c r="E39" s="35">
        <v>11</v>
      </c>
      <c r="F39" s="36">
        <f t="shared" si="0"/>
        <v>0.68571428571428572</v>
      </c>
      <c r="G39" s="54">
        <f t="shared" si="1"/>
        <v>0.31428571428571428</v>
      </c>
      <c r="H39" s="104">
        <v>136</v>
      </c>
    </row>
    <row r="40" spans="1:8" x14ac:dyDescent="0.3">
      <c r="A40" s="122" t="s">
        <v>145</v>
      </c>
      <c r="B40" s="111">
        <v>2</v>
      </c>
      <c r="C40" s="35">
        <v>3</v>
      </c>
      <c r="D40" s="35">
        <v>1</v>
      </c>
      <c r="E40" s="35">
        <v>2</v>
      </c>
      <c r="F40" s="36">
        <f t="shared" si="0"/>
        <v>0.33333333333333331</v>
      </c>
      <c r="G40" s="54">
        <f t="shared" si="1"/>
        <v>0.66666666666666663</v>
      </c>
      <c r="H40" s="104">
        <v>85</v>
      </c>
    </row>
    <row r="41" spans="1:8" x14ac:dyDescent="0.3">
      <c r="A41" s="122" t="s">
        <v>146</v>
      </c>
      <c r="B41" s="111">
        <v>5</v>
      </c>
      <c r="C41" s="35">
        <v>7</v>
      </c>
      <c r="D41" s="35">
        <v>2</v>
      </c>
      <c r="E41" s="35">
        <v>5</v>
      </c>
      <c r="F41" s="36">
        <f t="shared" si="0"/>
        <v>0.2857142857142857</v>
      </c>
      <c r="G41" s="54">
        <f t="shared" si="1"/>
        <v>0.7142857142857143</v>
      </c>
      <c r="H41" s="104">
        <v>120</v>
      </c>
    </row>
    <row r="42" spans="1:8" x14ac:dyDescent="0.3">
      <c r="A42" s="122" t="s">
        <v>147</v>
      </c>
      <c r="B42" s="111">
        <v>40</v>
      </c>
      <c r="C42" s="35">
        <v>38</v>
      </c>
      <c r="D42" s="35">
        <v>35</v>
      </c>
      <c r="E42" s="35">
        <v>3</v>
      </c>
      <c r="F42" s="36">
        <f t="shared" si="0"/>
        <v>0.92105263157894735</v>
      </c>
      <c r="G42" s="54">
        <f t="shared" si="1"/>
        <v>7.8947368421052627E-2</v>
      </c>
      <c r="H42" s="104">
        <v>439</v>
      </c>
    </row>
    <row r="43" spans="1:8" x14ac:dyDescent="0.3">
      <c r="A43" s="123" t="s">
        <v>148</v>
      </c>
      <c r="B43" s="111">
        <v>132</v>
      </c>
      <c r="C43" s="56">
        <v>124</v>
      </c>
      <c r="D43" s="56">
        <v>89</v>
      </c>
      <c r="E43" s="56">
        <v>35</v>
      </c>
      <c r="F43" s="36">
        <f t="shared" si="0"/>
        <v>0.717741935483871</v>
      </c>
      <c r="G43" s="54">
        <f t="shared" si="1"/>
        <v>0.28225806451612906</v>
      </c>
      <c r="H43" s="104">
        <v>1423</v>
      </c>
    </row>
    <row r="44" spans="1:8" x14ac:dyDescent="0.3">
      <c r="A44" s="122" t="s">
        <v>36</v>
      </c>
      <c r="B44" s="111">
        <v>99</v>
      </c>
      <c r="C44" s="35">
        <v>108</v>
      </c>
      <c r="D44" s="35">
        <v>76</v>
      </c>
      <c r="E44" s="35">
        <v>32</v>
      </c>
      <c r="F44" s="36">
        <f t="shared" si="0"/>
        <v>0.70370370370370372</v>
      </c>
      <c r="G44" s="54">
        <f t="shared" si="1"/>
        <v>0.29629629629629628</v>
      </c>
      <c r="H44" s="104">
        <v>1091</v>
      </c>
    </row>
    <row r="45" spans="1:8" x14ac:dyDescent="0.3">
      <c r="A45" s="122" t="s">
        <v>15</v>
      </c>
      <c r="B45" s="111">
        <v>8</v>
      </c>
      <c r="C45" s="35">
        <v>7</v>
      </c>
      <c r="D45" s="35">
        <v>4</v>
      </c>
      <c r="E45" s="35">
        <v>3</v>
      </c>
      <c r="F45" s="36">
        <f t="shared" si="0"/>
        <v>0.5714285714285714</v>
      </c>
      <c r="G45" s="54">
        <f t="shared" si="1"/>
        <v>0.42857142857142855</v>
      </c>
      <c r="H45" s="104">
        <v>36</v>
      </c>
    </row>
    <row r="46" spans="1:8" x14ac:dyDescent="0.3">
      <c r="A46" s="122" t="s">
        <v>18</v>
      </c>
      <c r="B46" s="111">
        <v>18</v>
      </c>
      <c r="C46" s="35">
        <v>16</v>
      </c>
      <c r="D46" s="35">
        <v>13</v>
      </c>
      <c r="E46" s="35">
        <v>3</v>
      </c>
      <c r="F46" s="36">
        <f t="shared" si="0"/>
        <v>0.8125</v>
      </c>
      <c r="G46" s="54">
        <f t="shared" si="1"/>
        <v>0.1875</v>
      </c>
      <c r="H46" s="104">
        <v>270</v>
      </c>
    </row>
    <row r="47" spans="1:8" x14ac:dyDescent="0.3">
      <c r="A47" s="122" t="s">
        <v>35</v>
      </c>
      <c r="B47" s="111">
        <v>192</v>
      </c>
      <c r="C47" s="35">
        <v>185</v>
      </c>
      <c r="D47" s="35">
        <v>173</v>
      </c>
      <c r="E47" s="35">
        <v>12</v>
      </c>
      <c r="F47" s="36">
        <f t="shared" si="0"/>
        <v>0.93513513513513513</v>
      </c>
      <c r="G47" s="54">
        <f t="shared" si="1"/>
        <v>6.4864864864864868E-2</v>
      </c>
      <c r="H47" s="104">
        <v>1045</v>
      </c>
    </row>
    <row r="48" spans="1:8" x14ac:dyDescent="0.3">
      <c r="A48" s="122" t="s">
        <v>24</v>
      </c>
      <c r="B48" s="111">
        <v>0</v>
      </c>
      <c r="C48" s="35">
        <v>2</v>
      </c>
      <c r="D48" s="35">
        <v>0</v>
      </c>
      <c r="E48" s="35">
        <v>2</v>
      </c>
      <c r="F48" s="36">
        <f t="shared" si="0"/>
        <v>0</v>
      </c>
      <c r="G48" s="54">
        <f t="shared" si="1"/>
        <v>1</v>
      </c>
      <c r="H48" s="104">
        <v>0</v>
      </c>
    </row>
    <row r="49" spans="1:8" x14ac:dyDescent="0.3">
      <c r="A49" s="122" t="s">
        <v>34</v>
      </c>
      <c r="B49" s="111">
        <v>17</v>
      </c>
      <c r="C49" s="35">
        <v>22</v>
      </c>
      <c r="D49" s="35">
        <v>17</v>
      </c>
      <c r="E49" s="35">
        <v>5</v>
      </c>
      <c r="F49" s="36">
        <f t="shared" si="0"/>
        <v>0.77272727272727271</v>
      </c>
      <c r="G49" s="54">
        <f t="shared" si="1"/>
        <v>0.22727272727272727</v>
      </c>
      <c r="H49" s="104">
        <v>139</v>
      </c>
    </row>
    <row r="50" spans="1:8" x14ac:dyDescent="0.3">
      <c r="A50" s="122" t="s">
        <v>33</v>
      </c>
      <c r="B50" s="111">
        <v>3</v>
      </c>
      <c r="C50" s="35">
        <v>3</v>
      </c>
      <c r="D50" s="35">
        <v>2</v>
      </c>
      <c r="E50" s="35">
        <v>1</v>
      </c>
      <c r="F50" s="36">
        <f t="shared" si="0"/>
        <v>0.66666666666666663</v>
      </c>
      <c r="G50" s="54">
        <f t="shared" si="1"/>
        <v>0.33333333333333331</v>
      </c>
      <c r="H50" s="104">
        <v>49</v>
      </c>
    </row>
    <row r="51" spans="1:8" x14ac:dyDescent="0.3">
      <c r="A51" s="122" t="s">
        <v>16</v>
      </c>
      <c r="B51" s="111">
        <v>54</v>
      </c>
      <c r="C51" s="35">
        <v>48</v>
      </c>
      <c r="D51" s="35">
        <v>41</v>
      </c>
      <c r="E51" s="35">
        <v>7</v>
      </c>
      <c r="F51" s="36">
        <f t="shared" si="0"/>
        <v>0.85416666666666663</v>
      </c>
      <c r="G51" s="54">
        <f t="shared" si="1"/>
        <v>0.14583333333333334</v>
      </c>
      <c r="H51" s="104">
        <v>200</v>
      </c>
    </row>
    <row r="52" spans="1:8" x14ac:dyDescent="0.3">
      <c r="A52" s="122" t="s">
        <v>32</v>
      </c>
      <c r="B52" s="111">
        <v>9</v>
      </c>
      <c r="C52" s="35">
        <v>12</v>
      </c>
      <c r="D52" s="35">
        <v>4</v>
      </c>
      <c r="E52" s="35">
        <v>8</v>
      </c>
      <c r="F52" s="36">
        <f t="shared" si="0"/>
        <v>0.33333333333333331</v>
      </c>
      <c r="G52" s="54">
        <f t="shared" si="1"/>
        <v>0.66666666666666663</v>
      </c>
      <c r="H52" s="104">
        <v>108</v>
      </c>
    </row>
    <row r="53" spans="1:8" x14ac:dyDescent="0.3">
      <c r="A53" s="122" t="s">
        <v>31</v>
      </c>
      <c r="B53" s="111">
        <v>2</v>
      </c>
      <c r="C53" s="35">
        <v>1</v>
      </c>
      <c r="D53" s="35">
        <v>1</v>
      </c>
      <c r="E53" s="35">
        <v>0</v>
      </c>
      <c r="F53" s="36">
        <f t="shared" si="0"/>
        <v>1</v>
      </c>
      <c r="G53" s="54">
        <f t="shared" si="1"/>
        <v>0</v>
      </c>
      <c r="H53" s="104">
        <v>20</v>
      </c>
    </row>
    <row r="54" spans="1:8" x14ac:dyDescent="0.3">
      <c r="A54" s="122" t="s">
        <v>77</v>
      </c>
      <c r="B54" s="111">
        <v>2</v>
      </c>
      <c r="C54" s="35">
        <v>2</v>
      </c>
      <c r="D54" s="35">
        <v>2</v>
      </c>
      <c r="E54" s="35">
        <v>0</v>
      </c>
      <c r="F54" s="36">
        <f t="shared" si="0"/>
        <v>1</v>
      </c>
      <c r="G54" s="54">
        <f>E54/C54</f>
        <v>0</v>
      </c>
      <c r="H54" s="104">
        <v>36</v>
      </c>
    </row>
    <row r="55" spans="1:8" x14ac:dyDescent="0.3">
      <c r="A55" s="122" t="s">
        <v>30</v>
      </c>
      <c r="B55" s="111">
        <v>11</v>
      </c>
      <c r="C55" s="35">
        <v>13</v>
      </c>
      <c r="D55" s="35">
        <v>8</v>
      </c>
      <c r="E55" s="35">
        <v>5</v>
      </c>
      <c r="F55" s="36">
        <f t="shared" si="0"/>
        <v>0.61538461538461542</v>
      </c>
      <c r="G55" s="54">
        <f t="shared" si="1"/>
        <v>0.38461538461538464</v>
      </c>
      <c r="H55" s="104">
        <v>313</v>
      </c>
    </row>
    <row r="56" spans="1:8" x14ac:dyDescent="0.3">
      <c r="A56" s="122" t="s">
        <v>21</v>
      </c>
      <c r="B56" s="111">
        <v>39</v>
      </c>
      <c r="C56" s="35">
        <v>36</v>
      </c>
      <c r="D56" s="35">
        <v>22</v>
      </c>
      <c r="E56" s="35">
        <v>14</v>
      </c>
      <c r="F56" s="36">
        <f t="shared" si="0"/>
        <v>0.61111111111111116</v>
      </c>
      <c r="G56" s="54">
        <f t="shared" si="1"/>
        <v>0.3888888888888889</v>
      </c>
      <c r="H56" s="104">
        <v>484</v>
      </c>
    </row>
    <row r="57" spans="1:8" x14ac:dyDescent="0.3">
      <c r="A57" s="122" t="s">
        <v>22</v>
      </c>
      <c r="B57" s="111">
        <v>39</v>
      </c>
      <c r="C57" s="35">
        <v>37</v>
      </c>
      <c r="D57" s="35">
        <v>30</v>
      </c>
      <c r="E57" s="35">
        <v>7</v>
      </c>
      <c r="F57" s="36">
        <f t="shared" si="0"/>
        <v>0.81081081081081086</v>
      </c>
      <c r="G57" s="54">
        <f t="shared" si="1"/>
        <v>0.1891891891891892</v>
      </c>
      <c r="H57" s="104">
        <v>278</v>
      </c>
    </row>
    <row r="58" spans="1:8" x14ac:dyDescent="0.3">
      <c r="A58" s="122" t="s">
        <v>79</v>
      </c>
      <c r="B58" s="111">
        <v>5</v>
      </c>
      <c r="C58" s="35">
        <v>5</v>
      </c>
      <c r="D58" s="35">
        <v>4</v>
      </c>
      <c r="E58" s="35">
        <v>1</v>
      </c>
      <c r="F58" s="36">
        <f t="shared" si="0"/>
        <v>0.8</v>
      </c>
      <c r="G58" s="54">
        <f t="shared" si="1"/>
        <v>0.2</v>
      </c>
      <c r="H58" s="104">
        <v>47</v>
      </c>
    </row>
    <row r="59" spans="1:8" x14ac:dyDescent="0.3">
      <c r="A59" s="122" t="s">
        <v>149</v>
      </c>
      <c r="B59" s="111">
        <v>190</v>
      </c>
      <c r="C59" s="35">
        <v>196</v>
      </c>
      <c r="D59" s="35">
        <v>166</v>
      </c>
      <c r="E59" s="35">
        <v>30</v>
      </c>
      <c r="F59" s="36">
        <f t="shared" si="0"/>
        <v>0.84693877551020413</v>
      </c>
      <c r="G59" s="54">
        <f t="shared" si="1"/>
        <v>0.15306122448979592</v>
      </c>
      <c r="H59" s="104">
        <v>1015</v>
      </c>
    </row>
    <row r="60" spans="1:8" x14ac:dyDescent="0.3">
      <c r="A60" s="122" t="s">
        <v>29</v>
      </c>
      <c r="B60" s="114">
        <v>63</v>
      </c>
      <c r="C60" s="1">
        <v>68</v>
      </c>
      <c r="D60" s="1">
        <v>51</v>
      </c>
      <c r="E60" s="35">
        <v>17</v>
      </c>
      <c r="F60" s="36">
        <f t="shared" si="0"/>
        <v>0.75</v>
      </c>
      <c r="G60" s="54">
        <f t="shared" si="1"/>
        <v>0.25</v>
      </c>
      <c r="H60" s="104">
        <v>734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57</v>
      </c>
      <c r="C62" s="35">
        <v>55</v>
      </c>
      <c r="D62" s="35">
        <v>46</v>
      </c>
      <c r="E62" s="60">
        <v>9</v>
      </c>
      <c r="F62" s="36">
        <f t="shared" si="0"/>
        <v>0.83636363636363631</v>
      </c>
      <c r="G62" s="54">
        <f t="shared" si="1"/>
        <v>0.16363636363636364</v>
      </c>
      <c r="H62" s="104">
        <v>397</v>
      </c>
    </row>
    <row r="63" spans="1:8" x14ac:dyDescent="0.3">
      <c r="A63" s="122" t="s">
        <v>84</v>
      </c>
      <c r="B63" s="111">
        <v>9</v>
      </c>
      <c r="C63" s="35">
        <v>15</v>
      </c>
      <c r="D63" s="35">
        <v>11</v>
      </c>
      <c r="E63" s="60">
        <v>4</v>
      </c>
      <c r="F63" s="36">
        <f t="shared" si="0"/>
        <v>0.73333333333333328</v>
      </c>
      <c r="G63" s="54">
        <f t="shared" si="1"/>
        <v>0.26666666666666666</v>
      </c>
      <c r="H63" s="104">
        <v>28</v>
      </c>
    </row>
    <row r="64" spans="1:8" x14ac:dyDescent="0.3">
      <c r="A64" s="122" t="s">
        <v>85</v>
      </c>
      <c r="B64" s="111">
        <v>63</v>
      </c>
      <c r="C64" s="35">
        <v>62</v>
      </c>
      <c r="D64" s="35">
        <v>52</v>
      </c>
      <c r="E64" s="60">
        <v>10</v>
      </c>
      <c r="F64" s="36">
        <f t="shared" si="0"/>
        <v>0.83870967741935487</v>
      </c>
      <c r="G64" s="54">
        <f t="shared" si="1"/>
        <v>0.16129032258064516</v>
      </c>
      <c r="H64" s="104">
        <v>389</v>
      </c>
    </row>
    <row r="65" spans="1:16" x14ac:dyDescent="0.3">
      <c r="A65" s="122" t="s">
        <v>151</v>
      </c>
      <c r="B65" s="111">
        <v>9</v>
      </c>
      <c r="C65" s="35">
        <v>9</v>
      </c>
      <c r="D65" s="35">
        <v>9</v>
      </c>
      <c r="E65" s="60">
        <v>0</v>
      </c>
      <c r="F65" s="36">
        <f t="shared" si="0"/>
        <v>1</v>
      </c>
      <c r="G65" s="54">
        <f t="shared" si="1"/>
        <v>0</v>
      </c>
      <c r="H65" s="104">
        <v>20</v>
      </c>
    </row>
    <row r="66" spans="1:16" x14ac:dyDescent="0.3">
      <c r="A66" s="122" t="s">
        <v>152</v>
      </c>
      <c r="B66" s="111">
        <v>41</v>
      </c>
      <c r="C66" s="35">
        <v>44</v>
      </c>
      <c r="D66" s="35">
        <v>39</v>
      </c>
      <c r="E66" s="60">
        <v>5</v>
      </c>
      <c r="F66" s="36">
        <f t="shared" si="0"/>
        <v>0.88636363636363635</v>
      </c>
      <c r="G66" s="54">
        <f t="shared" si="1"/>
        <v>0.11363636363636363</v>
      </c>
      <c r="H66" s="104">
        <v>250</v>
      </c>
    </row>
    <row r="67" spans="1:16" x14ac:dyDescent="0.3">
      <c r="A67" s="122" t="s">
        <v>153</v>
      </c>
      <c r="B67" s="111">
        <v>25</v>
      </c>
      <c r="C67" s="35">
        <v>26</v>
      </c>
      <c r="D67" s="35">
        <v>25</v>
      </c>
      <c r="E67" s="60">
        <v>1</v>
      </c>
      <c r="F67" s="36">
        <f t="shared" si="0"/>
        <v>0.96153846153846156</v>
      </c>
      <c r="G67" s="54">
        <f t="shared" si="1"/>
        <v>3.8461538461538464E-2</v>
      </c>
      <c r="H67" s="104">
        <v>156</v>
      </c>
    </row>
    <row r="68" spans="1:16" x14ac:dyDescent="0.3">
      <c r="A68" s="122" t="s">
        <v>157</v>
      </c>
      <c r="B68" s="111">
        <v>15</v>
      </c>
      <c r="C68" s="35">
        <v>11</v>
      </c>
      <c r="D68" s="35">
        <v>9</v>
      </c>
      <c r="E68" s="60">
        <v>2</v>
      </c>
      <c r="F68" s="36">
        <f t="shared" si="0"/>
        <v>0.81818181818181823</v>
      </c>
      <c r="G68" s="54">
        <f t="shared" si="1"/>
        <v>0.18181818181818182</v>
      </c>
      <c r="H68" s="104">
        <v>116</v>
      </c>
    </row>
    <row r="69" spans="1:16" s="58" customFormat="1" x14ac:dyDescent="0.3">
      <c r="A69" s="123" t="s">
        <v>154</v>
      </c>
      <c r="B69" s="112">
        <v>0</v>
      </c>
      <c r="C69" s="56">
        <v>2</v>
      </c>
      <c r="D69" s="56">
        <v>1</v>
      </c>
      <c r="E69" s="60">
        <v>1</v>
      </c>
      <c r="F69" s="36">
        <f t="shared" si="0"/>
        <v>0.5</v>
      </c>
      <c r="G69" s="54">
        <f t="shared" si="1"/>
        <v>0.5</v>
      </c>
      <c r="H69" s="104">
        <v>1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5</v>
      </c>
      <c r="C70" s="35">
        <v>1</v>
      </c>
      <c r="D70" s="35">
        <v>0</v>
      </c>
      <c r="E70" s="60">
        <v>1</v>
      </c>
      <c r="F70" s="36">
        <f t="shared" si="0"/>
        <v>0</v>
      </c>
      <c r="G70" s="54">
        <f t="shared" si="1"/>
        <v>1</v>
      </c>
      <c r="H70" s="104">
        <v>22</v>
      </c>
    </row>
    <row r="71" spans="1:16" ht="15" thickBot="1" x14ac:dyDescent="0.35">
      <c r="A71" s="124" t="s">
        <v>155</v>
      </c>
      <c r="B71" s="110">
        <v>3</v>
      </c>
      <c r="C71" s="105">
        <v>4</v>
      </c>
      <c r="D71" s="105">
        <v>3</v>
      </c>
      <c r="E71" s="106">
        <v>1</v>
      </c>
      <c r="F71" s="107">
        <f t="shared" si="0"/>
        <v>0.75</v>
      </c>
      <c r="G71" s="108">
        <f t="shared" si="1"/>
        <v>0.25</v>
      </c>
      <c r="H71" s="109">
        <v>26</v>
      </c>
    </row>
    <row r="72" spans="1:16" ht="15" thickBot="1" x14ac:dyDescent="0.35">
      <c r="A72" s="125" t="s">
        <v>105</v>
      </c>
      <c r="B72" s="96">
        <f>SUM(B8:B71)</f>
        <v>2487</v>
      </c>
      <c r="C72" s="96">
        <f>SUM(C8:C71)</f>
        <v>2576</v>
      </c>
      <c r="D72" s="96">
        <f>SUM(D8:D71)</f>
        <v>2022</v>
      </c>
      <c r="E72" s="96">
        <f>SUM(E8:E71)</f>
        <v>554</v>
      </c>
      <c r="F72" s="98">
        <f>D72/C72</f>
        <v>0.78493788819875776</v>
      </c>
      <c r="G72" s="97">
        <f>E72/C72</f>
        <v>0.21506211180124224</v>
      </c>
      <c r="H72" s="96">
        <f>SUM(H8:H71)</f>
        <v>22449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180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9</v>
      </c>
      <c r="C8" s="99">
        <v>6</v>
      </c>
      <c r="D8" s="99">
        <v>2</v>
      </c>
      <c r="E8" s="99">
        <v>4</v>
      </c>
      <c r="F8" s="100">
        <f t="shared" ref="F8:F70" si="0">D8/C8</f>
        <v>0.33333333333333331</v>
      </c>
      <c r="G8" s="101">
        <f t="shared" ref="G8:G70" si="1">E8/C8</f>
        <v>0.66666666666666663</v>
      </c>
      <c r="H8" s="103">
        <v>326</v>
      </c>
    </row>
    <row r="9" spans="1:8" x14ac:dyDescent="0.3">
      <c r="A9" s="122" t="s">
        <v>121</v>
      </c>
      <c r="B9" s="116">
        <v>6</v>
      </c>
      <c r="C9" s="35">
        <v>5</v>
      </c>
      <c r="D9" s="35">
        <v>2</v>
      </c>
      <c r="E9" s="35">
        <v>3</v>
      </c>
      <c r="F9" s="100">
        <f t="shared" si="0"/>
        <v>0.4</v>
      </c>
      <c r="G9" s="101">
        <f t="shared" si="1"/>
        <v>0.6</v>
      </c>
      <c r="H9" s="104">
        <v>30</v>
      </c>
    </row>
    <row r="10" spans="1:8" x14ac:dyDescent="0.3">
      <c r="A10" s="122" t="s">
        <v>122</v>
      </c>
      <c r="B10" s="116">
        <v>76</v>
      </c>
      <c r="C10" s="35">
        <v>71</v>
      </c>
      <c r="D10" s="35">
        <v>41</v>
      </c>
      <c r="E10" s="35">
        <v>30</v>
      </c>
      <c r="F10" s="36">
        <f t="shared" si="0"/>
        <v>0.57746478873239437</v>
      </c>
      <c r="G10" s="54">
        <f t="shared" si="1"/>
        <v>0.42253521126760563</v>
      </c>
      <c r="H10" s="104">
        <v>551</v>
      </c>
    </row>
    <row r="11" spans="1:8" x14ac:dyDescent="0.3">
      <c r="A11" s="122" t="s">
        <v>123</v>
      </c>
      <c r="B11" s="116">
        <v>0</v>
      </c>
      <c r="C11" s="35">
        <v>1</v>
      </c>
      <c r="D11" s="35">
        <v>0</v>
      </c>
      <c r="E11" s="35">
        <v>1</v>
      </c>
      <c r="F11" s="36">
        <f t="shared" si="0"/>
        <v>0</v>
      </c>
      <c r="G11" s="54">
        <f t="shared" si="1"/>
        <v>1</v>
      </c>
      <c r="H11" s="104">
        <v>0</v>
      </c>
    </row>
    <row r="12" spans="1:8" x14ac:dyDescent="0.3">
      <c r="A12" s="122" t="s">
        <v>124</v>
      </c>
      <c r="B12" s="116">
        <v>19</v>
      </c>
      <c r="C12" s="35">
        <v>20</v>
      </c>
      <c r="D12" s="35">
        <v>8</v>
      </c>
      <c r="E12" s="35">
        <v>12</v>
      </c>
      <c r="F12" s="36">
        <f t="shared" si="0"/>
        <v>0.4</v>
      </c>
      <c r="G12" s="54">
        <f t="shared" si="1"/>
        <v>0.6</v>
      </c>
      <c r="H12" s="104">
        <v>378</v>
      </c>
    </row>
    <row r="13" spans="1:8" x14ac:dyDescent="0.3">
      <c r="A13" s="122" t="s">
        <v>125</v>
      </c>
      <c r="B13" s="111">
        <v>1</v>
      </c>
      <c r="C13" s="35">
        <v>3</v>
      </c>
      <c r="D13" s="35">
        <v>0</v>
      </c>
      <c r="E13" s="35">
        <v>3</v>
      </c>
      <c r="F13" s="36">
        <f t="shared" si="0"/>
        <v>0</v>
      </c>
      <c r="G13" s="54">
        <f t="shared" si="1"/>
        <v>1</v>
      </c>
      <c r="H13" s="104">
        <v>156</v>
      </c>
    </row>
    <row r="14" spans="1:8" x14ac:dyDescent="0.3">
      <c r="A14" s="122" t="s">
        <v>126</v>
      </c>
      <c r="B14" s="111">
        <v>2</v>
      </c>
      <c r="C14" s="35">
        <v>1</v>
      </c>
      <c r="D14" s="35">
        <v>1</v>
      </c>
      <c r="E14" s="35">
        <v>0</v>
      </c>
      <c r="F14" s="36">
        <f t="shared" si="0"/>
        <v>1</v>
      </c>
      <c r="G14" s="54">
        <f t="shared" si="1"/>
        <v>0</v>
      </c>
      <c r="H14" s="104">
        <v>46</v>
      </c>
    </row>
    <row r="15" spans="1:8" x14ac:dyDescent="0.3">
      <c r="A15" s="122" t="s">
        <v>127</v>
      </c>
      <c r="B15" s="111">
        <v>41</v>
      </c>
      <c r="C15" s="35">
        <v>44</v>
      </c>
      <c r="D15" s="35">
        <v>13</v>
      </c>
      <c r="E15" s="35">
        <v>31</v>
      </c>
      <c r="F15" s="36">
        <f t="shared" si="0"/>
        <v>0.29545454545454547</v>
      </c>
      <c r="G15" s="54">
        <f t="shared" si="1"/>
        <v>0.70454545454545459</v>
      </c>
      <c r="H15" s="104">
        <v>558</v>
      </c>
    </row>
    <row r="16" spans="1:8" x14ac:dyDescent="0.3">
      <c r="A16" s="122" t="s">
        <v>128</v>
      </c>
      <c r="B16" s="111">
        <v>76</v>
      </c>
      <c r="C16" s="57">
        <v>74</v>
      </c>
      <c r="D16" s="35">
        <v>36</v>
      </c>
      <c r="E16" s="35">
        <v>38</v>
      </c>
      <c r="F16" s="36">
        <f t="shared" si="0"/>
        <v>0.48648648648648651</v>
      </c>
      <c r="G16" s="54">
        <f t="shared" si="1"/>
        <v>0.51351351351351349</v>
      </c>
      <c r="H16" s="104">
        <v>2242</v>
      </c>
    </row>
    <row r="17" spans="1:8" x14ac:dyDescent="0.3">
      <c r="A17" s="122" t="s">
        <v>39</v>
      </c>
      <c r="B17" s="111">
        <v>51</v>
      </c>
      <c r="C17" s="57">
        <v>54</v>
      </c>
      <c r="D17" s="35">
        <v>22</v>
      </c>
      <c r="E17" s="35">
        <v>32</v>
      </c>
      <c r="F17" s="36">
        <f>D17/C17</f>
        <v>0.40740740740740738</v>
      </c>
      <c r="G17" s="54">
        <f t="shared" si="1"/>
        <v>0.59259259259259256</v>
      </c>
      <c r="H17" s="104">
        <v>991</v>
      </c>
    </row>
    <row r="18" spans="1:8" x14ac:dyDescent="0.3">
      <c r="A18" s="122" t="s">
        <v>25</v>
      </c>
      <c r="B18" s="111">
        <v>0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1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104">
        <v>8</v>
      </c>
    </row>
    <row r="21" spans="1:8" x14ac:dyDescent="0.3">
      <c r="A21" s="122" t="s">
        <v>131</v>
      </c>
      <c r="B21" s="111">
        <v>0</v>
      </c>
      <c r="C21" s="57">
        <v>0</v>
      </c>
      <c r="D21" s="35">
        <v>0</v>
      </c>
      <c r="E21" s="35">
        <v>0</v>
      </c>
      <c r="F21" s="36">
        <v>0</v>
      </c>
      <c r="G21" s="54">
        <v>0</v>
      </c>
      <c r="H21" s="104">
        <v>0</v>
      </c>
    </row>
    <row r="22" spans="1:8" x14ac:dyDescent="0.3">
      <c r="A22" s="122" t="s">
        <v>132</v>
      </c>
      <c r="B22" s="111">
        <v>0</v>
      </c>
      <c r="C22" s="57">
        <v>0</v>
      </c>
      <c r="D22" s="35">
        <v>0</v>
      </c>
      <c r="E22" s="35">
        <v>0</v>
      </c>
      <c r="F22" s="36">
        <v>0</v>
      </c>
      <c r="G22" s="54">
        <v>0</v>
      </c>
      <c r="H22" s="104">
        <v>28</v>
      </c>
    </row>
    <row r="23" spans="1:8" x14ac:dyDescent="0.3">
      <c r="A23" s="122" t="s">
        <v>133</v>
      </c>
      <c r="B23" s="116">
        <v>5</v>
      </c>
      <c r="C23" s="57">
        <v>4</v>
      </c>
      <c r="D23" s="35">
        <v>2</v>
      </c>
      <c r="E23" s="35">
        <v>2</v>
      </c>
      <c r="F23" s="36">
        <f t="shared" ref="F23:F35" si="2">D23/C23</f>
        <v>0.5</v>
      </c>
      <c r="G23" s="54">
        <f t="shared" si="1"/>
        <v>0.5</v>
      </c>
      <c r="H23" s="104">
        <v>52</v>
      </c>
    </row>
    <row r="24" spans="1:8" x14ac:dyDescent="0.3">
      <c r="A24" s="123" t="s">
        <v>134</v>
      </c>
      <c r="B24" s="111">
        <v>120</v>
      </c>
      <c r="C24" s="57">
        <v>123</v>
      </c>
      <c r="D24" s="56">
        <v>47</v>
      </c>
      <c r="E24" s="56">
        <v>76</v>
      </c>
      <c r="F24" s="36">
        <f t="shared" si="2"/>
        <v>0.38211382113821141</v>
      </c>
      <c r="G24" s="54">
        <f t="shared" si="1"/>
        <v>0.61788617886178865</v>
      </c>
      <c r="H24" s="104">
        <v>3166</v>
      </c>
    </row>
    <row r="25" spans="1:8" x14ac:dyDescent="0.3">
      <c r="A25" s="122" t="s">
        <v>135</v>
      </c>
      <c r="B25" s="111">
        <v>2</v>
      </c>
      <c r="C25" s="57">
        <v>1</v>
      </c>
      <c r="D25" s="35">
        <v>1</v>
      </c>
      <c r="E25" s="35">
        <v>0</v>
      </c>
      <c r="F25" s="36">
        <f t="shared" si="2"/>
        <v>1</v>
      </c>
      <c r="G25" s="54">
        <f t="shared" si="1"/>
        <v>0</v>
      </c>
      <c r="H25" s="104">
        <v>37</v>
      </c>
    </row>
    <row r="26" spans="1:8" x14ac:dyDescent="0.3">
      <c r="A26" s="122" t="s">
        <v>38</v>
      </c>
      <c r="B26" s="111">
        <v>3</v>
      </c>
      <c r="C26" s="57">
        <v>5</v>
      </c>
      <c r="D26" s="35">
        <v>4</v>
      </c>
      <c r="E26" s="35">
        <v>1</v>
      </c>
      <c r="F26" s="36">
        <f t="shared" si="2"/>
        <v>0.8</v>
      </c>
      <c r="G26" s="54">
        <f t="shared" si="1"/>
        <v>0.2</v>
      </c>
      <c r="H26" s="104">
        <v>0</v>
      </c>
    </row>
    <row r="27" spans="1:8" x14ac:dyDescent="0.3">
      <c r="A27" s="122" t="s">
        <v>37</v>
      </c>
      <c r="B27" s="111">
        <v>10</v>
      </c>
      <c r="C27" s="57">
        <v>7</v>
      </c>
      <c r="D27" s="35">
        <v>5</v>
      </c>
      <c r="E27" s="35">
        <v>2</v>
      </c>
      <c r="F27" s="36">
        <f t="shared" si="2"/>
        <v>0.7142857142857143</v>
      </c>
      <c r="G27" s="54">
        <f t="shared" si="1"/>
        <v>0.2857142857142857</v>
      </c>
      <c r="H27" s="104">
        <v>91</v>
      </c>
    </row>
    <row r="28" spans="1:8" x14ac:dyDescent="0.3">
      <c r="A28" s="122" t="s">
        <v>27</v>
      </c>
      <c r="B28" s="111">
        <v>8</v>
      </c>
      <c r="C28" s="35">
        <v>6</v>
      </c>
      <c r="D28" s="35">
        <v>2</v>
      </c>
      <c r="E28" s="35">
        <v>4</v>
      </c>
      <c r="F28" s="36">
        <f t="shared" si="2"/>
        <v>0.33333333333333331</v>
      </c>
      <c r="G28" s="54">
        <f t="shared" si="1"/>
        <v>0.66666666666666663</v>
      </c>
      <c r="H28" s="104">
        <v>219</v>
      </c>
    </row>
    <row r="29" spans="1:8" x14ac:dyDescent="0.3">
      <c r="A29" s="122" t="s">
        <v>62</v>
      </c>
      <c r="B29" s="111">
        <v>7</v>
      </c>
      <c r="C29" s="35">
        <v>8</v>
      </c>
      <c r="D29" s="35">
        <v>2</v>
      </c>
      <c r="E29" s="35">
        <v>6</v>
      </c>
      <c r="F29" s="36">
        <f t="shared" si="2"/>
        <v>0.25</v>
      </c>
      <c r="G29" s="54">
        <f t="shared" si="1"/>
        <v>0.75</v>
      </c>
      <c r="H29" s="104">
        <v>57</v>
      </c>
    </row>
    <row r="30" spans="1:8" x14ac:dyDescent="0.3">
      <c r="A30" s="122" t="s">
        <v>136</v>
      </c>
      <c r="B30" s="111">
        <v>20</v>
      </c>
      <c r="C30" s="35">
        <v>27</v>
      </c>
      <c r="D30" s="35">
        <v>9</v>
      </c>
      <c r="E30" s="35">
        <v>18</v>
      </c>
      <c r="F30" s="36">
        <f t="shared" si="2"/>
        <v>0.33333333333333331</v>
      </c>
      <c r="G30" s="54">
        <f t="shared" si="1"/>
        <v>0.66666666666666663</v>
      </c>
      <c r="H30" s="104">
        <v>444</v>
      </c>
    </row>
    <row r="31" spans="1:8" x14ac:dyDescent="0.3">
      <c r="A31" s="122" t="s">
        <v>17</v>
      </c>
      <c r="B31" s="111">
        <v>6</v>
      </c>
      <c r="C31" s="35">
        <v>10</v>
      </c>
      <c r="D31" s="35">
        <v>5</v>
      </c>
      <c r="E31" s="35">
        <v>5</v>
      </c>
      <c r="F31" s="36">
        <f t="shared" si="2"/>
        <v>0.5</v>
      </c>
      <c r="G31" s="54">
        <f t="shared" si="1"/>
        <v>0.5</v>
      </c>
      <c r="H31" s="104">
        <v>188</v>
      </c>
    </row>
    <row r="32" spans="1:8" x14ac:dyDescent="0.3">
      <c r="A32" s="122" t="s">
        <v>137</v>
      </c>
      <c r="B32" s="111">
        <v>5</v>
      </c>
      <c r="C32" s="35">
        <v>2</v>
      </c>
      <c r="D32" s="35">
        <v>2</v>
      </c>
      <c r="E32" s="35">
        <v>0</v>
      </c>
      <c r="F32" s="36">
        <f t="shared" si="2"/>
        <v>1</v>
      </c>
      <c r="G32" s="54">
        <f t="shared" si="1"/>
        <v>0</v>
      </c>
      <c r="H32" s="104">
        <v>15</v>
      </c>
    </row>
    <row r="33" spans="1:8" x14ac:dyDescent="0.3">
      <c r="A33" s="123" t="s">
        <v>138</v>
      </c>
      <c r="B33" s="111">
        <v>126</v>
      </c>
      <c r="C33" s="56">
        <v>123</v>
      </c>
      <c r="D33" s="56">
        <v>43</v>
      </c>
      <c r="E33" s="56">
        <v>80</v>
      </c>
      <c r="F33" s="36">
        <f t="shared" si="2"/>
        <v>0.34959349593495936</v>
      </c>
      <c r="G33" s="54">
        <f t="shared" si="1"/>
        <v>0.65040650406504064</v>
      </c>
      <c r="H33" s="104">
        <v>2102</v>
      </c>
    </row>
    <row r="34" spans="1:8" x14ac:dyDescent="0.3">
      <c r="A34" s="122" t="s">
        <v>139</v>
      </c>
      <c r="B34" s="111">
        <v>5</v>
      </c>
      <c r="C34" s="35">
        <v>7</v>
      </c>
      <c r="D34" s="35">
        <v>2</v>
      </c>
      <c r="E34" s="35">
        <v>5</v>
      </c>
      <c r="F34" s="36">
        <f t="shared" si="2"/>
        <v>0.2857142857142857</v>
      </c>
      <c r="G34" s="54">
        <f t="shared" si="1"/>
        <v>0.7142857142857143</v>
      </c>
      <c r="H34" s="104">
        <v>40</v>
      </c>
    </row>
    <row r="35" spans="1:8" x14ac:dyDescent="0.3">
      <c r="A35" s="122" t="s">
        <v>140</v>
      </c>
      <c r="B35" s="111">
        <v>95</v>
      </c>
      <c r="C35" s="35">
        <v>104</v>
      </c>
      <c r="D35" s="35">
        <v>42</v>
      </c>
      <c r="E35" s="35">
        <v>62</v>
      </c>
      <c r="F35" s="36">
        <f t="shared" si="2"/>
        <v>0.40384615384615385</v>
      </c>
      <c r="G35" s="54">
        <f t="shared" si="1"/>
        <v>0.59615384615384615</v>
      </c>
      <c r="H35" s="104">
        <v>1826</v>
      </c>
    </row>
    <row r="36" spans="1:8" x14ac:dyDescent="0.3">
      <c r="A36" s="122" t="s">
        <v>141</v>
      </c>
      <c r="B36" s="111">
        <v>15</v>
      </c>
      <c r="C36" s="35">
        <v>12</v>
      </c>
      <c r="D36" s="35">
        <v>2</v>
      </c>
      <c r="E36" s="35">
        <v>10</v>
      </c>
      <c r="F36" s="36">
        <f t="shared" si="0"/>
        <v>0.16666666666666666</v>
      </c>
      <c r="G36" s="54">
        <f t="shared" si="1"/>
        <v>0.83333333333333337</v>
      </c>
      <c r="H36" s="104">
        <v>281</v>
      </c>
    </row>
    <row r="37" spans="1:8" x14ac:dyDescent="0.3">
      <c r="A37" s="122" t="s">
        <v>142</v>
      </c>
      <c r="B37" s="111">
        <v>0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104">
        <v>0</v>
      </c>
    </row>
    <row r="38" spans="1:8" x14ac:dyDescent="0.3">
      <c r="A38" s="122" t="s">
        <v>143</v>
      </c>
      <c r="B38" s="111">
        <v>18</v>
      </c>
      <c r="C38" s="35">
        <v>14</v>
      </c>
      <c r="D38" s="35">
        <v>4</v>
      </c>
      <c r="E38" s="35">
        <v>10</v>
      </c>
      <c r="F38" s="36">
        <f t="shared" si="0"/>
        <v>0.2857142857142857</v>
      </c>
      <c r="G38" s="54">
        <f t="shared" si="1"/>
        <v>0.7142857142857143</v>
      </c>
      <c r="H38" s="104">
        <v>275</v>
      </c>
    </row>
    <row r="39" spans="1:8" x14ac:dyDescent="0.3">
      <c r="A39" s="122" t="s">
        <v>144</v>
      </c>
      <c r="B39" s="111">
        <v>33</v>
      </c>
      <c r="C39" s="35">
        <v>33</v>
      </c>
      <c r="D39" s="35">
        <v>14</v>
      </c>
      <c r="E39" s="35">
        <v>19</v>
      </c>
      <c r="F39" s="36">
        <f t="shared" si="0"/>
        <v>0.42424242424242425</v>
      </c>
      <c r="G39" s="54">
        <f t="shared" si="1"/>
        <v>0.5757575757575758</v>
      </c>
      <c r="H39" s="104">
        <v>151</v>
      </c>
    </row>
    <row r="40" spans="1:8" x14ac:dyDescent="0.3">
      <c r="A40" s="122" t="s">
        <v>145</v>
      </c>
      <c r="B40" s="111">
        <v>5</v>
      </c>
      <c r="C40" s="35">
        <v>2</v>
      </c>
      <c r="D40" s="35">
        <v>1</v>
      </c>
      <c r="E40" s="35">
        <v>1</v>
      </c>
      <c r="F40" s="36">
        <f t="shared" si="0"/>
        <v>0.5</v>
      </c>
      <c r="G40" s="54">
        <f t="shared" si="1"/>
        <v>0.5</v>
      </c>
      <c r="H40" s="104">
        <v>85</v>
      </c>
    </row>
    <row r="41" spans="1:8" x14ac:dyDescent="0.3">
      <c r="A41" s="122" t="s">
        <v>146</v>
      </c>
      <c r="B41" s="111">
        <v>4</v>
      </c>
      <c r="C41" s="35">
        <v>5</v>
      </c>
      <c r="D41" s="35">
        <v>1</v>
      </c>
      <c r="E41" s="35">
        <v>4</v>
      </c>
      <c r="F41" s="36">
        <f t="shared" si="0"/>
        <v>0.2</v>
      </c>
      <c r="G41" s="54">
        <f t="shared" si="1"/>
        <v>0.8</v>
      </c>
      <c r="H41" s="104">
        <v>122</v>
      </c>
    </row>
    <row r="42" spans="1:8" x14ac:dyDescent="0.3">
      <c r="A42" s="122" t="s">
        <v>147</v>
      </c>
      <c r="B42" s="111">
        <v>21</v>
      </c>
      <c r="C42" s="35">
        <v>21</v>
      </c>
      <c r="D42" s="35">
        <v>10</v>
      </c>
      <c r="E42" s="35">
        <v>11</v>
      </c>
      <c r="F42" s="36">
        <f t="shared" si="0"/>
        <v>0.47619047619047616</v>
      </c>
      <c r="G42" s="54">
        <f t="shared" si="1"/>
        <v>0.52380952380952384</v>
      </c>
      <c r="H42" s="104">
        <v>461</v>
      </c>
    </row>
    <row r="43" spans="1:8" x14ac:dyDescent="0.3">
      <c r="A43" s="123" t="s">
        <v>148</v>
      </c>
      <c r="B43" s="111">
        <v>82</v>
      </c>
      <c r="C43" s="56">
        <v>91</v>
      </c>
      <c r="D43" s="56">
        <v>37</v>
      </c>
      <c r="E43" s="56">
        <v>54</v>
      </c>
      <c r="F43" s="36">
        <f t="shared" si="0"/>
        <v>0.40659340659340659</v>
      </c>
      <c r="G43" s="54">
        <f t="shared" si="1"/>
        <v>0.59340659340659341</v>
      </c>
      <c r="H43" s="104">
        <v>1477</v>
      </c>
    </row>
    <row r="44" spans="1:8" x14ac:dyDescent="0.3">
      <c r="A44" s="122" t="s">
        <v>36</v>
      </c>
      <c r="B44" s="111">
        <v>63</v>
      </c>
      <c r="C44" s="35">
        <v>56</v>
      </c>
      <c r="D44" s="35">
        <v>23</v>
      </c>
      <c r="E44" s="35">
        <v>33</v>
      </c>
      <c r="F44" s="36">
        <f t="shared" si="0"/>
        <v>0.4107142857142857</v>
      </c>
      <c r="G44" s="54">
        <f t="shared" si="1"/>
        <v>0.5892857142857143</v>
      </c>
      <c r="H44" s="104">
        <v>1122</v>
      </c>
    </row>
    <row r="45" spans="1:8" x14ac:dyDescent="0.3">
      <c r="A45" s="122" t="s">
        <v>15</v>
      </c>
      <c r="B45" s="111">
        <v>2</v>
      </c>
      <c r="C45" s="35">
        <v>4</v>
      </c>
      <c r="D45" s="35">
        <v>2</v>
      </c>
      <c r="E45" s="35">
        <v>2</v>
      </c>
      <c r="F45" s="36">
        <f t="shared" si="0"/>
        <v>0.5</v>
      </c>
      <c r="G45" s="54">
        <f t="shared" si="1"/>
        <v>0.5</v>
      </c>
      <c r="H45" s="104">
        <v>41</v>
      </c>
    </row>
    <row r="46" spans="1:8" x14ac:dyDescent="0.3">
      <c r="A46" s="122" t="s">
        <v>18</v>
      </c>
      <c r="B46" s="111">
        <v>10</v>
      </c>
      <c r="C46" s="35">
        <v>11</v>
      </c>
      <c r="D46" s="35">
        <v>5</v>
      </c>
      <c r="E46" s="35">
        <v>6</v>
      </c>
      <c r="F46" s="36">
        <f t="shared" si="0"/>
        <v>0.45454545454545453</v>
      </c>
      <c r="G46" s="54">
        <f t="shared" si="1"/>
        <v>0.54545454545454541</v>
      </c>
      <c r="H46" s="104">
        <v>291</v>
      </c>
    </row>
    <row r="47" spans="1:8" x14ac:dyDescent="0.3">
      <c r="A47" s="122" t="s">
        <v>35</v>
      </c>
      <c r="B47" s="111">
        <v>112</v>
      </c>
      <c r="C47" s="35">
        <v>116</v>
      </c>
      <c r="D47" s="35">
        <v>61</v>
      </c>
      <c r="E47" s="35">
        <v>55</v>
      </c>
      <c r="F47" s="36">
        <f t="shared" si="0"/>
        <v>0.52586206896551724</v>
      </c>
      <c r="G47" s="54">
        <f t="shared" si="1"/>
        <v>0.47413793103448276</v>
      </c>
      <c r="H47" s="104">
        <v>1368</v>
      </c>
    </row>
    <row r="48" spans="1:8" x14ac:dyDescent="0.3">
      <c r="A48" s="122" t="s">
        <v>24</v>
      </c>
      <c r="B48" s="111">
        <v>0</v>
      </c>
      <c r="C48" s="35">
        <v>0</v>
      </c>
      <c r="D48" s="35">
        <v>0</v>
      </c>
      <c r="E48" s="35">
        <v>0</v>
      </c>
      <c r="F48" s="36">
        <v>0</v>
      </c>
      <c r="G48" s="54">
        <v>0</v>
      </c>
      <c r="H48" s="104">
        <v>0</v>
      </c>
    </row>
    <row r="49" spans="1:8" x14ac:dyDescent="0.3">
      <c r="A49" s="122" t="s">
        <v>34</v>
      </c>
      <c r="B49" s="111">
        <v>5</v>
      </c>
      <c r="C49" s="35">
        <v>8</v>
      </c>
      <c r="D49" s="35">
        <v>2</v>
      </c>
      <c r="E49" s="35">
        <v>6</v>
      </c>
      <c r="F49" s="36">
        <f t="shared" si="0"/>
        <v>0.25</v>
      </c>
      <c r="G49" s="54">
        <f t="shared" si="1"/>
        <v>0.75</v>
      </c>
      <c r="H49" s="104">
        <v>164</v>
      </c>
    </row>
    <row r="50" spans="1:8" x14ac:dyDescent="0.3">
      <c r="A50" s="122" t="s">
        <v>33</v>
      </c>
      <c r="B50" s="111">
        <v>0</v>
      </c>
      <c r="C50" s="35">
        <v>0</v>
      </c>
      <c r="D50" s="35">
        <v>0</v>
      </c>
      <c r="E50" s="35">
        <v>0</v>
      </c>
      <c r="F50" s="36">
        <v>0</v>
      </c>
      <c r="G50" s="54">
        <v>0</v>
      </c>
      <c r="H50" s="104">
        <v>51</v>
      </c>
    </row>
    <row r="51" spans="1:8" x14ac:dyDescent="0.3">
      <c r="A51" s="122" t="s">
        <v>16</v>
      </c>
      <c r="B51" s="111">
        <v>27</v>
      </c>
      <c r="C51" s="35">
        <v>33</v>
      </c>
      <c r="D51" s="35">
        <v>9</v>
      </c>
      <c r="E51" s="35">
        <v>24</v>
      </c>
      <c r="F51" s="36">
        <f t="shared" si="0"/>
        <v>0.27272727272727271</v>
      </c>
      <c r="G51" s="54">
        <f t="shared" si="1"/>
        <v>0.72727272727272729</v>
      </c>
      <c r="H51" s="104">
        <v>260</v>
      </c>
    </row>
    <row r="52" spans="1:8" x14ac:dyDescent="0.3">
      <c r="A52" s="122" t="s">
        <v>32</v>
      </c>
      <c r="B52" s="111">
        <v>14</v>
      </c>
      <c r="C52" s="35">
        <v>15</v>
      </c>
      <c r="D52" s="35">
        <v>4</v>
      </c>
      <c r="E52" s="35">
        <v>11</v>
      </c>
      <c r="F52" s="36">
        <f t="shared" si="0"/>
        <v>0.26666666666666666</v>
      </c>
      <c r="G52" s="54">
        <f t="shared" si="1"/>
        <v>0.73333333333333328</v>
      </c>
      <c r="H52" s="104">
        <v>110</v>
      </c>
    </row>
    <row r="53" spans="1:8" x14ac:dyDescent="0.3">
      <c r="A53" s="122" t="s">
        <v>31</v>
      </c>
      <c r="B53" s="111">
        <v>1</v>
      </c>
      <c r="C53" s="35">
        <v>1</v>
      </c>
      <c r="D53" s="35">
        <v>1</v>
      </c>
      <c r="E53" s="35">
        <v>0</v>
      </c>
      <c r="F53" s="36">
        <f t="shared" si="0"/>
        <v>1</v>
      </c>
      <c r="G53" s="54">
        <f t="shared" si="1"/>
        <v>0</v>
      </c>
      <c r="H53" s="104">
        <v>22</v>
      </c>
    </row>
    <row r="54" spans="1:8" x14ac:dyDescent="0.3">
      <c r="A54" s="122" t="s">
        <v>77</v>
      </c>
      <c r="B54" s="111">
        <v>3</v>
      </c>
      <c r="C54" s="35">
        <v>3</v>
      </c>
      <c r="D54" s="35">
        <v>1</v>
      </c>
      <c r="E54" s="35">
        <v>2</v>
      </c>
      <c r="F54" s="36">
        <f t="shared" si="0"/>
        <v>0.33333333333333331</v>
      </c>
      <c r="G54" s="54">
        <f>E54/C54</f>
        <v>0.66666666666666663</v>
      </c>
      <c r="H54" s="104">
        <v>36</v>
      </c>
    </row>
    <row r="55" spans="1:8" x14ac:dyDescent="0.3">
      <c r="A55" s="122" t="s">
        <v>30</v>
      </c>
      <c r="B55" s="111">
        <v>11</v>
      </c>
      <c r="C55" s="35">
        <v>9</v>
      </c>
      <c r="D55" s="35">
        <v>0</v>
      </c>
      <c r="E55" s="35">
        <v>9</v>
      </c>
      <c r="F55" s="36">
        <f>D55/C55</f>
        <v>0</v>
      </c>
      <c r="G55" s="54">
        <f t="shared" si="1"/>
        <v>1</v>
      </c>
      <c r="H55" s="104">
        <v>322</v>
      </c>
    </row>
    <row r="56" spans="1:8" x14ac:dyDescent="0.3">
      <c r="A56" s="122" t="s">
        <v>21</v>
      </c>
      <c r="B56" s="111">
        <v>23</v>
      </c>
      <c r="C56" s="35">
        <v>22</v>
      </c>
      <c r="D56" s="35">
        <v>10</v>
      </c>
      <c r="E56" s="35">
        <v>12</v>
      </c>
      <c r="F56" s="36">
        <f t="shared" si="0"/>
        <v>0.45454545454545453</v>
      </c>
      <c r="G56" s="54">
        <f t="shared" si="1"/>
        <v>0.54545454545454541</v>
      </c>
      <c r="H56" s="104">
        <v>493</v>
      </c>
    </row>
    <row r="57" spans="1:8" x14ac:dyDescent="0.3">
      <c r="A57" s="122" t="s">
        <v>22</v>
      </c>
      <c r="B57" s="111">
        <v>16</v>
      </c>
      <c r="C57" s="35">
        <v>19</v>
      </c>
      <c r="D57" s="35">
        <v>8</v>
      </c>
      <c r="E57" s="35">
        <v>11</v>
      </c>
      <c r="F57" s="36">
        <f t="shared" si="0"/>
        <v>0.42105263157894735</v>
      </c>
      <c r="G57" s="54">
        <f t="shared" si="1"/>
        <v>0.57894736842105265</v>
      </c>
      <c r="H57" s="104">
        <v>311</v>
      </c>
    </row>
    <row r="58" spans="1:8" x14ac:dyDescent="0.3">
      <c r="A58" s="122" t="s">
        <v>79</v>
      </c>
      <c r="B58" s="111">
        <v>7</v>
      </c>
      <c r="C58" s="35">
        <v>6</v>
      </c>
      <c r="D58" s="35">
        <v>1</v>
      </c>
      <c r="E58" s="35">
        <v>5</v>
      </c>
      <c r="F58" s="36">
        <f t="shared" si="0"/>
        <v>0.16666666666666666</v>
      </c>
      <c r="G58" s="54">
        <f t="shared" si="1"/>
        <v>0.83333333333333337</v>
      </c>
      <c r="H58" s="104">
        <v>46</v>
      </c>
    </row>
    <row r="59" spans="1:8" x14ac:dyDescent="0.3">
      <c r="A59" s="122" t="s">
        <v>149</v>
      </c>
      <c r="B59" s="111">
        <v>66</v>
      </c>
      <c r="C59" s="35">
        <v>65</v>
      </c>
      <c r="D59" s="35">
        <v>21</v>
      </c>
      <c r="E59" s="35">
        <v>44</v>
      </c>
      <c r="F59" s="36">
        <f t="shared" si="0"/>
        <v>0.32307692307692309</v>
      </c>
      <c r="G59" s="54">
        <f t="shared" si="1"/>
        <v>0.67692307692307696</v>
      </c>
      <c r="H59" s="104">
        <v>1121</v>
      </c>
    </row>
    <row r="60" spans="1:8" x14ac:dyDescent="0.3">
      <c r="A60" s="122" t="s">
        <v>29</v>
      </c>
      <c r="B60" s="114">
        <v>34</v>
      </c>
      <c r="C60" s="1">
        <v>32</v>
      </c>
      <c r="D60" s="1">
        <v>10</v>
      </c>
      <c r="E60" s="35">
        <v>22</v>
      </c>
      <c r="F60" s="36">
        <f t="shared" si="0"/>
        <v>0.3125</v>
      </c>
      <c r="G60" s="54">
        <f t="shared" si="1"/>
        <v>0.6875</v>
      </c>
      <c r="H60" s="104">
        <v>787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14</v>
      </c>
      <c r="C62" s="35">
        <v>20</v>
      </c>
      <c r="D62" s="35">
        <v>5</v>
      </c>
      <c r="E62" s="60">
        <v>15</v>
      </c>
      <c r="F62" s="36">
        <f t="shared" si="0"/>
        <v>0.25</v>
      </c>
      <c r="G62" s="54">
        <f t="shared" si="1"/>
        <v>0.75</v>
      </c>
      <c r="H62" s="104">
        <v>429</v>
      </c>
    </row>
    <row r="63" spans="1:8" x14ac:dyDescent="0.3">
      <c r="A63" s="122" t="s">
        <v>84</v>
      </c>
      <c r="B63" s="111">
        <v>5</v>
      </c>
      <c r="C63" s="35">
        <v>3</v>
      </c>
      <c r="D63" s="35">
        <v>0</v>
      </c>
      <c r="E63" s="60">
        <v>3</v>
      </c>
      <c r="F63" s="36">
        <f t="shared" si="0"/>
        <v>0</v>
      </c>
      <c r="G63" s="54">
        <f t="shared" si="1"/>
        <v>1</v>
      </c>
      <c r="H63" s="104">
        <v>30</v>
      </c>
    </row>
    <row r="64" spans="1:8" x14ac:dyDescent="0.3">
      <c r="A64" s="122" t="s">
        <v>85</v>
      </c>
      <c r="B64" s="111">
        <v>17</v>
      </c>
      <c r="C64" s="35">
        <v>21</v>
      </c>
      <c r="D64" s="35">
        <v>8</v>
      </c>
      <c r="E64" s="60">
        <v>13</v>
      </c>
      <c r="F64" s="36">
        <f t="shared" si="0"/>
        <v>0.38095238095238093</v>
      </c>
      <c r="G64" s="54">
        <f t="shared" si="1"/>
        <v>0.61904761904761907</v>
      </c>
      <c r="H64" s="104">
        <v>417</v>
      </c>
    </row>
    <row r="65" spans="1:16" x14ac:dyDescent="0.3">
      <c r="A65" s="122" t="s">
        <v>151</v>
      </c>
      <c r="B65" s="111">
        <v>4</v>
      </c>
      <c r="C65" s="35">
        <v>4</v>
      </c>
      <c r="D65" s="35">
        <v>3</v>
      </c>
      <c r="E65" s="60">
        <v>1</v>
      </c>
      <c r="F65" s="36">
        <f t="shared" si="0"/>
        <v>0.75</v>
      </c>
      <c r="G65" s="54">
        <f t="shared" si="1"/>
        <v>0.25</v>
      </c>
      <c r="H65" s="104">
        <v>25</v>
      </c>
    </row>
    <row r="66" spans="1:16" x14ac:dyDescent="0.3">
      <c r="A66" s="122" t="s">
        <v>152</v>
      </c>
      <c r="B66" s="111">
        <v>8</v>
      </c>
      <c r="C66" s="35">
        <v>7</v>
      </c>
      <c r="D66" s="35">
        <v>3</v>
      </c>
      <c r="E66" s="60">
        <v>4</v>
      </c>
      <c r="F66" s="36">
        <f t="shared" si="0"/>
        <v>0.42857142857142855</v>
      </c>
      <c r="G66" s="54">
        <f t="shared" si="1"/>
        <v>0.5714285714285714</v>
      </c>
      <c r="H66" s="104">
        <v>264</v>
      </c>
    </row>
    <row r="67" spans="1:16" x14ac:dyDescent="0.3">
      <c r="A67" s="122" t="s">
        <v>153</v>
      </c>
      <c r="B67" s="111">
        <v>7</v>
      </c>
      <c r="C67" s="35">
        <v>6</v>
      </c>
      <c r="D67" s="35">
        <v>3</v>
      </c>
      <c r="E67" s="60">
        <v>3</v>
      </c>
      <c r="F67" s="36">
        <f t="shared" si="0"/>
        <v>0.5</v>
      </c>
      <c r="G67" s="54">
        <f t="shared" si="1"/>
        <v>0.5</v>
      </c>
      <c r="H67" s="104">
        <v>164</v>
      </c>
    </row>
    <row r="68" spans="1:16" x14ac:dyDescent="0.3">
      <c r="A68" s="122" t="s">
        <v>157</v>
      </c>
      <c r="B68" s="111">
        <v>7</v>
      </c>
      <c r="C68" s="35">
        <v>12</v>
      </c>
      <c r="D68" s="35">
        <v>3</v>
      </c>
      <c r="E68" s="60">
        <v>9</v>
      </c>
      <c r="F68" s="36">
        <f t="shared" si="0"/>
        <v>0.25</v>
      </c>
      <c r="G68" s="54">
        <f t="shared" si="1"/>
        <v>0.75</v>
      </c>
      <c r="H68" s="104">
        <v>122</v>
      </c>
    </row>
    <row r="69" spans="1:16" s="58" customFormat="1" x14ac:dyDescent="0.3">
      <c r="A69" s="123" t="s">
        <v>154</v>
      </c>
      <c r="B69" s="112">
        <v>2</v>
      </c>
      <c r="C69" s="56">
        <v>1</v>
      </c>
      <c r="D69" s="56">
        <v>0</v>
      </c>
      <c r="E69" s="60">
        <v>1</v>
      </c>
      <c r="F69" s="36">
        <f t="shared" si="0"/>
        <v>0</v>
      </c>
      <c r="G69" s="54">
        <f t="shared" si="1"/>
        <v>1</v>
      </c>
      <c r="H69" s="104">
        <v>4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6</v>
      </c>
      <c r="C70" s="35">
        <v>9</v>
      </c>
      <c r="D70" s="35">
        <v>4</v>
      </c>
      <c r="E70" s="60">
        <v>5</v>
      </c>
      <c r="F70" s="36">
        <f t="shared" si="0"/>
        <v>0.44444444444444442</v>
      </c>
      <c r="G70" s="54">
        <f t="shared" si="1"/>
        <v>0.55555555555555558</v>
      </c>
      <c r="H70" s="104">
        <v>26</v>
      </c>
    </row>
    <row r="71" spans="1:16" ht="15" thickBot="1" x14ac:dyDescent="0.35">
      <c r="A71" s="124" t="s">
        <v>155</v>
      </c>
      <c r="B71" s="110">
        <v>2</v>
      </c>
      <c r="C71" s="105">
        <v>0</v>
      </c>
      <c r="D71" s="105">
        <v>0</v>
      </c>
      <c r="E71" s="106">
        <v>0</v>
      </c>
      <c r="F71" s="107">
        <v>0</v>
      </c>
      <c r="G71" s="108">
        <v>0</v>
      </c>
      <c r="H71" s="109">
        <v>27</v>
      </c>
    </row>
    <row r="72" spans="1:16" ht="15" thickBot="1" x14ac:dyDescent="0.35">
      <c r="A72" s="125" t="s">
        <v>105</v>
      </c>
      <c r="B72" s="96">
        <f>SUM(B8:B71)</f>
        <v>1339</v>
      </c>
      <c r="C72" s="96">
        <f>SUM(C8:C71)</f>
        <v>1367</v>
      </c>
      <c r="D72" s="96">
        <f>SUM(D8:D71)</f>
        <v>547</v>
      </c>
      <c r="E72" s="96">
        <f>SUM(E8:E71)</f>
        <v>820</v>
      </c>
      <c r="F72" s="98">
        <f>D72/C72</f>
        <v>0.40014630577907828</v>
      </c>
      <c r="G72" s="97">
        <f>E72/C72</f>
        <v>0.59985369422092172</v>
      </c>
      <c r="H72" s="96">
        <f>SUM(H8:H71)</f>
        <v>24457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2:P80"/>
  <sheetViews>
    <sheetView zoomScaleNormal="100" workbookViewId="0">
      <selection activeCell="H7" sqref="H7:H7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75" t="s">
        <v>181</v>
      </c>
      <c r="D3" s="176"/>
      <c r="E3" s="176"/>
      <c r="F3" s="176"/>
      <c r="G3" s="177"/>
    </row>
    <row r="4" spans="1:8" ht="15" thickBot="1" x14ac:dyDescent="0.35">
      <c r="C4" s="178"/>
      <c r="D4" s="179"/>
      <c r="E4" s="179"/>
      <c r="F4" s="179"/>
      <c r="G4" s="180"/>
    </row>
    <row r="6" spans="1:8" ht="15" thickBot="1" x14ac:dyDescent="0.35"/>
    <row r="7" spans="1:8" ht="16.8" thickBot="1" x14ac:dyDescent="0.35">
      <c r="A7" s="102" t="s">
        <v>110</v>
      </c>
      <c r="B7" s="102" t="s">
        <v>111</v>
      </c>
      <c r="C7" s="102" t="s">
        <v>112</v>
      </c>
      <c r="D7" s="102" t="s">
        <v>113</v>
      </c>
      <c r="E7" s="102" t="s">
        <v>106</v>
      </c>
      <c r="F7" s="102" t="s">
        <v>107</v>
      </c>
      <c r="G7" s="102" t="s">
        <v>108</v>
      </c>
      <c r="H7" s="102" t="s">
        <v>119</v>
      </c>
    </row>
    <row r="8" spans="1:8" x14ac:dyDescent="0.3">
      <c r="A8" s="121" t="s">
        <v>120</v>
      </c>
      <c r="B8" s="115">
        <v>13</v>
      </c>
      <c r="C8" s="99">
        <v>13</v>
      </c>
      <c r="D8" s="99">
        <v>6</v>
      </c>
      <c r="E8" s="99">
        <v>7</v>
      </c>
      <c r="F8" s="100">
        <f t="shared" ref="F8:F71" si="0">D8/C8</f>
        <v>0.46153846153846156</v>
      </c>
      <c r="G8" s="101">
        <f t="shared" ref="G8:G71" si="1">E8/C8</f>
        <v>0.53846153846153844</v>
      </c>
      <c r="H8" s="103">
        <v>340</v>
      </c>
    </row>
    <row r="9" spans="1:8" x14ac:dyDescent="0.3">
      <c r="A9" s="122" t="s">
        <v>121</v>
      </c>
      <c r="B9" s="116">
        <v>6</v>
      </c>
      <c r="C9" s="35">
        <v>3</v>
      </c>
      <c r="D9" s="35">
        <v>3</v>
      </c>
      <c r="E9" s="35">
        <v>0</v>
      </c>
      <c r="F9" s="100">
        <f t="shared" si="0"/>
        <v>1</v>
      </c>
      <c r="G9" s="101">
        <f t="shared" si="1"/>
        <v>0</v>
      </c>
      <c r="H9" s="104">
        <v>28</v>
      </c>
    </row>
    <row r="10" spans="1:8" x14ac:dyDescent="0.3">
      <c r="A10" s="122" t="s">
        <v>122</v>
      </c>
      <c r="B10" s="116">
        <v>21</v>
      </c>
      <c r="C10" s="35">
        <v>21</v>
      </c>
      <c r="D10" s="35">
        <v>8</v>
      </c>
      <c r="E10" s="35">
        <v>13</v>
      </c>
      <c r="F10" s="36">
        <f t="shared" si="0"/>
        <v>0.38095238095238093</v>
      </c>
      <c r="G10" s="54">
        <f t="shared" si="1"/>
        <v>0.61904761904761907</v>
      </c>
      <c r="H10" s="104">
        <v>535</v>
      </c>
    </row>
    <row r="11" spans="1:8" x14ac:dyDescent="0.3">
      <c r="A11" s="122" t="s">
        <v>123</v>
      </c>
      <c r="B11" s="116">
        <v>2</v>
      </c>
      <c r="C11" s="35">
        <v>2</v>
      </c>
      <c r="D11" s="35">
        <v>1</v>
      </c>
      <c r="E11" s="35">
        <v>1</v>
      </c>
      <c r="F11" s="36">
        <f t="shared" si="0"/>
        <v>0.5</v>
      </c>
      <c r="G11" s="54">
        <f t="shared" si="1"/>
        <v>0.5</v>
      </c>
      <c r="H11" s="104">
        <v>0</v>
      </c>
    </row>
    <row r="12" spans="1:8" x14ac:dyDescent="0.3">
      <c r="A12" s="122" t="s">
        <v>124</v>
      </c>
      <c r="B12" s="116">
        <v>25</v>
      </c>
      <c r="C12" s="35">
        <v>22</v>
      </c>
      <c r="D12" s="35">
        <v>9</v>
      </c>
      <c r="E12" s="35">
        <v>13</v>
      </c>
      <c r="F12" s="36">
        <f t="shared" si="0"/>
        <v>0.40909090909090912</v>
      </c>
      <c r="G12" s="54">
        <f t="shared" si="1"/>
        <v>0.59090909090909094</v>
      </c>
      <c r="H12" s="104">
        <v>377</v>
      </c>
    </row>
    <row r="13" spans="1:8" x14ac:dyDescent="0.3">
      <c r="A13" s="122" t="s">
        <v>125</v>
      </c>
      <c r="B13" s="111">
        <v>3</v>
      </c>
      <c r="C13" s="35">
        <v>2</v>
      </c>
      <c r="D13" s="35">
        <v>2</v>
      </c>
      <c r="E13" s="35">
        <v>0</v>
      </c>
      <c r="F13" s="36">
        <f t="shared" si="0"/>
        <v>1</v>
      </c>
      <c r="G13" s="54">
        <f t="shared" si="1"/>
        <v>0</v>
      </c>
      <c r="H13" s="104">
        <v>152</v>
      </c>
    </row>
    <row r="14" spans="1:8" x14ac:dyDescent="0.3">
      <c r="A14" s="122" t="s">
        <v>126</v>
      </c>
      <c r="B14" s="111">
        <v>6</v>
      </c>
      <c r="C14" s="35">
        <v>2</v>
      </c>
      <c r="D14" s="35">
        <v>1</v>
      </c>
      <c r="E14" s="35">
        <v>1</v>
      </c>
      <c r="F14" s="36">
        <f t="shared" si="0"/>
        <v>0.5</v>
      </c>
      <c r="G14" s="54">
        <f t="shared" si="1"/>
        <v>0.5</v>
      </c>
      <c r="H14" s="104">
        <v>44</v>
      </c>
    </row>
    <row r="15" spans="1:8" x14ac:dyDescent="0.3">
      <c r="A15" s="122" t="s">
        <v>127</v>
      </c>
      <c r="B15" s="111">
        <v>37</v>
      </c>
      <c r="C15" s="35">
        <v>32</v>
      </c>
      <c r="D15" s="35">
        <v>18</v>
      </c>
      <c r="E15" s="35">
        <v>14</v>
      </c>
      <c r="F15" s="36">
        <f t="shared" si="0"/>
        <v>0.5625</v>
      </c>
      <c r="G15" s="54">
        <f t="shared" si="1"/>
        <v>0.4375</v>
      </c>
      <c r="H15" s="104">
        <v>562</v>
      </c>
    </row>
    <row r="16" spans="1:8" x14ac:dyDescent="0.3">
      <c r="A16" s="122" t="s">
        <v>128</v>
      </c>
      <c r="B16" s="111">
        <v>66</v>
      </c>
      <c r="C16" s="57">
        <v>55</v>
      </c>
      <c r="D16" s="35">
        <v>19</v>
      </c>
      <c r="E16" s="35">
        <v>36</v>
      </c>
      <c r="F16" s="36">
        <f t="shared" si="0"/>
        <v>0.34545454545454546</v>
      </c>
      <c r="G16" s="54">
        <f t="shared" si="1"/>
        <v>0.65454545454545454</v>
      </c>
      <c r="H16" s="104">
        <v>2228</v>
      </c>
    </row>
    <row r="17" spans="1:8" x14ac:dyDescent="0.3">
      <c r="A17" s="122" t="s">
        <v>39</v>
      </c>
      <c r="B17" s="111">
        <v>30</v>
      </c>
      <c r="C17" s="57">
        <v>33</v>
      </c>
      <c r="D17" s="35">
        <v>16</v>
      </c>
      <c r="E17" s="35">
        <v>17</v>
      </c>
      <c r="F17" s="36">
        <f>D17/C17</f>
        <v>0.48484848484848486</v>
      </c>
      <c r="G17" s="54">
        <f t="shared" si="1"/>
        <v>0.51515151515151514</v>
      </c>
      <c r="H17" s="104">
        <v>985</v>
      </c>
    </row>
    <row r="18" spans="1:8" x14ac:dyDescent="0.3">
      <c r="A18" s="122" t="s">
        <v>25</v>
      </c>
      <c r="B18" s="111">
        <v>0</v>
      </c>
      <c r="C18" s="57">
        <v>0</v>
      </c>
      <c r="D18" s="35">
        <v>0</v>
      </c>
      <c r="E18" s="35">
        <v>0</v>
      </c>
      <c r="F18" s="36">
        <v>0</v>
      </c>
      <c r="G18" s="54">
        <v>0</v>
      </c>
      <c r="H18" s="104">
        <v>0</v>
      </c>
    </row>
    <row r="19" spans="1:8" x14ac:dyDescent="0.3">
      <c r="A19" s="122" t="s">
        <v>129</v>
      </c>
      <c r="B19" s="111">
        <v>0</v>
      </c>
      <c r="C19" s="57">
        <v>1</v>
      </c>
      <c r="D19" s="35">
        <v>0</v>
      </c>
      <c r="E19" s="35">
        <v>1</v>
      </c>
      <c r="F19" s="36">
        <f t="shared" ref="F19:F22" si="2">D19/C19</f>
        <v>0</v>
      </c>
      <c r="G19" s="54">
        <f t="shared" si="1"/>
        <v>1</v>
      </c>
      <c r="H19" s="104">
        <v>0</v>
      </c>
    </row>
    <row r="20" spans="1:8" x14ac:dyDescent="0.3">
      <c r="A20" s="122" t="s">
        <v>130</v>
      </c>
      <c r="B20" s="111">
        <v>1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104">
        <v>8</v>
      </c>
    </row>
    <row r="21" spans="1:8" x14ac:dyDescent="0.3">
      <c r="A21" s="122" t="s">
        <v>131</v>
      </c>
      <c r="B21" s="111">
        <v>2</v>
      </c>
      <c r="C21" s="57">
        <v>1</v>
      </c>
      <c r="D21" s="35">
        <v>0</v>
      </c>
      <c r="E21" s="35">
        <v>1</v>
      </c>
      <c r="F21" s="36">
        <f t="shared" si="2"/>
        <v>0</v>
      </c>
      <c r="G21" s="54">
        <f t="shared" si="1"/>
        <v>1</v>
      </c>
      <c r="H21" s="104">
        <v>0</v>
      </c>
    </row>
    <row r="22" spans="1:8" x14ac:dyDescent="0.3">
      <c r="A22" s="122" t="s">
        <v>132</v>
      </c>
      <c r="B22" s="111">
        <v>3</v>
      </c>
      <c r="C22" s="57">
        <v>4</v>
      </c>
      <c r="D22" s="35">
        <v>1</v>
      </c>
      <c r="E22" s="35">
        <v>3</v>
      </c>
      <c r="F22" s="36">
        <f t="shared" si="2"/>
        <v>0.25</v>
      </c>
      <c r="G22" s="54">
        <f t="shared" si="1"/>
        <v>0.75</v>
      </c>
      <c r="H22" s="104">
        <v>27</v>
      </c>
    </row>
    <row r="23" spans="1:8" x14ac:dyDescent="0.3">
      <c r="A23" s="122" t="s">
        <v>133</v>
      </c>
      <c r="B23" s="116">
        <v>2</v>
      </c>
      <c r="C23" s="57">
        <v>3</v>
      </c>
      <c r="D23" s="35">
        <v>1</v>
      </c>
      <c r="E23" s="35">
        <v>2</v>
      </c>
      <c r="F23" s="36">
        <f t="shared" ref="F23:F35" si="3">D23/C23</f>
        <v>0.33333333333333331</v>
      </c>
      <c r="G23" s="54">
        <f t="shared" si="1"/>
        <v>0.66666666666666663</v>
      </c>
      <c r="H23" s="104">
        <v>54</v>
      </c>
    </row>
    <row r="24" spans="1:8" x14ac:dyDescent="0.3">
      <c r="A24" s="123" t="s">
        <v>134</v>
      </c>
      <c r="B24" s="111">
        <v>117</v>
      </c>
      <c r="C24" s="57">
        <v>117</v>
      </c>
      <c r="D24" s="56">
        <v>46</v>
      </c>
      <c r="E24" s="56">
        <v>71</v>
      </c>
      <c r="F24" s="36">
        <f t="shared" si="3"/>
        <v>0.39316239316239315</v>
      </c>
      <c r="G24" s="54">
        <f t="shared" si="1"/>
        <v>0.60683760683760679</v>
      </c>
      <c r="H24" s="104">
        <v>3151</v>
      </c>
    </row>
    <row r="25" spans="1:8" x14ac:dyDescent="0.3">
      <c r="A25" s="122" t="s">
        <v>135</v>
      </c>
      <c r="B25" s="111">
        <v>0</v>
      </c>
      <c r="C25" s="57">
        <v>1</v>
      </c>
      <c r="D25" s="35">
        <v>0</v>
      </c>
      <c r="E25" s="35">
        <v>1</v>
      </c>
      <c r="F25" s="36">
        <f t="shared" si="3"/>
        <v>0</v>
      </c>
      <c r="G25" s="54">
        <f t="shared" si="1"/>
        <v>1</v>
      </c>
      <c r="H25" s="104">
        <v>36</v>
      </c>
    </row>
    <row r="26" spans="1:8" x14ac:dyDescent="0.3">
      <c r="A26" s="122" t="s">
        <v>38</v>
      </c>
      <c r="B26" s="111">
        <v>3</v>
      </c>
      <c r="C26" s="57">
        <v>1</v>
      </c>
      <c r="D26" s="35">
        <v>1</v>
      </c>
      <c r="E26" s="35">
        <v>0</v>
      </c>
      <c r="F26" s="36">
        <f t="shared" si="3"/>
        <v>1</v>
      </c>
      <c r="G26" s="54">
        <f t="shared" si="1"/>
        <v>0</v>
      </c>
      <c r="H26" s="104">
        <v>0</v>
      </c>
    </row>
    <row r="27" spans="1:8" x14ac:dyDescent="0.3">
      <c r="A27" s="122" t="s">
        <v>37</v>
      </c>
      <c r="B27" s="111">
        <v>7</v>
      </c>
      <c r="C27" s="57">
        <v>6</v>
      </c>
      <c r="D27" s="35">
        <v>4</v>
      </c>
      <c r="E27" s="35">
        <v>2</v>
      </c>
      <c r="F27" s="36">
        <f t="shared" si="3"/>
        <v>0.66666666666666663</v>
      </c>
      <c r="G27" s="54">
        <f t="shared" si="1"/>
        <v>0.33333333333333331</v>
      </c>
      <c r="H27" s="104">
        <v>94</v>
      </c>
    </row>
    <row r="28" spans="1:8" x14ac:dyDescent="0.3">
      <c r="A28" s="122" t="s">
        <v>27</v>
      </c>
      <c r="B28" s="111">
        <v>4</v>
      </c>
      <c r="C28" s="35">
        <v>5</v>
      </c>
      <c r="D28" s="35">
        <v>2</v>
      </c>
      <c r="E28" s="35">
        <v>3</v>
      </c>
      <c r="F28" s="36">
        <f t="shared" si="3"/>
        <v>0.4</v>
      </c>
      <c r="G28" s="54">
        <f t="shared" si="1"/>
        <v>0.6</v>
      </c>
      <c r="H28" s="104">
        <v>208</v>
      </c>
    </row>
    <row r="29" spans="1:8" x14ac:dyDescent="0.3">
      <c r="A29" s="122" t="s">
        <v>62</v>
      </c>
      <c r="B29" s="111">
        <v>5</v>
      </c>
      <c r="C29" s="35">
        <v>5</v>
      </c>
      <c r="D29" s="35">
        <v>3</v>
      </c>
      <c r="E29" s="35">
        <v>2</v>
      </c>
      <c r="F29" s="36">
        <f t="shared" si="3"/>
        <v>0.6</v>
      </c>
      <c r="G29" s="54">
        <f t="shared" si="1"/>
        <v>0.4</v>
      </c>
      <c r="H29" s="104">
        <v>57</v>
      </c>
    </row>
    <row r="30" spans="1:8" x14ac:dyDescent="0.3">
      <c r="A30" s="122" t="s">
        <v>136</v>
      </c>
      <c r="B30" s="111">
        <v>32</v>
      </c>
      <c r="C30" s="35">
        <v>25</v>
      </c>
      <c r="D30" s="35">
        <v>13</v>
      </c>
      <c r="E30" s="35">
        <v>12</v>
      </c>
      <c r="F30" s="36">
        <f t="shared" si="3"/>
        <v>0.52</v>
      </c>
      <c r="G30" s="54">
        <f t="shared" si="1"/>
        <v>0.48</v>
      </c>
      <c r="H30" s="104">
        <v>451</v>
      </c>
    </row>
    <row r="31" spans="1:8" x14ac:dyDescent="0.3">
      <c r="A31" s="122" t="s">
        <v>17</v>
      </c>
      <c r="B31" s="111">
        <v>14</v>
      </c>
      <c r="C31" s="35">
        <v>12</v>
      </c>
      <c r="D31" s="35">
        <v>3</v>
      </c>
      <c r="E31" s="35">
        <v>9</v>
      </c>
      <c r="F31" s="36">
        <f t="shared" si="3"/>
        <v>0.25</v>
      </c>
      <c r="G31" s="54">
        <f t="shared" si="1"/>
        <v>0.75</v>
      </c>
      <c r="H31" s="104">
        <v>180</v>
      </c>
    </row>
    <row r="32" spans="1:8" x14ac:dyDescent="0.3">
      <c r="A32" s="122" t="s">
        <v>137</v>
      </c>
      <c r="B32" s="111">
        <v>1</v>
      </c>
      <c r="C32" s="35">
        <v>4</v>
      </c>
      <c r="D32" s="35">
        <v>2</v>
      </c>
      <c r="E32" s="35">
        <v>2</v>
      </c>
      <c r="F32" s="36">
        <f t="shared" si="3"/>
        <v>0.5</v>
      </c>
      <c r="G32" s="54">
        <f t="shared" si="1"/>
        <v>0.5</v>
      </c>
      <c r="H32" s="104">
        <v>18</v>
      </c>
    </row>
    <row r="33" spans="1:8" x14ac:dyDescent="0.3">
      <c r="A33" s="123" t="s">
        <v>138</v>
      </c>
      <c r="B33" s="111">
        <v>70</v>
      </c>
      <c r="C33" s="56">
        <v>93</v>
      </c>
      <c r="D33" s="56">
        <v>43</v>
      </c>
      <c r="E33" s="56">
        <v>50</v>
      </c>
      <c r="F33" s="36">
        <f t="shared" si="3"/>
        <v>0.46236559139784944</v>
      </c>
      <c r="G33" s="54">
        <f t="shared" si="1"/>
        <v>0.5376344086021505</v>
      </c>
      <c r="H33" s="104">
        <v>2089</v>
      </c>
    </row>
    <row r="34" spans="1:8" x14ac:dyDescent="0.3">
      <c r="A34" s="122" t="s">
        <v>139</v>
      </c>
      <c r="B34" s="111">
        <v>5</v>
      </c>
      <c r="C34" s="35">
        <v>5</v>
      </c>
      <c r="D34" s="35">
        <v>2</v>
      </c>
      <c r="E34" s="35">
        <v>3</v>
      </c>
      <c r="F34" s="36">
        <f t="shared" si="3"/>
        <v>0.4</v>
      </c>
      <c r="G34" s="54">
        <f t="shared" si="1"/>
        <v>0.6</v>
      </c>
      <c r="H34" s="104">
        <v>43</v>
      </c>
    </row>
    <row r="35" spans="1:8" x14ac:dyDescent="0.3">
      <c r="A35" s="122" t="s">
        <v>140</v>
      </c>
      <c r="B35" s="111">
        <v>94</v>
      </c>
      <c r="C35" s="35">
        <v>86</v>
      </c>
      <c r="D35" s="35">
        <v>35</v>
      </c>
      <c r="E35" s="35">
        <v>51</v>
      </c>
      <c r="F35" s="36">
        <f t="shared" si="3"/>
        <v>0.40697674418604651</v>
      </c>
      <c r="G35" s="54">
        <f t="shared" si="1"/>
        <v>0.59302325581395354</v>
      </c>
      <c r="H35" s="104">
        <v>1875</v>
      </c>
    </row>
    <row r="36" spans="1:8" x14ac:dyDescent="0.3">
      <c r="A36" s="122" t="s">
        <v>141</v>
      </c>
      <c r="B36" s="111">
        <v>17</v>
      </c>
      <c r="C36" s="35">
        <v>10</v>
      </c>
      <c r="D36" s="35">
        <v>3</v>
      </c>
      <c r="E36" s="35">
        <v>7</v>
      </c>
      <c r="F36" s="36">
        <f t="shared" si="0"/>
        <v>0.3</v>
      </c>
      <c r="G36" s="54">
        <f t="shared" si="1"/>
        <v>0.7</v>
      </c>
      <c r="H36" s="104">
        <v>271</v>
      </c>
    </row>
    <row r="37" spans="1:8" x14ac:dyDescent="0.3">
      <c r="A37" s="122" t="s">
        <v>142</v>
      </c>
      <c r="B37" s="111">
        <v>2</v>
      </c>
      <c r="C37" s="35">
        <v>1</v>
      </c>
      <c r="D37" s="35">
        <v>1</v>
      </c>
      <c r="E37" s="35">
        <v>0</v>
      </c>
      <c r="F37" s="36">
        <f t="shared" si="0"/>
        <v>1</v>
      </c>
      <c r="G37" s="54">
        <f t="shared" si="1"/>
        <v>0</v>
      </c>
      <c r="H37" s="104">
        <v>0</v>
      </c>
    </row>
    <row r="38" spans="1:8" x14ac:dyDescent="0.3">
      <c r="A38" s="122" t="s">
        <v>143</v>
      </c>
      <c r="B38" s="111">
        <v>19</v>
      </c>
      <c r="C38" s="35">
        <v>19</v>
      </c>
      <c r="D38" s="35">
        <v>6</v>
      </c>
      <c r="E38" s="35">
        <v>13</v>
      </c>
      <c r="F38" s="36">
        <f t="shared" si="0"/>
        <v>0.31578947368421051</v>
      </c>
      <c r="G38" s="54">
        <f t="shared" si="1"/>
        <v>0.68421052631578949</v>
      </c>
      <c r="H38" s="104">
        <v>291</v>
      </c>
    </row>
    <row r="39" spans="1:8" x14ac:dyDescent="0.3">
      <c r="A39" s="122" t="s">
        <v>144</v>
      </c>
      <c r="B39" s="111">
        <v>9</v>
      </c>
      <c r="C39" s="35">
        <v>11</v>
      </c>
      <c r="D39" s="35">
        <v>2</v>
      </c>
      <c r="E39" s="35">
        <v>9</v>
      </c>
      <c r="F39" s="36">
        <f t="shared" si="0"/>
        <v>0.18181818181818182</v>
      </c>
      <c r="G39" s="54">
        <f t="shared" si="1"/>
        <v>0.81818181818181823</v>
      </c>
      <c r="H39" s="104">
        <v>163</v>
      </c>
    </row>
    <row r="40" spans="1:8" x14ac:dyDescent="0.3">
      <c r="A40" s="122" t="s">
        <v>145</v>
      </c>
      <c r="B40" s="111">
        <v>4</v>
      </c>
      <c r="C40" s="35">
        <v>5</v>
      </c>
      <c r="D40" s="35">
        <v>1</v>
      </c>
      <c r="E40" s="35">
        <v>4</v>
      </c>
      <c r="F40" s="36">
        <f t="shared" si="0"/>
        <v>0.2</v>
      </c>
      <c r="G40" s="54">
        <f t="shared" si="1"/>
        <v>0.8</v>
      </c>
      <c r="H40" s="104">
        <v>84</v>
      </c>
    </row>
    <row r="41" spans="1:8" x14ac:dyDescent="0.3">
      <c r="A41" s="122" t="s">
        <v>146</v>
      </c>
      <c r="B41" s="111">
        <v>7</v>
      </c>
      <c r="C41" s="35">
        <v>7</v>
      </c>
      <c r="D41" s="35">
        <v>3</v>
      </c>
      <c r="E41" s="35">
        <v>4</v>
      </c>
      <c r="F41" s="36">
        <f t="shared" si="0"/>
        <v>0.42857142857142855</v>
      </c>
      <c r="G41" s="54">
        <f t="shared" si="1"/>
        <v>0.5714285714285714</v>
      </c>
      <c r="H41" s="104">
        <v>127</v>
      </c>
    </row>
    <row r="42" spans="1:8" x14ac:dyDescent="0.3">
      <c r="A42" s="122" t="s">
        <v>147</v>
      </c>
      <c r="B42" s="111">
        <v>18</v>
      </c>
      <c r="C42" s="35">
        <v>18</v>
      </c>
      <c r="D42" s="35">
        <v>8</v>
      </c>
      <c r="E42" s="35">
        <v>10</v>
      </c>
      <c r="F42" s="36">
        <f t="shared" si="0"/>
        <v>0.44444444444444442</v>
      </c>
      <c r="G42" s="54">
        <f t="shared" si="1"/>
        <v>0.55555555555555558</v>
      </c>
      <c r="H42" s="104">
        <v>446</v>
      </c>
    </row>
    <row r="43" spans="1:8" x14ac:dyDescent="0.3">
      <c r="A43" s="123" t="s">
        <v>148</v>
      </c>
      <c r="B43" s="111">
        <v>90</v>
      </c>
      <c r="C43" s="56">
        <v>107</v>
      </c>
      <c r="D43" s="56">
        <v>54</v>
      </c>
      <c r="E43" s="56">
        <v>53</v>
      </c>
      <c r="F43" s="36">
        <f t="shared" si="0"/>
        <v>0.50467289719626163</v>
      </c>
      <c r="G43" s="54">
        <f t="shared" si="1"/>
        <v>0.49532710280373832</v>
      </c>
      <c r="H43" s="104">
        <v>1486</v>
      </c>
    </row>
    <row r="44" spans="1:8" x14ac:dyDescent="0.3">
      <c r="A44" s="122" t="s">
        <v>36</v>
      </c>
      <c r="B44" s="111">
        <v>59</v>
      </c>
      <c r="C44" s="35">
        <v>52</v>
      </c>
      <c r="D44" s="35">
        <v>26</v>
      </c>
      <c r="E44" s="35">
        <v>26</v>
      </c>
      <c r="F44" s="36">
        <f t="shared" si="0"/>
        <v>0.5</v>
      </c>
      <c r="G44" s="54">
        <f t="shared" si="1"/>
        <v>0.5</v>
      </c>
      <c r="H44" s="104">
        <v>1148</v>
      </c>
    </row>
    <row r="45" spans="1:8" x14ac:dyDescent="0.3">
      <c r="A45" s="122" t="s">
        <v>15</v>
      </c>
      <c r="B45" s="111">
        <v>1</v>
      </c>
      <c r="C45" s="35">
        <v>2</v>
      </c>
      <c r="D45" s="35">
        <v>2</v>
      </c>
      <c r="E45" s="35">
        <v>0</v>
      </c>
      <c r="F45" s="36">
        <f t="shared" si="0"/>
        <v>1</v>
      </c>
      <c r="G45" s="54">
        <f t="shared" si="1"/>
        <v>0</v>
      </c>
      <c r="H45" s="104">
        <v>37</v>
      </c>
    </row>
    <row r="46" spans="1:8" x14ac:dyDescent="0.3">
      <c r="A46" s="122" t="s">
        <v>18</v>
      </c>
      <c r="B46" s="111">
        <v>4</v>
      </c>
      <c r="C46" s="35">
        <v>5</v>
      </c>
      <c r="D46" s="35">
        <v>5</v>
      </c>
      <c r="E46" s="35">
        <v>0</v>
      </c>
      <c r="F46" s="36">
        <f t="shared" si="0"/>
        <v>1</v>
      </c>
      <c r="G46" s="54">
        <f t="shared" si="1"/>
        <v>0</v>
      </c>
      <c r="H46" s="104">
        <v>289</v>
      </c>
    </row>
    <row r="47" spans="1:8" x14ac:dyDescent="0.3">
      <c r="A47" s="122" t="s">
        <v>35</v>
      </c>
      <c r="B47" s="111">
        <v>64</v>
      </c>
      <c r="C47" s="35">
        <v>58</v>
      </c>
      <c r="D47" s="35">
        <v>33</v>
      </c>
      <c r="E47" s="35">
        <v>25</v>
      </c>
      <c r="F47" s="36">
        <f t="shared" si="0"/>
        <v>0.56896551724137934</v>
      </c>
      <c r="G47" s="54">
        <f t="shared" si="1"/>
        <v>0.43103448275862066</v>
      </c>
      <c r="H47" s="104">
        <v>1364</v>
      </c>
    </row>
    <row r="48" spans="1:8" x14ac:dyDescent="0.3">
      <c r="A48" s="122" t="s">
        <v>24</v>
      </c>
      <c r="B48" s="111">
        <v>1</v>
      </c>
      <c r="C48" s="35">
        <v>1</v>
      </c>
      <c r="D48" s="35">
        <v>0</v>
      </c>
      <c r="E48" s="35">
        <v>1</v>
      </c>
      <c r="F48" s="36">
        <f t="shared" si="0"/>
        <v>0</v>
      </c>
      <c r="G48" s="54">
        <f t="shared" si="1"/>
        <v>1</v>
      </c>
      <c r="H48" s="104">
        <v>0</v>
      </c>
    </row>
    <row r="49" spans="1:8" x14ac:dyDescent="0.3">
      <c r="A49" s="122" t="s">
        <v>34</v>
      </c>
      <c r="B49" s="111">
        <v>5</v>
      </c>
      <c r="C49" s="35">
        <v>5</v>
      </c>
      <c r="D49" s="35">
        <v>3</v>
      </c>
      <c r="E49" s="35">
        <v>2</v>
      </c>
      <c r="F49" s="36">
        <f t="shared" si="0"/>
        <v>0.6</v>
      </c>
      <c r="G49" s="54">
        <f t="shared" si="1"/>
        <v>0.4</v>
      </c>
      <c r="H49" s="104">
        <v>163</v>
      </c>
    </row>
    <row r="50" spans="1:8" x14ac:dyDescent="0.3">
      <c r="A50" s="122" t="s">
        <v>33</v>
      </c>
      <c r="B50" s="111">
        <v>1</v>
      </c>
      <c r="C50" s="35">
        <v>0</v>
      </c>
      <c r="D50" s="35">
        <v>0</v>
      </c>
      <c r="E50" s="35">
        <v>0</v>
      </c>
      <c r="F50" s="36">
        <v>0</v>
      </c>
      <c r="G50" s="54">
        <v>0</v>
      </c>
      <c r="H50" s="104">
        <v>56</v>
      </c>
    </row>
    <row r="51" spans="1:8" x14ac:dyDescent="0.3">
      <c r="A51" s="122" t="s">
        <v>16</v>
      </c>
      <c r="B51" s="111">
        <v>8</v>
      </c>
      <c r="C51" s="35">
        <v>14</v>
      </c>
      <c r="D51" s="35">
        <v>10</v>
      </c>
      <c r="E51" s="35">
        <v>4</v>
      </c>
      <c r="F51" s="36">
        <f t="shared" si="0"/>
        <v>0.7142857142857143</v>
      </c>
      <c r="G51" s="54">
        <f t="shared" si="1"/>
        <v>0.2857142857142857</v>
      </c>
      <c r="H51" s="104">
        <v>265</v>
      </c>
    </row>
    <row r="52" spans="1:8" x14ac:dyDescent="0.3">
      <c r="A52" s="122" t="s">
        <v>32</v>
      </c>
      <c r="B52" s="111">
        <v>13</v>
      </c>
      <c r="C52" s="35">
        <v>9</v>
      </c>
      <c r="D52" s="35">
        <v>5</v>
      </c>
      <c r="E52" s="35">
        <v>4</v>
      </c>
      <c r="F52" s="36">
        <f t="shared" si="0"/>
        <v>0.55555555555555558</v>
      </c>
      <c r="G52" s="54">
        <f t="shared" si="1"/>
        <v>0.44444444444444442</v>
      </c>
      <c r="H52" s="104">
        <v>111</v>
      </c>
    </row>
    <row r="53" spans="1:8" x14ac:dyDescent="0.3">
      <c r="A53" s="122" t="s">
        <v>31</v>
      </c>
      <c r="B53" s="111">
        <v>1</v>
      </c>
      <c r="C53" s="35">
        <v>1</v>
      </c>
      <c r="D53" s="35">
        <v>0</v>
      </c>
      <c r="E53" s="35">
        <v>1</v>
      </c>
      <c r="F53" s="36">
        <f t="shared" si="0"/>
        <v>0</v>
      </c>
      <c r="G53" s="54">
        <f t="shared" si="1"/>
        <v>1</v>
      </c>
      <c r="H53" s="104">
        <v>19</v>
      </c>
    </row>
    <row r="54" spans="1:8" x14ac:dyDescent="0.3">
      <c r="A54" s="122" t="s">
        <v>77</v>
      </c>
      <c r="B54" s="111">
        <v>1</v>
      </c>
      <c r="C54" s="35">
        <v>2</v>
      </c>
      <c r="D54" s="35">
        <v>2</v>
      </c>
      <c r="E54" s="35">
        <v>0</v>
      </c>
      <c r="F54" s="36">
        <f t="shared" si="0"/>
        <v>1</v>
      </c>
      <c r="G54" s="54">
        <f>E54/C54</f>
        <v>0</v>
      </c>
      <c r="H54" s="104">
        <v>36</v>
      </c>
    </row>
    <row r="55" spans="1:8" x14ac:dyDescent="0.3">
      <c r="A55" s="122" t="s">
        <v>30</v>
      </c>
      <c r="B55" s="111">
        <v>9</v>
      </c>
      <c r="C55" s="35">
        <v>11</v>
      </c>
      <c r="D55" s="35">
        <v>5</v>
      </c>
      <c r="E55" s="35">
        <v>6</v>
      </c>
      <c r="F55" s="36">
        <f>D55/C55</f>
        <v>0.45454545454545453</v>
      </c>
      <c r="G55" s="54">
        <f t="shared" si="1"/>
        <v>0.54545454545454541</v>
      </c>
      <c r="H55" s="104">
        <v>299</v>
      </c>
    </row>
    <row r="56" spans="1:8" x14ac:dyDescent="0.3">
      <c r="A56" s="122" t="s">
        <v>21</v>
      </c>
      <c r="B56" s="111">
        <v>28</v>
      </c>
      <c r="C56" s="35">
        <v>30</v>
      </c>
      <c r="D56" s="35">
        <v>4</v>
      </c>
      <c r="E56" s="35">
        <v>26</v>
      </c>
      <c r="F56" s="36">
        <f t="shared" si="0"/>
        <v>0.13333333333333333</v>
      </c>
      <c r="G56" s="54">
        <f t="shared" si="1"/>
        <v>0.8666666666666667</v>
      </c>
      <c r="H56" s="104">
        <v>516</v>
      </c>
    </row>
    <row r="57" spans="1:8" x14ac:dyDescent="0.3">
      <c r="A57" s="122" t="s">
        <v>22</v>
      </c>
      <c r="B57" s="111">
        <v>18</v>
      </c>
      <c r="C57" s="35">
        <v>12</v>
      </c>
      <c r="D57" s="35">
        <v>3</v>
      </c>
      <c r="E57" s="35">
        <v>9</v>
      </c>
      <c r="F57" s="36">
        <f t="shared" si="0"/>
        <v>0.25</v>
      </c>
      <c r="G57" s="54">
        <f t="shared" si="1"/>
        <v>0.75</v>
      </c>
      <c r="H57" s="104">
        <v>313</v>
      </c>
    </row>
    <row r="58" spans="1:8" x14ac:dyDescent="0.3">
      <c r="A58" s="122" t="s">
        <v>79</v>
      </c>
      <c r="B58" s="111">
        <v>2</v>
      </c>
      <c r="C58" s="35">
        <v>2</v>
      </c>
      <c r="D58" s="35">
        <v>1</v>
      </c>
      <c r="E58" s="35">
        <v>1</v>
      </c>
      <c r="F58" s="36">
        <f t="shared" si="0"/>
        <v>0.5</v>
      </c>
      <c r="G58" s="54">
        <f t="shared" si="1"/>
        <v>0.5</v>
      </c>
      <c r="H58" s="104">
        <v>46</v>
      </c>
    </row>
    <row r="59" spans="1:8" x14ac:dyDescent="0.3">
      <c r="A59" s="122" t="s">
        <v>149</v>
      </c>
      <c r="B59" s="111">
        <v>41</v>
      </c>
      <c r="C59" s="35">
        <v>40</v>
      </c>
      <c r="D59" s="35">
        <v>21</v>
      </c>
      <c r="E59" s="35">
        <v>19</v>
      </c>
      <c r="F59" s="36">
        <f t="shared" si="0"/>
        <v>0.52500000000000002</v>
      </c>
      <c r="G59" s="54">
        <f t="shared" si="1"/>
        <v>0.47499999999999998</v>
      </c>
      <c r="H59" s="104">
        <v>1142</v>
      </c>
    </row>
    <row r="60" spans="1:8" x14ac:dyDescent="0.3">
      <c r="A60" s="122" t="s">
        <v>29</v>
      </c>
      <c r="B60" s="114">
        <v>38</v>
      </c>
      <c r="C60" s="1">
        <v>27</v>
      </c>
      <c r="D60" s="1">
        <v>13</v>
      </c>
      <c r="E60" s="35">
        <v>14</v>
      </c>
      <c r="F60" s="36">
        <f t="shared" si="0"/>
        <v>0.48148148148148145</v>
      </c>
      <c r="G60" s="54">
        <f t="shared" si="1"/>
        <v>0.51851851851851849</v>
      </c>
      <c r="H60" s="104">
        <v>789</v>
      </c>
    </row>
    <row r="61" spans="1:8" x14ac:dyDescent="0.3">
      <c r="A61" s="122" t="s">
        <v>82</v>
      </c>
      <c r="B61" s="11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104">
        <v>1</v>
      </c>
    </row>
    <row r="62" spans="1:8" x14ac:dyDescent="0.3">
      <c r="A62" s="122" t="s">
        <v>150</v>
      </c>
      <c r="B62" s="111">
        <v>28</v>
      </c>
      <c r="C62" s="35">
        <v>22</v>
      </c>
      <c r="D62" s="35">
        <v>10</v>
      </c>
      <c r="E62" s="60">
        <v>12</v>
      </c>
      <c r="F62" s="36">
        <f t="shared" si="0"/>
        <v>0.45454545454545453</v>
      </c>
      <c r="G62" s="54">
        <f t="shared" si="1"/>
        <v>0.54545454545454541</v>
      </c>
      <c r="H62" s="104">
        <v>435</v>
      </c>
    </row>
    <row r="63" spans="1:8" x14ac:dyDescent="0.3">
      <c r="A63" s="122" t="s">
        <v>84</v>
      </c>
      <c r="B63" s="111">
        <v>8</v>
      </c>
      <c r="C63" s="35">
        <v>5</v>
      </c>
      <c r="D63" s="35">
        <v>1</v>
      </c>
      <c r="E63" s="60">
        <v>4</v>
      </c>
      <c r="F63" s="36">
        <f t="shared" si="0"/>
        <v>0.2</v>
      </c>
      <c r="G63" s="54">
        <f t="shared" si="1"/>
        <v>0.8</v>
      </c>
      <c r="H63" s="104">
        <v>30</v>
      </c>
    </row>
    <row r="64" spans="1:8" x14ac:dyDescent="0.3">
      <c r="A64" s="122" t="s">
        <v>85</v>
      </c>
      <c r="B64" s="111">
        <v>17</v>
      </c>
      <c r="C64" s="35">
        <v>18</v>
      </c>
      <c r="D64" s="35">
        <v>10</v>
      </c>
      <c r="E64" s="60">
        <v>8</v>
      </c>
      <c r="F64" s="36">
        <f t="shared" si="0"/>
        <v>0.55555555555555558</v>
      </c>
      <c r="G64" s="54">
        <f t="shared" si="1"/>
        <v>0.44444444444444442</v>
      </c>
      <c r="H64" s="104">
        <v>416</v>
      </c>
    </row>
    <row r="65" spans="1:16" x14ac:dyDescent="0.3">
      <c r="A65" s="122" t="s">
        <v>151</v>
      </c>
      <c r="B65" s="111">
        <v>5</v>
      </c>
      <c r="C65" s="35">
        <v>3</v>
      </c>
      <c r="D65" s="35">
        <v>0</v>
      </c>
      <c r="E65" s="60">
        <v>3</v>
      </c>
      <c r="F65" s="36">
        <f t="shared" si="0"/>
        <v>0</v>
      </c>
      <c r="G65" s="54">
        <f t="shared" si="1"/>
        <v>1</v>
      </c>
      <c r="H65" s="104">
        <v>24</v>
      </c>
    </row>
    <row r="66" spans="1:16" x14ac:dyDescent="0.3">
      <c r="A66" s="122" t="s">
        <v>152</v>
      </c>
      <c r="B66" s="111">
        <v>16</v>
      </c>
      <c r="C66" s="35">
        <v>9</v>
      </c>
      <c r="D66" s="35">
        <v>6</v>
      </c>
      <c r="E66" s="60">
        <v>3</v>
      </c>
      <c r="F66" s="36">
        <f t="shared" si="0"/>
        <v>0.66666666666666663</v>
      </c>
      <c r="G66" s="54">
        <f t="shared" si="1"/>
        <v>0.33333333333333331</v>
      </c>
      <c r="H66" s="104">
        <v>266</v>
      </c>
    </row>
    <row r="67" spans="1:16" x14ac:dyDescent="0.3">
      <c r="A67" s="122" t="s">
        <v>153</v>
      </c>
      <c r="B67" s="111">
        <v>15</v>
      </c>
      <c r="C67" s="35">
        <v>9</v>
      </c>
      <c r="D67" s="35">
        <v>4</v>
      </c>
      <c r="E67" s="60">
        <v>5</v>
      </c>
      <c r="F67" s="36">
        <f t="shared" si="0"/>
        <v>0.44444444444444442</v>
      </c>
      <c r="G67" s="54">
        <f t="shared" si="1"/>
        <v>0.55555555555555558</v>
      </c>
      <c r="H67" s="104">
        <v>161</v>
      </c>
    </row>
    <row r="68" spans="1:16" x14ac:dyDescent="0.3">
      <c r="A68" s="122" t="s">
        <v>157</v>
      </c>
      <c r="B68" s="111">
        <v>8</v>
      </c>
      <c r="C68" s="35">
        <v>6</v>
      </c>
      <c r="D68" s="35">
        <v>2</v>
      </c>
      <c r="E68" s="60">
        <v>4</v>
      </c>
      <c r="F68" s="36">
        <f t="shared" si="0"/>
        <v>0.33333333333333331</v>
      </c>
      <c r="G68" s="54">
        <f t="shared" si="1"/>
        <v>0.66666666666666663</v>
      </c>
      <c r="H68" s="104">
        <v>120</v>
      </c>
    </row>
    <row r="69" spans="1:16" s="58" customFormat="1" x14ac:dyDescent="0.3">
      <c r="A69" s="123" t="s">
        <v>154</v>
      </c>
      <c r="B69" s="112">
        <v>0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104">
        <v>4</v>
      </c>
      <c r="I69" s="55"/>
      <c r="J69" s="55"/>
      <c r="K69" s="55"/>
      <c r="L69" s="55"/>
    </row>
    <row r="70" spans="1:16" x14ac:dyDescent="0.3">
      <c r="A70" s="122" t="s">
        <v>28</v>
      </c>
      <c r="B70" s="111">
        <v>0</v>
      </c>
      <c r="C70" s="35">
        <v>1</v>
      </c>
      <c r="D70" s="35">
        <v>0</v>
      </c>
      <c r="E70" s="60">
        <v>1</v>
      </c>
      <c r="F70" s="36">
        <f t="shared" si="0"/>
        <v>0</v>
      </c>
      <c r="G70" s="54">
        <f t="shared" si="1"/>
        <v>1</v>
      </c>
      <c r="H70" s="104">
        <v>26</v>
      </c>
    </row>
    <row r="71" spans="1:16" ht="15" thickBot="1" x14ac:dyDescent="0.35">
      <c r="A71" s="124" t="s">
        <v>155</v>
      </c>
      <c r="B71" s="110">
        <v>1</v>
      </c>
      <c r="C71" s="105">
        <v>3</v>
      </c>
      <c r="D71" s="105">
        <v>0</v>
      </c>
      <c r="E71" s="106">
        <v>3</v>
      </c>
      <c r="F71" s="36">
        <f t="shared" si="0"/>
        <v>0</v>
      </c>
      <c r="G71" s="54">
        <f t="shared" si="1"/>
        <v>1</v>
      </c>
      <c r="H71" s="109">
        <v>24</v>
      </c>
    </row>
    <row r="72" spans="1:16" ht="15" thickBot="1" x14ac:dyDescent="0.35">
      <c r="A72" s="125" t="s">
        <v>105</v>
      </c>
      <c r="B72" s="96">
        <f>SUM(B8:B71)</f>
        <v>1127</v>
      </c>
      <c r="C72" s="96">
        <f>SUM(C8:C71)</f>
        <v>1079</v>
      </c>
      <c r="D72" s="96">
        <f>SUM(D8:D71)</f>
        <v>483</v>
      </c>
      <c r="E72" s="96">
        <f>SUM(E8:E71)</f>
        <v>596</v>
      </c>
      <c r="F72" s="98">
        <f>D72/C72</f>
        <v>0.44763670064874883</v>
      </c>
      <c r="G72" s="97">
        <f>E72/C72</f>
        <v>0.55236329935125117</v>
      </c>
      <c r="H72" s="96">
        <f>SUM(H8:H71)</f>
        <v>24510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81" t="s">
        <v>156</v>
      </c>
      <c r="B75" s="181"/>
      <c r="C75" s="181"/>
      <c r="D75" s="181"/>
      <c r="E75" s="181"/>
      <c r="F75" s="181"/>
      <c r="G75" s="181"/>
      <c r="H75" s="5"/>
      <c r="M75" s="5"/>
      <c r="N75" s="5"/>
      <c r="O75" s="5"/>
      <c r="P75" s="4"/>
    </row>
    <row r="76" spans="1:16" ht="15" customHeight="1" x14ac:dyDescent="0.3">
      <c r="A76" s="182" t="s">
        <v>115</v>
      </c>
      <c r="B76" s="182"/>
      <c r="C76" s="182"/>
      <c r="D76" s="182"/>
      <c r="E76" s="182"/>
      <c r="F76" s="182"/>
      <c r="G76" s="182"/>
      <c r="H76" s="33"/>
      <c r="M76" s="33"/>
      <c r="N76" s="33"/>
      <c r="O76" s="33"/>
      <c r="P76" s="33"/>
    </row>
    <row r="77" spans="1:16" x14ac:dyDescent="0.3">
      <c r="A77" s="182"/>
      <c r="B77" s="182"/>
      <c r="C77" s="182"/>
      <c r="D77" s="182"/>
      <c r="E77" s="182"/>
      <c r="F77" s="182"/>
      <c r="G77" s="182"/>
      <c r="H77" s="33"/>
      <c r="M77" s="33"/>
      <c r="N77" s="33"/>
      <c r="O77" s="33"/>
      <c r="P77" s="33"/>
    </row>
    <row r="78" spans="1:16" ht="15" customHeight="1" x14ac:dyDescent="0.3">
      <c r="A78" s="183" t="s">
        <v>116</v>
      </c>
      <c r="B78" s="183"/>
      <c r="C78" s="183"/>
      <c r="D78" s="183"/>
      <c r="E78" s="183"/>
      <c r="F78" s="183"/>
      <c r="G78" s="183"/>
    </row>
    <row r="79" spans="1:16" x14ac:dyDescent="0.3">
      <c r="A79" s="183"/>
      <c r="B79" s="183"/>
      <c r="C79" s="183"/>
      <c r="D79" s="183"/>
      <c r="E79" s="183"/>
      <c r="F79" s="183"/>
      <c r="G79" s="183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C4FE423-86D0-4CBB-90CE-ABFEFF644B3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Number of Children Served</vt:lpstr>
      <vt:lpstr>Annual Served</vt:lpstr>
      <vt:lpstr>Applications-Jan.20</vt:lpstr>
      <vt:lpstr>Applications-Feb.20</vt:lpstr>
      <vt:lpstr>Applications-Mar.20</vt:lpstr>
      <vt:lpstr>Applications-Apr. 20</vt:lpstr>
      <vt:lpstr>Applications-May 20</vt:lpstr>
      <vt:lpstr>Applications-June 20</vt:lpstr>
      <vt:lpstr>Applications-July 20</vt:lpstr>
      <vt:lpstr>Applications-August 20</vt:lpstr>
      <vt:lpstr>Applications - Sept 20</vt:lpstr>
      <vt:lpstr>Applications - Oct 20</vt:lpstr>
      <vt:lpstr>Applications -Nov 20 </vt:lpstr>
      <vt:lpstr>Applications -Dec 20</vt:lpstr>
      <vt:lpstr>Applications-June</vt:lpstr>
      <vt:lpstr>'Applications - Oct 20'!Print_Area</vt:lpstr>
      <vt:lpstr>'Applications - Sept 20'!Print_Area</vt:lpstr>
      <vt:lpstr>'Applications -Dec 20'!Print_Area</vt:lpstr>
      <vt:lpstr>'Applications -Nov 20 '!Print_Area</vt:lpstr>
      <vt:lpstr>'Applications-Apr. 20'!Print_Area</vt:lpstr>
      <vt:lpstr>'Applications-August 20'!Print_Area</vt:lpstr>
      <vt:lpstr>'Applications-Feb.20'!Print_Area</vt:lpstr>
      <vt:lpstr>'Applications-Jan.20'!Print_Area</vt:lpstr>
      <vt:lpstr>'Applications-July 20'!Print_Area</vt:lpstr>
      <vt:lpstr>'Applications-June 20'!Print_Area</vt:lpstr>
      <vt:lpstr>'Applications-Mar.20'!Print_Area</vt:lpstr>
      <vt:lpstr>'Applications-May 20'!Print_Area</vt:lpstr>
      <vt:lpstr>'Number of Children Served'!Print_Area</vt:lpstr>
      <vt:lpstr>'Applications-June'!Print_Titles</vt:lpstr>
      <vt:lpstr>'Number of Children Served'!Print_Titles</vt:lpstr>
    </vt:vector>
  </TitlesOfParts>
  <Company>LDOE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Bryant</dc:creator>
  <cp:lastModifiedBy>Raymond Packer</cp:lastModifiedBy>
  <cp:lastPrinted>2019-11-14T19:48:59Z</cp:lastPrinted>
  <dcterms:created xsi:type="dcterms:W3CDTF">2016-01-25T13:40:55Z</dcterms:created>
  <dcterms:modified xsi:type="dcterms:W3CDTF">2021-05-13T19:26:16Z</dcterms:modified>
</cp:coreProperties>
</file>