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r\AppData\Local\Programs\Python\Python310\los_codigos\Pedidito Software by Fernando López Vázquez\"/>
    </mc:Choice>
  </mc:AlternateContent>
  <bookViews>
    <workbookView xWindow="-120" yWindow="480" windowWidth="19440" windowHeight="11160"/>
  </bookViews>
  <sheets>
    <sheet name="Semana 1 del 21 al 27 de agost" sheetId="6" r:id="rId1"/>
    <sheet name="Semana 2 del 28 al 3 de sep" sheetId="5" r:id="rId2"/>
    <sheet name="Semana 3 del 4 - 10 sep" sheetId="1" r:id="rId3"/>
    <sheet name="Semana 4 del 11 al 18" sheetId="7" r:id="rId4"/>
    <sheet name="Semana 5 del 18 al 24" sheetId="8" r:id="rId5"/>
    <sheet name="Semana 6 del 25 al 1 " sheetId="9" r:id="rId6"/>
    <sheet name="Deudores" sheetId="23" r:id="rId7"/>
    <sheet name="Semana 7 del 02 al 9  " sheetId="10" r:id="rId8"/>
    <sheet name="Clientes y sus pedidos" sheetId="4" r:id="rId9"/>
    <sheet name="Semana 8 " sheetId="11" r:id="rId10"/>
    <sheet name="Semana 9 " sheetId="13" r:id="rId11"/>
    <sheet name="Semana 10 " sheetId="14" r:id="rId12"/>
    <sheet name="Semana 11" sheetId="15" r:id="rId13"/>
    <sheet name="Semana 12" sheetId="16" r:id="rId14"/>
    <sheet name="Semana 13" sheetId="17" r:id="rId15"/>
    <sheet name="Semana 14" sheetId="18" r:id="rId16"/>
    <sheet name="Semana 15" sheetId="19" r:id="rId17"/>
    <sheet name="Seamana 16" sheetId="20" r:id="rId18"/>
    <sheet name="Semana 17" sheetId="21" r:id="rId19"/>
    <sheet name="Semana 18" sheetId="22" r:id="rId20"/>
    <sheet name="Semana 19" sheetId="25" r:id="rId21"/>
    <sheet name="Semana 20" sheetId="26" r:id="rId22"/>
    <sheet name="Plantilla" sheetId="2" r:id="rId23"/>
    <sheet name="Ganancia x local" sheetId="3" r:id="rId24"/>
    <sheet name="INVERSION" sheetId="24" r:id="rId25"/>
  </sheets>
  <calcPr calcId="162913"/>
</workbook>
</file>

<file path=xl/calcChain.xml><?xml version="1.0" encoding="utf-8"?>
<calcChain xmlns="http://schemas.openxmlformats.org/spreadsheetml/2006/main">
  <c r="L71" i="5" l="1"/>
  <c r="AF35" i="26"/>
  <c r="P93" i="26" l="1"/>
  <c r="AG101" i="26" s="1"/>
  <c r="U92" i="26"/>
  <c r="W92" i="26" s="1"/>
  <c r="M92" i="26"/>
  <c r="N92" i="26" s="1"/>
  <c r="U91" i="26"/>
  <c r="W91" i="26" s="1"/>
  <c r="M91" i="26"/>
  <c r="N91" i="26" s="1"/>
  <c r="U90" i="26"/>
  <c r="W90" i="26" s="1"/>
  <c r="M90" i="26"/>
  <c r="N90" i="26" s="1"/>
  <c r="U89" i="26"/>
  <c r="W89" i="26" s="1"/>
  <c r="M89" i="26"/>
  <c r="N89" i="26" s="1"/>
  <c r="U88" i="26"/>
  <c r="W88" i="26" s="1"/>
  <c r="M88" i="26"/>
  <c r="N88" i="26" s="1"/>
  <c r="U87" i="26"/>
  <c r="W87" i="26" s="1"/>
  <c r="M87" i="26"/>
  <c r="N87" i="26" s="1"/>
  <c r="U86" i="26"/>
  <c r="W86" i="26" s="1"/>
  <c r="M86" i="26"/>
  <c r="N86" i="26" s="1"/>
  <c r="U85" i="26"/>
  <c r="W85" i="26" s="1"/>
  <c r="M85" i="26"/>
  <c r="N85" i="26" s="1"/>
  <c r="U84" i="26"/>
  <c r="W84" i="26" s="1"/>
  <c r="M84" i="26"/>
  <c r="N84" i="26" s="1"/>
  <c r="U83" i="26"/>
  <c r="W83" i="26" s="1"/>
  <c r="M83" i="26"/>
  <c r="N83" i="26" s="1"/>
  <c r="U82" i="26"/>
  <c r="W82" i="26" s="1"/>
  <c r="M82" i="26"/>
  <c r="N82" i="26" s="1"/>
  <c r="AJ89" i="26"/>
  <c r="AF89" i="26"/>
  <c r="U81" i="26"/>
  <c r="W81" i="26" s="1"/>
  <c r="M81" i="26"/>
  <c r="N81" i="26" s="1"/>
  <c r="AJ88" i="26"/>
  <c r="AF88" i="26"/>
  <c r="U80" i="26"/>
  <c r="W80" i="26" s="1"/>
  <c r="M80" i="26"/>
  <c r="N80" i="26" s="1"/>
  <c r="AJ87" i="26"/>
  <c r="AF87" i="26"/>
  <c r="U79" i="26"/>
  <c r="W79" i="26" s="1"/>
  <c r="M79" i="26"/>
  <c r="N79" i="26" s="1"/>
  <c r="AJ86" i="26"/>
  <c r="AF86" i="26"/>
  <c r="U78" i="26"/>
  <c r="W78" i="26" s="1"/>
  <c r="M78" i="26"/>
  <c r="N78" i="26" s="1"/>
  <c r="AJ85" i="26"/>
  <c r="AF85" i="26"/>
  <c r="U77" i="26"/>
  <c r="W77" i="26" s="1"/>
  <c r="M77" i="26"/>
  <c r="N77" i="26" s="1"/>
  <c r="AJ84" i="26"/>
  <c r="AF84" i="26"/>
  <c r="U76" i="26"/>
  <c r="W76" i="26" s="1"/>
  <c r="M76" i="26"/>
  <c r="N76" i="26" s="1"/>
  <c r="AJ83" i="26"/>
  <c r="AF83" i="26"/>
  <c r="U75" i="26"/>
  <c r="W75" i="26" s="1"/>
  <c r="M75" i="26"/>
  <c r="N75" i="26" s="1"/>
  <c r="AJ82" i="26"/>
  <c r="AF82" i="26"/>
  <c r="U74" i="26"/>
  <c r="W74" i="26" s="1"/>
  <c r="M74" i="26"/>
  <c r="N74" i="26" s="1"/>
  <c r="AJ81" i="26"/>
  <c r="AJ91" i="26" s="1"/>
  <c r="AJ101" i="26" s="1"/>
  <c r="AF81" i="26"/>
  <c r="AF91" i="26" s="1"/>
  <c r="AJ96" i="26" s="1"/>
  <c r="AG96" i="26" s="1"/>
  <c r="J60" i="26"/>
  <c r="J61" i="26"/>
  <c r="J57" i="26"/>
  <c r="P67" i="26" l="1"/>
  <c r="AG75" i="26" s="1"/>
  <c r="U66" i="26"/>
  <c r="W66" i="26" s="1"/>
  <c r="M66" i="26"/>
  <c r="N66" i="26" s="1"/>
  <c r="U65" i="26"/>
  <c r="W65" i="26" s="1"/>
  <c r="M65" i="26"/>
  <c r="N65" i="26" s="1"/>
  <c r="U64" i="26"/>
  <c r="W64" i="26" s="1"/>
  <c r="M64" i="26"/>
  <c r="N64" i="26" s="1"/>
  <c r="U63" i="26"/>
  <c r="W63" i="26" s="1"/>
  <c r="M63" i="26"/>
  <c r="N63" i="26" s="1"/>
  <c r="U62" i="26"/>
  <c r="W62" i="26" s="1"/>
  <c r="M62" i="26"/>
  <c r="N62" i="26" s="1"/>
  <c r="U61" i="26"/>
  <c r="W61" i="26" s="1"/>
  <c r="M61" i="26"/>
  <c r="N61" i="26" s="1"/>
  <c r="U60" i="26"/>
  <c r="W60" i="26" s="1"/>
  <c r="M60" i="26"/>
  <c r="N60" i="26" s="1"/>
  <c r="U59" i="26"/>
  <c r="W59" i="26" s="1"/>
  <c r="M59" i="26"/>
  <c r="N59" i="26" s="1"/>
  <c r="U58" i="26"/>
  <c r="W58" i="26" s="1"/>
  <c r="M58" i="26"/>
  <c r="N58" i="26" s="1"/>
  <c r="U57" i="26"/>
  <c r="W57" i="26" s="1"/>
  <c r="M57" i="26"/>
  <c r="N57" i="26" s="1"/>
  <c r="U56" i="26"/>
  <c r="W56" i="26" s="1"/>
  <c r="M56" i="26"/>
  <c r="N56" i="26" s="1"/>
  <c r="AJ63" i="26"/>
  <c r="AF63" i="26"/>
  <c r="U55" i="26"/>
  <c r="W55" i="26" s="1"/>
  <c r="M55" i="26"/>
  <c r="N55" i="26" s="1"/>
  <c r="AJ62" i="26"/>
  <c r="AF62" i="26"/>
  <c r="U54" i="26"/>
  <c r="W54" i="26" s="1"/>
  <c r="M54" i="26"/>
  <c r="N54" i="26" s="1"/>
  <c r="AJ61" i="26"/>
  <c r="AF61" i="26"/>
  <c r="U53" i="26"/>
  <c r="W53" i="26" s="1"/>
  <c r="M53" i="26"/>
  <c r="N53" i="26" s="1"/>
  <c r="AJ60" i="26"/>
  <c r="AF60" i="26"/>
  <c r="U52" i="26"/>
  <c r="W52" i="26" s="1"/>
  <c r="M52" i="26"/>
  <c r="AJ59" i="26"/>
  <c r="AF59" i="26"/>
  <c r="U51" i="26"/>
  <c r="W51" i="26" s="1"/>
  <c r="M51" i="26"/>
  <c r="N51" i="26" s="1"/>
  <c r="AJ58" i="26"/>
  <c r="AF58" i="26"/>
  <c r="U50" i="26"/>
  <c r="W50" i="26" s="1"/>
  <c r="M50" i="26"/>
  <c r="N50" i="26" s="1"/>
  <c r="AJ57" i="26"/>
  <c r="AF57" i="26"/>
  <c r="U49" i="26"/>
  <c r="W49" i="26" s="1"/>
  <c r="M49" i="26"/>
  <c r="N49" i="26" s="1"/>
  <c r="AJ56" i="26"/>
  <c r="AF56" i="26"/>
  <c r="U48" i="26"/>
  <c r="M48" i="26"/>
  <c r="N48" i="26" s="1"/>
  <c r="AJ55" i="26"/>
  <c r="AJ65" i="26" s="1"/>
  <c r="AJ75" i="26" s="1"/>
  <c r="AF55" i="26"/>
  <c r="AF65" i="26" s="1"/>
  <c r="AJ70" i="26" s="1"/>
  <c r="AG70" i="26" s="1"/>
  <c r="J28" i="26" l="1"/>
  <c r="M28" i="26" s="1"/>
  <c r="N28" i="26" s="1"/>
  <c r="J23" i="26"/>
  <c r="M23" i="26" s="1"/>
  <c r="N23" i="26" s="1"/>
  <c r="P42" i="26"/>
  <c r="AG50" i="26" s="1"/>
  <c r="U41" i="26"/>
  <c r="W41" i="26" s="1"/>
  <c r="M41" i="26"/>
  <c r="N41" i="26" s="1"/>
  <c r="U40" i="26"/>
  <c r="W40" i="26" s="1"/>
  <c r="M40" i="26"/>
  <c r="N40" i="26" s="1"/>
  <c r="U39" i="26"/>
  <c r="W39" i="26" s="1"/>
  <c r="M39" i="26"/>
  <c r="N39" i="26" s="1"/>
  <c r="U38" i="26"/>
  <c r="W38" i="26" s="1"/>
  <c r="M38" i="26"/>
  <c r="N38" i="26" s="1"/>
  <c r="U37" i="26"/>
  <c r="W37" i="26" s="1"/>
  <c r="M37" i="26"/>
  <c r="N37" i="26" s="1"/>
  <c r="U36" i="26"/>
  <c r="W36" i="26" s="1"/>
  <c r="M36" i="26"/>
  <c r="N36" i="26" s="1"/>
  <c r="U35" i="26"/>
  <c r="W35" i="26" s="1"/>
  <c r="M35" i="26"/>
  <c r="N35" i="26" s="1"/>
  <c r="U34" i="26"/>
  <c r="W34" i="26" s="1"/>
  <c r="M34" i="26"/>
  <c r="N34" i="26" s="1"/>
  <c r="U33" i="26"/>
  <c r="W33" i="26" s="1"/>
  <c r="M33" i="26"/>
  <c r="N33" i="26" s="1"/>
  <c r="U32" i="26"/>
  <c r="W32" i="26" s="1"/>
  <c r="M32" i="26"/>
  <c r="N32" i="26" s="1"/>
  <c r="U31" i="26"/>
  <c r="W31" i="26" s="1"/>
  <c r="M31" i="26"/>
  <c r="N31" i="26" s="1"/>
  <c r="AJ38" i="26"/>
  <c r="AF38" i="26"/>
  <c r="U30" i="26"/>
  <c r="W30" i="26" s="1"/>
  <c r="M30" i="26"/>
  <c r="N30" i="26" s="1"/>
  <c r="AJ37" i="26"/>
  <c r="AF37" i="26"/>
  <c r="U29" i="26"/>
  <c r="W29" i="26" s="1"/>
  <c r="M29" i="26"/>
  <c r="N29" i="26" s="1"/>
  <c r="AJ36" i="26"/>
  <c r="AF36" i="26"/>
  <c r="U28" i="26"/>
  <c r="W28" i="26" s="1"/>
  <c r="AJ35" i="26"/>
  <c r="U27" i="26"/>
  <c r="W27" i="26" s="1"/>
  <c r="M27" i="26"/>
  <c r="N27" i="26" s="1"/>
  <c r="AJ34" i="26"/>
  <c r="AF34" i="26"/>
  <c r="U26" i="26"/>
  <c r="W26" i="26" s="1"/>
  <c r="M26" i="26"/>
  <c r="N26" i="26" s="1"/>
  <c r="AJ33" i="26"/>
  <c r="AF33" i="26"/>
  <c r="U25" i="26"/>
  <c r="W25" i="26" s="1"/>
  <c r="M25" i="26"/>
  <c r="N25" i="26" s="1"/>
  <c r="AJ32" i="26"/>
  <c r="AF32" i="26"/>
  <c r="U24" i="26"/>
  <c r="W24" i="26" s="1"/>
  <c r="M24" i="26"/>
  <c r="N24" i="26" s="1"/>
  <c r="AJ31" i="26"/>
  <c r="AF31" i="26"/>
  <c r="U23" i="26"/>
  <c r="W23" i="26" s="1"/>
  <c r="AJ30" i="26"/>
  <c r="AF30" i="26"/>
  <c r="AJ40" i="26" l="1"/>
  <c r="AF40" i="26"/>
  <c r="AJ45" i="26" s="1"/>
  <c r="AG45" i="26" s="1"/>
  <c r="J12" i="26"/>
  <c r="J11" i="26"/>
  <c r="M11" i="26" s="1"/>
  <c r="N11" i="26" s="1"/>
  <c r="J10" i="26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9" i="4"/>
  <c r="H40" i="4"/>
  <c r="H41" i="4"/>
  <c r="H42" i="4"/>
  <c r="H43" i="4"/>
  <c r="H44" i="4"/>
  <c r="H45" i="4"/>
  <c r="H46" i="4"/>
  <c r="H47" i="4"/>
  <c r="H48" i="4"/>
  <c r="H49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6" i="4"/>
  <c r="AG23" i="26"/>
  <c r="U22" i="26"/>
  <c r="W22" i="26" s="1"/>
  <c r="M22" i="26"/>
  <c r="N22" i="26" s="1"/>
  <c r="U21" i="26"/>
  <c r="W21" i="26" s="1"/>
  <c r="M21" i="26"/>
  <c r="W20" i="26"/>
  <c r="U20" i="26"/>
  <c r="N20" i="26"/>
  <c r="M20" i="26"/>
  <c r="W19" i="26"/>
  <c r="U19" i="26"/>
  <c r="M19" i="26"/>
  <c r="N19" i="26" s="1"/>
  <c r="U18" i="26"/>
  <c r="W18" i="26" s="1"/>
  <c r="M18" i="26"/>
  <c r="N18" i="26" s="1"/>
  <c r="U17" i="26"/>
  <c r="W17" i="26" s="1"/>
  <c r="M17" i="26"/>
  <c r="N17" i="26" s="1"/>
  <c r="U16" i="26"/>
  <c r="W16" i="26" s="1"/>
  <c r="M16" i="26"/>
  <c r="N16" i="26" s="1"/>
  <c r="U15" i="26"/>
  <c r="W15" i="26" s="1"/>
  <c r="M15" i="26"/>
  <c r="N15" i="26" s="1"/>
  <c r="U14" i="26"/>
  <c r="W14" i="26" s="1"/>
  <c r="M14" i="26"/>
  <c r="N14" i="26" s="1"/>
  <c r="U13" i="26"/>
  <c r="W13" i="26" s="1"/>
  <c r="M13" i="26"/>
  <c r="N13" i="26" s="1"/>
  <c r="W12" i="26"/>
  <c r="U12" i="26"/>
  <c r="N12" i="26"/>
  <c r="M12" i="26"/>
  <c r="AJ11" i="26"/>
  <c r="AF11" i="26"/>
  <c r="U11" i="26"/>
  <c r="W11" i="26" s="1"/>
  <c r="AJ10" i="26"/>
  <c r="AF10" i="26"/>
  <c r="U10" i="26"/>
  <c r="W10" i="26" s="1"/>
  <c r="M10" i="26"/>
  <c r="N10" i="26" s="1"/>
  <c r="AJ9" i="26"/>
  <c r="AF9" i="26"/>
  <c r="U9" i="26"/>
  <c r="W9" i="26" s="1"/>
  <c r="M9" i="26"/>
  <c r="N9" i="26" s="1"/>
  <c r="AJ8" i="26"/>
  <c r="AF8" i="26"/>
  <c r="W8" i="26"/>
  <c r="U8" i="26"/>
  <c r="N8" i="26"/>
  <c r="M8" i="26"/>
  <c r="AJ7" i="26"/>
  <c r="AF7" i="26"/>
  <c r="W7" i="26"/>
  <c r="U7" i="26"/>
  <c r="N7" i="26"/>
  <c r="M7" i="26"/>
  <c r="AJ6" i="26"/>
  <c r="AF6" i="26"/>
  <c r="W6" i="26"/>
  <c r="U6" i="26"/>
  <c r="M6" i="26"/>
  <c r="N6" i="26" s="1"/>
  <c r="AJ5" i="26"/>
  <c r="AF5" i="26"/>
  <c r="U5" i="26"/>
  <c r="W5" i="26" s="1"/>
  <c r="M5" i="26"/>
  <c r="N5" i="26" s="1"/>
  <c r="AJ4" i="26"/>
  <c r="AF4" i="26"/>
  <c r="U4" i="26"/>
  <c r="W4" i="26" s="1"/>
  <c r="M4" i="26"/>
  <c r="N4" i="26" s="1"/>
  <c r="AJ3" i="26"/>
  <c r="AF3" i="26"/>
  <c r="AF13" i="26" l="1"/>
  <c r="AJ18" i="26" s="1"/>
  <c r="AG18" i="26" s="1"/>
  <c r="AJ50" i="26"/>
  <c r="AJ42" i="26"/>
  <c r="AJ13" i="26"/>
  <c r="AJ23" i="26" s="1"/>
  <c r="J152" i="25"/>
  <c r="J153" i="25"/>
  <c r="M153" i="25" s="1"/>
  <c r="N153" i="25" s="1"/>
  <c r="Q150" i="25"/>
  <c r="R146" i="25" s="1"/>
  <c r="Q160" i="25"/>
  <c r="J150" i="25"/>
  <c r="P159" i="25"/>
  <c r="AG159" i="25" s="1"/>
  <c r="U158" i="25"/>
  <c r="W158" i="25" s="1"/>
  <c r="M158" i="25"/>
  <c r="N158" i="25" s="1"/>
  <c r="U157" i="25"/>
  <c r="W157" i="25" s="1"/>
  <c r="M157" i="25"/>
  <c r="N157" i="25" s="1"/>
  <c r="U156" i="25"/>
  <c r="W156" i="25" s="1"/>
  <c r="M156" i="25"/>
  <c r="N156" i="25" s="1"/>
  <c r="U155" i="25"/>
  <c r="W155" i="25" s="1"/>
  <c r="M155" i="25"/>
  <c r="N155" i="25" s="1"/>
  <c r="U154" i="25"/>
  <c r="W154" i="25" s="1"/>
  <c r="M154" i="25"/>
  <c r="N154" i="25" s="1"/>
  <c r="U153" i="25"/>
  <c r="W153" i="25" s="1"/>
  <c r="U152" i="25"/>
  <c r="W152" i="25" s="1"/>
  <c r="M152" i="25"/>
  <c r="N152" i="25" s="1"/>
  <c r="U151" i="25"/>
  <c r="W151" i="25" s="1"/>
  <c r="M151" i="25"/>
  <c r="N151" i="25" s="1"/>
  <c r="U150" i="25"/>
  <c r="W150" i="25" s="1"/>
  <c r="M150" i="25"/>
  <c r="N150" i="25" s="1"/>
  <c r="U149" i="25"/>
  <c r="W149" i="25" s="1"/>
  <c r="M149" i="25"/>
  <c r="N149" i="25" s="1"/>
  <c r="U148" i="25"/>
  <c r="W148" i="25" s="1"/>
  <c r="M148" i="25"/>
  <c r="N148" i="25" s="1"/>
  <c r="AJ147" i="25"/>
  <c r="AF147" i="25"/>
  <c r="U147" i="25"/>
  <c r="W147" i="25" s="1"/>
  <c r="M147" i="25"/>
  <c r="N147" i="25" s="1"/>
  <c r="AJ146" i="25"/>
  <c r="AF146" i="25"/>
  <c r="U146" i="25"/>
  <c r="W146" i="25" s="1"/>
  <c r="M146" i="25"/>
  <c r="N146" i="25" s="1"/>
  <c r="AJ145" i="25"/>
  <c r="AF145" i="25"/>
  <c r="U145" i="25"/>
  <c r="W145" i="25" s="1"/>
  <c r="M145" i="25"/>
  <c r="N145" i="25" s="1"/>
  <c r="AJ144" i="25"/>
  <c r="AF144" i="25"/>
  <c r="U144" i="25"/>
  <c r="W144" i="25" s="1"/>
  <c r="M144" i="25"/>
  <c r="AJ143" i="25"/>
  <c r="AF143" i="25"/>
  <c r="U143" i="25"/>
  <c r="W143" i="25" s="1"/>
  <c r="M143" i="25"/>
  <c r="AJ142" i="25"/>
  <c r="AF142" i="25"/>
  <c r="U142" i="25"/>
  <c r="W142" i="25" s="1"/>
  <c r="M142" i="25"/>
  <c r="N142" i="25" s="1"/>
  <c r="AJ141" i="25"/>
  <c r="AF141" i="25"/>
  <c r="U141" i="25"/>
  <c r="W141" i="25" s="1"/>
  <c r="M141" i="25"/>
  <c r="AJ140" i="25"/>
  <c r="AF140" i="25"/>
  <c r="U140" i="25"/>
  <c r="W140" i="25" s="1"/>
  <c r="M140" i="25"/>
  <c r="N140" i="25" s="1"/>
  <c r="AJ139" i="25"/>
  <c r="AF139" i="25"/>
  <c r="AJ149" i="25" l="1"/>
  <c r="AF149" i="25"/>
  <c r="AJ154" i="25" s="1"/>
  <c r="AG154" i="25" s="1"/>
  <c r="P132" i="25"/>
  <c r="AG132" i="25" s="1"/>
  <c r="U131" i="25"/>
  <c r="W131" i="25" s="1"/>
  <c r="M131" i="25"/>
  <c r="N131" i="25" s="1"/>
  <c r="U130" i="25"/>
  <c r="W130" i="25" s="1"/>
  <c r="M130" i="25"/>
  <c r="U129" i="25"/>
  <c r="W129" i="25" s="1"/>
  <c r="M129" i="25"/>
  <c r="U128" i="25"/>
  <c r="W128" i="25" s="1"/>
  <c r="M128" i="25"/>
  <c r="N128" i="25" s="1"/>
  <c r="U127" i="25"/>
  <c r="W127" i="25" s="1"/>
  <c r="M127" i="25"/>
  <c r="N127" i="25" s="1"/>
  <c r="U126" i="25"/>
  <c r="W126" i="25" s="1"/>
  <c r="M126" i="25"/>
  <c r="N126" i="25" s="1"/>
  <c r="U125" i="25"/>
  <c r="W125" i="25" s="1"/>
  <c r="M125" i="25"/>
  <c r="U124" i="25"/>
  <c r="W124" i="25" s="1"/>
  <c r="M124" i="25"/>
  <c r="N124" i="25" s="1"/>
  <c r="U123" i="25"/>
  <c r="W123" i="25" s="1"/>
  <c r="M123" i="25"/>
  <c r="N123" i="25" s="1"/>
  <c r="U122" i="25"/>
  <c r="W122" i="25" s="1"/>
  <c r="M122" i="25"/>
  <c r="N122" i="25" s="1"/>
  <c r="U121" i="25"/>
  <c r="W121" i="25" s="1"/>
  <c r="M121" i="25"/>
  <c r="N121" i="25" s="1"/>
  <c r="AJ120" i="25"/>
  <c r="AF120" i="25"/>
  <c r="U120" i="25"/>
  <c r="W120" i="25" s="1"/>
  <c r="M120" i="25"/>
  <c r="N120" i="25" s="1"/>
  <c r="AJ119" i="25"/>
  <c r="AF119" i="25"/>
  <c r="U119" i="25"/>
  <c r="W119" i="25" s="1"/>
  <c r="M119" i="25"/>
  <c r="AJ118" i="25"/>
  <c r="AF118" i="25"/>
  <c r="U118" i="25"/>
  <c r="W118" i="25" s="1"/>
  <c r="M118" i="25"/>
  <c r="N118" i="25" s="1"/>
  <c r="AJ117" i="25"/>
  <c r="AF117" i="25"/>
  <c r="U117" i="25"/>
  <c r="W117" i="25" s="1"/>
  <c r="M117" i="25"/>
  <c r="N117" i="25" s="1"/>
  <c r="AJ116" i="25"/>
  <c r="AF116" i="25"/>
  <c r="U116" i="25"/>
  <c r="W116" i="25" s="1"/>
  <c r="M116" i="25"/>
  <c r="N116" i="25" s="1"/>
  <c r="AJ115" i="25"/>
  <c r="AF115" i="25"/>
  <c r="U115" i="25"/>
  <c r="W115" i="25" s="1"/>
  <c r="M115" i="25"/>
  <c r="N115" i="25" s="1"/>
  <c r="AJ114" i="25"/>
  <c r="AF114" i="25"/>
  <c r="U114" i="25"/>
  <c r="W114" i="25" s="1"/>
  <c r="M114" i="25"/>
  <c r="N114" i="25" s="1"/>
  <c r="AJ113" i="25"/>
  <c r="AF113" i="25"/>
  <c r="U113" i="25"/>
  <c r="W113" i="25" s="1"/>
  <c r="M113" i="25"/>
  <c r="N113" i="25" s="1"/>
  <c r="AJ112" i="25"/>
  <c r="AF112" i="25"/>
  <c r="AF122" i="25" s="1"/>
  <c r="AJ127" i="25" s="1"/>
  <c r="AG127" i="25" s="1"/>
  <c r="AJ159" i="25" l="1"/>
  <c r="R147" i="25"/>
  <c r="AJ122" i="25"/>
  <c r="AJ132" i="25" s="1"/>
  <c r="J88" i="25"/>
  <c r="P105" i="25"/>
  <c r="AG105" i="25" s="1"/>
  <c r="U104" i="25"/>
  <c r="W104" i="25" s="1"/>
  <c r="M104" i="25"/>
  <c r="N104" i="25" s="1"/>
  <c r="U103" i="25"/>
  <c r="W103" i="25" s="1"/>
  <c r="M103" i="25"/>
  <c r="N103" i="25" s="1"/>
  <c r="U102" i="25"/>
  <c r="W102" i="25" s="1"/>
  <c r="M102" i="25"/>
  <c r="N102" i="25" s="1"/>
  <c r="U101" i="25"/>
  <c r="W101" i="25" s="1"/>
  <c r="M101" i="25"/>
  <c r="N101" i="25" s="1"/>
  <c r="U100" i="25"/>
  <c r="W100" i="25" s="1"/>
  <c r="M100" i="25"/>
  <c r="N100" i="25" s="1"/>
  <c r="U99" i="25"/>
  <c r="W99" i="25" s="1"/>
  <c r="M99" i="25"/>
  <c r="N99" i="25" s="1"/>
  <c r="U98" i="25"/>
  <c r="W98" i="25" s="1"/>
  <c r="M98" i="25"/>
  <c r="N98" i="25" s="1"/>
  <c r="U97" i="25"/>
  <c r="W97" i="25" s="1"/>
  <c r="M97" i="25"/>
  <c r="N97" i="25" s="1"/>
  <c r="U96" i="25"/>
  <c r="W96" i="25" s="1"/>
  <c r="M96" i="25"/>
  <c r="N96" i="25" s="1"/>
  <c r="U95" i="25"/>
  <c r="W95" i="25" s="1"/>
  <c r="M95" i="25"/>
  <c r="N95" i="25" s="1"/>
  <c r="U94" i="25"/>
  <c r="W94" i="25" s="1"/>
  <c r="M94" i="25"/>
  <c r="N94" i="25" s="1"/>
  <c r="AJ93" i="25"/>
  <c r="AF93" i="25"/>
  <c r="U93" i="25"/>
  <c r="W93" i="25" s="1"/>
  <c r="M93" i="25"/>
  <c r="N93" i="25" s="1"/>
  <c r="AJ92" i="25"/>
  <c r="AF92" i="25"/>
  <c r="U92" i="25"/>
  <c r="W92" i="25" s="1"/>
  <c r="M92" i="25"/>
  <c r="N92" i="25" s="1"/>
  <c r="AJ91" i="25"/>
  <c r="AF91" i="25"/>
  <c r="U91" i="25"/>
  <c r="W91" i="25" s="1"/>
  <c r="M91" i="25"/>
  <c r="N91" i="25" s="1"/>
  <c r="AJ90" i="25"/>
  <c r="AF90" i="25"/>
  <c r="U90" i="25"/>
  <c r="W90" i="25" s="1"/>
  <c r="M90" i="25"/>
  <c r="N90" i="25" s="1"/>
  <c r="AJ89" i="25"/>
  <c r="AF89" i="25"/>
  <c r="U89" i="25"/>
  <c r="W89" i="25" s="1"/>
  <c r="M89" i="25"/>
  <c r="N89" i="25" s="1"/>
  <c r="AJ88" i="25"/>
  <c r="AF88" i="25"/>
  <c r="U88" i="25"/>
  <c r="W88" i="25" s="1"/>
  <c r="M88" i="25"/>
  <c r="N88" i="25" s="1"/>
  <c r="AJ87" i="25"/>
  <c r="AF87" i="25"/>
  <c r="U87" i="25"/>
  <c r="W87" i="25" s="1"/>
  <c r="M87" i="25"/>
  <c r="N87" i="25" s="1"/>
  <c r="AJ86" i="25"/>
  <c r="AF86" i="25"/>
  <c r="U86" i="25"/>
  <c r="W86" i="25" s="1"/>
  <c r="M86" i="25"/>
  <c r="N86" i="25" s="1"/>
  <c r="AJ85" i="25"/>
  <c r="AJ95" i="25" s="1"/>
  <c r="AJ105" i="25" s="1"/>
  <c r="AF85" i="25"/>
  <c r="AF95" i="25" s="1"/>
  <c r="AJ100" i="25" s="1"/>
  <c r="AG100" i="25" s="1"/>
  <c r="R148" i="25" l="1"/>
  <c r="R150" i="25" s="1"/>
  <c r="P78" i="25"/>
  <c r="AG78" i="25" s="1"/>
  <c r="U77" i="25"/>
  <c r="W77" i="25" s="1"/>
  <c r="M77" i="25"/>
  <c r="N77" i="25" s="1"/>
  <c r="U76" i="25"/>
  <c r="W76" i="25" s="1"/>
  <c r="M76" i="25"/>
  <c r="N76" i="25" s="1"/>
  <c r="U75" i="25"/>
  <c r="W75" i="25" s="1"/>
  <c r="M75" i="25"/>
  <c r="N75" i="25" s="1"/>
  <c r="U74" i="25"/>
  <c r="W74" i="25" s="1"/>
  <c r="M74" i="25"/>
  <c r="N74" i="25" s="1"/>
  <c r="U73" i="25"/>
  <c r="W73" i="25" s="1"/>
  <c r="M73" i="25"/>
  <c r="N73" i="25" s="1"/>
  <c r="U72" i="25"/>
  <c r="W72" i="25" s="1"/>
  <c r="M72" i="25"/>
  <c r="N72" i="25" s="1"/>
  <c r="U71" i="25"/>
  <c r="W71" i="25" s="1"/>
  <c r="M71" i="25"/>
  <c r="N71" i="25" s="1"/>
  <c r="U70" i="25"/>
  <c r="W70" i="25" s="1"/>
  <c r="M70" i="25"/>
  <c r="N70" i="25" s="1"/>
  <c r="U69" i="25"/>
  <c r="W69" i="25" s="1"/>
  <c r="M69" i="25"/>
  <c r="N69" i="25" s="1"/>
  <c r="U68" i="25"/>
  <c r="W68" i="25" s="1"/>
  <c r="M68" i="25"/>
  <c r="N68" i="25" s="1"/>
  <c r="U67" i="25"/>
  <c r="W67" i="25" s="1"/>
  <c r="M67" i="25"/>
  <c r="N67" i="25" s="1"/>
  <c r="AJ66" i="25"/>
  <c r="AF66" i="25"/>
  <c r="U66" i="25"/>
  <c r="W66" i="25" s="1"/>
  <c r="M66" i="25"/>
  <c r="N66" i="25" s="1"/>
  <c r="AJ65" i="25"/>
  <c r="AF65" i="25"/>
  <c r="U65" i="25"/>
  <c r="W65" i="25" s="1"/>
  <c r="M65" i="25"/>
  <c r="N65" i="25" s="1"/>
  <c r="AJ64" i="25"/>
  <c r="AF64" i="25"/>
  <c r="U64" i="25"/>
  <c r="W64" i="25" s="1"/>
  <c r="M64" i="25"/>
  <c r="N64" i="25" s="1"/>
  <c r="AJ63" i="25"/>
  <c r="AF63" i="25"/>
  <c r="U63" i="25"/>
  <c r="W63" i="25" s="1"/>
  <c r="M63" i="25"/>
  <c r="N63" i="25" s="1"/>
  <c r="AJ62" i="25"/>
  <c r="AF62" i="25"/>
  <c r="U62" i="25"/>
  <c r="W62" i="25" s="1"/>
  <c r="M62" i="25"/>
  <c r="N62" i="25" s="1"/>
  <c r="AJ61" i="25"/>
  <c r="AF61" i="25"/>
  <c r="U61" i="25"/>
  <c r="W61" i="25" s="1"/>
  <c r="J61" i="25"/>
  <c r="M61" i="25" s="1"/>
  <c r="N61" i="25" s="1"/>
  <c r="AJ60" i="25"/>
  <c r="AF60" i="25"/>
  <c r="U60" i="25"/>
  <c r="W60" i="25" s="1"/>
  <c r="J60" i="25"/>
  <c r="M60" i="25" s="1"/>
  <c r="N60" i="25" s="1"/>
  <c r="AJ59" i="25"/>
  <c r="AF59" i="25"/>
  <c r="U59" i="25"/>
  <c r="W59" i="25" s="1"/>
  <c r="J59" i="25"/>
  <c r="M59" i="25" s="1"/>
  <c r="N59" i="25" s="1"/>
  <c r="AJ58" i="25"/>
  <c r="AF58" i="25"/>
  <c r="AF68" i="25" l="1"/>
  <c r="AJ73" i="25" s="1"/>
  <c r="AG73" i="25" s="1"/>
  <c r="R149" i="25"/>
  <c r="AJ68" i="25"/>
  <c r="AJ78" i="25" s="1"/>
  <c r="G90" i="4"/>
  <c r="G126" i="4"/>
  <c r="G102" i="4"/>
  <c r="F124" i="4"/>
  <c r="G34" i="4"/>
  <c r="G107" i="4"/>
  <c r="G114" i="4"/>
  <c r="G48" i="4"/>
  <c r="AN40" i="25" l="1"/>
  <c r="J32" i="25" l="1"/>
  <c r="G77" i="4"/>
  <c r="G197" i="4"/>
  <c r="G147" i="4"/>
  <c r="G196" i="4"/>
  <c r="G195" i="4"/>
  <c r="G74" i="4"/>
  <c r="G194" i="4"/>
  <c r="G193" i="4"/>
  <c r="G59" i="4"/>
  <c r="G78" i="4"/>
  <c r="P50" i="25"/>
  <c r="AG50" i="25" s="1"/>
  <c r="U49" i="25"/>
  <c r="W49" i="25" s="1"/>
  <c r="M49" i="25"/>
  <c r="N49" i="25" s="1"/>
  <c r="U48" i="25"/>
  <c r="W48" i="25" s="1"/>
  <c r="M48" i="25"/>
  <c r="N48" i="25" s="1"/>
  <c r="U47" i="25"/>
  <c r="W47" i="25" s="1"/>
  <c r="M47" i="25"/>
  <c r="N47" i="25" s="1"/>
  <c r="U46" i="25"/>
  <c r="W46" i="25" s="1"/>
  <c r="M46" i="25"/>
  <c r="N46" i="25" s="1"/>
  <c r="U45" i="25"/>
  <c r="W45" i="25" s="1"/>
  <c r="M45" i="25"/>
  <c r="N45" i="25" s="1"/>
  <c r="U44" i="25"/>
  <c r="W44" i="25" s="1"/>
  <c r="M44" i="25"/>
  <c r="N44" i="25" s="1"/>
  <c r="U43" i="25"/>
  <c r="W43" i="25" s="1"/>
  <c r="M43" i="25"/>
  <c r="W42" i="25"/>
  <c r="U42" i="25"/>
  <c r="N42" i="25"/>
  <c r="M42" i="25"/>
  <c r="W41" i="25"/>
  <c r="U41" i="25"/>
  <c r="N41" i="25"/>
  <c r="M41" i="25"/>
  <c r="W40" i="25"/>
  <c r="U40" i="25"/>
  <c r="N40" i="25"/>
  <c r="M40" i="25"/>
  <c r="W39" i="25"/>
  <c r="U39" i="25"/>
  <c r="N39" i="25"/>
  <c r="M39" i="25"/>
  <c r="AJ38" i="25"/>
  <c r="AF38" i="25"/>
  <c r="W38" i="25"/>
  <c r="U38" i="25"/>
  <c r="N38" i="25"/>
  <c r="M38" i="25"/>
  <c r="AJ37" i="25"/>
  <c r="AF37" i="25"/>
  <c r="W37" i="25"/>
  <c r="U37" i="25"/>
  <c r="N37" i="25"/>
  <c r="M37" i="25"/>
  <c r="AJ36" i="25"/>
  <c r="AF36" i="25"/>
  <c r="W36" i="25"/>
  <c r="U36" i="25"/>
  <c r="N36" i="25"/>
  <c r="M36" i="25"/>
  <c r="AJ35" i="25"/>
  <c r="AF35" i="25"/>
  <c r="W35" i="25"/>
  <c r="U35" i="25"/>
  <c r="M35" i="25"/>
  <c r="N35" i="25" s="1"/>
  <c r="AJ34" i="25"/>
  <c r="AF34" i="25"/>
  <c r="U34" i="25"/>
  <c r="W34" i="25" s="1"/>
  <c r="M34" i="25"/>
  <c r="N34" i="25" s="1"/>
  <c r="AJ33" i="25"/>
  <c r="AF33" i="25"/>
  <c r="U33" i="25"/>
  <c r="W33" i="25" s="1"/>
  <c r="M33" i="25"/>
  <c r="N33" i="25" s="1"/>
  <c r="AJ32" i="25"/>
  <c r="AF32" i="25"/>
  <c r="U32" i="25"/>
  <c r="W32" i="25" s="1"/>
  <c r="M32" i="25"/>
  <c r="N32" i="25" s="1"/>
  <c r="AJ31" i="25"/>
  <c r="AF31" i="25"/>
  <c r="W31" i="25"/>
  <c r="U31" i="25"/>
  <c r="M31" i="25"/>
  <c r="N31" i="25" s="1"/>
  <c r="AJ30" i="25"/>
  <c r="AF30" i="25"/>
  <c r="AF40" i="25" s="1"/>
  <c r="AJ45" i="25" s="1"/>
  <c r="AG45" i="25" s="1"/>
  <c r="AJ40" i="25" l="1"/>
  <c r="AJ50" i="25" s="1"/>
  <c r="V1" i="25"/>
  <c r="E10" i="24" l="1"/>
  <c r="G10" i="24" s="1"/>
  <c r="E8" i="24"/>
  <c r="G8" i="24" s="1"/>
  <c r="P23" i="25"/>
  <c r="AG23" i="25" s="1"/>
  <c r="U22" i="25"/>
  <c r="W22" i="25" s="1"/>
  <c r="M22" i="25"/>
  <c r="N22" i="25" s="1"/>
  <c r="U21" i="25"/>
  <c r="W21" i="25" s="1"/>
  <c r="N21" i="25"/>
  <c r="M21" i="25"/>
  <c r="U20" i="25"/>
  <c r="W20" i="25" s="1"/>
  <c r="M20" i="25"/>
  <c r="N20" i="25" s="1"/>
  <c r="U19" i="25"/>
  <c r="W19" i="25" s="1"/>
  <c r="N19" i="25"/>
  <c r="M19" i="25"/>
  <c r="U18" i="25"/>
  <c r="W18" i="25" s="1"/>
  <c r="M18" i="25"/>
  <c r="N18" i="25" s="1"/>
  <c r="U17" i="25"/>
  <c r="W17" i="25" s="1"/>
  <c r="N17" i="25"/>
  <c r="M17" i="25"/>
  <c r="U16" i="25"/>
  <c r="W16" i="25" s="1"/>
  <c r="M16" i="25"/>
  <c r="N16" i="25" s="1"/>
  <c r="U15" i="25"/>
  <c r="W15" i="25" s="1"/>
  <c r="N15" i="25"/>
  <c r="M15" i="25"/>
  <c r="U14" i="25"/>
  <c r="W14" i="25" s="1"/>
  <c r="M14" i="25"/>
  <c r="N14" i="25" s="1"/>
  <c r="U13" i="25"/>
  <c r="W13" i="25" s="1"/>
  <c r="N13" i="25"/>
  <c r="M13" i="25"/>
  <c r="U12" i="25"/>
  <c r="W12" i="25" s="1"/>
  <c r="M12" i="25"/>
  <c r="N12" i="25" s="1"/>
  <c r="AJ11" i="25"/>
  <c r="AF11" i="25"/>
  <c r="U11" i="25"/>
  <c r="W11" i="25" s="1"/>
  <c r="N11" i="25"/>
  <c r="M11" i="25"/>
  <c r="AJ10" i="25"/>
  <c r="AF10" i="25"/>
  <c r="U10" i="25"/>
  <c r="W10" i="25" s="1"/>
  <c r="M10" i="25"/>
  <c r="N10" i="25" s="1"/>
  <c r="AJ9" i="25"/>
  <c r="AF9" i="25"/>
  <c r="U9" i="25"/>
  <c r="W9" i="25" s="1"/>
  <c r="M9" i="25"/>
  <c r="N9" i="25" s="1"/>
  <c r="AJ8" i="25"/>
  <c r="AF8" i="25"/>
  <c r="U8" i="25"/>
  <c r="W8" i="25" s="1"/>
  <c r="M8" i="25"/>
  <c r="AJ7" i="25"/>
  <c r="AF7" i="25"/>
  <c r="U7" i="25"/>
  <c r="W7" i="25" s="1"/>
  <c r="M7" i="25"/>
  <c r="N7" i="25" s="1"/>
  <c r="AJ6" i="25"/>
  <c r="AF6" i="25"/>
  <c r="U6" i="25"/>
  <c r="W6" i="25" s="1"/>
  <c r="M6" i="25"/>
  <c r="N6" i="25" s="1"/>
  <c r="AJ5" i="25"/>
  <c r="AF5" i="25"/>
  <c r="U5" i="25"/>
  <c r="W5" i="25" s="1"/>
  <c r="M5" i="25"/>
  <c r="N5" i="25" s="1"/>
  <c r="AJ4" i="25"/>
  <c r="AF4" i="25"/>
  <c r="U4" i="25"/>
  <c r="W4" i="25" s="1"/>
  <c r="M4" i="25"/>
  <c r="N4" i="25" s="1"/>
  <c r="AJ3" i="25"/>
  <c r="AF3" i="25"/>
  <c r="AJ13" i="25" l="1"/>
  <c r="AJ23" i="25" s="1"/>
  <c r="AF13" i="25"/>
  <c r="AJ18" i="25" s="1"/>
  <c r="AG18" i="25" s="1"/>
  <c r="J94" i="22"/>
  <c r="J93" i="22"/>
  <c r="M93" i="22"/>
  <c r="N93" i="22" s="1"/>
  <c r="J91" i="22"/>
  <c r="T86" i="22"/>
  <c r="P108" i="22"/>
  <c r="AG108" i="22" s="1"/>
  <c r="U107" i="22"/>
  <c r="W107" i="22" s="1"/>
  <c r="M107" i="22"/>
  <c r="N107" i="22" s="1"/>
  <c r="U106" i="22"/>
  <c r="W106" i="22" s="1"/>
  <c r="M106" i="22"/>
  <c r="N106" i="22" s="1"/>
  <c r="U105" i="22"/>
  <c r="W105" i="22" s="1"/>
  <c r="M105" i="22"/>
  <c r="N105" i="22" s="1"/>
  <c r="U104" i="22"/>
  <c r="W104" i="22" s="1"/>
  <c r="M104" i="22"/>
  <c r="N104" i="22" s="1"/>
  <c r="U103" i="22"/>
  <c r="W103" i="22" s="1"/>
  <c r="M103" i="22"/>
  <c r="N103" i="22" s="1"/>
  <c r="U102" i="22"/>
  <c r="W102" i="22" s="1"/>
  <c r="M102" i="22"/>
  <c r="N102" i="22" s="1"/>
  <c r="U101" i="22"/>
  <c r="W101" i="22" s="1"/>
  <c r="M101" i="22"/>
  <c r="N101" i="22" s="1"/>
  <c r="U100" i="22"/>
  <c r="W100" i="22" s="1"/>
  <c r="M100" i="22"/>
  <c r="N100" i="22" s="1"/>
  <c r="U99" i="22"/>
  <c r="W99" i="22" s="1"/>
  <c r="M99" i="22"/>
  <c r="N99" i="22" s="1"/>
  <c r="U98" i="22"/>
  <c r="W98" i="22" s="1"/>
  <c r="M98" i="22"/>
  <c r="N98" i="22" s="1"/>
  <c r="U97" i="22"/>
  <c r="W97" i="22" s="1"/>
  <c r="M97" i="22"/>
  <c r="N97" i="22" s="1"/>
  <c r="AJ96" i="22"/>
  <c r="AF96" i="22"/>
  <c r="U96" i="22"/>
  <c r="W96" i="22" s="1"/>
  <c r="M96" i="22"/>
  <c r="N96" i="22" s="1"/>
  <c r="AJ95" i="22"/>
  <c r="AF95" i="22"/>
  <c r="U95" i="22"/>
  <c r="W95" i="22" s="1"/>
  <c r="M95" i="22"/>
  <c r="N95" i="22" s="1"/>
  <c r="AJ94" i="22"/>
  <c r="AF94" i="22"/>
  <c r="U94" i="22"/>
  <c r="W94" i="22" s="1"/>
  <c r="M94" i="22"/>
  <c r="N94" i="22" s="1"/>
  <c r="AJ93" i="22"/>
  <c r="AF93" i="22"/>
  <c r="U93" i="22"/>
  <c r="W93" i="22" s="1"/>
  <c r="AJ92" i="22"/>
  <c r="AF92" i="22"/>
  <c r="U92" i="22"/>
  <c r="W92" i="22" s="1"/>
  <c r="M92" i="22"/>
  <c r="N92" i="22" s="1"/>
  <c r="AJ91" i="22"/>
  <c r="AF91" i="22"/>
  <c r="U91" i="22"/>
  <c r="W91" i="22" s="1"/>
  <c r="M91" i="22"/>
  <c r="N91" i="22" s="1"/>
  <c r="AJ90" i="22"/>
  <c r="AF90" i="22"/>
  <c r="U90" i="22"/>
  <c r="W90" i="22" s="1"/>
  <c r="M90" i="22"/>
  <c r="N90" i="22" s="1"/>
  <c r="AJ89" i="22"/>
  <c r="AF89" i="22"/>
  <c r="U89" i="22"/>
  <c r="W89" i="22" s="1"/>
  <c r="M89" i="22"/>
  <c r="N89" i="22" s="1"/>
  <c r="AJ88" i="22"/>
  <c r="AF88" i="22"/>
  <c r="AJ98" i="22" l="1"/>
  <c r="AJ108" i="22" s="1"/>
  <c r="AF98" i="22"/>
  <c r="AJ103" i="22" s="1"/>
  <c r="AG103" i="22" s="1"/>
  <c r="S56" i="22"/>
  <c r="J57" i="22"/>
  <c r="P80" i="22"/>
  <c r="AG80" i="22" s="1"/>
  <c r="U79" i="22"/>
  <c r="W79" i="22" s="1"/>
  <c r="M79" i="22"/>
  <c r="N79" i="22" s="1"/>
  <c r="U78" i="22"/>
  <c r="W78" i="22" s="1"/>
  <c r="M78" i="22"/>
  <c r="N78" i="22" s="1"/>
  <c r="U77" i="22"/>
  <c r="W77" i="22" s="1"/>
  <c r="M77" i="22"/>
  <c r="N77" i="22" s="1"/>
  <c r="U76" i="22"/>
  <c r="W76" i="22" s="1"/>
  <c r="M76" i="22"/>
  <c r="N76" i="22" s="1"/>
  <c r="U75" i="22"/>
  <c r="W75" i="22" s="1"/>
  <c r="M75" i="22"/>
  <c r="N75" i="22" s="1"/>
  <c r="U74" i="22"/>
  <c r="W74" i="22" s="1"/>
  <c r="M74" i="22"/>
  <c r="N74" i="22" s="1"/>
  <c r="U73" i="22"/>
  <c r="W73" i="22" s="1"/>
  <c r="M73" i="22"/>
  <c r="N73" i="22" s="1"/>
  <c r="U72" i="22"/>
  <c r="W72" i="22" s="1"/>
  <c r="M72" i="22"/>
  <c r="N72" i="22" s="1"/>
  <c r="U71" i="22"/>
  <c r="W71" i="22" s="1"/>
  <c r="M71" i="22"/>
  <c r="N71" i="22" s="1"/>
  <c r="U70" i="22"/>
  <c r="W70" i="22" s="1"/>
  <c r="M70" i="22"/>
  <c r="N70" i="22" s="1"/>
  <c r="U69" i="22"/>
  <c r="W69" i="22" s="1"/>
  <c r="M69" i="22"/>
  <c r="N69" i="22" s="1"/>
  <c r="AJ68" i="22"/>
  <c r="AF68" i="22"/>
  <c r="U68" i="22"/>
  <c r="W68" i="22" s="1"/>
  <c r="M68" i="22"/>
  <c r="N68" i="22" s="1"/>
  <c r="AJ67" i="22"/>
  <c r="AF67" i="22"/>
  <c r="U67" i="22"/>
  <c r="W67" i="22" s="1"/>
  <c r="AJ66" i="22"/>
  <c r="AF66" i="22"/>
  <c r="U66" i="22"/>
  <c r="W66" i="22" s="1"/>
  <c r="M66" i="22"/>
  <c r="N66" i="22" s="1"/>
  <c r="AJ65" i="22"/>
  <c r="AF65" i="22"/>
  <c r="U65" i="22"/>
  <c r="W65" i="22" s="1"/>
  <c r="M65" i="22"/>
  <c r="N65" i="22" s="1"/>
  <c r="AJ64" i="22"/>
  <c r="AF64" i="22"/>
  <c r="U64" i="22"/>
  <c r="W64" i="22" s="1"/>
  <c r="M64" i="22"/>
  <c r="N64" i="22" s="1"/>
  <c r="AJ63" i="22"/>
  <c r="AF63" i="22"/>
  <c r="U63" i="22"/>
  <c r="W63" i="22" s="1"/>
  <c r="M63" i="22"/>
  <c r="N63" i="22" s="1"/>
  <c r="AJ62" i="22"/>
  <c r="AF62" i="22"/>
  <c r="U62" i="22"/>
  <c r="W62" i="22" s="1"/>
  <c r="M62" i="22"/>
  <c r="N62" i="22" s="1"/>
  <c r="AJ61" i="22"/>
  <c r="AF61" i="22"/>
  <c r="U61" i="22"/>
  <c r="W61" i="22" s="1"/>
  <c r="M61" i="22"/>
  <c r="N61" i="22" s="1"/>
  <c r="AJ60" i="22"/>
  <c r="AF60" i="22"/>
  <c r="AM104" i="22" l="1"/>
  <c r="AM103" i="22"/>
  <c r="AJ70" i="22"/>
  <c r="AJ80" i="22" s="1"/>
  <c r="AF70" i="22"/>
  <c r="AJ75" i="22" s="1"/>
  <c r="J38" i="22"/>
  <c r="AG50" i="22"/>
  <c r="P50" i="22"/>
  <c r="W49" i="22"/>
  <c r="U49" i="22"/>
  <c r="N49" i="22"/>
  <c r="M49" i="22"/>
  <c r="W48" i="22"/>
  <c r="U48" i="22"/>
  <c r="N48" i="22"/>
  <c r="M48" i="22"/>
  <c r="W47" i="22"/>
  <c r="U47" i="22"/>
  <c r="N47" i="22"/>
  <c r="M47" i="22"/>
  <c r="W46" i="22"/>
  <c r="U46" i="22"/>
  <c r="N46" i="22"/>
  <c r="M46" i="22"/>
  <c r="W45" i="22"/>
  <c r="U45" i="22"/>
  <c r="N45" i="22"/>
  <c r="M45" i="22"/>
  <c r="W44" i="22"/>
  <c r="U44" i="22"/>
  <c r="N44" i="22"/>
  <c r="M44" i="22"/>
  <c r="W43" i="22"/>
  <c r="U43" i="22"/>
  <c r="N43" i="22"/>
  <c r="M43" i="22"/>
  <c r="W42" i="22"/>
  <c r="U42" i="22"/>
  <c r="M42" i="22"/>
  <c r="N42" i="22" s="1"/>
  <c r="U41" i="22"/>
  <c r="W41" i="22" s="1"/>
  <c r="M41" i="22"/>
  <c r="N41" i="22" s="1"/>
  <c r="W40" i="22"/>
  <c r="U40" i="22"/>
  <c r="M40" i="22"/>
  <c r="N40" i="22" s="1"/>
  <c r="U39" i="22"/>
  <c r="W39" i="22" s="1"/>
  <c r="M39" i="22"/>
  <c r="N39" i="22" s="1"/>
  <c r="AJ38" i="22"/>
  <c r="AF38" i="22"/>
  <c r="U38" i="22"/>
  <c r="W38" i="22" s="1"/>
  <c r="M38" i="22"/>
  <c r="N38" i="22" s="1"/>
  <c r="AJ37" i="22"/>
  <c r="AF37" i="22"/>
  <c r="W37" i="22"/>
  <c r="U37" i="22"/>
  <c r="N37" i="22"/>
  <c r="M37" i="22"/>
  <c r="AJ36" i="22"/>
  <c r="AF36" i="22"/>
  <c r="W36" i="22"/>
  <c r="U36" i="22"/>
  <c r="M36" i="22"/>
  <c r="N36" i="22" s="1"/>
  <c r="AJ35" i="22"/>
  <c r="AF35" i="22"/>
  <c r="U35" i="22"/>
  <c r="W35" i="22" s="1"/>
  <c r="M35" i="22"/>
  <c r="N35" i="22" s="1"/>
  <c r="AJ34" i="22"/>
  <c r="AF34" i="22"/>
  <c r="U34" i="22"/>
  <c r="W34" i="22" s="1"/>
  <c r="N34" i="22"/>
  <c r="M34" i="22"/>
  <c r="AJ33" i="22"/>
  <c r="AF33" i="22"/>
  <c r="U33" i="22"/>
  <c r="W33" i="22" s="1"/>
  <c r="M33" i="22"/>
  <c r="N33" i="22" s="1"/>
  <c r="AJ32" i="22"/>
  <c r="AF32" i="22"/>
  <c r="U32" i="22"/>
  <c r="W32" i="22" s="1"/>
  <c r="M32" i="22"/>
  <c r="N32" i="22" s="1"/>
  <c r="AJ31" i="22"/>
  <c r="AF31" i="22"/>
  <c r="U31" i="22"/>
  <c r="W31" i="22" s="1"/>
  <c r="M31" i="22"/>
  <c r="N31" i="22" s="1"/>
  <c r="AJ30" i="22"/>
  <c r="AF30" i="22"/>
  <c r="AG75" i="22" l="1"/>
  <c r="AN77" i="22"/>
  <c r="AJ40" i="22"/>
  <c r="AJ50" i="22" s="1"/>
  <c r="AF40" i="22"/>
  <c r="AJ45" i="22" s="1"/>
  <c r="AG45" i="22" s="1"/>
  <c r="I1" i="22"/>
  <c r="D54" i="15"/>
  <c r="C53" i="15"/>
  <c r="AG23" i="2"/>
  <c r="P23" i="2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U6" i="23"/>
  <c r="C6" i="23"/>
  <c r="D6" i="23"/>
  <c r="E6" i="23"/>
  <c r="F6" i="23"/>
  <c r="G6" i="23"/>
  <c r="H6" i="23"/>
  <c r="J6" i="23" s="1"/>
  <c r="I6" i="23"/>
  <c r="B6" i="23"/>
  <c r="T23" i="22"/>
  <c r="V23" i="22" s="1"/>
  <c r="M23" i="22"/>
  <c r="N23" i="22" s="1"/>
  <c r="T22" i="22"/>
  <c r="V22" i="22" s="1"/>
  <c r="M22" i="22"/>
  <c r="N22" i="22" s="1"/>
  <c r="T21" i="22"/>
  <c r="V21" i="22" s="1"/>
  <c r="M21" i="22"/>
  <c r="N21" i="22" s="1"/>
  <c r="T20" i="22"/>
  <c r="V20" i="22" s="1"/>
  <c r="M20" i="22"/>
  <c r="N20" i="22" s="1"/>
  <c r="T19" i="22"/>
  <c r="V19" i="22" s="1"/>
  <c r="M19" i="22"/>
  <c r="N19" i="22" s="1"/>
  <c r="T18" i="22"/>
  <c r="V18" i="22" s="1"/>
  <c r="M18" i="22"/>
  <c r="N18" i="22" s="1"/>
  <c r="T17" i="22"/>
  <c r="V17" i="22" s="1"/>
  <c r="M17" i="22"/>
  <c r="N17" i="22" s="1"/>
  <c r="AL16" i="22"/>
  <c r="V16" i="22"/>
  <c r="T16" i="22"/>
  <c r="M16" i="22"/>
  <c r="N16" i="22" s="1"/>
  <c r="T15" i="22"/>
  <c r="V15" i="22" s="1"/>
  <c r="M15" i="22"/>
  <c r="V14" i="22"/>
  <c r="T14" i="22"/>
  <c r="M14" i="22"/>
  <c r="T13" i="22"/>
  <c r="V13" i="22" s="1"/>
  <c r="M13" i="22"/>
  <c r="AO12" i="22"/>
  <c r="AI12" i="22"/>
  <c r="AE12" i="22"/>
  <c r="T12" i="22"/>
  <c r="V12" i="22" s="1"/>
  <c r="M12" i="22"/>
  <c r="N12" i="22" s="1"/>
  <c r="AO11" i="22"/>
  <c r="AI11" i="22"/>
  <c r="AE11" i="22"/>
  <c r="V11" i="22"/>
  <c r="T11" i="22"/>
  <c r="M11" i="22"/>
  <c r="N11" i="22" s="1"/>
  <c r="AO10" i="22"/>
  <c r="AI10" i="22"/>
  <c r="AE10" i="22"/>
  <c r="T10" i="22"/>
  <c r="V10" i="22" s="1"/>
  <c r="M10" i="22"/>
  <c r="N10" i="22" s="1"/>
  <c r="AO9" i="22"/>
  <c r="AI9" i="22"/>
  <c r="AE9" i="22"/>
  <c r="T9" i="22"/>
  <c r="V9" i="22" s="1"/>
  <c r="M9" i="22"/>
  <c r="N9" i="22" s="1"/>
  <c r="AO8" i="22"/>
  <c r="AI8" i="22"/>
  <c r="AE8" i="22"/>
  <c r="T8" i="22"/>
  <c r="V8" i="22" s="1"/>
  <c r="M8" i="22"/>
  <c r="N8" i="22" s="1"/>
  <c r="AO7" i="22"/>
  <c r="AI7" i="22"/>
  <c r="AE7" i="22"/>
  <c r="V7" i="22"/>
  <c r="T7" i="22"/>
  <c r="M7" i="22"/>
  <c r="N7" i="22" s="1"/>
  <c r="AO6" i="22"/>
  <c r="AI6" i="22"/>
  <c r="AE6" i="22"/>
  <c r="T6" i="22"/>
  <c r="V6" i="22" s="1"/>
  <c r="M6" i="22"/>
  <c r="N6" i="22" s="1"/>
  <c r="AO5" i="22"/>
  <c r="AI5" i="22"/>
  <c r="AE5" i="22"/>
  <c r="T5" i="22"/>
  <c r="V5" i="22" s="1"/>
  <c r="M5" i="22"/>
  <c r="N5" i="22" s="1"/>
  <c r="AO4" i="22"/>
  <c r="AI4" i="22"/>
  <c r="AE4" i="22"/>
  <c r="AO16" i="22" l="1"/>
  <c r="AI14" i="22"/>
  <c r="AE14" i="22"/>
  <c r="T183" i="21"/>
  <c r="V183" i="21" s="1"/>
  <c r="M183" i="21"/>
  <c r="N183" i="21" s="1"/>
  <c r="T182" i="21"/>
  <c r="V182" i="21" s="1"/>
  <c r="M182" i="21"/>
  <c r="N182" i="21" s="1"/>
  <c r="T181" i="21"/>
  <c r="V181" i="21" s="1"/>
  <c r="M181" i="21"/>
  <c r="N181" i="21" s="1"/>
  <c r="T180" i="21"/>
  <c r="V180" i="21" s="1"/>
  <c r="N180" i="21"/>
  <c r="M180" i="21"/>
  <c r="V179" i="21"/>
  <c r="T179" i="21"/>
  <c r="N179" i="21"/>
  <c r="M179" i="21"/>
  <c r="V178" i="21"/>
  <c r="T178" i="21"/>
  <c r="N178" i="21"/>
  <c r="M178" i="21"/>
  <c r="V177" i="21"/>
  <c r="T177" i="21"/>
  <c r="N177" i="21"/>
  <c r="M177" i="21"/>
  <c r="AL176" i="21"/>
  <c r="T176" i="21"/>
  <c r="V176" i="21" s="1"/>
  <c r="M176" i="21"/>
  <c r="N176" i="21" s="1"/>
  <c r="T175" i="21"/>
  <c r="V175" i="21" s="1"/>
  <c r="M175" i="21"/>
  <c r="N175" i="21" s="1"/>
  <c r="T174" i="21"/>
  <c r="V174" i="21" s="1"/>
  <c r="M174" i="21"/>
  <c r="N174" i="21" s="1"/>
  <c r="T173" i="21"/>
  <c r="V173" i="21" s="1"/>
  <c r="M173" i="21"/>
  <c r="N173" i="21" s="1"/>
  <c r="AO172" i="21"/>
  <c r="AI172" i="21"/>
  <c r="AE172" i="21"/>
  <c r="T172" i="21"/>
  <c r="V172" i="21" s="1"/>
  <c r="M172" i="21"/>
  <c r="N172" i="21" s="1"/>
  <c r="AO171" i="21"/>
  <c r="AI171" i="21"/>
  <c r="AE171" i="21"/>
  <c r="T171" i="21"/>
  <c r="V171" i="21" s="1"/>
  <c r="M171" i="21"/>
  <c r="N171" i="21" s="1"/>
  <c r="AO170" i="21"/>
  <c r="AI170" i="21"/>
  <c r="AE170" i="21"/>
  <c r="T170" i="21"/>
  <c r="V170" i="21" s="1"/>
  <c r="M170" i="21"/>
  <c r="N170" i="21" s="1"/>
  <c r="AO169" i="21"/>
  <c r="AI169" i="21"/>
  <c r="AE169" i="21"/>
  <c r="T169" i="21"/>
  <c r="V169" i="21" s="1"/>
  <c r="M169" i="21"/>
  <c r="N169" i="21" s="1"/>
  <c r="AO168" i="21"/>
  <c r="AI168" i="21"/>
  <c r="AE168" i="21"/>
  <c r="T168" i="21"/>
  <c r="V168" i="21" s="1"/>
  <c r="M168" i="21"/>
  <c r="N168" i="21" s="1"/>
  <c r="AO167" i="21"/>
  <c r="AI167" i="21"/>
  <c r="AE167" i="21"/>
  <c r="T167" i="21"/>
  <c r="V167" i="21" s="1"/>
  <c r="M167" i="21"/>
  <c r="N167" i="21" s="1"/>
  <c r="AO166" i="21"/>
  <c r="AI166" i="21"/>
  <c r="AE166" i="21"/>
  <c r="T166" i="21"/>
  <c r="V166" i="21" s="1"/>
  <c r="M166" i="21"/>
  <c r="N166" i="21" s="1"/>
  <c r="AO165" i="21"/>
  <c r="AO176" i="21" s="1"/>
  <c r="AI165" i="21"/>
  <c r="AE165" i="21"/>
  <c r="T165" i="21"/>
  <c r="V165" i="21" s="1"/>
  <c r="M165" i="21"/>
  <c r="N165" i="21" s="1"/>
  <c r="AO164" i="21"/>
  <c r="AI164" i="21"/>
  <c r="AI174" i="21" s="1"/>
  <c r="AE164" i="21"/>
  <c r="AE174" i="21" l="1"/>
  <c r="J135" i="21"/>
  <c r="N136" i="21"/>
  <c r="T158" i="21" l="1"/>
  <c r="V158" i="21" s="1"/>
  <c r="M158" i="21"/>
  <c r="N158" i="21" s="1"/>
  <c r="T157" i="21"/>
  <c r="V157" i="21" s="1"/>
  <c r="M157" i="21"/>
  <c r="N157" i="21" s="1"/>
  <c r="T156" i="21"/>
  <c r="V156" i="21" s="1"/>
  <c r="M156" i="21"/>
  <c r="N156" i="21" s="1"/>
  <c r="T155" i="21"/>
  <c r="V155" i="21" s="1"/>
  <c r="M155" i="21"/>
  <c r="N155" i="21" s="1"/>
  <c r="V154" i="21"/>
  <c r="T154" i="21"/>
  <c r="N154" i="21"/>
  <c r="M154" i="21"/>
  <c r="V153" i="21"/>
  <c r="T153" i="21"/>
  <c r="N153" i="21"/>
  <c r="M153" i="21"/>
  <c r="V152" i="21"/>
  <c r="T152" i="21"/>
  <c r="N152" i="21"/>
  <c r="M152" i="21"/>
  <c r="AL151" i="21"/>
  <c r="T151" i="21"/>
  <c r="V151" i="21" s="1"/>
  <c r="M151" i="21"/>
  <c r="N151" i="21" s="1"/>
  <c r="T150" i="21"/>
  <c r="V150" i="21" s="1"/>
  <c r="M150" i="21"/>
  <c r="N150" i="21" s="1"/>
  <c r="T149" i="21"/>
  <c r="V149" i="21" s="1"/>
  <c r="M149" i="21"/>
  <c r="N149" i="21" s="1"/>
  <c r="T148" i="21"/>
  <c r="V148" i="21" s="1"/>
  <c r="M148" i="21"/>
  <c r="N148" i="21" s="1"/>
  <c r="AO147" i="21"/>
  <c r="AI147" i="21"/>
  <c r="AE147" i="21"/>
  <c r="T147" i="21"/>
  <c r="V147" i="21" s="1"/>
  <c r="M147" i="21"/>
  <c r="N147" i="21" s="1"/>
  <c r="AO146" i="21"/>
  <c r="AI146" i="21"/>
  <c r="AE146" i="21"/>
  <c r="T146" i="21"/>
  <c r="V146" i="21" s="1"/>
  <c r="M146" i="21"/>
  <c r="N146" i="21" s="1"/>
  <c r="AO145" i="21"/>
  <c r="AI145" i="21"/>
  <c r="AE145" i="21"/>
  <c r="T145" i="21"/>
  <c r="V145" i="21" s="1"/>
  <c r="M145" i="21"/>
  <c r="N145" i="21" s="1"/>
  <c r="AO144" i="21"/>
  <c r="AI144" i="21"/>
  <c r="AE144" i="21"/>
  <c r="T144" i="21"/>
  <c r="V144" i="21" s="1"/>
  <c r="M144" i="21"/>
  <c r="N144" i="21" s="1"/>
  <c r="AO143" i="21"/>
  <c r="AI143" i="21"/>
  <c r="AE143" i="21"/>
  <c r="T143" i="21"/>
  <c r="V143" i="21" s="1"/>
  <c r="M143" i="21"/>
  <c r="N143" i="21" s="1"/>
  <c r="AO142" i="21"/>
  <c r="AI142" i="21"/>
  <c r="AE142" i="21"/>
  <c r="V142" i="21"/>
  <c r="T142" i="21"/>
  <c r="N142" i="21"/>
  <c r="M142" i="21"/>
  <c r="AO141" i="21"/>
  <c r="AO151" i="21" s="1"/>
  <c r="AI141" i="21"/>
  <c r="AE141" i="21"/>
  <c r="T141" i="21"/>
  <c r="V141" i="21" s="1"/>
  <c r="M141" i="21"/>
  <c r="N141" i="21" s="1"/>
  <c r="AO140" i="21"/>
  <c r="AI140" i="21"/>
  <c r="AE140" i="21"/>
  <c r="V140" i="21"/>
  <c r="T140" i="21"/>
  <c r="N140" i="21"/>
  <c r="M140" i="21"/>
  <c r="AO139" i="21"/>
  <c r="AI139" i="21"/>
  <c r="AE139" i="21"/>
  <c r="J119" i="21"/>
  <c r="J118" i="21"/>
  <c r="J117" i="21"/>
  <c r="AI149" i="21" l="1"/>
  <c r="AE149" i="21"/>
  <c r="T132" i="21"/>
  <c r="V132" i="21" s="1"/>
  <c r="M132" i="21"/>
  <c r="N132" i="21" s="1"/>
  <c r="T131" i="21"/>
  <c r="V131" i="21" s="1"/>
  <c r="M131" i="21"/>
  <c r="N131" i="21" s="1"/>
  <c r="T130" i="21"/>
  <c r="V130" i="21" s="1"/>
  <c r="M130" i="21"/>
  <c r="N130" i="21" s="1"/>
  <c r="T129" i="21"/>
  <c r="V129" i="21" s="1"/>
  <c r="M129" i="21"/>
  <c r="N129" i="21" s="1"/>
  <c r="T128" i="21"/>
  <c r="V128" i="21" s="1"/>
  <c r="M128" i="21"/>
  <c r="N128" i="21" s="1"/>
  <c r="T127" i="21"/>
  <c r="V127" i="21" s="1"/>
  <c r="M127" i="21"/>
  <c r="N127" i="21" s="1"/>
  <c r="T126" i="21"/>
  <c r="V126" i="21" s="1"/>
  <c r="M126" i="21"/>
  <c r="N126" i="21" s="1"/>
  <c r="AL125" i="21"/>
  <c r="T125" i="21"/>
  <c r="V125" i="21" s="1"/>
  <c r="M125" i="21"/>
  <c r="N125" i="21" s="1"/>
  <c r="T124" i="21"/>
  <c r="V124" i="21" s="1"/>
  <c r="M124" i="21"/>
  <c r="N124" i="21" s="1"/>
  <c r="T123" i="21"/>
  <c r="V123" i="21" s="1"/>
  <c r="M123" i="21"/>
  <c r="N123" i="21" s="1"/>
  <c r="T122" i="21"/>
  <c r="V122" i="21" s="1"/>
  <c r="M122" i="21"/>
  <c r="N122" i="21" s="1"/>
  <c r="AO121" i="21"/>
  <c r="AI121" i="21"/>
  <c r="AE121" i="21"/>
  <c r="T121" i="21"/>
  <c r="V121" i="21" s="1"/>
  <c r="M121" i="21"/>
  <c r="N121" i="21" s="1"/>
  <c r="AO120" i="21"/>
  <c r="AI120" i="21"/>
  <c r="AE120" i="21"/>
  <c r="T120" i="21"/>
  <c r="V120" i="21" s="1"/>
  <c r="M120" i="21"/>
  <c r="N120" i="21" s="1"/>
  <c r="AO119" i="21"/>
  <c r="AI119" i="21"/>
  <c r="AE119" i="21"/>
  <c r="T119" i="21"/>
  <c r="V119" i="21" s="1"/>
  <c r="M119" i="21"/>
  <c r="N119" i="21" s="1"/>
  <c r="AO118" i="21"/>
  <c r="AI118" i="21"/>
  <c r="AE118" i="21"/>
  <c r="T118" i="21"/>
  <c r="V118" i="21" s="1"/>
  <c r="M118" i="21"/>
  <c r="N118" i="21" s="1"/>
  <c r="AO117" i="21"/>
  <c r="AI117" i="21"/>
  <c r="AE117" i="21"/>
  <c r="T117" i="21"/>
  <c r="V117" i="21" s="1"/>
  <c r="M117" i="21"/>
  <c r="N117" i="21" s="1"/>
  <c r="AO116" i="21"/>
  <c r="AI116" i="21"/>
  <c r="AE116" i="21"/>
  <c r="T116" i="21"/>
  <c r="V116" i="21" s="1"/>
  <c r="M116" i="21"/>
  <c r="N116" i="21" s="1"/>
  <c r="AO115" i="21"/>
  <c r="AI115" i="21"/>
  <c r="AE115" i="21"/>
  <c r="V115" i="21"/>
  <c r="T115" i="21"/>
  <c r="N115" i="21"/>
  <c r="M115" i="21"/>
  <c r="AO114" i="21"/>
  <c r="AO125" i="21" s="1"/>
  <c r="AI114" i="21"/>
  <c r="AE114" i="21"/>
  <c r="T114" i="21"/>
  <c r="V114" i="21" s="1"/>
  <c r="M114" i="21"/>
  <c r="N114" i="21" s="1"/>
  <c r="AO113" i="21"/>
  <c r="AI113" i="21"/>
  <c r="AE113" i="21"/>
  <c r="AI123" i="21" l="1"/>
  <c r="AE123" i="21"/>
  <c r="T105" i="21"/>
  <c r="V105" i="21" s="1"/>
  <c r="M105" i="21"/>
  <c r="N105" i="21" s="1"/>
  <c r="T104" i="21"/>
  <c r="V104" i="21" s="1"/>
  <c r="M104" i="21"/>
  <c r="N104" i="21" s="1"/>
  <c r="T103" i="21"/>
  <c r="V103" i="21" s="1"/>
  <c r="M103" i="21"/>
  <c r="N103" i="21" s="1"/>
  <c r="T102" i="21"/>
  <c r="V102" i="21" s="1"/>
  <c r="M102" i="21"/>
  <c r="N102" i="21" s="1"/>
  <c r="T101" i="21"/>
  <c r="V101" i="21" s="1"/>
  <c r="M101" i="21"/>
  <c r="N101" i="21" s="1"/>
  <c r="T100" i="21"/>
  <c r="V100" i="21" s="1"/>
  <c r="M100" i="21"/>
  <c r="N100" i="21" s="1"/>
  <c r="T99" i="21"/>
  <c r="V99" i="21" s="1"/>
  <c r="M99" i="21"/>
  <c r="N99" i="21" s="1"/>
  <c r="AL98" i="21"/>
  <c r="V98" i="21"/>
  <c r="T98" i="21"/>
  <c r="N98" i="21"/>
  <c r="M98" i="21"/>
  <c r="V97" i="21"/>
  <c r="T97" i="21"/>
  <c r="N97" i="21"/>
  <c r="M97" i="21"/>
  <c r="V96" i="21"/>
  <c r="T96" i="21"/>
  <c r="N96" i="21"/>
  <c r="M96" i="21"/>
  <c r="V95" i="21"/>
  <c r="T95" i="21"/>
  <c r="N95" i="21"/>
  <c r="M95" i="21"/>
  <c r="AO94" i="21"/>
  <c r="AI94" i="21"/>
  <c r="AE94" i="21"/>
  <c r="T94" i="21"/>
  <c r="V94" i="21" s="1"/>
  <c r="M94" i="21"/>
  <c r="N94" i="21" s="1"/>
  <c r="AO93" i="21"/>
  <c r="AI93" i="21"/>
  <c r="AE93" i="21"/>
  <c r="V93" i="21"/>
  <c r="T93" i="21"/>
  <c r="M93" i="21"/>
  <c r="N93" i="21" s="1"/>
  <c r="AO92" i="21"/>
  <c r="AI92" i="21"/>
  <c r="AE92" i="21"/>
  <c r="T92" i="21"/>
  <c r="V92" i="21" s="1"/>
  <c r="M92" i="21"/>
  <c r="N92" i="21" s="1"/>
  <c r="AO91" i="21"/>
  <c r="AI91" i="21"/>
  <c r="AE91" i="21"/>
  <c r="T91" i="21"/>
  <c r="V91" i="21" s="1"/>
  <c r="N91" i="21"/>
  <c r="M91" i="21"/>
  <c r="AO90" i="21"/>
  <c r="AI90" i="21"/>
  <c r="AE90" i="21"/>
  <c r="T90" i="21"/>
  <c r="V90" i="21" s="1"/>
  <c r="M90" i="21"/>
  <c r="N90" i="21" s="1"/>
  <c r="AO89" i="21"/>
  <c r="AI89" i="21"/>
  <c r="AE89" i="21"/>
  <c r="T89" i="21"/>
  <c r="V89" i="21" s="1"/>
  <c r="M89" i="21"/>
  <c r="N89" i="21" s="1"/>
  <c r="AO88" i="21"/>
  <c r="AI88" i="21"/>
  <c r="AE88" i="21"/>
  <c r="T88" i="21"/>
  <c r="V88" i="21" s="1"/>
  <c r="M88" i="21"/>
  <c r="N88" i="21" s="1"/>
  <c r="AO87" i="21"/>
  <c r="AO98" i="21" s="1"/>
  <c r="AI87" i="21"/>
  <c r="AE87" i="21"/>
  <c r="T87" i="21"/>
  <c r="V87" i="21" s="1"/>
  <c r="N87" i="21"/>
  <c r="M87" i="21"/>
  <c r="AO86" i="21"/>
  <c r="AI86" i="21"/>
  <c r="AE86" i="21"/>
  <c r="AE96" i="21" s="1"/>
  <c r="AI96" i="21" l="1"/>
  <c r="T79" i="21" l="1"/>
  <c r="V79" i="21" s="1"/>
  <c r="M79" i="21"/>
  <c r="N79" i="21" s="1"/>
  <c r="T78" i="21"/>
  <c r="V78" i="21" s="1"/>
  <c r="M78" i="21"/>
  <c r="N78" i="21" s="1"/>
  <c r="T77" i="21"/>
  <c r="V77" i="21" s="1"/>
  <c r="M77" i="21"/>
  <c r="N77" i="21" s="1"/>
  <c r="T76" i="21"/>
  <c r="V76" i="21" s="1"/>
  <c r="M76" i="21"/>
  <c r="N76" i="21" s="1"/>
  <c r="T75" i="21"/>
  <c r="V75" i="21" s="1"/>
  <c r="M75" i="21"/>
  <c r="N75" i="21" s="1"/>
  <c r="T74" i="21"/>
  <c r="V74" i="21" s="1"/>
  <c r="M74" i="21"/>
  <c r="N74" i="21" s="1"/>
  <c r="T73" i="21"/>
  <c r="V73" i="21" s="1"/>
  <c r="M73" i="21"/>
  <c r="N73" i="21" s="1"/>
  <c r="AL72" i="21"/>
  <c r="T72" i="21"/>
  <c r="V72" i="21" s="1"/>
  <c r="M72" i="21"/>
  <c r="T71" i="21"/>
  <c r="V71" i="21" s="1"/>
  <c r="M71" i="21"/>
  <c r="T70" i="21"/>
  <c r="V70" i="21" s="1"/>
  <c r="M70" i="21"/>
  <c r="V69" i="21"/>
  <c r="T69" i="21"/>
  <c r="M69" i="21"/>
  <c r="N69" i="21" s="1"/>
  <c r="AO68" i="21"/>
  <c r="AI68" i="21"/>
  <c r="AE68" i="21"/>
  <c r="T68" i="21"/>
  <c r="V68" i="21" s="1"/>
  <c r="M68" i="21"/>
  <c r="N68" i="21" s="1"/>
  <c r="AO67" i="21"/>
  <c r="AI67" i="21"/>
  <c r="AE67" i="21"/>
  <c r="T67" i="21"/>
  <c r="V67" i="21" s="1"/>
  <c r="M67" i="21"/>
  <c r="N67" i="21" s="1"/>
  <c r="AO66" i="21"/>
  <c r="AI66" i="21"/>
  <c r="AE66" i="21"/>
  <c r="T66" i="21"/>
  <c r="V66" i="21" s="1"/>
  <c r="M66" i="21"/>
  <c r="N66" i="21" s="1"/>
  <c r="AO65" i="21"/>
  <c r="AI65" i="21"/>
  <c r="AE65" i="21"/>
  <c r="T65" i="21"/>
  <c r="V65" i="21" s="1"/>
  <c r="M65" i="21"/>
  <c r="N65" i="21" s="1"/>
  <c r="AO64" i="21"/>
  <c r="AI64" i="21"/>
  <c r="AE64" i="21"/>
  <c r="T64" i="21"/>
  <c r="V64" i="21" s="1"/>
  <c r="M64" i="21"/>
  <c r="N64" i="21" s="1"/>
  <c r="AO63" i="21"/>
  <c r="AI63" i="21"/>
  <c r="AE63" i="21"/>
  <c r="T63" i="21"/>
  <c r="V63" i="21" s="1"/>
  <c r="M63" i="21"/>
  <c r="N63" i="21" s="1"/>
  <c r="AO62" i="21"/>
  <c r="AI62" i="21"/>
  <c r="AE62" i="21"/>
  <c r="T62" i="21"/>
  <c r="V62" i="21" s="1"/>
  <c r="M62" i="21"/>
  <c r="N62" i="21" s="1"/>
  <c r="AO61" i="21"/>
  <c r="AI61" i="21"/>
  <c r="AE61" i="21"/>
  <c r="T61" i="21"/>
  <c r="V61" i="21" s="1"/>
  <c r="M61" i="21"/>
  <c r="N61" i="21" s="1"/>
  <c r="AO60" i="21"/>
  <c r="AI60" i="21"/>
  <c r="AE60" i="21"/>
  <c r="AE70" i="21" l="1"/>
  <c r="AO72" i="21"/>
  <c r="AI70" i="21"/>
  <c r="AI71" i="21" s="1"/>
  <c r="J37" i="21"/>
  <c r="M37" i="21" s="1"/>
  <c r="N37" i="21" s="1"/>
  <c r="J39" i="21"/>
  <c r="J34" i="21"/>
  <c r="M34" i="21" s="1"/>
  <c r="N34" i="21" s="1"/>
  <c r="J35" i="21"/>
  <c r="M35" i="21" s="1"/>
  <c r="N35" i="21" s="1"/>
  <c r="D28" i="21"/>
  <c r="B28" i="21"/>
  <c r="B27" i="21"/>
  <c r="H28" i="21"/>
  <c r="G27" i="21"/>
  <c r="T51" i="21"/>
  <c r="V51" i="21" s="1"/>
  <c r="M51" i="21"/>
  <c r="N51" i="21" s="1"/>
  <c r="T50" i="21"/>
  <c r="V50" i="21" s="1"/>
  <c r="M50" i="21"/>
  <c r="N50" i="21" s="1"/>
  <c r="T49" i="21"/>
  <c r="V49" i="21" s="1"/>
  <c r="M49" i="21"/>
  <c r="N49" i="21" s="1"/>
  <c r="T48" i="21"/>
  <c r="V48" i="21" s="1"/>
  <c r="M48" i="21"/>
  <c r="N48" i="21" s="1"/>
  <c r="T47" i="21"/>
  <c r="V47" i="21" s="1"/>
  <c r="M47" i="21"/>
  <c r="N47" i="21" s="1"/>
  <c r="T46" i="21"/>
  <c r="V46" i="21" s="1"/>
  <c r="M46" i="21"/>
  <c r="N46" i="21" s="1"/>
  <c r="T45" i="21"/>
  <c r="V45" i="21" s="1"/>
  <c r="M45" i="21"/>
  <c r="N45" i="21" s="1"/>
  <c r="AL44" i="21"/>
  <c r="V44" i="21"/>
  <c r="T44" i="21"/>
  <c r="N44" i="21"/>
  <c r="M44" i="21"/>
  <c r="V43" i="21"/>
  <c r="T43" i="21"/>
  <c r="M43" i="21"/>
  <c r="N43" i="21" s="1"/>
  <c r="T42" i="21"/>
  <c r="V42" i="21" s="1"/>
  <c r="M42" i="21"/>
  <c r="V41" i="21"/>
  <c r="T41" i="21"/>
  <c r="M41" i="21"/>
  <c r="AO40" i="21"/>
  <c r="AI40" i="21"/>
  <c r="AE40" i="21"/>
  <c r="T40" i="21"/>
  <c r="V40" i="21" s="1"/>
  <c r="M40" i="21"/>
  <c r="N40" i="21" s="1"/>
  <c r="AO39" i="21"/>
  <c r="AI39" i="21"/>
  <c r="AE39" i="21"/>
  <c r="T39" i="21"/>
  <c r="V39" i="21" s="1"/>
  <c r="M39" i="21"/>
  <c r="N39" i="21" s="1"/>
  <c r="AO38" i="21"/>
  <c r="AI38" i="21"/>
  <c r="AE38" i="21"/>
  <c r="T38" i="21"/>
  <c r="V38" i="21" s="1"/>
  <c r="M38" i="21"/>
  <c r="N38" i="21" s="1"/>
  <c r="AO37" i="21"/>
  <c r="AI37" i="21"/>
  <c r="AE37" i="21"/>
  <c r="V37" i="21"/>
  <c r="T37" i="21"/>
  <c r="AO36" i="21"/>
  <c r="AI36" i="21"/>
  <c r="AE36" i="21"/>
  <c r="T36" i="21"/>
  <c r="V36" i="21" s="1"/>
  <c r="M36" i="21"/>
  <c r="N36" i="21" s="1"/>
  <c r="AO35" i="21"/>
  <c r="AI35" i="21"/>
  <c r="AE35" i="21"/>
  <c r="T35" i="21"/>
  <c r="V35" i="21" s="1"/>
  <c r="AO34" i="21"/>
  <c r="AI34" i="21"/>
  <c r="AE34" i="21"/>
  <c r="T34" i="21"/>
  <c r="V34" i="21" s="1"/>
  <c r="AO33" i="21"/>
  <c r="AI33" i="21"/>
  <c r="AE33" i="21"/>
  <c r="T33" i="21"/>
  <c r="V33" i="21" s="1"/>
  <c r="M33" i="21"/>
  <c r="N33" i="21" s="1"/>
  <c r="AO32" i="21"/>
  <c r="AI32" i="21"/>
  <c r="AE32" i="21"/>
  <c r="AO44" i="21" l="1"/>
  <c r="AI42" i="21"/>
  <c r="AE42" i="21"/>
  <c r="J12" i="21"/>
  <c r="L12" i="21" s="1"/>
  <c r="L11" i="21"/>
  <c r="L13" i="21"/>
  <c r="L9" i="21"/>
  <c r="E2" i="21"/>
  <c r="J7" i="21"/>
  <c r="J10" i="2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9" i="4"/>
  <c r="G50" i="4"/>
  <c r="G51" i="4"/>
  <c r="G52" i="4"/>
  <c r="G53" i="4"/>
  <c r="G54" i="4"/>
  <c r="G55" i="4"/>
  <c r="G56" i="4"/>
  <c r="G57" i="4"/>
  <c r="G58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5" i="4"/>
  <c r="G76" i="4"/>
  <c r="G79" i="4"/>
  <c r="G80" i="4"/>
  <c r="G81" i="4"/>
  <c r="G82" i="4"/>
  <c r="G83" i="4"/>
  <c r="G84" i="4"/>
  <c r="G85" i="4"/>
  <c r="G86" i="4"/>
  <c r="G87" i="4"/>
  <c r="G88" i="4"/>
  <c r="G89" i="4"/>
  <c r="G91" i="4"/>
  <c r="G92" i="4"/>
  <c r="G93" i="4"/>
  <c r="G94" i="4"/>
  <c r="G95" i="4"/>
  <c r="G96" i="4"/>
  <c r="G97" i="4"/>
  <c r="G98" i="4"/>
  <c r="G99" i="4"/>
  <c r="G100" i="4"/>
  <c r="G101" i="4"/>
  <c r="G103" i="4"/>
  <c r="G104" i="4"/>
  <c r="G105" i="4"/>
  <c r="G106" i="4"/>
  <c r="G108" i="4"/>
  <c r="G109" i="4"/>
  <c r="G110" i="4"/>
  <c r="G111" i="4"/>
  <c r="G112" i="4"/>
  <c r="G113" i="4"/>
  <c r="G115" i="4"/>
  <c r="G116" i="4"/>
  <c r="G117" i="4"/>
  <c r="G118" i="4"/>
  <c r="G119" i="4"/>
  <c r="G120" i="4"/>
  <c r="G121" i="4"/>
  <c r="G122" i="4"/>
  <c r="G123" i="4"/>
  <c r="G124" i="4"/>
  <c r="G125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6" i="4"/>
  <c r="V24" i="21"/>
  <c r="T24" i="21"/>
  <c r="N24" i="21"/>
  <c r="M24" i="21"/>
  <c r="V23" i="21"/>
  <c r="T23" i="21"/>
  <c r="N23" i="21"/>
  <c r="M23" i="21"/>
  <c r="V22" i="21"/>
  <c r="T22" i="21"/>
  <c r="N22" i="21"/>
  <c r="M22" i="21"/>
  <c r="V21" i="21"/>
  <c r="T21" i="21"/>
  <c r="N21" i="21"/>
  <c r="M21" i="21"/>
  <c r="V20" i="21"/>
  <c r="T20" i="21"/>
  <c r="N20" i="21"/>
  <c r="M20" i="21"/>
  <c r="V19" i="21"/>
  <c r="T19" i="21"/>
  <c r="M19" i="21"/>
  <c r="N19" i="21" s="1"/>
  <c r="T18" i="21"/>
  <c r="V18" i="21" s="1"/>
  <c r="M18" i="21"/>
  <c r="N18" i="21" s="1"/>
  <c r="AL17" i="21"/>
  <c r="T17" i="21"/>
  <c r="V17" i="21" s="1"/>
  <c r="M17" i="21"/>
  <c r="N17" i="21" s="1"/>
  <c r="T16" i="21"/>
  <c r="V16" i="21" s="1"/>
  <c r="M16" i="21"/>
  <c r="N16" i="21" s="1"/>
  <c r="V15" i="21"/>
  <c r="T15" i="21"/>
  <c r="M15" i="21"/>
  <c r="N15" i="21" s="1"/>
  <c r="T14" i="21"/>
  <c r="V14" i="21" s="1"/>
  <c r="M14" i="21"/>
  <c r="N14" i="21" s="1"/>
  <c r="AO13" i="21"/>
  <c r="AI13" i="21"/>
  <c r="AE13" i="21"/>
  <c r="T13" i="21"/>
  <c r="V13" i="21" s="1"/>
  <c r="M13" i="21"/>
  <c r="N13" i="21" s="1"/>
  <c r="AO12" i="21"/>
  <c r="AI12" i="21"/>
  <c r="AE12" i="21"/>
  <c r="V12" i="21"/>
  <c r="T12" i="21"/>
  <c r="M12" i="21"/>
  <c r="N12" i="21" s="1"/>
  <c r="AO11" i="21"/>
  <c r="AI11" i="21"/>
  <c r="AE11" i="21"/>
  <c r="T11" i="21"/>
  <c r="V11" i="21" s="1"/>
  <c r="M11" i="21"/>
  <c r="N11" i="21" s="1"/>
  <c r="AO10" i="21"/>
  <c r="AI10" i="21"/>
  <c r="AE10" i="21"/>
  <c r="T10" i="21"/>
  <c r="V10" i="21" s="1"/>
  <c r="M10" i="21"/>
  <c r="N10" i="21" s="1"/>
  <c r="AO9" i="21"/>
  <c r="AI9" i="21"/>
  <c r="AE9" i="21"/>
  <c r="T9" i="21"/>
  <c r="V9" i="21" s="1"/>
  <c r="M9" i="21"/>
  <c r="N9" i="21" s="1"/>
  <c r="AO8" i="21"/>
  <c r="AI8" i="21"/>
  <c r="AE8" i="21"/>
  <c r="T8" i="21"/>
  <c r="V8" i="21" s="1"/>
  <c r="M8" i="21"/>
  <c r="N8" i="21" s="1"/>
  <c r="AO7" i="21"/>
  <c r="AO17" i="21" s="1"/>
  <c r="AI7" i="21"/>
  <c r="AE7" i="21"/>
  <c r="T7" i="21"/>
  <c r="V7" i="21" s="1"/>
  <c r="M7" i="21"/>
  <c r="N7" i="21" s="1"/>
  <c r="AO6" i="21"/>
  <c r="AI6" i="21"/>
  <c r="AE6" i="21"/>
  <c r="V6" i="21"/>
  <c r="T6" i="21"/>
  <c r="M6" i="21"/>
  <c r="N6" i="21" s="1"/>
  <c r="AO5" i="21"/>
  <c r="AI5" i="21"/>
  <c r="AE5" i="21"/>
  <c r="AI15" i="21" l="1"/>
  <c r="AE15" i="21"/>
  <c r="T156" i="20"/>
  <c r="V156" i="20" s="1"/>
  <c r="N156" i="20"/>
  <c r="M156" i="20"/>
  <c r="V155" i="20"/>
  <c r="T155" i="20"/>
  <c r="N155" i="20"/>
  <c r="M155" i="20"/>
  <c r="V154" i="20"/>
  <c r="T154" i="20"/>
  <c r="N154" i="20"/>
  <c r="M154" i="20"/>
  <c r="V153" i="20"/>
  <c r="T153" i="20"/>
  <c r="N153" i="20"/>
  <c r="M153" i="20"/>
  <c r="V152" i="20"/>
  <c r="T152" i="20"/>
  <c r="N152" i="20"/>
  <c r="M152" i="20"/>
  <c r="V151" i="20"/>
  <c r="T151" i="20"/>
  <c r="N151" i="20"/>
  <c r="M151" i="20"/>
  <c r="V150" i="20"/>
  <c r="T150" i="20"/>
  <c r="N150" i="20"/>
  <c r="M150" i="20"/>
  <c r="AL149" i="20"/>
  <c r="T149" i="20"/>
  <c r="V149" i="20" s="1"/>
  <c r="M149" i="20"/>
  <c r="N149" i="20" s="1"/>
  <c r="T148" i="20"/>
  <c r="V148" i="20" s="1"/>
  <c r="M148" i="20"/>
  <c r="N148" i="20" s="1"/>
  <c r="T147" i="20"/>
  <c r="V147" i="20" s="1"/>
  <c r="M147" i="20"/>
  <c r="N147" i="20" s="1"/>
  <c r="V146" i="20"/>
  <c r="T146" i="20"/>
  <c r="N146" i="20"/>
  <c r="M146" i="20"/>
  <c r="AO145" i="20"/>
  <c r="AI145" i="20"/>
  <c r="AE145" i="20"/>
  <c r="T145" i="20"/>
  <c r="V145" i="20" s="1"/>
  <c r="M145" i="20"/>
  <c r="N145" i="20" s="1"/>
  <c r="AO144" i="20"/>
  <c r="AI144" i="20"/>
  <c r="AE144" i="20"/>
  <c r="V144" i="20"/>
  <c r="T144" i="20"/>
  <c r="M144" i="20"/>
  <c r="AO143" i="20"/>
  <c r="AI143" i="20"/>
  <c r="AE143" i="20"/>
  <c r="T143" i="20"/>
  <c r="V143" i="20" s="1"/>
  <c r="M143" i="20"/>
  <c r="N143" i="20" s="1"/>
  <c r="AO142" i="20"/>
  <c r="AI142" i="20"/>
  <c r="AE142" i="20"/>
  <c r="T142" i="20"/>
  <c r="V142" i="20" s="1"/>
  <c r="M142" i="20"/>
  <c r="N142" i="20" s="1"/>
  <c r="AO141" i="20"/>
  <c r="AI141" i="20"/>
  <c r="AE141" i="20"/>
  <c r="T141" i="20"/>
  <c r="V141" i="20" s="1"/>
  <c r="M141" i="20"/>
  <c r="N141" i="20" s="1"/>
  <c r="AO140" i="20"/>
  <c r="AI140" i="20"/>
  <c r="AE140" i="20"/>
  <c r="T140" i="20"/>
  <c r="V140" i="20" s="1"/>
  <c r="M140" i="20"/>
  <c r="N140" i="20" s="1"/>
  <c r="AO139" i="20"/>
  <c r="AI139" i="20"/>
  <c r="AE139" i="20"/>
  <c r="T139" i="20"/>
  <c r="V139" i="20" s="1"/>
  <c r="M139" i="20"/>
  <c r="N139" i="20" s="1"/>
  <c r="AO138" i="20"/>
  <c r="AO149" i="20" s="1"/>
  <c r="AI138" i="20"/>
  <c r="AE138" i="20"/>
  <c r="T138" i="20"/>
  <c r="V138" i="20" s="1"/>
  <c r="M138" i="20"/>
  <c r="N138" i="20" s="1"/>
  <c r="AO137" i="20"/>
  <c r="AI137" i="20"/>
  <c r="AI147" i="20" s="1"/>
  <c r="AE137" i="20"/>
  <c r="AE147" i="20" l="1"/>
  <c r="J118" i="20"/>
  <c r="J115" i="20"/>
  <c r="F190" i="4"/>
  <c r="F149" i="4"/>
  <c r="F145" i="4"/>
  <c r="F142" i="4"/>
  <c r="F183" i="4"/>
  <c r="F81" i="4"/>
  <c r="T130" i="20" l="1"/>
  <c r="V130" i="20" s="1"/>
  <c r="M130" i="20"/>
  <c r="N130" i="20" s="1"/>
  <c r="T129" i="20"/>
  <c r="V129" i="20" s="1"/>
  <c r="M129" i="20"/>
  <c r="N129" i="20" s="1"/>
  <c r="T128" i="20"/>
  <c r="V128" i="20" s="1"/>
  <c r="M128" i="20"/>
  <c r="N128" i="20" s="1"/>
  <c r="T127" i="20"/>
  <c r="V127" i="20" s="1"/>
  <c r="M127" i="20"/>
  <c r="N127" i="20" s="1"/>
  <c r="T126" i="20"/>
  <c r="V126" i="20" s="1"/>
  <c r="M126" i="20"/>
  <c r="N126" i="20" s="1"/>
  <c r="T125" i="20"/>
  <c r="V125" i="20" s="1"/>
  <c r="M125" i="20"/>
  <c r="N125" i="20" s="1"/>
  <c r="T124" i="20"/>
  <c r="V124" i="20" s="1"/>
  <c r="M124" i="20"/>
  <c r="N124" i="20" s="1"/>
  <c r="AL123" i="20"/>
  <c r="T123" i="20"/>
  <c r="V123" i="20" s="1"/>
  <c r="M123" i="20"/>
  <c r="N123" i="20" s="1"/>
  <c r="T122" i="20"/>
  <c r="V122" i="20" s="1"/>
  <c r="M122" i="20"/>
  <c r="N122" i="20" s="1"/>
  <c r="V121" i="20"/>
  <c r="T121" i="20"/>
  <c r="M121" i="20"/>
  <c r="N121" i="20" s="1"/>
  <c r="T120" i="20"/>
  <c r="V120" i="20" s="1"/>
  <c r="M120" i="20"/>
  <c r="N120" i="20" s="1"/>
  <c r="AO119" i="20"/>
  <c r="AI119" i="20"/>
  <c r="AE119" i="20"/>
  <c r="T119" i="20"/>
  <c r="V119" i="20" s="1"/>
  <c r="M119" i="20"/>
  <c r="N119" i="20" s="1"/>
  <c r="AO118" i="20"/>
  <c r="AI118" i="20"/>
  <c r="AE118" i="20"/>
  <c r="V118" i="20"/>
  <c r="T118" i="20"/>
  <c r="M118" i="20"/>
  <c r="N118" i="20" s="1"/>
  <c r="AO117" i="20"/>
  <c r="AI117" i="20"/>
  <c r="AE117" i="20"/>
  <c r="T117" i="20"/>
  <c r="V117" i="20" s="1"/>
  <c r="M117" i="20"/>
  <c r="N117" i="20" s="1"/>
  <c r="AO116" i="20"/>
  <c r="AI116" i="20"/>
  <c r="AE116" i="20"/>
  <c r="T116" i="20"/>
  <c r="V116" i="20" s="1"/>
  <c r="N116" i="20"/>
  <c r="M116" i="20"/>
  <c r="AO115" i="20"/>
  <c r="AI115" i="20"/>
  <c r="AE115" i="20"/>
  <c r="T115" i="20"/>
  <c r="V115" i="20" s="1"/>
  <c r="M115" i="20"/>
  <c r="N115" i="20" s="1"/>
  <c r="AO114" i="20"/>
  <c r="AI114" i="20"/>
  <c r="AE114" i="20"/>
  <c r="T114" i="20"/>
  <c r="V114" i="20" s="1"/>
  <c r="M114" i="20"/>
  <c r="N114" i="20" s="1"/>
  <c r="AO113" i="20"/>
  <c r="AI113" i="20"/>
  <c r="AE113" i="20"/>
  <c r="T113" i="20"/>
  <c r="V113" i="20" s="1"/>
  <c r="M113" i="20"/>
  <c r="N113" i="20" s="1"/>
  <c r="AO112" i="20"/>
  <c r="AI112" i="20"/>
  <c r="AE112" i="20"/>
  <c r="T112" i="20"/>
  <c r="V112" i="20" s="1"/>
  <c r="M112" i="20"/>
  <c r="N112" i="20" s="1"/>
  <c r="AO111" i="20"/>
  <c r="AI111" i="20"/>
  <c r="AE111" i="20"/>
  <c r="AO123" i="20" l="1"/>
  <c r="AI121" i="20"/>
  <c r="AE121" i="20"/>
  <c r="T104" i="20"/>
  <c r="V104" i="20" s="1"/>
  <c r="M104" i="20"/>
  <c r="N104" i="20" s="1"/>
  <c r="T103" i="20"/>
  <c r="V103" i="20" s="1"/>
  <c r="M103" i="20"/>
  <c r="N103" i="20" s="1"/>
  <c r="T102" i="20"/>
  <c r="V102" i="20" s="1"/>
  <c r="M102" i="20"/>
  <c r="N102" i="20" s="1"/>
  <c r="T101" i="20"/>
  <c r="V101" i="20" s="1"/>
  <c r="M101" i="20"/>
  <c r="N101" i="20" s="1"/>
  <c r="T100" i="20"/>
  <c r="V100" i="20" s="1"/>
  <c r="M100" i="20"/>
  <c r="N100" i="20" s="1"/>
  <c r="T99" i="20"/>
  <c r="V99" i="20" s="1"/>
  <c r="M99" i="20"/>
  <c r="N99" i="20" s="1"/>
  <c r="T98" i="20"/>
  <c r="V98" i="20" s="1"/>
  <c r="M98" i="20"/>
  <c r="N98" i="20" s="1"/>
  <c r="AL97" i="20"/>
  <c r="T97" i="20"/>
  <c r="V97" i="20" s="1"/>
  <c r="M97" i="20"/>
  <c r="N97" i="20" s="1"/>
  <c r="T96" i="20"/>
  <c r="V96" i="20" s="1"/>
  <c r="M96" i="20"/>
  <c r="N96" i="20" s="1"/>
  <c r="T95" i="20"/>
  <c r="V95" i="20" s="1"/>
  <c r="M95" i="20"/>
  <c r="N95" i="20" s="1"/>
  <c r="V94" i="20"/>
  <c r="T94" i="20"/>
  <c r="M94" i="20"/>
  <c r="N94" i="20" s="1"/>
  <c r="AO93" i="20"/>
  <c r="AI93" i="20"/>
  <c r="AE93" i="20"/>
  <c r="T93" i="20"/>
  <c r="V93" i="20" s="1"/>
  <c r="M93" i="20"/>
  <c r="AO92" i="20"/>
  <c r="AI92" i="20"/>
  <c r="AE92" i="20"/>
  <c r="T92" i="20"/>
  <c r="V92" i="20" s="1"/>
  <c r="M92" i="20"/>
  <c r="N92" i="20" s="1"/>
  <c r="AO91" i="20"/>
  <c r="AI91" i="20"/>
  <c r="AE91" i="20"/>
  <c r="T91" i="20"/>
  <c r="V91" i="20" s="1"/>
  <c r="M91" i="20"/>
  <c r="N91" i="20" s="1"/>
  <c r="AO90" i="20"/>
  <c r="AI90" i="20"/>
  <c r="AE90" i="20"/>
  <c r="V90" i="20"/>
  <c r="T90" i="20"/>
  <c r="M90" i="20"/>
  <c r="N90" i="20" s="1"/>
  <c r="AO89" i="20"/>
  <c r="AI89" i="20"/>
  <c r="AE89" i="20"/>
  <c r="T89" i="20"/>
  <c r="V89" i="20" s="1"/>
  <c r="M89" i="20"/>
  <c r="N89" i="20" s="1"/>
  <c r="AO88" i="20"/>
  <c r="AI88" i="20"/>
  <c r="AE88" i="20"/>
  <c r="T88" i="20"/>
  <c r="V88" i="20" s="1"/>
  <c r="M88" i="20"/>
  <c r="N88" i="20" s="1"/>
  <c r="AO87" i="20"/>
  <c r="AI87" i="20"/>
  <c r="AE87" i="20"/>
  <c r="T87" i="20"/>
  <c r="V87" i="20" s="1"/>
  <c r="M87" i="20"/>
  <c r="N87" i="20" s="1"/>
  <c r="AO86" i="20"/>
  <c r="AI86" i="20"/>
  <c r="AE86" i="20"/>
  <c r="T86" i="20"/>
  <c r="V86" i="20" s="1"/>
  <c r="M86" i="20"/>
  <c r="N86" i="20" s="1"/>
  <c r="AO85" i="20"/>
  <c r="AI85" i="20"/>
  <c r="AE85" i="20"/>
  <c r="AO97" i="20" l="1"/>
  <c r="AI95" i="20"/>
  <c r="AE95" i="20"/>
  <c r="J65" i="20"/>
  <c r="M65" i="20" s="1"/>
  <c r="N65" i="20" s="1"/>
  <c r="J64" i="20"/>
  <c r="M64" i="20" s="1"/>
  <c r="N64" i="20" s="1"/>
  <c r="J60" i="20"/>
  <c r="M60" i="20" s="1"/>
  <c r="N60" i="20" s="1"/>
  <c r="T75" i="20"/>
  <c r="V75" i="20" s="1"/>
  <c r="M75" i="20"/>
  <c r="N75" i="20" s="1"/>
  <c r="T74" i="20"/>
  <c r="V74" i="20" s="1"/>
  <c r="M74" i="20"/>
  <c r="N74" i="20" s="1"/>
  <c r="T73" i="20"/>
  <c r="V73" i="20" s="1"/>
  <c r="M73" i="20"/>
  <c r="N73" i="20" s="1"/>
  <c r="T72" i="20"/>
  <c r="V72" i="20" s="1"/>
  <c r="M72" i="20"/>
  <c r="N72" i="20" s="1"/>
  <c r="T71" i="20"/>
  <c r="V71" i="20" s="1"/>
  <c r="M71" i="20"/>
  <c r="N71" i="20" s="1"/>
  <c r="T70" i="20"/>
  <c r="M70" i="20"/>
  <c r="T69" i="20"/>
  <c r="V69" i="20" s="1"/>
  <c r="M69" i="20"/>
  <c r="AL68" i="20"/>
  <c r="T68" i="20"/>
  <c r="V68" i="20" s="1"/>
  <c r="M68" i="20"/>
  <c r="T67" i="20"/>
  <c r="V67" i="20" s="1"/>
  <c r="M67" i="20"/>
  <c r="N67" i="20" s="1"/>
  <c r="T66" i="20"/>
  <c r="V66" i="20" s="1"/>
  <c r="M66" i="20"/>
  <c r="N66" i="20" s="1"/>
  <c r="T65" i="20"/>
  <c r="V65" i="20" s="1"/>
  <c r="AO64" i="20"/>
  <c r="AI64" i="20"/>
  <c r="AE64" i="20"/>
  <c r="T64" i="20"/>
  <c r="V64" i="20" s="1"/>
  <c r="AO63" i="20"/>
  <c r="AI63" i="20"/>
  <c r="AE63" i="20"/>
  <c r="T63" i="20"/>
  <c r="V63" i="20" s="1"/>
  <c r="M63" i="20"/>
  <c r="N63" i="20" s="1"/>
  <c r="AO62" i="20"/>
  <c r="AI62" i="20"/>
  <c r="AE62" i="20"/>
  <c r="T62" i="20"/>
  <c r="V62" i="20" s="1"/>
  <c r="M62" i="20"/>
  <c r="N62" i="20" s="1"/>
  <c r="AO61" i="20"/>
  <c r="AI61" i="20"/>
  <c r="AE61" i="20"/>
  <c r="T61" i="20"/>
  <c r="V61" i="20" s="1"/>
  <c r="M61" i="20"/>
  <c r="N61" i="20" s="1"/>
  <c r="AO60" i="20"/>
  <c r="AI60" i="20"/>
  <c r="AE60" i="20"/>
  <c r="V60" i="20"/>
  <c r="AO59" i="20"/>
  <c r="AI59" i="20"/>
  <c r="AE59" i="20"/>
  <c r="T59" i="20"/>
  <c r="V59" i="20" s="1"/>
  <c r="M59" i="20"/>
  <c r="N59" i="20" s="1"/>
  <c r="AO58" i="20"/>
  <c r="AI58" i="20"/>
  <c r="AE58" i="20"/>
  <c r="T58" i="20"/>
  <c r="V58" i="20" s="1"/>
  <c r="M58" i="20"/>
  <c r="N58" i="20" s="1"/>
  <c r="AO57" i="20"/>
  <c r="AI57" i="20"/>
  <c r="AE57" i="20"/>
  <c r="T57" i="20"/>
  <c r="V57" i="20" s="1"/>
  <c r="M57" i="20"/>
  <c r="N57" i="20" s="1"/>
  <c r="AO56" i="20"/>
  <c r="AI56" i="20"/>
  <c r="AE56" i="20"/>
  <c r="AO68" i="20" l="1"/>
  <c r="AI66" i="20"/>
  <c r="AE66" i="20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5" i="4"/>
  <c r="F76" i="4"/>
  <c r="F79" i="4"/>
  <c r="F80" i="4"/>
  <c r="F82" i="4"/>
  <c r="F83" i="4"/>
  <c r="F84" i="4"/>
  <c r="F85" i="4"/>
  <c r="F86" i="4"/>
  <c r="F87" i="4"/>
  <c r="F88" i="4"/>
  <c r="F89" i="4"/>
  <c r="F91" i="4"/>
  <c r="F92" i="4"/>
  <c r="F93" i="4"/>
  <c r="F94" i="4"/>
  <c r="F95" i="4"/>
  <c r="F96" i="4"/>
  <c r="F97" i="4"/>
  <c r="F98" i="4"/>
  <c r="F99" i="4"/>
  <c r="F100" i="4"/>
  <c r="F101" i="4"/>
  <c r="F103" i="4"/>
  <c r="F104" i="4"/>
  <c r="F105" i="4"/>
  <c r="F106" i="4"/>
  <c r="F108" i="4"/>
  <c r="F109" i="4"/>
  <c r="F110" i="4"/>
  <c r="F111" i="4"/>
  <c r="F112" i="4"/>
  <c r="F113" i="4"/>
  <c r="F115" i="4"/>
  <c r="F116" i="4"/>
  <c r="F117" i="4"/>
  <c r="F118" i="4"/>
  <c r="F119" i="4"/>
  <c r="F120" i="4"/>
  <c r="F121" i="4"/>
  <c r="F122" i="4"/>
  <c r="F123" i="4"/>
  <c r="F125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3" i="4"/>
  <c r="F144" i="4"/>
  <c r="F146" i="4"/>
  <c r="F148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4" i="4"/>
  <c r="F185" i="4"/>
  <c r="F186" i="4"/>
  <c r="F187" i="4"/>
  <c r="F188" i="4"/>
  <c r="F189" i="4"/>
  <c r="F191" i="4"/>
  <c r="F192" i="4"/>
  <c r="F7" i="4"/>
  <c r="F6" i="4"/>
  <c r="E12" i="4"/>
  <c r="E140" i="4"/>
  <c r="E68" i="4"/>
  <c r="E55" i="4"/>
  <c r="E138" i="4"/>
  <c r="E141" i="4"/>
  <c r="E137" i="4"/>
  <c r="E182" i="4"/>
  <c r="E88" i="4"/>
  <c r="E87" i="4"/>
  <c r="E82" i="4"/>
  <c r="E54" i="4"/>
  <c r="E8" i="4"/>
  <c r="E134" i="4"/>
  <c r="E132" i="4"/>
  <c r="E91" i="4" l="1"/>
  <c r="E79" i="4"/>
  <c r="E80" i="4"/>
  <c r="E58" i="4"/>
  <c r="E106" i="4"/>
  <c r="E83" i="4"/>
  <c r="E119" i="4"/>
  <c r="E27" i="4"/>
  <c r="B92" i="4"/>
  <c r="E66" i="4"/>
  <c r="T48" i="20"/>
  <c r="V48" i="20" s="1"/>
  <c r="M48" i="20"/>
  <c r="N48" i="20" s="1"/>
  <c r="T47" i="20"/>
  <c r="V47" i="20" s="1"/>
  <c r="M47" i="20"/>
  <c r="N47" i="20" s="1"/>
  <c r="T46" i="20"/>
  <c r="V46" i="20" s="1"/>
  <c r="M46" i="20"/>
  <c r="N46" i="20" s="1"/>
  <c r="T45" i="20"/>
  <c r="V45" i="20" s="1"/>
  <c r="M45" i="20"/>
  <c r="N45" i="20" s="1"/>
  <c r="T44" i="20"/>
  <c r="V44" i="20" s="1"/>
  <c r="M44" i="20"/>
  <c r="N44" i="20" s="1"/>
  <c r="T43" i="20"/>
  <c r="V43" i="20" s="1"/>
  <c r="M43" i="20"/>
  <c r="N43" i="20" s="1"/>
  <c r="T42" i="20"/>
  <c r="V42" i="20" s="1"/>
  <c r="M42" i="20"/>
  <c r="N42" i="20" s="1"/>
  <c r="AL41" i="20"/>
  <c r="T41" i="20"/>
  <c r="V41" i="20" s="1"/>
  <c r="M41" i="20"/>
  <c r="N41" i="20" s="1"/>
  <c r="V40" i="20"/>
  <c r="T40" i="20"/>
  <c r="M40" i="20"/>
  <c r="N40" i="20" s="1"/>
  <c r="T39" i="20"/>
  <c r="V39" i="20" s="1"/>
  <c r="M39" i="20"/>
  <c r="N39" i="20" s="1"/>
  <c r="T38" i="20"/>
  <c r="V38" i="20" s="1"/>
  <c r="M38" i="20"/>
  <c r="N38" i="20" s="1"/>
  <c r="AO37" i="20"/>
  <c r="AI37" i="20"/>
  <c r="AE37" i="20"/>
  <c r="T37" i="20"/>
  <c r="V37" i="20" s="1"/>
  <c r="M37" i="20"/>
  <c r="N37" i="20" s="1"/>
  <c r="AO36" i="20"/>
  <c r="AI36" i="20"/>
  <c r="AE36" i="20"/>
  <c r="T36" i="20"/>
  <c r="V36" i="20" s="1"/>
  <c r="M36" i="20"/>
  <c r="N36" i="20" s="1"/>
  <c r="AO35" i="20"/>
  <c r="AI35" i="20"/>
  <c r="AE35" i="20"/>
  <c r="T35" i="20"/>
  <c r="V35" i="20" s="1"/>
  <c r="M35" i="20"/>
  <c r="N35" i="20" s="1"/>
  <c r="AO34" i="20"/>
  <c r="AI34" i="20"/>
  <c r="AE34" i="20"/>
  <c r="T34" i="20"/>
  <c r="V34" i="20" s="1"/>
  <c r="M34" i="20"/>
  <c r="N34" i="20" s="1"/>
  <c r="AO33" i="20"/>
  <c r="AI33" i="20"/>
  <c r="AE33" i="20"/>
  <c r="T33" i="20"/>
  <c r="V33" i="20" s="1"/>
  <c r="M33" i="20"/>
  <c r="N33" i="20" s="1"/>
  <c r="AO32" i="20"/>
  <c r="AI32" i="20"/>
  <c r="AE32" i="20"/>
  <c r="V32" i="20"/>
  <c r="T32" i="20"/>
  <c r="M32" i="20"/>
  <c r="N32" i="20" s="1"/>
  <c r="AO31" i="20"/>
  <c r="AI31" i="20"/>
  <c r="AE31" i="20"/>
  <c r="T31" i="20"/>
  <c r="V31" i="20" s="1"/>
  <c r="M31" i="20"/>
  <c r="N31" i="20" s="1"/>
  <c r="AO30" i="20"/>
  <c r="AO41" i="20" s="1"/>
  <c r="AI30" i="20"/>
  <c r="AE30" i="20"/>
  <c r="T30" i="20"/>
  <c r="V30" i="20" s="1"/>
  <c r="M30" i="20"/>
  <c r="N30" i="20" s="1"/>
  <c r="AO29" i="20"/>
  <c r="AI29" i="20"/>
  <c r="AE29" i="20"/>
  <c r="J5" i="20"/>
  <c r="J4" i="20"/>
  <c r="M4" i="20" s="1"/>
  <c r="N4" i="20" s="1"/>
  <c r="T22" i="20"/>
  <c r="V22" i="20" s="1"/>
  <c r="M22" i="20"/>
  <c r="N22" i="20" s="1"/>
  <c r="T21" i="20"/>
  <c r="V21" i="20" s="1"/>
  <c r="M21" i="20"/>
  <c r="N21" i="20" s="1"/>
  <c r="T20" i="20"/>
  <c r="V20" i="20" s="1"/>
  <c r="M20" i="20"/>
  <c r="N20" i="20" s="1"/>
  <c r="T19" i="20"/>
  <c r="V19" i="20" s="1"/>
  <c r="M19" i="20"/>
  <c r="N19" i="20" s="1"/>
  <c r="T18" i="20"/>
  <c r="V18" i="20" s="1"/>
  <c r="M18" i="20"/>
  <c r="N18" i="20" s="1"/>
  <c r="T17" i="20"/>
  <c r="V17" i="20" s="1"/>
  <c r="M17" i="20"/>
  <c r="N17" i="20" s="1"/>
  <c r="T16" i="20"/>
  <c r="V16" i="20" s="1"/>
  <c r="M16" i="20"/>
  <c r="N16" i="20" s="1"/>
  <c r="AL15" i="20"/>
  <c r="T15" i="20"/>
  <c r="V15" i="20" s="1"/>
  <c r="M15" i="20"/>
  <c r="N15" i="20" s="1"/>
  <c r="T14" i="20"/>
  <c r="V14" i="20" s="1"/>
  <c r="M14" i="20"/>
  <c r="N14" i="20" s="1"/>
  <c r="V13" i="20"/>
  <c r="T13" i="20"/>
  <c r="M13" i="20"/>
  <c r="N13" i="20" s="1"/>
  <c r="T12" i="20"/>
  <c r="V12" i="20" s="1"/>
  <c r="M12" i="20"/>
  <c r="N12" i="20" s="1"/>
  <c r="AO11" i="20"/>
  <c r="AI11" i="20"/>
  <c r="AE11" i="20"/>
  <c r="T11" i="20"/>
  <c r="V11" i="20" s="1"/>
  <c r="M11" i="20"/>
  <c r="N11" i="20" s="1"/>
  <c r="AO10" i="20"/>
  <c r="AI10" i="20"/>
  <c r="AE10" i="20"/>
  <c r="T10" i="20"/>
  <c r="V10" i="20" s="1"/>
  <c r="M10" i="20"/>
  <c r="N10" i="20" s="1"/>
  <c r="AO9" i="20"/>
  <c r="AI9" i="20"/>
  <c r="AE9" i="20"/>
  <c r="T9" i="20"/>
  <c r="V9" i="20" s="1"/>
  <c r="M9" i="20"/>
  <c r="N9" i="20" s="1"/>
  <c r="AO8" i="20"/>
  <c r="AI8" i="20"/>
  <c r="AE8" i="20"/>
  <c r="T8" i="20"/>
  <c r="V8" i="20" s="1"/>
  <c r="M8" i="20"/>
  <c r="N8" i="20" s="1"/>
  <c r="AO7" i="20"/>
  <c r="AI7" i="20"/>
  <c r="AE7" i="20"/>
  <c r="T7" i="20"/>
  <c r="V7" i="20" s="1"/>
  <c r="M7" i="20"/>
  <c r="N7" i="20" s="1"/>
  <c r="AO6" i="20"/>
  <c r="AI6" i="20"/>
  <c r="AE6" i="20"/>
  <c r="T6" i="20"/>
  <c r="V6" i="20" s="1"/>
  <c r="M6" i="20"/>
  <c r="N6" i="20" s="1"/>
  <c r="AO5" i="20"/>
  <c r="AI5" i="20"/>
  <c r="AE5" i="20"/>
  <c r="T5" i="20"/>
  <c r="V5" i="20" s="1"/>
  <c r="M5" i="20"/>
  <c r="N5" i="20" s="1"/>
  <c r="AO4" i="20"/>
  <c r="AI4" i="20"/>
  <c r="AE4" i="20"/>
  <c r="T4" i="20"/>
  <c r="V4" i="20" s="1"/>
  <c r="AO3" i="20"/>
  <c r="AI3" i="20"/>
  <c r="AE3" i="20"/>
  <c r="AI13" i="20" l="1"/>
  <c r="AO15" i="20"/>
  <c r="AI39" i="20"/>
  <c r="AE39" i="20"/>
  <c r="AE13" i="20"/>
  <c r="M170" i="19"/>
  <c r="T178" i="19" l="1"/>
  <c r="V178" i="19" s="1"/>
  <c r="M178" i="19"/>
  <c r="N178" i="19" s="1"/>
  <c r="T177" i="19"/>
  <c r="V177" i="19" s="1"/>
  <c r="M177" i="19"/>
  <c r="N177" i="19" s="1"/>
  <c r="T176" i="19"/>
  <c r="V176" i="19" s="1"/>
  <c r="M176" i="19"/>
  <c r="N176" i="19" s="1"/>
  <c r="T175" i="19"/>
  <c r="V175" i="19" s="1"/>
  <c r="M175" i="19"/>
  <c r="N175" i="19" s="1"/>
  <c r="T174" i="19"/>
  <c r="V174" i="19" s="1"/>
  <c r="M174" i="19"/>
  <c r="N174" i="19" s="1"/>
  <c r="T173" i="19"/>
  <c r="V173" i="19" s="1"/>
  <c r="M173" i="19"/>
  <c r="N173" i="19" s="1"/>
  <c r="T172" i="19"/>
  <c r="V172" i="19" s="1"/>
  <c r="M172" i="19"/>
  <c r="N172" i="19" s="1"/>
  <c r="AL171" i="19"/>
  <c r="V171" i="19"/>
  <c r="T171" i="19"/>
  <c r="M171" i="19"/>
  <c r="N171" i="19" s="1"/>
  <c r="T170" i="19"/>
  <c r="V170" i="19" s="1"/>
  <c r="N170" i="19"/>
  <c r="V169" i="19"/>
  <c r="T169" i="19"/>
  <c r="M169" i="19"/>
  <c r="N169" i="19" s="1"/>
  <c r="T168" i="19"/>
  <c r="V168" i="19" s="1"/>
  <c r="M168" i="19"/>
  <c r="N168" i="19" s="1"/>
  <c r="AO167" i="19"/>
  <c r="AI167" i="19"/>
  <c r="AE167" i="19"/>
  <c r="T167" i="19"/>
  <c r="V167" i="19" s="1"/>
  <c r="M167" i="19"/>
  <c r="N167" i="19" s="1"/>
  <c r="AO166" i="19"/>
  <c r="AI166" i="19"/>
  <c r="AE166" i="19"/>
  <c r="V166" i="19"/>
  <c r="T166" i="19"/>
  <c r="M166" i="19"/>
  <c r="N166" i="19" s="1"/>
  <c r="AO165" i="19"/>
  <c r="AI165" i="19"/>
  <c r="AE165" i="19"/>
  <c r="T165" i="19"/>
  <c r="V165" i="19" s="1"/>
  <c r="M165" i="19"/>
  <c r="N165" i="19" s="1"/>
  <c r="AO164" i="19"/>
  <c r="AI164" i="19"/>
  <c r="AE164" i="19"/>
  <c r="T164" i="19"/>
  <c r="V164" i="19" s="1"/>
  <c r="M164" i="19"/>
  <c r="N164" i="19" s="1"/>
  <c r="AO163" i="19"/>
  <c r="AI163" i="19"/>
  <c r="AE163" i="19"/>
  <c r="T163" i="19"/>
  <c r="V163" i="19" s="1"/>
  <c r="M163" i="19"/>
  <c r="N163" i="19" s="1"/>
  <c r="AO162" i="19"/>
  <c r="AI162" i="19"/>
  <c r="AE162" i="19"/>
  <c r="T162" i="19"/>
  <c r="V162" i="19" s="1"/>
  <c r="M162" i="19"/>
  <c r="N162" i="19" s="1"/>
  <c r="AO161" i="19"/>
  <c r="AI161" i="19"/>
  <c r="AE161" i="19"/>
  <c r="T161" i="19"/>
  <c r="V161" i="19" s="1"/>
  <c r="M161" i="19"/>
  <c r="N161" i="19" s="1"/>
  <c r="AO160" i="19"/>
  <c r="AI160" i="19"/>
  <c r="AE160" i="19"/>
  <c r="V160" i="19"/>
  <c r="T160" i="19"/>
  <c r="N160" i="19"/>
  <c r="M160" i="19"/>
  <c r="AO159" i="19"/>
  <c r="AI159" i="19"/>
  <c r="AE159" i="19"/>
  <c r="A128" i="19"/>
  <c r="C128" i="19" s="1"/>
  <c r="A129" i="19"/>
  <c r="AI169" i="19" l="1"/>
  <c r="AO171" i="19"/>
  <c r="AE169" i="19"/>
  <c r="T152" i="19"/>
  <c r="V152" i="19" s="1"/>
  <c r="M152" i="19"/>
  <c r="N152" i="19" s="1"/>
  <c r="T151" i="19"/>
  <c r="V151" i="19" s="1"/>
  <c r="M151" i="19"/>
  <c r="N151" i="19" s="1"/>
  <c r="T150" i="19"/>
  <c r="V150" i="19" s="1"/>
  <c r="M150" i="19"/>
  <c r="N150" i="19" s="1"/>
  <c r="T149" i="19"/>
  <c r="V149" i="19" s="1"/>
  <c r="M149" i="19"/>
  <c r="N149" i="19" s="1"/>
  <c r="T148" i="19"/>
  <c r="V148" i="19" s="1"/>
  <c r="M148" i="19"/>
  <c r="N148" i="19" s="1"/>
  <c r="T147" i="19"/>
  <c r="V147" i="19" s="1"/>
  <c r="M147" i="19"/>
  <c r="N147" i="19" s="1"/>
  <c r="T146" i="19"/>
  <c r="V146" i="19" s="1"/>
  <c r="M146" i="19"/>
  <c r="N146" i="19" s="1"/>
  <c r="AL145" i="19"/>
  <c r="T145" i="19"/>
  <c r="V145" i="19" s="1"/>
  <c r="M145" i="19"/>
  <c r="N145" i="19" s="1"/>
  <c r="T144" i="19"/>
  <c r="V144" i="19" s="1"/>
  <c r="M144" i="19"/>
  <c r="N144" i="19" s="1"/>
  <c r="V143" i="19"/>
  <c r="T143" i="19"/>
  <c r="N143" i="19"/>
  <c r="M143" i="19"/>
  <c r="V142" i="19"/>
  <c r="T142" i="19"/>
  <c r="M142" i="19"/>
  <c r="N142" i="19" s="1"/>
  <c r="AO141" i="19"/>
  <c r="AI141" i="19"/>
  <c r="AE141" i="19"/>
  <c r="T141" i="19"/>
  <c r="V141" i="19" s="1"/>
  <c r="M141" i="19"/>
  <c r="N141" i="19" s="1"/>
  <c r="AO140" i="19"/>
  <c r="AI140" i="19"/>
  <c r="AE140" i="19"/>
  <c r="T140" i="19"/>
  <c r="V140" i="19" s="1"/>
  <c r="M140" i="19"/>
  <c r="N140" i="19" s="1"/>
  <c r="AO139" i="19"/>
  <c r="AI139" i="19"/>
  <c r="AE139" i="19"/>
  <c r="T139" i="19"/>
  <c r="V139" i="19" s="1"/>
  <c r="M139" i="19"/>
  <c r="N139" i="19" s="1"/>
  <c r="AO138" i="19"/>
  <c r="AI138" i="19"/>
  <c r="AE138" i="19"/>
  <c r="V138" i="19"/>
  <c r="T138" i="19"/>
  <c r="N138" i="19"/>
  <c r="M138" i="19"/>
  <c r="AO137" i="19"/>
  <c r="AI137" i="19"/>
  <c r="AE137" i="19"/>
  <c r="T137" i="19"/>
  <c r="V137" i="19" s="1"/>
  <c r="M137" i="19"/>
  <c r="N137" i="19" s="1"/>
  <c r="AO136" i="19"/>
  <c r="AI136" i="19"/>
  <c r="AE136" i="19"/>
  <c r="V136" i="19"/>
  <c r="T136" i="19"/>
  <c r="N136" i="19"/>
  <c r="M136" i="19"/>
  <c r="AO135" i="19"/>
  <c r="AI135" i="19"/>
  <c r="AE135" i="19"/>
  <c r="T135" i="19"/>
  <c r="V135" i="19" s="1"/>
  <c r="M135" i="19"/>
  <c r="N135" i="19" s="1"/>
  <c r="AO134" i="19"/>
  <c r="AI134" i="19"/>
  <c r="AE134" i="19"/>
  <c r="V134" i="19"/>
  <c r="T134" i="19"/>
  <c r="M134" i="19"/>
  <c r="N134" i="19" s="1"/>
  <c r="AO133" i="19"/>
  <c r="AI133" i="19"/>
  <c r="AE133" i="19"/>
  <c r="AO145" i="19" l="1"/>
  <c r="AI143" i="19"/>
  <c r="AE143" i="19"/>
  <c r="J106" i="19"/>
  <c r="T125" i="19"/>
  <c r="V125" i="19" s="1"/>
  <c r="M125" i="19"/>
  <c r="N125" i="19" s="1"/>
  <c r="T124" i="19"/>
  <c r="V124" i="19" s="1"/>
  <c r="M124" i="19"/>
  <c r="N124" i="19" s="1"/>
  <c r="T123" i="19"/>
  <c r="V123" i="19" s="1"/>
  <c r="M123" i="19"/>
  <c r="N123" i="19" s="1"/>
  <c r="T122" i="19"/>
  <c r="V122" i="19" s="1"/>
  <c r="M122" i="19"/>
  <c r="N122" i="19" s="1"/>
  <c r="T121" i="19"/>
  <c r="V121" i="19" s="1"/>
  <c r="M121" i="19"/>
  <c r="N121" i="19" s="1"/>
  <c r="T120" i="19"/>
  <c r="V120" i="19" s="1"/>
  <c r="M120" i="19"/>
  <c r="N120" i="19" s="1"/>
  <c r="T119" i="19"/>
  <c r="V119" i="19" s="1"/>
  <c r="M119" i="19"/>
  <c r="N119" i="19" s="1"/>
  <c r="AL118" i="19"/>
  <c r="T118" i="19"/>
  <c r="V118" i="19" s="1"/>
  <c r="M118" i="19"/>
  <c r="N118" i="19" s="1"/>
  <c r="T117" i="19"/>
  <c r="V117" i="19" s="1"/>
  <c r="M117" i="19"/>
  <c r="N117" i="19" s="1"/>
  <c r="T116" i="19"/>
  <c r="V116" i="19" s="1"/>
  <c r="M116" i="19"/>
  <c r="N116" i="19" s="1"/>
  <c r="T115" i="19"/>
  <c r="V115" i="19" s="1"/>
  <c r="M115" i="19"/>
  <c r="N115" i="19" s="1"/>
  <c r="AO114" i="19"/>
  <c r="AI112" i="19"/>
  <c r="AE112" i="19"/>
  <c r="T114" i="19"/>
  <c r="V114" i="19" s="1"/>
  <c r="M114" i="19"/>
  <c r="N114" i="19" s="1"/>
  <c r="AO113" i="19"/>
  <c r="AI111" i="19"/>
  <c r="AE111" i="19"/>
  <c r="T113" i="19"/>
  <c r="V113" i="19" s="1"/>
  <c r="M113" i="19"/>
  <c r="N113" i="19" s="1"/>
  <c r="AO112" i="19"/>
  <c r="AI110" i="19"/>
  <c r="AE110" i="19"/>
  <c r="T112" i="19"/>
  <c r="V112" i="19" s="1"/>
  <c r="M112" i="19"/>
  <c r="N112" i="19" s="1"/>
  <c r="AO111" i="19"/>
  <c r="AI109" i="19"/>
  <c r="AE109" i="19"/>
  <c r="T111" i="19"/>
  <c r="V111" i="19" s="1"/>
  <c r="M111" i="19"/>
  <c r="N111" i="19" s="1"/>
  <c r="AO110" i="19"/>
  <c r="AI108" i="19"/>
  <c r="AE108" i="19"/>
  <c r="V110" i="19"/>
  <c r="T110" i="19"/>
  <c r="N110" i="19"/>
  <c r="M110" i="19"/>
  <c r="AO109" i="19"/>
  <c r="AI107" i="19"/>
  <c r="AE107" i="19"/>
  <c r="T109" i="19"/>
  <c r="V109" i="19" s="1"/>
  <c r="M109" i="19"/>
  <c r="N109" i="19" s="1"/>
  <c r="AO108" i="19"/>
  <c r="AI106" i="19"/>
  <c r="AE106" i="19"/>
  <c r="V108" i="19"/>
  <c r="T108" i="19"/>
  <c r="N108" i="19"/>
  <c r="M108" i="19"/>
  <c r="AO105" i="19"/>
  <c r="AO118" i="19" s="1"/>
  <c r="AI105" i="19"/>
  <c r="AE105" i="19"/>
  <c r="T105" i="19"/>
  <c r="V105" i="19" s="1"/>
  <c r="M105" i="19"/>
  <c r="N105" i="19" s="1"/>
  <c r="AO104" i="19"/>
  <c r="AI104" i="19"/>
  <c r="AI114" i="19" s="1"/>
  <c r="AE104" i="19"/>
  <c r="AE114" i="19" l="1"/>
  <c r="T99" i="19"/>
  <c r="V99" i="19" s="1"/>
  <c r="M99" i="19"/>
  <c r="N99" i="19" s="1"/>
  <c r="T98" i="19"/>
  <c r="V98" i="19" s="1"/>
  <c r="M98" i="19"/>
  <c r="N98" i="19" s="1"/>
  <c r="T97" i="19"/>
  <c r="V97" i="19" s="1"/>
  <c r="M97" i="19"/>
  <c r="N97" i="19" s="1"/>
  <c r="T96" i="19"/>
  <c r="V96" i="19" s="1"/>
  <c r="M96" i="19"/>
  <c r="N96" i="19" s="1"/>
  <c r="T95" i="19"/>
  <c r="V95" i="19" s="1"/>
  <c r="M95" i="19"/>
  <c r="N95" i="19" s="1"/>
  <c r="T94" i="19"/>
  <c r="V94" i="19" s="1"/>
  <c r="M94" i="19"/>
  <c r="N94" i="19" s="1"/>
  <c r="T93" i="19"/>
  <c r="V93" i="19" s="1"/>
  <c r="M93" i="19"/>
  <c r="N93" i="19" s="1"/>
  <c r="T92" i="19"/>
  <c r="V92" i="19" s="1"/>
  <c r="M92" i="19"/>
  <c r="N92" i="19" s="1"/>
  <c r="T91" i="19"/>
  <c r="V91" i="19" s="1"/>
  <c r="M91" i="19"/>
  <c r="N91" i="19" s="1"/>
  <c r="V90" i="19"/>
  <c r="T90" i="19"/>
  <c r="N90" i="19"/>
  <c r="M90" i="19"/>
  <c r="V89" i="19"/>
  <c r="T89" i="19"/>
  <c r="N89" i="19"/>
  <c r="M89" i="19"/>
  <c r="V88" i="19"/>
  <c r="T88" i="19"/>
  <c r="N88" i="19"/>
  <c r="M88" i="19"/>
  <c r="V87" i="19"/>
  <c r="T87" i="19"/>
  <c r="N87" i="19"/>
  <c r="M87" i="19"/>
  <c r="V86" i="19"/>
  <c r="T86" i="19"/>
  <c r="M86" i="19"/>
  <c r="T85" i="19"/>
  <c r="V85" i="19" s="1"/>
  <c r="M85" i="19"/>
  <c r="N85" i="19" s="1"/>
  <c r="T84" i="19"/>
  <c r="V84" i="19" s="1"/>
  <c r="M84" i="19"/>
  <c r="N84" i="19" s="1"/>
  <c r="T83" i="19"/>
  <c r="V83" i="19" s="1"/>
  <c r="M83" i="19"/>
  <c r="N83" i="19" s="1"/>
  <c r="T82" i="19"/>
  <c r="V82" i="19" s="1"/>
  <c r="M82" i="19"/>
  <c r="N82" i="19" s="1"/>
  <c r="T81" i="19"/>
  <c r="V81" i="19" s="1"/>
  <c r="M81" i="19"/>
  <c r="N81" i="19" s="1"/>
  <c r="E78" i="19" l="1"/>
  <c r="AL92" i="19"/>
  <c r="AO88" i="19"/>
  <c r="AI88" i="19"/>
  <c r="AE88" i="19"/>
  <c r="AO87" i="19"/>
  <c r="AI87" i="19"/>
  <c r="AE87" i="19"/>
  <c r="AO86" i="19"/>
  <c r="AI86" i="19"/>
  <c r="AE86" i="19"/>
  <c r="AO85" i="19"/>
  <c r="AI85" i="19"/>
  <c r="AE85" i="19"/>
  <c r="AO84" i="19"/>
  <c r="AI84" i="19"/>
  <c r="AE84" i="19"/>
  <c r="AO83" i="19"/>
  <c r="AI83" i="19"/>
  <c r="AE83" i="19"/>
  <c r="AO82" i="19"/>
  <c r="AI82" i="19"/>
  <c r="AE82" i="19"/>
  <c r="AO81" i="19"/>
  <c r="AI81" i="19"/>
  <c r="AE81" i="19"/>
  <c r="AO80" i="19"/>
  <c r="AI80" i="19"/>
  <c r="AE80" i="19"/>
  <c r="AI90" i="19" l="1"/>
  <c r="AO92" i="19"/>
  <c r="AE90" i="19"/>
  <c r="T73" i="19"/>
  <c r="V73" i="19" s="1"/>
  <c r="M73" i="19"/>
  <c r="N73" i="19" s="1"/>
  <c r="T72" i="19"/>
  <c r="V72" i="19" s="1"/>
  <c r="M72" i="19"/>
  <c r="N72" i="19" s="1"/>
  <c r="T71" i="19"/>
  <c r="V71" i="19" s="1"/>
  <c r="M71" i="19"/>
  <c r="N71" i="19" s="1"/>
  <c r="T70" i="19"/>
  <c r="V70" i="19" s="1"/>
  <c r="M70" i="19"/>
  <c r="N70" i="19" s="1"/>
  <c r="T69" i="19"/>
  <c r="V69" i="19" s="1"/>
  <c r="M69" i="19"/>
  <c r="N69" i="19" s="1"/>
  <c r="T68" i="19"/>
  <c r="V68" i="19" s="1"/>
  <c r="M68" i="19"/>
  <c r="N68" i="19" s="1"/>
  <c r="T67" i="19"/>
  <c r="V67" i="19" s="1"/>
  <c r="M67" i="19"/>
  <c r="N67" i="19" s="1"/>
  <c r="AL66" i="19"/>
  <c r="T66" i="19"/>
  <c r="V66" i="19" s="1"/>
  <c r="M66" i="19"/>
  <c r="N66" i="19" s="1"/>
  <c r="T65" i="19"/>
  <c r="V65" i="19" s="1"/>
  <c r="M65" i="19"/>
  <c r="N65" i="19" s="1"/>
  <c r="T64" i="19"/>
  <c r="M64" i="19"/>
  <c r="N64" i="19" s="1"/>
  <c r="T63" i="19"/>
  <c r="V63" i="19" s="1"/>
  <c r="M63" i="19"/>
  <c r="N63" i="19" s="1"/>
  <c r="AO62" i="19"/>
  <c r="AI62" i="19"/>
  <c r="AE62" i="19"/>
  <c r="T62" i="19"/>
  <c r="V62" i="19" s="1"/>
  <c r="M62" i="19"/>
  <c r="N62" i="19" s="1"/>
  <c r="AO61" i="19"/>
  <c r="AI61" i="19"/>
  <c r="AE61" i="19"/>
  <c r="T61" i="19"/>
  <c r="V61" i="19" s="1"/>
  <c r="M61" i="19"/>
  <c r="N61" i="19" s="1"/>
  <c r="AO60" i="19"/>
  <c r="AI60" i="19"/>
  <c r="AE60" i="19"/>
  <c r="V60" i="19"/>
  <c r="T60" i="19"/>
  <c r="M60" i="19"/>
  <c r="N60" i="19" s="1"/>
  <c r="AO59" i="19"/>
  <c r="AI59" i="19"/>
  <c r="AE59" i="19"/>
  <c r="T59" i="19"/>
  <c r="V59" i="19" s="1"/>
  <c r="M59" i="19"/>
  <c r="N59" i="19" s="1"/>
  <c r="AO58" i="19"/>
  <c r="AI58" i="19"/>
  <c r="AE58" i="19"/>
  <c r="T58" i="19"/>
  <c r="V58" i="19" s="1"/>
  <c r="N58" i="19"/>
  <c r="M58" i="19"/>
  <c r="AO57" i="19"/>
  <c r="AI57" i="19"/>
  <c r="AE57" i="19"/>
  <c r="T57" i="19"/>
  <c r="V57" i="19" s="1"/>
  <c r="M57" i="19"/>
  <c r="N57" i="19" s="1"/>
  <c r="AO56" i="19"/>
  <c r="AI56" i="19"/>
  <c r="AE56" i="19"/>
  <c r="V56" i="19"/>
  <c r="T56" i="19"/>
  <c r="M56" i="19"/>
  <c r="N56" i="19" s="1"/>
  <c r="AO55" i="19"/>
  <c r="AI55" i="19"/>
  <c r="AE55" i="19"/>
  <c r="T55" i="19"/>
  <c r="V55" i="19" s="1"/>
  <c r="M55" i="19"/>
  <c r="N55" i="19" s="1"/>
  <c r="AO54" i="19"/>
  <c r="AI54" i="19"/>
  <c r="AE54" i="19"/>
  <c r="AI64" i="19" l="1"/>
  <c r="AO66" i="19"/>
  <c r="V52" i="19"/>
  <c r="AE64" i="19"/>
  <c r="U32" i="19"/>
  <c r="J32" i="19"/>
  <c r="T50" i="19"/>
  <c r="V50" i="19" s="1"/>
  <c r="M50" i="19"/>
  <c r="N50" i="19" s="1"/>
  <c r="T49" i="19"/>
  <c r="V49" i="19" s="1"/>
  <c r="M49" i="19"/>
  <c r="N49" i="19" s="1"/>
  <c r="T48" i="19"/>
  <c r="V48" i="19" s="1"/>
  <c r="M48" i="19"/>
  <c r="N48" i="19" s="1"/>
  <c r="T47" i="19"/>
  <c r="V47" i="19" s="1"/>
  <c r="M47" i="19"/>
  <c r="N47" i="19" s="1"/>
  <c r="T46" i="19"/>
  <c r="V46" i="19" s="1"/>
  <c r="M46" i="19"/>
  <c r="N46" i="19" s="1"/>
  <c r="T45" i="19"/>
  <c r="V45" i="19" s="1"/>
  <c r="M45" i="19"/>
  <c r="N45" i="19" s="1"/>
  <c r="T44" i="19"/>
  <c r="V44" i="19" s="1"/>
  <c r="M44" i="19"/>
  <c r="N44" i="19" s="1"/>
  <c r="AL43" i="19"/>
  <c r="T43" i="19"/>
  <c r="V43" i="19" s="1"/>
  <c r="M43" i="19"/>
  <c r="N43" i="19" s="1"/>
  <c r="T42" i="19"/>
  <c r="V42" i="19" s="1"/>
  <c r="M42" i="19"/>
  <c r="N42" i="19" s="1"/>
  <c r="T41" i="19"/>
  <c r="V41" i="19" s="1"/>
  <c r="M41" i="19"/>
  <c r="N41" i="19" s="1"/>
  <c r="T40" i="19"/>
  <c r="V40" i="19" s="1"/>
  <c r="M40" i="19"/>
  <c r="N40" i="19" s="1"/>
  <c r="AO39" i="19"/>
  <c r="AI39" i="19"/>
  <c r="AE39" i="19"/>
  <c r="V39" i="19"/>
  <c r="T39" i="19"/>
  <c r="N39" i="19"/>
  <c r="M39" i="19"/>
  <c r="AO38" i="19"/>
  <c r="AI38" i="19"/>
  <c r="AE38" i="19"/>
  <c r="T38" i="19"/>
  <c r="V38" i="19" s="1"/>
  <c r="M38" i="19"/>
  <c r="N38" i="19" s="1"/>
  <c r="AO37" i="19"/>
  <c r="AI37" i="19"/>
  <c r="AE37" i="19"/>
  <c r="V37" i="19"/>
  <c r="T37" i="19"/>
  <c r="N37" i="19"/>
  <c r="M37" i="19"/>
  <c r="AO36" i="19"/>
  <c r="AI36" i="19"/>
  <c r="AE36" i="19"/>
  <c r="T36" i="19"/>
  <c r="V36" i="19" s="1"/>
  <c r="M36" i="19"/>
  <c r="N36" i="19" s="1"/>
  <c r="AO35" i="19"/>
  <c r="AI35" i="19"/>
  <c r="AE35" i="19"/>
  <c r="V35" i="19"/>
  <c r="T35" i="19"/>
  <c r="M35" i="19"/>
  <c r="N35" i="19" s="1"/>
  <c r="AO34" i="19"/>
  <c r="AI34" i="19"/>
  <c r="AE34" i="19"/>
  <c r="T34" i="19"/>
  <c r="V34" i="19" s="1"/>
  <c r="M34" i="19"/>
  <c r="N34" i="19" s="1"/>
  <c r="AO33" i="19"/>
  <c r="AI33" i="19"/>
  <c r="AE33" i="19"/>
  <c r="T33" i="19"/>
  <c r="V33" i="19" s="1"/>
  <c r="M33" i="19"/>
  <c r="N33" i="19" s="1"/>
  <c r="AO32" i="19"/>
  <c r="AI32" i="19"/>
  <c r="AE32" i="19"/>
  <c r="T32" i="19"/>
  <c r="M32" i="19"/>
  <c r="N32" i="19" s="1"/>
  <c r="AO31" i="19"/>
  <c r="AI31" i="19"/>
  <c r="AE31" i="19"/>
  <c r="AO43" i="19" l="1"/>
  <c r="AI41" i="19"/>
  <c r="AE41" i="19"/>
  <c r="V32" i="19"/>
  <c r="J8" i="19"/>
  <c r="J9" i="19"/>
  <c r="M9" i="19" s="1"/>
  <c r="N9" i="19" s="1"/>
  <c r="J7" i="19"/>
  <c r="T24" i="19"/>
  <c r="V24" i="19" s="1"/>
  <c r="M24" i="19"/>
  <c r="N24" i="19" s="1"/>
  <c r="T23" i="19"/>
  <c r="V23" i="19" s="1"/>
  <c r="M23" i="19"/>
  <c r="N23" i="19" s="1"/>
  <c r="T22" i="19"/>
  <c r="V22" i="19" s="1"/>
  <c r="M22" i="19"/>
  <c r="N22" i="19" s="1"/>
  <c r="T21" i="19"/>
  <c r="V21" i="19" s="1"/>
  <c r="M21" i="19"/>
  <c r="N21" i="19" s="1"/>
  <c r="T20" i="19"/>
  <c r="V20" i="19" s="1"/>
  <c r="M20" i="19"/>
  <c r="N20" i="19" s="1"/>
  <c r="T19" i="19"/>
  <c r="V19" i="19" s="1"/>
  <c r="M19" i="19"/>
  <c r="N19" i="19" s="1"/>
  <c r="T18" i="19"/>
  <c r="V18" i="19" s="1"/>
  <c r="M18" i="19"/>
  <c r="N18" i="19" s="1"/>
  <c r="AL17" i="19"/>
  <c r="T17" i="19"/>
  <c r="V17" i="19" s="1"/>
  <c r="M17" i="19"/>
  <c r="N17" i="19" s="1"/>
  <c r="T16" i="19"/>
  <c r="V16" i="19" s="1"/>
  <c r="M16" i="19"/>
  <c r="N16" i="19" s="1"/>
  <c r="T15" i="19"/>
  <c r="V15" i="19" s="1"/>
  <c r="M15" i="19"/>
  <c r="N15" i="19" s="1"/>
  <c r="T14" i="19"/>
  <c r="V14" i="19" s="1"/>
  <c r="M14" i="19"/>
  <c r="N14" i="19" s="1"/>
  <c r="AO13" i="19"/>
  <c r="AI13" i="19"/>
  <c r="AE13" i="19"/>
  <c r="T13" i="19"/>
  <c r="V13" i="19" s="1"/>
  <c r="M13" i="19"/>
  <c r="N13" i="19" s="1"/>
  <c r="AO12" i="19"/>
  <c r="AI12" i="19"/>
  <c r="AE12" i="19"/>
  <c r="T12" i="19"/>
  <c r="V12" i="19" s="1"/>
  <c r="M12" i="19"/>
  <c r="N12" i="19" s="1"/>
  <c r="AO11" i="19"/>
  <c r="AI11" i="19"/>
  <c r="AE11" i="19"/>
  <c r="T11" i="19"/>
  <c r="V11" i="19" s="1"/>
  <c r="M11" i="19"/>
  <c r="N11" i="19" s="1"/>
  <c r="AO10" i="19"/>
  <c r="AI10" i="19"/>
  <c r="AE10" i="19"/>
  <c r="T10" i="19"/>
  <c r="V10" i="19" s="1"/>
  <c r="M10" i="19"/>
  <c r="N10" i="19" s="1"/>
  <c r="AO9" i="19"/>
  <c r="AI9" i="19"/>
  <c r="AE9" i="19"/>
  <c r="T9" i="19"/>
  <c r="V9" i="19" s="1"/>
  <c r="AO8" i="19"/>
  <c r="AI8" i="19"/>
  <c r="AE8" i="19"/>
  <c r="T8" i="19"/>
  <c r="V8" i="19" s="1"/>
  <c r="M8" i="19"/>
  <c r="N8" i="19" s="1"/>
  <c r="AO7" i="19"/>
  <c r="AI7" i="19"/>
  <c r="AE7" i="19"/>
  <c r="T7" i="19"/>
  <c r="V7" i="19" s="1"/>
  <c r="M7" i="19"/>
  <c r="N7" i="19" s="1"/>
  <c r="AO6" i="19"/>
  <c r="AO17" i="19" s="1"/>
  <c r="AI6" i="19"/>
  <c r="AE6" i="19"/>
  <c r="T6" i="19"/>
  <c r="V6" i="19" s="1"/>
  <c r="M6" i="19"/>
  <c r="N6" i="19" s="1"/>
  <c r="AO5" i="19"/>
  <c r="AI5" i="19"/>
  <c r="AI15" i="19" s="1"/>
  <c r="AE5" i="19"/>
  <c r="AE15" i="19" l="1"/>
  <c r="J305" i="18" l="1"/>
  <c r="J280" i="18"/>
  <c r="J256" i="18"/>
  <c r="J230" i="18"/>
  <c r="J175" i="18"/>
  <c r="J149" i="18"/>
  <c r="J100" i="18"/>
  <c r="J72" i="18"/>
  <c r="J48" i="18"/>
  <c r="J24" i="18"/>
  <c r="T358" i="18"/>
  <c r="V358" i="18" s="1"/>
  <c r="M358" i="18"/>
  <c r="N358" i="18" s="1"/>
  <c r="T357" i="18"/>
  <c r="V357" i="18" s="1"/>
  <c r="M357" i="18"/>
  <c r="N357" i="18" s="1"/>
  <c r="T356" i="18"/>
  <c r="V356" i="18" s="1"/>
  <c r="M356" i="18"/>
  <c r="N356" i="18" s="1"/>
  <c r="T355" i="18"/>
  <c r="V355" i="18" s="1"/>
  <c r="M355" i="18"/>
  <c r="N355" i="18" s="1"/>
  <c r="T354" i="18"/>
  <c r="V354" i="18" s="1"/>
  <c r="N354" i="18"/>
  <c r="M354" i="18"/>
  <c r="V353" i="18"/>
  <c r="T353" i="18"/>
  <c r="N353" i="18"/>
  <c r="M353" i="18"/>
  <c r="V352" i="18"/>
  <c r="T352" i="18"/>
  <c r="N352" i="18"/>
  <c r="M352" i="18"/>
  <c r="AL351" i="18"/>
  <c r="T351" i="18"/>
  <c r="V351" i="18" s="1"/>
  <c r="M351" i="18"/>
  <c r="N351" i="18" s="1"/>
  <c r="T350" i="18"/>
  <c r="V350" i="18" s="1"/>
  <c r="M350" i="18"/>
  <c r="N350" i="18" s="1"/>
  <c r="T349" i="18"/>
  <c r="V349" i="18" s="1"/>
  <c r="M349" i="18"/>
  <c r="N349" i="18" s="1"/>
  <c r="T348" i="18"/>
  <c r="V348" i="18" s="1"/>
  <c r="M348" i="18"/>
  <c r="N348" i="18" s="1"/>
  <c r="AO347" i="18"/>
  <c r="AI347" i="18"/>
  <c r="AE347" i="18"/>
  <c r="T347" i="18"/>
  <c r="V347" i="18" s="1"/>
  <c r="M347" i="18"/>
  <c r="N347" i="18" s="1"/>
  <c r="AO346" i="18"/>
  <c r="AI346" i="18"/>
  <c r="AE346" i="18"/>
  <c r="T346" i="18"/>
  <c r="V346" i="18" s="1"/>
  <c r="N346" i="18"/>
  <c r="M346" i="18"/>
  <c r="AO345" i="18"/>
  <c r="AI345" i="18"/>
  <c r="AE345" i="18"/>
  <c r="T345" i="18"/>
  <c r="V345" i="18" s="1"/>
  <c r="M345" i="18"/>
  <c r="N345" i="18" s="1"/>
  <c r="AO344" i="18"/>
  <c r="AI344" i="18"/>
  <c r="AE344" i="18"/>
  <c r="V344" i="18"/>
  <c r="T344" i="18"/>
  <c r="N344" i="18"/>
  <c r="M344" i="18"/>
  <c r="AO343" i="18"/>
  <c r="AI343" i="18"/>
  <c r="AE343" i="18"/>
  <c r="T343" i="18"/>
  <c r="V343" i="18" s="1"/>
  <c r="M343" i="18"/>
  <c r="AO342" i="18"/>
  <c r="AI342" i="18"/>
  <c r="AE342" i="18"/>
  <c r="V342" i="18"/>
  <c r="T342" i="18"/>
  <c r="N342" i="18"/>
  <c r="M342" i="18"/>
  <c r="AO341" i="18"/>
  <c r="AI341" i="18"/>
  <c r="AE341" i="18"/>
  <c r="T341" i="18"/>
  <c r="V341" i="18" s="1"/>
  <c r="M341" i="18"/>
  <c r="N341" i="18" s="1"/>
  <c r="AO340" i="18"/>
  <c r="AI340" i="18"/>
  <c r="AE340" i="18"/>
  <c r="V340" i="18"/>
  <c r="T340" i="18"/>
  <c r="M340" i="18"/>
  <c r="N340" i="18" s="1"/>
  <c r="AO339" i="18"/>
  <c r="AI339" i="18"/>
  <c r="AI349" i="18" s="1"/>
  <c r="AE339" i="18"/>
  <c r="AO351" i="18" l="1"/>
  <c r="AE349" i="18"/>
  <c r="J323" i="18"/>
  <c r="J333" i="18" s="1"/>
  <c r="J308" i="18"/>
  <c r="J309" i="18" s="1"/>
  <c r="U316" i="18"/>
  <c r="M316" i="18"/>
  <c r="N316" i="18" s="1"/>
  <c r="T331" i="18"/>
  <c r="V331" i="18" s="1"/>
  <c r="M331" i="18"/>
  <c r="N331" i="18" s="1"/>
  <c r="T330" i="18"/>
  <c r="V330" i="18" s="1"/>
  <c r="M330" i="18"/>
  <c r="N330" i="18" s="1"/>
  <c r="T329" i="18"/>
  <c r="V329" i="18" s="1"/>
  <c r="M329" i="18"/>
  <c r="N329" i="18" s="1"/>
  <c r="T328" i="18"/>
  <c r="V328" i="18" s="1"/>
  <c r="M328" i="18"/>
  <c r="N328" i="18" s="1"/>
  <c r="T327" i="18"/>
  <c r="V327" i="18" s="1"/>
  <c r="M327" i="18"/>
  <c r="N327" i="18" s="1"/>
  <c r="T326" i="18"/>
  <c r="V326" i="18" s="1"/>
  <c r="M326" i="18"/>
  <c r="N326" i="18" s="1"/>
  <c r="T325" i="18"/>
  <c r="V325" i="18" s="1"/>
  <c r="M325" i="18"/>
  <c r="N325" i="18" s="1"/>
  <c r="AL324" i="18"/>
  <c r="T324" i="18"/>
  <c r="V324" i="18" s="1"/>
  <c r="M324" i="18"/>
  <c r="N324" i="18" s="1"/>
  <c r="T323" i="18"/>
  <c r="V323" i="18" s="1"/>
  <c r="M323" i="18"/>
  <c r="N323" i="18" s="1"/>
  <c r="T322" i="18"/>
  <c r="V322" i="18" s="1"/>
  <c r="M322" i="18"/>
  <c r="N322" i="18" s="1"/>
  <c r="T321" i="18"/>
  <c r="V321" i="18" s="1"/>
  <c r="M321" i="18"/>
  <c r="N321" i="18" s="1"/>
  <c r="AO320" i="18"/>
  <c r="AI320" i="18"/>
  <c r="AE320" i="18"/>
  <c r="T320" i="18"/>
  <c r="V320" i="18" s="1"/>
  <c r="M320" i="18"/>
  <c r="N320" i="18" s="1"/>
  <c r="AO319" i="18"/>
  <c r="AI319" i="18"/>
  <c r="AE319" i="18"/>
  <c r="T319" i="18"/>
  <c r="V319" i="18" s="1"/>
  <c r="M319" i="18"/>
  <c r="N319" i="18" s="1"/>
  <c r="AO318" i="18"/>
  <c r="AI318" i="18"/>
  <c r="AE318" i="18"/>
  <c r="T318" i="18"/>
  <c r="V318" i="18" s="1"/>
  <c r="M318" i="18"/>
  <c r="N318" i="18" s="1"/>
  <c r="AO317" i="18"/>
  <c r="AI317" i="18"/>
  <c r="AE317" i="18"/>
  <c r="T317" i="18"/>
  <c r="V317" i="18" s="1"/>
  <c r="M317" i="18"/>
  <c r="N317" i="18" s="1"/>
  <c r="AO316" i="18"/>
  <c r="AI316" i="18"/>
  <c r="AE316" i="18"/>
  <c r="T316" i="18"/>
  <c r="V316" i="18" s="1"/>
  <c r="AO315" i="18"/>
  <c r="AI315" i="18"/>
  <c r="AE315" i="18"/>
  <c r="T315" i="18"/>
  <c r="V315" i="18" s="1"/>
  <c r="M315" i="18"/>
  <c r="N315" i="18" s="1"/>
  <c r="AO314" i="18"/>
  <c r="AI314" i="18"/>
  <c r="AE314" i="18"/>
  <c r="T314" i="18"/>
  <c r="V314" i="18" s="1"/>
  <c r="M314" i="18"/>
  <c r="N314" i="18" s="1"/>
  <c r="AO313" i="18"/>
  <c r="AO324" i="18" s="1"/>
  <c r="AI313" i="18"/>
  <c r="AE313" i="18"/>
  <c r="T313" i="18"/>
  <c r="V313" i="18" s="1"/>
  <c r="M313" i="18"/>
  <c r="N313" i="18" s="1"/>
  <c r="AO312" i="18"/>
  <c r="AI312" i="18"/>
  <c r="AE312" i="18"/>
  <c r="E7" i="4"/>
  <c r="E9" i="4"/>
  <c r="E10" i="4"/>
  <c r="E11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8" i="4"/>
  <c r="E29" i="4"/>
  <c r="E30" i="4"/>
  <c r="E31" i="4"/>
  <c r="E32" i="4"/>
  <c r="E33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6" i="4"/>
  <c r="E57" i="4"/>
  <c r="E60" i="4"/>
  <c r="E61" i="4"/>
  <c r="E62" i="4"/>
  <c r="E63" i="4"/>
  <c r="E64" i="4"/>
  <c r="E65" i="4"/>
  <c r="E67" i="4"/>
  <c r="E69" i="4"/>
  <c r="E70" i="4"/>
  <c r="E71" i="4"/>
  <c r="E72" i="4"/>
  <c r="E73" i="4"/>
  <c r="E75" i="4"/>
  <c r="E76" i="4"/>
  <c r="E84" i="4"/>
  <c r="E85" i="4"/>
  <c r="E86" i="4"/>
  <c r="E89" i="4"/>
  <c r="E92" i="4"/>
  <c r="E93" i="4"/>
  <c r="E94" i="4"/>
  <c r="E95" i="4"/>
  <c r="E96" i="4"/>
  <c r="E97" i="4"/>
  <c r="E98" i="4"/>
  <c r="E99" i="4"/>
  <c r="E100" i="4"/>
  <c r="E101" i="4"/>
  <c r="E103" i="4"/>
  <c r="E104" i="4"/>
  <c r="E105" i="4"/>
  <c r="E108" i="4"/>
  <c r="E109" i="4"/>
  <c r="E110" i="4"/>
  <c r="E111" i="4"/>
  <c r="E112" i="4"/>
  <c r="E113" i="4"/>
  <c r="E115" i="4"/>
  <c r="E116" i="4"/>
  <c r="E117" i="4"/>
  <c r="E118" i="4"/>
  <c r="E120" i="4"/>
  <c r="E121" i="4"/>
  <c r="E122" i="4"/>
  <c r="E123" i="4"/>
  <c r="E124" i="4"/>
  <c r="E125" i="4"/>
  <c r="E127" i="4"/>
  <c r="E128" i="4"/>
  <c r="E129" i="4"/>
  <c r="E130" i="4"/>
  <c r="E131" i="4"/>
  <c r="E133" i="4"/>
  <c r="E135" i="4"/>
  <c r="E136" i="4"/>
  <c r="E139" i="4"/>
  <c r="E143" i="4"/>
  <c r="E144" i="4"/>
  <c r="E146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4" i="4"/>
  <c r="E185" i="4"/>
  <c r="E186" i="4"/>
  <c r="E187" i="4"/>
  <c r="E188" i="4"/>
  <c r="E189" i="4"/>
  <c r="E191" i="4"/>
  <c r="E192" i="4"/>
  <c r="E6" i="4"/>
  <c r="D6" i="4"/>
  <c r="D14" i="4"/>
  <c r="D17" i="4"/>
  <c r="C17" i="4"/>
  <c r="D52" i="4"/>
  <c r="C52" i="4"/>
  <c r="D40" i="4"/>
  <c r="C40" i="4"/>
  <c r="C41" i="4"/>
  <c r="D45" i="4"/>
  <c r="D191" i="4"/>
  <c r="D159" i="4"/>
  <c r="C159" i="4"/>
  <c r="D75" i="4"/>
  <c r="C75" i="4"/>
  <c r="A126" i="1"/>
  <c r="T303" i="18"/>
  <c r="V303" i="18" s="1"/>
  <c r="M303" i="18"/>
  <c r="N303" i="18" s="1"/>
  <c r="T302" i="18"/>
  <c r="V302" i="18" s="1"/>
  <c r="M302" i="18"/>
  <c r="N302" i="18" s="1"/>
  <c r="T301" i="18"/>
  <c r="V301" i="18" s="1"/>
  <c r="M301" i="18"/>
  <c r="N301" i="18" s="1"/>
  <c r="T300" i="18"/>
  <c r="V300" i="18" s="1"/>
  <c r="M300" i="18"/>
  <c r="N300" i="18" s="1"/>
  <c r="T299" i="18"/>
  <c r="V299" i="18" s="1"/>
  <c r="M299" i="18"/>
  <c r="N299" i="18" s="1"/>
  <c r="T298" i="18"/>
  <c r="V298" i="18" s="1"/>
  <c r="M298" i="18"/>
  <c r="N298" i="18" s="1"/>
  <c r="T297" i="18"/>
  <c r="V297" i="18" s="1"/>
  <c r="M297" i="18"/>
  <c r="N297" i="18" s="1"/>
  <c r="AL296" i="18"/>
  <c r="T296" i="18"/>
  <c r="V296" i="18" s="1"/>
  <c r="M296" i="18"/>
  <c r="N296" i="18" s="1"/>
  <c r="T295" i="18"/>
  <c r="V295" i="18" s="1"/>
  <c r="M295" i="18"/>
  <c r="N295" i="18" s="1"/>
  <c r="T294" i="18"/>
  <c r="V294" i="18" s="1"/>
  <c r="M294" i="18"/>
  <c r="N294" i="18" s="1"/>
  <c r="T293" i="18"/>
  <c r="V293" i="18" s="1"/>
  <c r="M293" i="18"/>
  <c r="N293" i="18" s="1"/>
  <c r="AO292" i="18"/>
  <c r="AI292" i="18"/>
  <c r="AE292" i="18"/>
  <c r="T292" i="18"/>
  <c r="V292" i="18" s="1"/>
  <c r="M292" i="18"/>
  <c r="N292" i="18" s="1"/>
  <c r="AO291" i="18"/>
  <c r="AI291" i="18"/>
  <c r="AE291" i="18"/>
  <c r="T291" i="18"/>
  <c r="V291" i="18" s="1"/>
  <c r="M291" i="18"/>
  <c r="N291" i="18" s="1"/>
  <c r="AO290" i="18"/>
  <c r="AI290" i="18"/>
  <c r="AE290" i="18"/>
  <c r="V290" i="18"/>
  <c r="T290" i="18"/>
  <c r="M290" i="18"/>
  <c r="N290" i="18" s="1"/>
  <c r="AO289" i="18"/>
  <c r="AI289" i="18"/>
  <c r="AE289" i="18"/>
  <c r="T289" i="18"/>
  <c r="V289" i="18" s="1"/>
  <c r="M289" i="18"/>
  <c r="N289" i="18" s="1"/>
  <c r="AO288" i="18"/>
  <c r="AI288" i="18"/>
  <c r="AE288" i="18"/>
  <c r="T288" i="18"/>
  <c r="V288" i="18" s="1"/>
  <c r="M288" i="18"/>
  <c r="N288" i="18" s="1"/>
  <c r="AO287" i="18"/>
  <c r="AI287" i="18"/>
  <c r="AE287" i="18"/>
  <c r="T287" i="18"/>
  <c r="V287" i="18" s="1"/>
  <c r="M287" i="18"/>
  <c r="N287" i="18" s="1"/>
  <c r="AO286" i="18"/>
  <c r="AI286" i="18"/>
  <c r="AE286" i="18"/>
  <c r="T286" i="18"/>
  <c r="V286" i="18" s="1"/>
  <c r="M286" i="18"/>
  <c r="N286" i="18" s="1"/>
  <c r="AO285" i="18"/>
  <c r="AO296" i="18" s="1"/>
  <c r="AI285" i="18"/>
  <c r="AE285" i="18"/>
  <c r="T285" i="18"/>
  <c r="V285" i="18" s="1"/>
  <c r="M285" i="18"/>
  <c r="N285" i="18" s="1"/>
  <c r="AO284" i="18"/>
  <c r="AI284" i="18"/>
  <c r="AE284" i="18"/>
  <c r="AO264" i="18"/>
  <c r="T278" i="18"/>
  <c r="V278" i="18" s="1"/>
  <c r="M278" i="18"/>
  <c r="N278" i="18" s="1"/>
  <c r="T277" i="18"/>
  <c r="V277" i="18" s="1"/>
  <c r="M277" i="18"/>
  <c r="N277" i="18" s="1"/>
  <c r="T276" i="18"/>
  <c r="V276" i="18" s="1"/>
  <c r="M276" i="18"/>
  <c r="N276" i="18" s="1"/>
  <c r="T275" i="18"/>
  <c r="V275" i="18" s="1"/>
  <c r="M275" i="18"/>
  <c r="N275" i="18" s="1"/>
  <c r="T274" i="18"/>
  <c r="V274" i="18" s="1"/>
  <c r="M274" i="18"/>
  <c r="N274" i="18" s="1"/>
  <c r="T273" i="18"/>
  <c r="V273" i="18" s="1"/>
  <c r="M273" i="18"/>
  <c r="N273" i="18" s="1"/>
  <c r="T272" i="18"/>
  <c r="V272" i="18" s="1"/>
  <c r="M272" i="18"/>
  <c r="N272" i="18" s="1"/>
  <c r="AL271" i="18"/>
  <c r="T271" i="18"/>
  <c r="V271" i="18" s="1"/>
  <c r="M271" i="18"/>
  <c r="N271" i="18" s="1"/>
  <c r="T270" i="18"/>
  <c r="V270" i="18" s="1"/>
  <c r="M270" i="18"/>
  <c r="N270" i="18" s="1"/>
  <c r="T269" i="18"/>
  <c r="V269" i="18" s="1"/>
  <c r="M269" i="18"/>
  <c r="N269" i="18" s="1"/>
  <c r="T268" i="18"/>
  <c r="V268" i="18" s="1"/>
  <c r="M268" i="18"/>
  <c r="N268" i="18" s="1"/>
  <c r="AO267" i="18"/>
  <c r="AI267" i="18"/>
  <c r="AE267" i="18"/>
  <c r="T267" i="18"/>
  <c r="V267" i="18" s="1"/>
  <c r="M267" i="18"/>
  <c r="N267" i="18" s="1"/>
  <c r="AO266" i="18"/>
  <c r="AI266" i="18"/>
  <c r="AE266" i="18"/>
  <c r="T266" i="18"/>
  <c r="V266" i="18" s="1"/>
  <c r="N266" i="18"/>
  <c r="M266" i="18"/>
  <c r="AO265" i="18"/>
  <c r="AI265" i="18"/>
  <c r="AE265" i="18"/>
  <c r="T265" i="18"/>
  <c r="V265" i="18" s="1"/>
  <c r="M265" i="18"/>
  <c r="N265" i="18" s="1"/>
  <c r="AI264" i="18"/>
  <c r="AE264" i="18"/>
  <c r="T264" i="18"/>
  <c r="V264" i="18" s="1"/>
  <c r="M264" i="18"/>
  <c r="N264" i="18" s="1"/>
  <c r="AO263" i="18"/>
  <c r="AI263" i="18"/>
  <c r="AE263" i="18"/>
  <c r="T263" i="18"/>
  <c r="V263" i="18" s="1"/>
  <c r="M263" i="18"/>
  <c r="N263" i="18" s="1"/>
  <c r="AO262" i="18"/>
  <c r="AI262" i="18"/>
  <c r="AE262" i="18"/>
  <c r="T262" i="18"/>
  <c r="V262" i="18" s="1"/>
  <c r="N262" i="18"/>
  <c r="M262" i="18"/>
  <c r="AO261" i="18"/>
  <c r="AI261" i="18"/>
  <c r="AE261" i="18"/>
  <c r="T261" i="18"/>
  <c r="V261" i="18" s="1"/>
  <c r="M261" i="18"/>
  <c r="N261" i="18" s="1"/>
  <c r="AO260" i="18"/>
  <c r="AI260" i="18"/>
  <c r="AE260" i="18"/>
  <c r="T260" i="18"/>
  <c r="V260" i="18" s="1"/>
  <c r="M260" i="18"/>
  <c r="N260" i="18" s="1"/>
  <c r="AO259" i="18"/>
  <c r="AI259" i="18"/>
  <c r="AE259" i="18"/>
  <c r="AE269" i="18" s="1"/>
  <c r="L308" i="18" l="1"/>
  <c r="AE352" i="18"/>
  <c r="AH351" i="18"/>
  <c r="AI322" i="18"/>
  <c r="AA340" i="18" s="1"/>
  <c r="AI294" i="18"/>
  <c r="AE322" i="18"/>
  <c r="AE294" i="18"/>
  <c r="AO271" i="18"/>
  <c r="AA285" i="18" s="1"/>
  <c r="AI269" i="18"/>
  <c r="T254" i="18"/>
  <c r="V254" i="18" s="1"/>
  <c r="M254" i="18"/>
  <c r="N254" i="18" s="1"/>
  <c r="T253" i="18"/>
  <c r="V253" i="18" s="1"/>
  <c r="M253" i="18"/>
  <c r="N253" i="18" s="1"/>
  <c r="T252" i="18"/>
  <c r="V252" i="18" s="1"/>
  <c r="M252" i="18"/>
  <c r="N252" i="18" s="1"/>
  <c r="T251" i="18"/>
  <c r="V251" i="18" s="1"/>
  <c r="M251" i="18"/>
  <c r="N251" i="18" s="1"/>
  <c r="T250" i="18"/>
  <c r="V250" i="18" s="1"/>
  <c r="M250" i="18"/>
  <c r="N250" i="18" s="1"/>
  <c r="T249" i="18"/>
  <c r="V249" i="18" s="1"/>
  <c r="M249" i="18"/>
  <c r="N249" i="18" s="1"/>
  <c r="T248" i="18"/>
  <c r="V248" i="18" s="1"/>
  <c r="M248" i="18"/>
  <c r="N248" i="18" s="1"/>
  <c r="AL247" i="18"/>
  <c r="T247" i="18"/>
  <c r="M247" i="18"/>
  <c r="T246" i="18"/>
  <c r="V246" i="18" s="1"/>
  <c r="M246" i="18"/>
  <c r="N246" i="18" s="1"/>
  <c r="T245" i="18"/>
  <c r="V245" i="18" s="1"/>
  <c r="M245" i="18"/>
  <c r="N245" i="18" s="1"/>
  <c r="T244" i="18"/>
  <c r="V244" i="18" s="1"/>
  <c r="M244" i="18"/>
  <c r="AO243" i="18"/>
  <c r="AI243" i="18"/>
  <c r="AE243" i="18"/>
  <c r="T243" i="18"/>
  <c r="M243" i="18"/>
  <c r="AO242" i="18"/>
  <c r="AI242" i="18"/>
  <c r="AE242" i="18"/>
  <c r="T242" i="18"/>
  <c r="V242" i="18" s="1"/>
  <c r="M242" i="18"/>
  <c r="N242" i="18" s="1"/>
  <c r="AO241" i="18"/>
  <c r="AI241" i="18"/>
  <c r="AE241" i="18"/>
  <c r="T241" i="18"/>
  <c r="V241" i="18" s="1"/>
  <c r="M241" i="18"/>
  <c r="N241" i="18" s="1"/>
  <c r="AO240" i="18"/>
  <c r="AI240" i="18"/>
  <c r="AE240" i="18"/>
  <c r="T240" i="18"/>
  <c r="V240" i="18" s="1"/>
  <c r="M240" i="18"/>
  <c r="N240" i="18" s="1"/>
  <c r="AO239" i="18"/>
  <c r="AI239" i="18"/>
  <c r="AE239" i="18"/>
  <c r="T239" i="18"/>
  <c r="V239" i="18" s="1"/>
  <c r="M239" i="18"/>
  <c r="N239" i="18" s="1"/>
  <c r="AO238" i="18"/>
  <c r="AI238" i="18"/>
  <c r="AE238" i="18"/>
  <c r="T238" i="18"/>
  <c r="V238" i="18" s="1"/>
  <c r="M238" i="18"/>
  <c r="N238" i="18" s="1"/>
  <c r="AO237" i="18"/>
  <c r="AI237" i="18"/>
  <c r="AE237" i="18"/>
  <c r="T237" i="18"/>
  <c r="V237" i="18" s="1"/>
  <c r="M237" i="18"/>
  <c r="N237" i="18" s="1"/>
  <c r="AO236" i="18"/>
  <c r="AO247" i="18" s="1"/>
  <c r="AI236" i="18"/>
  <c r="AE236" i="18"/>
  <c r="T236" i="18"/>
  <c r="V236" i="18" s="1"/>
  <c r="M236" i="18"/>
  <c r="N236" i="18" s="1"/>
  <c r="AO235" i="18"/>
  <c r="AI235" i="18"/>
  <c r="AE235" i="18"/>
  <c r="AI245" i="18" l="1"/>
  <c r="AE245" i="18"/>
  <c r="T228" i="18"/>
  <c r="V228" i="18" s="1"/>
  <c r="M228" i="18"/>
  <c r="N228" i="18" s="1"/>
  <c r="T227" i="18"/>
  <c r="V227" i="18" s="1"/>
  <c r="M227" i="18"/>
  <c r="N227" i="18" s="1"/>
  <c r="T226" i="18"/>
  <c r="V226" i="18" s="1"/>
  <c r="M226" i="18"/>
  <c r="N226" i="18" s="1"/>
  <c r="T225" i="18"/>
  <c r="V225" i="18" s="1"/>
  <c r="M225" i="18"/>
  <c r="N225" i="18" s="1"/>
  <c r="T224" i="18"/>
  <c r="V224" i="18" s="1"/>
  <c r="M224" i="18"/>
  <c r="N224" i="18" s="1"/>
  <c r="T223" i="18"/>
  <c r="V223" i="18" s="1"/>
  <c r="M223" i="18"/>
  <c r="N223" i="18" s="1"/>
  <c r="T222" i="18"/>
  <c r="V222" i="18" s="1"/>
  <c r="M222" i="18"/>
  <c r="N222" i="18" s="1"/>
  <c r="AL221" i="18"/>
  <c r="T221" i="18"/>
  <c r="V221" i="18" s="1"/>
  <c r="M221" i="18"/>
  <c r="N221" i="18" s="1"/>
  <c r="T220" i="18"/>
  <c r="V220" i="18" s="1"/>
  <c r="M220" i="18"/>
  <c r="N220" i="18" s="1"/>
  <c r="T219" i="18"/>
  <c r="V219" i="18" s="1"/>
  <c r="M219" i="18"/>
  <c r="N219" i="18" s="1"/>
  <c r="T218" i="18"/>
  <c r="V218" i="18" s="1"/>
  <c r="M218" i="18"/>
  <c r="N218" i="18" s="1"/>
  <c r="AO217" i="18"/>
  <c r="AI217" i="18"/>
  <c r="AE217" i="18"/>
  <c r="T217" i="18"/>
  <c r="V217" i="18" s="1"/>
  <c r="N217" i="18"/>
  <c r="M217" i="18"/>
  <c r="AO216" i="18"/>
  <c r="AI216" i="18"/>
  <c r="AE216" i="18"/>
  <c r="T216" i="18"/>
  <c r="V216" i="18" s="1"/>
  <c r="M216" i="18"/>
  <c r="N216" i="18" s="1"/>
  <c r="AO215" i="18"/>
  <c r="AI215" i="18"/>
  <c r="AE215" i="18"/>
  <c r="V215" i="18"/>
  <c r="T215" i="18"/>
  <c r="N215" i="18"/>
  <c r="M215" i="18"/>
  <c r="AO214" i="18"/>
  <c r="AI214" i="18"/>
  <c r="AE214" i="18"/>
  <c r="T214" i="18"/>
  <c r="V214" i="18" s="1"/>
  <c r="M214" i="18"/>
  <c r="N214" i="18" s="1"/>
  <c r="AO213" i="18"/>
  <c r="AI213" i="18"/>
  <c r="AE213" i="18"/>
  <c r="V213" i="18"/>
  <c r="T213" i="18"/>
  <c r="M213" i="18"/>
  <c r="N213" i="18" s="1"/>
  <c r="AO212" i="18"/>
  <c r="AI212" i="18"/>
  <c r="AE212" i="18"/>
  <c r="T212" i="18"/>
  <c r="V212" i="18" s="1"/>
  <c r="M212" i="18"/>
  <c r="N212" i="18" s="1"/>
  <c r="AO211" i="18"/>
  <c r="AI211" i="18"/>
  <c r="AE211" i="18"/>
  <c r="T211" i="18"/>
  <c r="V211" i="18" s="1"/>
  <c r="M211" i="18"/>
  <c r="N211" i="18" s="1"/>
  <c r="AO210" i="18"/>
  <c r="AO221" i="18" s="1"/>
  <c r="AI210" i="18"/>
  <c r="AE210" i="18"/>
  <c r="T210" i="18"/>
  <c r="V210" i="18" s="1"/>
  <c r="M210" i="18"/>
  <c r="N210" i="18" s="1"/>
  <c r="AO209" i="18"/>
  <c r="AI209" i="18"/>
  <c r="AE209" i="18"/>
  <c r="AI219" i="18" l="1"/>
  <c r="AE219" i="18"/>
  <c r="T197" i="18"/>
  <c r="V197" i="18" s="1"/>
  <c r="M197" i="18"/>
  <c r="N197" i="18" s="1"/>
  <c r="T196" i="18"/>
  <c r="V196" i="18" s="1"/>
  <c r="M196" i="18"/>
  <c r="N196" i="18" s="1"/>
  <c r="T195" i="18"/>
  <c r="V195" i="18" s="1"/>
  <c r="M195" i="18"/>
  <c r="N195" i="18" s="1"/>
  <c r="T194" i="18"/>
  <c r="V194" i="18" s="1"/>
  <c r="M194" i="18"/>
  <c r="N194" i="18" s="1"/>
  <c r="T193" i="18"/>
  <c r="V193" i="18" s="1"/>
  <c r="M193" i="18"/>
  <c r="N193" i="18" s="1"/>
  <c r="T192" i="18"/>
  <c r="V192" i="18" s="1"/>
  <c r="M192" i="18"/>
  <c r="N192" i="18" s="1"/>
  <c r="T191" i="18"/>
  <c r="V191" i="18" s="1"/>
  <c r="M191" i="18"/>
  <c r="N191" i="18" s="1"/>
  <c r="AL190" i="18"/>
  <c r="T190" i="18"/>
  <c r="V190" i="18" s="1"/>
  <c r="M190" i="18"/>
  <c r="N190" i="18" s="1"/>
  <c r="T189" i="18"/>
  <c r="V189" i="18" s="1"/>
  <c r="M189" i="18"/>
  <c r="N189" i="18" s="1"/>
  <c r="T188" i="18"/>
  <c r="V188" i="18" s="1"/>
  <c r="M188" i="18"/>
  <c r="N188" i="18" s="1"/>
  <c r="T187" i="18"/>
  <c r="V187" i="18" s="1"/>
  <c r="M187" i="18"/>
  <c r="N187" i="18" s="1"/>
  <c r="AO186" i="18"/>
  <c r="AI186" i="18"/>
  <c r="AE186" i="18"/>
  <c r="T186" i="18"/>
  <c r="V186" i="18" s="1"/>
  <c r="M186" i="18"/>
  <c r="N186" i="18" s="1"/>
  <c r="AO185" i="18"/>
  <c r="AI185" i="18"/>
  <c r="AE185" i="18"/>
  <c r="T185" i="18"/>
  <c r="V185" i="18" s="1"/>
  <c r="M185" i="18"/>
  <c r="N185" i="18" s="1"/>
  <c r="AO184" i="18"/>
  <c r="AI184" i="18"/>
  <c r="AE184" i="18"/>
  <c r="T184" i="18"/>
  <c r="V184" i="18" s="1"/>
  <c r="M184" i="18"/>
  <c r="N184" i="18" s="1"/>
  <c r="AO183" i="18"/>
  <c r="AI183" i="18"/>
  <c r="AE183" i="18"/>
  <c r="T183" i="18"/>
  <c r="V183" i="18" s="1"/>
  <c r="M183" i="18"/>
  <c r="N183" i="18" s="1"/>
  <c r="AO182" i="18"/>
  <c r="AI182" i="18"/>
  <c r="AE182" i="18"/>
  <c r="T182" i="18"/>
  <c r="V182" i="18" s="1"/>
  <c r="M182" i="18"/>
  <c r="N182" i="18" s="1"/>
  <c r="AO181" i="18"/>
  <c r="AI181" i="18"/>
  <c r="AE181" i="18"/>
  <c r="T181" i="18"/>
  <c r="V181" i="18" s="1"/>
  <c r="J181" i="18"/>
  <c r="J199" i="18" s="1"/>
  <c r="AO180" i="18"/>
  <c r="AI180" i="18"/>
  <c r="AE180" i="18"/>
  <c r="T180" i="18"/>
  <c r="V180" i="18" s="1"/>
  <c r="M180" i="18"/>
  <c r="N180" i="18" s="1"/>
  <c r="AO179" i="18"/>
  <c r="AO190" i="18" s="1"/>
  <c r="AI179" i="18"/>
  <c r="AE179" i="18"/>
  <c r="T179" i="18"/>
  <c r="V179" i="18" s="1"/>
  <c r="M179" i="18"/>
  <c r="N179" i="18" s="1"/>
  <c r="AO178" i="18"/>
  <c r="AI178" i="18"/>
  <c r="AE178" i="18"/>
  <c r="M181" i="18" l="1"/>
  <c r="N181" i="18" s="1"/>
  <c r="AE188" i="18"/>
  <c r="AI188" i="18"/>
  <c r="T173" i="18"/>
  <c r="V173" i="18" s="1"/>
  <c r="M173" i="18"/>
  <c r="N173" i="18" s="1"/>
  <c r="T172" i="18"/>
  <c r="V172" i="18" s="1"/>
  <c r="M172" i="18"/>
  <c r="N172" i="18" s="1"/>
  <c r="T171" i="18"/>
  <c r="V171" i="18" s="1"/>
  <c r="M171" i="18"/>
  <c r="N171" i="18" s="1"/>
  <c r="T170" i="18"/>
  <c r="V170" i="18" s="1"/>
  <c r="M170" i="18"/>
  <c r="N170" i="18" s="1"/>
  <c r="T169" i="18"/>
  <c r="V169" i="18" s="1"/>
  <c r="M169" i="18"/>
  <c r="N169" i="18" s="1"/>
  <c r="T168" i="18"/>
  <c r="V168" i="18" s="1"/>
  <c r="M168" i="18"/>
  <c r="N168" i="18" s="1"/>
  <c r="T167" i="18"/>
  <c r="V167" i="18" s="1"/>
  <c r="M167" i="18"/>
  <c r="N167" i="18" s="1"/>
  <c r="AL166" i="18"/>
  <c r="T166" i="18"/>
  <c r="V166" i="18" s="1"/>
  <c r="M166" i="18"/>
  <c r="N166" i="18" s="1"/>
  <c r="T165" i="18"/>
  <c r="V165" i="18" s="1"/>
  <c r="M165" i="18"/>
  <c r="N165" i="18" s="1"/>
  <c r="T164" i="18"/>
  <c r="V164" i="18" s="1"/>
  <c r="M164" i="18"/>
  <c r="N164" i="18" s="1"/>
  <c r="T163" i="18"/>
  <c r="V163" i="18" s="1"/>
  <c r="M163" i="18"/>
  <c r="N163" i="18" s="1"/>
  <c r="AO162" i="18"/>
  <c r="AI162" i="18"/>
  <c r="AE162" i="18"/>
  <c r="T162" i="18"/>
  <c r="V162" i="18" s="1"/>
  <c r="M162" i="18"/>
  <c r="N162" i="18" s="1"/>
  <c r="AO161" i="18"/>
  <c r="AI161" i="18"/>
  <c r="AE161" i="18"/>
  <c r="T161" i="18"/>
  <c r="V161" i="18" s="1"/>
  <c r="M161" i="18"/>
  <c r="N161" i="18" s="1"/>
  <c r="AO160" i="18"/>
  <c r="AI160" i="18"/>
  <c r="AE160" i="18"/>
  <c r="T160" i="18"/>
  <c r="V160" i="18" s="1"/>
  <c r="M160" i="18"/>
  <c r="N160" i="18" s="1"/>
  <c r="AO159" i="18"/>
  <c r="AI159" i="18"/>
  <c r="AE159" i="18"/>
  <c r="T159" i="18"/>
  <c r="V159" i="18" s="1"/>
  <c r="M159" i="18"/>
  <c r="N159" i="18" s="1"/>
  <c r="AO158" i="18"/>
  <c r="AI158" i="18"/>
  <c r="AE158" i="18"/>
  <c r="T158" i="18"/>
  <c r="V158" i="18" s="1"/>
  <c r="M158" i="18"/>
  <c r="N158" i="18" s="1"/>
  <c r="AO157" i="18"/>
  <c r="AI157" i="18"/>
  <c r="AE157" i="18"/>
  <c r="T157" i="18"/>
  <c r="V157" i="18" s="1"/>
  <c r="M157" i="18"/>
  <c r="N157" i="18" s="1"/>
  <c r="AO156" i="18"/>
  <c r="AI156" i="18"/>
  <c r="AE156" i="18"/>
  <c r="T156" i="18"/>
  <c r="V156" i="18" s="1"/>
  <c r="M156" i="18"/>
  <c r="N156" i="18" s="1"/>
  <c r="AO155" i="18"/>
  <c r="AO166" i="18" s="1"/>
  <c r="AI155" i="18"/>
  <c r="AE155" i="18"/>
  <c r="T155" i="18"/>
  <c r="V155" i="18" s="1"/>
  <c r="M155" i="18"/>
  <c r="N155" i="18" s="1"/>
  <c r="AO154" i="18"/>
  <c r="AI154" i="18"/>
  <c r="AE154" i="18"/>
  <c r="AI164" i="18" l="1"/>
  <c r="AE164" i="18"/>
  <c r="T147" i="18"/>
  <c r="V147" i="18" s="1"/>
  <c r="N147" i="18"/>
  <c r="M147" i="18"/>
  <c r="V146" i="18"/>
  <c r="T146" i="18"/>
  <c r="N146" i="18"/>
  <c r="M146" i="18"/>
  <c r="V145" i="18"/>
  <c r="T145" i="18"/>
  <c r="N145" i="18"/>
  <c r="M145" i="18"/>
  <c r="V144" i="18"/>
  <c r="T144" i="18"/>
  <c r="N144" i="18"/>
  <c r="M144" i="18"/>
  <c r="V143" i="18"/>
  <c r="T143" i="18"/>
  <c r="N143" i="18"/>
  <c r="M143" i="18"/>
  <c r="V142" i="18"/>
  <c r="T142" i="18"/>
  <c r="N142" i="18"/>
  <c r="M142" i="18"/>
  <c r="V141" i="18"/>
  <c r="T141" i="18"/>
  <c r="N141" i="18"/>
  <c r="M141" i="18"/>
  <c r="AL140" i="18"/>
  <c r="T140" i="18"/>
  <c r="V140" i="18" s="1"/>
  <c r="M140" i="18"/>
  <c r="N140" i="18" s="1"/>
  <c r="T139" i="18"/>
  <c r="V139" i="18" s="1"/>
  <c r="M139" i="18"/>
  <c r="N139" i="18" s="1"/>
  <c r="T138" i="18"/>
  <c r="V138" i="18" s="1"/>
  <c r="M138" i="18"/>
  <c r="N138" i="18" s="1"/>
  <c r="T137" i="18"/>
  <c r="V137" i="18" s="1"/>
  <c r="M137" i="18"/>
  <c r="N137" i="18" s="1"/>
  <c r="AO136" i="18"/>
  <c r="AI136" i="18"/>
  <c r="AE136" i="18"/>
  <c r="T136" i="18"/>
  <c r="V136" i="18" s="1"/>
  <c r="M136" i="18"/>
  <c r="N136" i="18" s="1"/>
  <c r="AO135" i="18"/>
  <c r="AI135" i="18"/>
  <c r="AE135" i="18"/>
  <c r="T135" i="18"/>
  <c r="V135" i="18" s="1"/>
  <c r="M135" i="18"/>
  <c r="N135" i="18" s="1"/>
  <c r="AO134" i="18"/>
  <c r="AI134" i="18"/>
  <c r="AE134" i="18"/>
  <c r="T134" i="18"/>
  <c r="V134" i="18" s="1"/>
  <c r="M134" i="18"/>
  <c r="N134" i="18" s="1"/>
  <c r="AO133" i="18"/>
  <c r="AI133" i="18"/>
  <c r="AE133" i="18"/>
  <c r="V133" i="18"/>
  <c r="T133" i="18"/>
  <c r="M133" i="18"/>
  <c r="N133" i="18" s="1"/>
  <c r="AO132" i="18"/>
  <c r="AI132" i="18"/>
  <c r="AE132" i="18"/>
  <c r="T132" i="18"/>
  <c r="V132" i="18" s="1"/>
  <c r="M132" i="18"/>
  <c r="N132" i="18" s="1"/>
  <c r="AO131" i="18"/>
  <c r="AI131" i="18"/>
  <c r="AE131" i="18"/>
  <c r="T131" i="18"/>
  <c r="V131" i="18" s="1"/>
  <c r="M131" i="18"/>
  <c r="N131" i="18" s="1"/>
  <c r="AO130" i="18"/>
  <c r="AO140" i="18" s="1"/>
  <c r="AI130" i="18"/>
  <c r="AE130" i="18"/>
  <c r="T130" i="18"/>
  <c r="V130" i="18" s="1"/>
  <c r="M130" i="18"/>
  <c r="N130" i="18" s="1"/>
  <c r="AO129" i="18"/>
  <c r="AI129" i="18"/>
  <c r="AE129" i="18"/>
  <c r="T129" i="18"/>
  <c r="V129" i="18" s="1"/>
  <c r="M129" i="18"/>
  <c r="N129" i="18" s="1"/>
  <c r="AO128" i="18"/>
  <c r="AI128" i="18"/>
  <c r="AE128" i="18"/>
  <c r="AE138" i="18" s="1"/>
  <c r="AI138" i="18" l="1"/>
  <c r="Q107" i="18"/>
  <c r="J108" i="18"/>
  <c r="J125" i="18" s="1"/>
  <c r="T124" i="18"/>
  <c r="V124" i="18" s="1"/>
  <c r="M124" i="18"/>
  <c r="N124" i="18" s="1"/>
  <c r="T123" i="18"/>
  <c r="V123" i="18" s="1"/>
  <c r="M123" i="18"/>
  <c r="N123" i="18" s="1"/>
  <c r="T122" i="18"/>
  <c r="V122" i="18" s="1"/>
  <c r="M122" i="18"/>
  <c r="N122" i="18" s="1"/>
  <c r="T121" i="18"/>
  <c r="V121" i="18" s="1"/>
  <c r="M121" i="18"/>
  <c r="N121" i="18" s="1"/>
  <c r="T120" i="18"/>
  <c r="V120" i="18" s="1"/>
  <c r="M120" i="18"/>
  <c r="N120" i="18" s="1"/>
  <c r="T119" i="18"/>
  <c r="V119" i="18" s="1"/>
  <c r="M119" i="18"/>
  <c r="N119" i="18" s="1"/>
  <c r="T118" i="18"/>
  <c r="V118" i="18" s="1"/>
  <c r="M118" i="18"/>
  <c r="N118" i="18" s="1"/>
  <c r="AL117" i="18"/>
  <c r="T117" i="18"/>
  <c r="V117" i="18" s="1"/>
  <c r="M117" i="18"/>
  <c r="N117" i="18" s="1"/>
  <c r="T116" i="18"/>
  <c r="V116" i="18" s="1"/>
  <c r="N116" i="18"/>
  <c r="M116" i="18"/>
  <c r="T115" i="18"/>
  <c r="V115" i="18" s="1"/>
  <c r="M115" i="18"/>
  <c r="N115" i="18" s="1"/>
  <c r="T114" i="18"/>
  <c r="V114" i="18" s="1"/>
  <c r="M114" i="18"/>
  <c r="N114" i="18" s="1"/>
  <c r="AO113" i="18"/>
  <c r="AI113" i="18"/>
  <c r="AE113" i="18"/>
  <c r="T113" i="18"/>
  <c r="V113" i="18" s="1"/>
  <c r="M113" i="18"/>
  <c r="N113" i="18" s="1"/>
  <c r="AO112" i="18"/>
  <c r="AI112" i="18"/>
  <c r="AE112" i="18"/>
  <c r="T112" i="18"/>
  <c r="V112" i="18" s="1"/>
  <c r="M112" i="18"/>
  <c r="N112" i="18" s="1"/>
  <c r="AO111" i="18"/>
  <c r="AI111" i="18"/>
  <c r="AE111" i="18"/>
  <c r="T111" i="18"/>
  <c r="V111" i="18" s="1"/>
  <c r="M111" i="18"/>
  <c r="N111" i="18" s="1"/>
  <c r="AO110" i="18"/>
  <c r="AI110" i="18"/>
  <c r="AE110" i="18"/>
  <c r="T110" i="18"/>
  <c r="V110" i="18" s="1"/>
  <c r="M110" i="18"/>
  <c r="N110" i="18" s="1"/>
  <c r="AO109" i="18"/>
  <c r="AI109" i="18"/>
  <c r="AE109" i="18"/>
  <c r="T109" i="18"/>
  <c r="V109" i="18" s="1"/>
  <c r="M109" i="18"/>
  <c r="N109" i="18" s="1"/>
  <c r="AO108" i="18"/>
  <c r="AI108" i="18"/>
  <c r="AE108" i="18"/>
  <c r="T108" i="18"/>
  <c r="V108" i="18" s="1"/>
  <c r="M108" i="18"/>
  <c r="N108" i="18" s="1"/>
  <c r="AO107" i="18"/>
  <c r="AI107" i="18"/>
  <c r="AE107" i="18"/>
  <c r="T107" i="18"/>
  <c r="V107" i="18" s="1"/>
  <c r="M107" i="18"/>
  <c r="N107" i="18" s="1"/>
  <c r="AO106" i="18"/>
  <c r="AI106" i="18"/>
  <c r="AE106" i="18"/>
  <c r="T106" i="18"/>
  <c r="V106" i="18" s="1"/>
  <c r="M106" i="18"/>
  <c r="N106" i="18" s="1"/>
  <c r="AO105" i="18"/>
  <c r="AI105" i="18"/>
  <c r="AE105" i="18"/>
  <c r="AO117" i="18" l="1"/>
  <c r="AI115" i="18"/>
  <c r="AE115" i="18"/>
  <c r="T99" i="18"/>
  <c r="V99" i="18" s="1"/>
  <c r="M99" i="18"/>
  <c r="N99" i="18" s="1"/>
  <c r="T98" i="18"/>
  <c r="V98" i="18" s="1"/>
  <c r="M98" i="18"/>
  <c r="N98" i="18" s="1"/>
  <c r="T97" i="18"/>
  <c r="V97" i="18" s="1"/>
  <c r="M97" i="18"/>
  <c r="N97" i="18" s="1"/>
  <c r="T96" i="18"/>
  <c r="V96" i="18" s="1"/>
  <c r="M96" i="18"/>
  <c r="N96" i="18" s="1"/>
  <c r="T95" i="18"/>
  <c r="V95" i="18" s="1"/>
  <c r="M95" i="18"/>
  <c r="N95" i="18" s="1"/>
  <c r="T94" i="18"/>
  <c r="V94" i="18" s="1"/>
  <c r="M94" i="18"/>
  <c r="N94" i="18" s="1"/>
  <c r="T93" i="18"/>
  <c r="V93" i="18" s="1"/>
  <c r="M93" i="18"/>
  <c r="N93" i="18" s="1"/>
  <c r="AL92" i="18"/>
  <c r="T92" i="18"/>
  <c r="V92" i="18" s="1"/>
  <c r="M92" i="18"/>
  <c r="N92" i="18" s="1"/>
  <c r="T91" i="18"/>
  <c r="V91" i="18" s="1"/>
  <c r="M91" i="18"/>
  <c r="N91" i="18" s="1"/>
  <c r="V90" i="18"/>
  <c r="T90" i="18"/>
  <c r="M90" i="18"/>
  <c r="T89" i="18"/>
  <c r="V89" i="18" s="1"/>
  <c r="M89" i="18"/>
  <c r="N89" i="18" s="1"/>
  <c r="AO88" i="18"/>
  <c r="AI88" i="18"/>
  <c r="AE88" i="18"/>
  <c r="T88" i="18"/>
  <c r="V88" i="18" s="1"/>
  <c r="M88" i="18"/>
  <c r="N88" i="18" s="1"/>
  <c r="AO87" i="18"/>
  <c r="AI87" i="18"/>
  <c r="AE87" i="18"/>
  <c r="V87" i="18"/>
  <c r="T87" i="18"/>
  <c r="M87" i="18"/>
  <c r="N87" i="18" s="1"/>
  <c r="AO86" i="18"/>
  <c r="AI86" i="18"/>
  <c r="AE86" i="18"/>
  <c r="T86" i="18"/>
  <c r="V86" i="18" s="1"/>
  <c r="M86" i="18"/>
  <c r="N86" i="18" s="1"/>
  <c r="AO85" i="18"/>
  <c r="AI85" i="18"/>
  <c r="AE85" i="18"/>
  <c r="T85" i="18"/>
  <c r="V85" i="18" s="1"/>
  <c r="M85" i="18"/>
  <c r="N85" i="18" s="1"/>
  <c r="AO84" i="18"/>
  <c r="AI84" i="18"/>
  <c r="AE84" i="18"/>
  <c r="T84" i="18"/>
  <c r="V84" i="18" s="1"/>
  <c r="W85" i="18" s="1"/>
  <c r="M84" i="18"/>
  <c r="N84" i="18" s="1"/>
  <c r="AO83" i="18"/>
  <c r="AI83" i="18"/>
  <c r="AE83" i="18"/>
  <c r="T83" i="18"/>
  <c r="V83" i="18" s="1"/>
  <c r="M83" i="18"/>
  <c r="N83" i="18" s="1"/>
  <c r="AO82" i="18"/>
  <c r="AI82" i="18"/>
  <c r="AE82" i="18"/>
  <c r="T82" i="18"/>
  <c r="V82" i="18" s="1"/>
  <c r="M82" i="18"/>
  <c r="N82" i="18" s="1"/>
  <c r="AO81" i="18"/>
  <c r="AO92" i="18" s="1"/>
  <c r="AI81" i="18"/>
  <c r="AE81" i="18"/>
  <c r="T81" i="18"/>
  <c r="V81" i="18" s="1"/>
  <c r="M81" i="18"/>
  <c r="N81" i="18" s="1"/>
  <c r="AO80" i="18"/>
  <c r="AI80" i="18"/>
  <c r="AI90" i="18" s="1"/>
  <c r="AE80" i="18"/>
  <c r="AE90" i="18" l="1"/>
  <c r="T56" i="18"/>
  <c r="V56" i="18" s="1"/>
  <c r="M56" i="18"/>
  <c r="N56" i="18" s="1"/>
  <c r="V48" i="18"/>
  <c r="T71" i="18"/>
  <c r="V71" i="18" s="1"/>
  <c r="M71" i="18"/>
  <c r="N71" i="18" s="1"/>
  <c r="T70" i="18"/>
  <c r="V70" i="18" s="1"/>
  <c r="M70" i="18"/>
  <c r="N70" i="18" s="1"/>
  <c r="T69" i="18"/>
  <c r="V69" i="18" s="1"/>
  <c r="M69" i="18"/>
  <c r="N69" i="18" s="1"/>
  <c r="T68" i="18"/>
  <c r="V68" i="18" s="1"/>
  <c r="M68" i="18"/>
  <c r="N68" i="18" s="1"/>
  <c r="T67" i="18"/>
  <c r="V67" i="18" s="1"/>
  <c r="M67" i="18"/>
  <c r="N67" i="18" s="1"/>
  <c r="T66" i="18"/>
  <c r="V66" i="18" s="1"/>
  <c r="M66" i="18"/>
  <c r="N66" i="18" s="1"/>
  <c r="T65" i="18"/>
  <c r="V65" i="18" s="1"/>
  <c r="M65" i="18"/>
  <c r="N65" i="18" s="1"/>
  <c r="AL64" i="18"/>
  <c r="T64" i="18"/>
  <c r="V64" i="18" s="1"/>
  <c r="M64" i="18"/>
  <c r="N64" i="18" s="1"/>
  <c r="T63" i="18"/>
  <c r="V63" i="18" s="1"/>
  <c r="M63" i="18"/>
  <c r="N63" i="18" s="1"/>
  <c r="T62" i="18"/>
  <c r="V62" i="18" s="1"/>
  <c r="M62" i="18"/>
  <c r="N62" i="18" s="1"/>
  <c r="T61" i="18"/>
  <c r="M61" i="18"/>
  <c r="N61" i="18" s="1"/>
  <c r="AO60" i="18"/>
  <c r="AI60" i="18"/>
  <c r="AE60" i="18"/>
  <c r="T60" i="18"/>
  <c r="M60" i="18"/>
  <c r="N60" i="18" s="1"/>
  <c r="AO59" i="18"/>
  <c r="AI59" i="18"/>
  <c r="AE59" i="18"/>
  <c r="T59" i="18"/>
  <c r="M59" i="18"/>
  <c r="N59" i="18" s="1"/>
  <c r="AO58" i="18"/>
  <c r="AI58" i="18"/>
  <c r="AE58" i="18"/>
  <c r="T58" i="18"/>
  <c r="V58" i="18" s="1"/>
  <c r="M58" i="18"/>
  <c r="N58" i="18" s="1"/>
  <c r="AO57" i="18"/>
  <c r="AI57" i="18"/>
  <c r="AE57" i="18"/>
  <c r="T57" i="18"/>
  <c r="V57" i="18" s="1"/>
  <c r="M57" i="18"/>
  <c r="N57" i="18" s="1"/>
  <c r="AO56" i="18"/>
  <c r="AI56" i="18"/>
  <c r="AE56" i="18"/>
  <c r="AO55" i="18"/>
  <c r="AI55" i="18"/>
  <c r="AE55" i="18"/>
  <c r="T55" i="18"/>
  <c r="V55" i="18" s="1"/>
  <c r="M55" i="18"/>
  <c r="N55" i="18" s="1"/>
  <c r="AO54" i="18"/>
  <c r="AI54" i="18"/>
  <c r="AE54" i="18"/>
  <c r="T54" i="18"/>
  <c r="V54" i="18" s="1"/>
  <c r="M54" i="18"/>
  <c r="N54" i="18" s="1"/>
  <c r="AO53" i="18"/>
  <c r="AI53" i="18"/>
  <c r="AE53" i="18"/>
  <c r="T53" i="18"/>
  <c r="V53" i="18" s="1"/>
  <c r="M53" i="18"/>
  <c r="N53" i="18" s="1"/>
  <c r="AO52" i="18"/>
  <c r="AI52" i="18"/>
  <c r="AE52" i="18"/>
  <c r="AO64" i="18" l="1"/>
  <c r="AI62" i="18"/>
  <c r="AE62" i="18"/>
  <c r="AA31" i="18"/>
  <c r="T47" i="18"/>
  <c r="V47" i="18" s="1"/>
  <c r="M47" i="18"/>
  <c r="N47" i="18" s="1"/>
  <c r="T46" i="18"/>
  <c r="V46" i="18" s="1"/>
  <c r="M46" i="18"/>
  <c r="N46" i="18" s="1"/>
  <c r="T45" i="18"/>
  <c r="V45" i="18" s="1"/>
  <c r="M45" i="18"/>
  <c r="N45" i="18" s="1"/>
  <c r="T44" i="18"/>
  <c r="V44" i="18" s="1"/>
  <c r="M44" i="18"/>
  <c r="N44" i="18" s="1"/>
  <c r="T43" i="18"/>
  <c r="V43" i="18" s="1"/>
  <c r="M43" i="18"/>
  <c r="N43" i="18" s="1"/>
  <c r="T42" i="18"/>
  <c r="V42" i="18" s="1"/>
  <c r="M42" i="18"/>
  <c r="N42" i="18" s="1"/>
  <c r="T41" i="18"/>
  <c r="M41" i="18"/>
  <c r="AL40" i="18"/>
  <c r="T40" i="18"/>
  <c r="V40" i="18" s="1"/>
  <c r="M40" i="18"/>
  <c r="N40" i="18" s="1"/>
  <c r="T39" i="18"/>
  <c r="V39" i="18" s="1"/>
  <c r="M39" i="18"/>
  <c r="N39" i="18" s="1"/>
  <c r="T38" i="18"/>
  <c r="V38" i="18" s="1"/>
  <c r="M38" i="18"/>
  <c r="T37" i="18"/>
  <c r="V37" i="18" s="1"/>
  <c r="M37" i="18"/>
  <c r="N37" i="18" s="1"/>
  <c r="AO36" i="18"/>
  <c r="AI36" i="18"/>
  <c r="AE36" i="18"/>
  <c r="T36" i="18"/>
  <c r="V36" i="18" s="1"/>
  <c r="M36" i="18"/>
  <c r="N36" i="18" s="1"/>
  <c r="AO35" i="18"/>
  <c r="AI35" i="18"/>
  <c r="AE35" i="18"/>
  <c r="T35" i="18"/>
  <c r="V35" i="18" s="1"/>
  <c r="M35" i="18"/>
  <c r="N35" i="18" s="1"/>
  <c r="AO34" i="18"/>
  <c r="AI34" i="18"/>
  <c r="AE34" i="18"/>
  <c r="T34" i="18"/>
  <c r="V34" i="18" s="1"/>
  <c r="M34" i="18"/>
  <c r="N34" i="18" s="1"/>
  <c r="AO33" i="18"/>
  <c r="AI33" i="18"/>
  <c r="AE33" i="18"/>
  <c r="T33" i="18"/>
  <c r="V33" i="18" s="1"/>
  <c r="N33" i="18"/>
  <c r="M33" i="18"/>
  <c r="AO32" i="18"/>
  <c r="AI32" i="18"/>
  <c r="AE32" i="18"/>
  <c r="T32" i="18"/>
  <c r="V32" i="18" s="1"/>
  <c r="M32" i="18"/>
  <c r="N32" i="18" s="1"/>
  <c r="AO31" i="18"/>
  <c r="AI31" i="18"/>
  <c r="AE31" i="18"/>
  <c r="T31" i="18"/>
  <c r="V31" i="18" s="1"/>
  <c r="M31" i="18"/>
  <c r="N31" i="18" s="1"/>
  <c r="AO30" i="18"/>
  <c r="AI30" i="18"/>
  <c r="AE30" i="18"/>
  <c r="T30" i="18"/>
  <c r="V30" i="18" s="1"/>
  <c r="M30" i="18"/>
  <c r="N30" i="18" s="1"/>
  <c r="AO29" i="18"/>
  <c r="AI29" i="18"/>
  <c r="AE29" i="18"/>
  <c r="AO40" i="18" l="1"/>
  <c r="AI38" i="18"/>
  <c r="AE38" i="18"/>
  <c r="K1" i="18"/>
  <c r="AA7" i="18"/>
  <c r="T23" i="18"/>
  <c r="V23" i="18" s="1"/>
  <c r="M23" i="18"/>
  <c r="N23" i="18" s="1"/>
  <c r="T22" i="18"/>
  <c r="V22" i="18" s="1"/>
  <c r="M22" i="18"/>
  <c r="N22" i="18" s="1"/>
  <c r="T21" i="18"/>
  <c r="V21" i="18" s="1"/>
  <c r="M21" i="18"/>
  <c r="N21" i="18" s="1"/>
  <c r="T20" i="18"/>
  <c r="V20" i="18" s="1"/>
  <c r="M20" i="18"/>
  <c r="N20" i="18" s="1"/>
  <c r="T19" i="18"/>
  <c r="V19" i="18" s="1"/>
  <c r="M19" i="18"/>
  <c r="N19" i="18" s="1"/>
  <c r="T18" i="18"/>
  <c r="V18" i="18" s="1"/>
  <c r="M18" i="18"/>
  <c r="N18" i="18" s="1"/>
  <c r="T17" i="18"/>
  <c r="V17" i="18" s="1"/>
  <c r="M17" i="18"/>
  <c r="N17" i="18" s="1"/>
  <c r="AL16" i="18"/>
  <c r="T16" i="18"/>
  <c r="M16" i="18"/>
  <c r="N16" i="18" s="1"/>
  <c r="T15" i="18"/>
  <c r="V15" i="18" s="1"/>
  <c r="M15" i="18"/>
  <c r="N15" i="18" s="1"/>
  <c r="T14" i="18"/>
  <c r="V14" i="18" s="1"/>
  <c r="M14" i="18"/>
  <c r="N14" i="18" s="1"/>
  <c r="T13" i="18"/>
  <c r="V13" i="18" s="1"/>
  <c r="M13" i="18"/>
  <c r="N13" i="18" s="1"/>
  <c r="AO12" i="18"/>
  <c r="AI12" i="18"/>
  <c r="AE12" i="18"/>
  <c r="T12" i="18"/>
  <c r="V12" i="18" s="1"/>
  <c r="M12" i="18"/>
  <c r="N12" i="18" s="1"/>
  <c r="AO11" i="18"/>
  <c r="AI11" i="18"/>
  <c r="AE11" i="18"/>
  <c r="T11" i="18"/>
  <c r="V11" i="18" s="1"/>
  <c r="M11" i="18"/>
  <c r="N11" i="18" s="1"/>
  <c r="AO10" i="18"/>
  <c r="AI10" i="18"/>
  <c r="AE10" i="18"/>
  <c r="V10" i="18"/>
  <c r="T10" i="18"/>
  <c r="N10" i="18"/>
  <c r="M10" i="18"/>
  <c r="AO9" i="18"/>
  <c r="AI9" i="18"/>
  <c r="AE9" i="18"/>
  <c r="T9" i="18"/>
  <c r="V9" i="18" s="1"/>
  <c r="M9" i="18"/>
  <c r="N9" i="18" s="1"/>
  <c r="AO8" i="18"/>
  <c r="AI8" i="18"/>
  <c r="AE8" i="18"/>
  <c r="V8" i="18"/>
  <c r="T8" i="18"/>
  <c r="M8" i="18"/>
  <c r="N8" i="18" s="1"/>
  <c r="AO7" i="18"/>
  <c r="AI7" i="18"/>
  <c r="AE7" i="18"/>
  <c r="T7" i="18"/>
  <c r="V7" i="18" s="1"/>
  <c r="M7" i="18"/>
  <c r="N7" i="18" s="1"/>
  <c r="AO6" i="18"/>
  <c r="AI6" i="18"/>
  <c r="AE6" i="18"/>
  <c r="T6" i="18"/>
  <c r="V6" i="18" s="1"/>
  <c r="M6" i="18"/>
  <c r="N6" i="18" s="1"/>
  <c r="AO5" i="18"/>
  <c r="AO16" i="18" s="1"/>
  <c r="AI5" i="18"/>
  <c r="AE5" i="18"/>
  <c r="T5" i="18"/>
  <c r="V5" i="18" s="1"/>
  <c r="M5" i="18"/>
  <c r="N5" i="18" s="1"/>
  <c r="AO4" i="18"/>
  <c r="AI4" i="18"/>
  <c r="AI14" i="18" s="1"/>
  <c r="AE4" i="18"/>
  <c r="AE14" i="18" l="1"/>
  <c r="T176" i="17"/>
  <c r="V176" i="17" s="1"/>
  <c r="M176" i="17"/>
  <c r="N176" i="17" s="1"/>
  <c r="T175" i="17"/>
  <c r="V175" i="17" s="1"/>
  <c r="M175" i="17"/>
  <c r="N175" i="17" s="1"/>
  <c r="T174" i="17"/>
  <c r="V174" i="17" s="1"/>
  <c r="M174" i="17"/>
  <c r="N174" i="17" s="1"/>
  <c r="T173" i="17"/>
  <c r="V173" i="17" s="1"/>
  <c r="M173" i="17"/>
  <c r="N173" i="17" s="1"/>
  <c r="T172" i="17"/>
  <c r="V172" i="17" s="1"/>
  <c r="M172" i="17"/>
  <c r="N172" i="17" s="1"/>
  <c r="T171" i="17"/>
  <c r="V171" i="17" s="1"/>
  <c r="M171" i="17"/>
  <c r="N171" i="17" s="1"/>
  <c r="T170" i="17"/>
  <c r="V170" i="17" s="1"/>
  <c r="M170" i="17"/>
  <c r="N170" i="17" s="1"/>
  <c r="AL169" i="17"/>
  <c r="T169" i="17"/>
  <c r="V169" i="17" s="1"/>
  <c r="M169" i="17"/>
  <c r="N169" i="17" s="1"/>
  <c r="T168" i="17"/>
  <c r="V168" i="17" s="1"/>
  <c r="M168" i="17"/>
  <c r="N168" i="17" s="1"/>
  <c r="T167" i="17"/>
  <c r="V167" i="17" s="1"/>
  <c r="M167" i="17"/>
  <c r="N167" i="17" s="1"/>
  <c r="T166" i="17"/>
  <c r="V166" i="17" s="1"/>
  <c r="M166" i="17"/>
  <c r="N166" i="17" s="1"/>
  <c r="AO165" i="17"/>
  <c r="AI165" i="17"/>
  <c r="AE165" i="17"/>
  <c r="T165" i="17"/>
  <c r="V165" i="17" s="1"/>
  <c r="M165" i="17"/>
  <c r="N165" i="17" s="1"/>
  <c r="AO164" i="17"/>
  <c r="AI164" i="17"/>
  <c r="AE164" i="17"/>
  <c r="T164" i="17"/>
  <c r="V164" i="17" s="1"/>
  <c r="M164" i="17"/>
  <c r="N164" i="17" s="1"/>
  <c r="AO163" i="17"/>
  <c r="AI163" i="17"/>
  <c r="AE163" i="17"/>
  <c r="T163" i="17"/>
  <c r="V163" i="17" s="1"/>
  <c r="M163" i="17"/>
  <c r="N163" i="17" s="1"/>
  <c r="AO162" i="17"/>
  <c r="AI162" i="17"/>
  <c r="AE162" i="17"/>
  <c r="T162" i="17"/>
  <c r="V162" i="17" s="1"/>
  <c r="M162" i="17"/>
  <c r="N162" i="17" s="1"/>
  <c r="AO161" i="17"/>
  <c r="AI161" i="17"/>
  <c r="AE161" i="17"/>
  <c r="T161" i="17"/>
  <c r="V161" i="17" s="1"/>
  <c r="M161" i="17"/>
  <c r="N161" i="17" s="1"/>
  <c r="AO160" i="17"/>
  <c r="AI160" i="17"/>
  <c r="AE160" i="17"/>
  <c r="T160" i="17"/>
  <c r="V160" i="17" s="1"/>
  <c r="M160" i="17"/>
  <c r="N160" i="17" s="1"/>
  <c r="AO159" i="17"/>
  <c r="AI159" i="17"/>
  <c r="AE159" i="17"/>
  <c r="T159" i="17"/>
  <c r="V159" i="17" s="1"/>
  <c r="M159" i="17"/>
  <c r="N159" i="17" s="1"/>
  <c r="AO158" i="17"/>
  <c r="AO169" i="17" s="1"/>
  <c r="AI158" i="17"/>
  <c r="AE158" i="17"/>
  <c r="T158" i="17"/>
  <c r="V158" i="17" s="1"/>
  <c r="M158" i="17"/>
  <c r="N158" i="17" s="1"/>
  <c r="AO157" i="17"/>
  <c r="AI157" i="17"/>
  <c r="AE157" i="17"/>
  <c r="AE167" i="17" s="1"/>
  <c r="AI167" i="17" l="1"/>
  <c r="AA6" i="18" s="1"/>
  <c r="AA8" i="18" s="1"/>
  <c r="T151" i="17"/>
  <c r="V151" i="17" s="1"/>
  <c r="M151" i="17"/>
  <c r="N151" i="17" s="1"/>
  <c r="T150" i="17"/>
  <c r="V150" i="17" s="1"/>
  <c r="M150" i="17"/>
  <c r="N150" i="17" s="1"/>
  <c r="T149" i="17"/>
  <c r="V149" i="17" s="1"/>
  <c r="M149" i="17"/>
  <c r="N149" i="17" s="1"/>
  <c r="T148" i="17"/>
  <c r="V148" i="17" s="1"/>
  <c r="M148" i="17"/>
  <c r="N148" i="17" s="1"/>
  <c r="T147" i="17"/>
  <c r="V147" i="17" s="1"/>
  <c r="M147" i="17"/>
  <c r="N147" i="17" s="1"/>
  <c r="T146" i="17"/>
  <c r="V146" i="17" s="1"/>
  <c r="M146" i="17"/>
  <c r="N146" i="17" s="1"/>
  <c r="T145" i="17"/>
  <c r="V145" i="17" s="1"/>
  <c r="M145" i="17"/>
  <c r="N145" i="17" s="1"/>
  <c r="AL144" i="17"/>
  <c r="T144" i="17"/>
  <c r="V144" i="17" s="1"/>
  <c r="M144" i="17"/>
  <c r="N144" i="17" s="1"/>
  <c r="T143" i="17"/>
  <c r="V143" i="17" s="1"/>
  <c r="M143" i="17"/>
  <c r="N143" i="17" s="1"/>
  <c r="T142" i="17"/>
  <c r="V142" i="17" s="1"/>
  <c r="M142" i="17"/>
  <c r="N142" i="17" s="1"/>
  <c r="V141" i="17"/>
  <c r="T141" i="17"/>
  <c r="N141" i="17"/>
  <c r="M141" i="17"/>
  <c r="AO140" i="17"/>
  <c r="AI140" i="17"/>
  <c r="AE140" i="17"/>
  <c r="T140" i="17"/>
  <c r="V140" i="17" s="1"/>
  <c r="M140" i="17"/>
  <c r="N140" i="17" s="1"/>
  <c r="AO139" i="17"/>
  <c r="AI139" i="17"/>
  <c r="AE139" i="17"/>
  <c r="V139" i="17"/>
  <c r="T139" i="17"/>
  <c r="N139" i="17"/>
  <c r="M139" i="17"/>
  <c r="AO138" i="17"/>
  <c r="AI138" i="17"/>
  <c r="AE138" i="17"/>
  <c r="T138" i="17"/>
  <c r="V138" i="17" s="1"/>
  <c r="M138" i="17"/>
  <c r="N138" i="17" s="1"/>
  <c r="AO137" i="17"/>
  <c r="AI137" i="17"/>
  <c r="AE137" i="17"/>
  <c r="V137" i="17"/>
  <c r="T137" i="17"/>
  <c r="M137" i="17"/>
  <c r="N137" i="17" s="1"/>
  <c r="AO136" i="17"/>
  <c r="AI136" i="17"/>
  <c r="AE136" i="17"/>
  <c r="T136" i="17"/>
  <c r="V136" i="17" s="1"/>
  <c r="M136" i="17"/>
  <c r="N136" i="17" s="1"/>
  <c r="AO135" i="17"/>
  <c r="AI135" i="17"/>
  <c r="AE135" i="17"/>
  <c r="T135" i="17"/>
  <c r="V135" i="17" s="1"/>
  <c r="M135" i="17"/>
  <c r="N135" i="17" s="1"/>
  <c r="AO134" i="17"/>
  <c r="AI134" i="17"/>
  <c r="AE134" i="17"/>
  <c r="T134" i="17"/>
  <c r="V134" i="17" s="1"/>
  <c r="M134" i="17"/>
  <c r="N134" i="17" s="1"/>
  <c r="AO133" i="17"/>
  <c r="AO144" i="17" s="1"/>
  <c r="AI133" i="17"/>
  <c r="AE133" i="17"/>
  <c r="T133" i="17"/>
  <c r="V133" i="17" s="1"/>
  <c r="V129" i="17" s="1"/>
  <c r="M133" i="17"/>
  <c r="N133" i="17" s="1"/>
  <c r="AO132" i="17"/>
  <c r="AI132" i="17"/>
  <c r="AE132" i="17"/>
  <c r="AE142" i="17" s="1"/>
  <c r="AI142" i="17" l="1"/>
  <c r="K104" i="17"/>
  <c r="T127" i="17" l="1"/>
  <c r="V127" i="17" s="1"/>
  <c r="M127" i="17"/>
  <c r="N127" i="17" s="1"/>
  <c r="T126" i="17"/>
  <c r="V126" i="17" s="1"/>
  <c r="M126" i="17"/>
  <c r="N126" i="17" s="1"/>
  <c r="T125" i="17"/>
  <c r="V125" i="17" s="1"/>
  <c r="M125" i="17"/>
  <c r="N125" i="17" s="1"/>
  <c r="T124" i="17"/>
  <c r="V124" i="17" s="1"/>
  <c r="M124" i="17"/>
  <c r="N124" i="17" s="1"/>
  <c r="T123" i="17"/>
  <c r="V123" i="17" s="1"/>
  <c r="M123" i="17"/>
  <c r="N123" i="17" s="1"/>
  <c r="T122" i="17"/>
  <c r="V122" i="17" s="1"/>
  <c r="M122" i="17"/>
  <c r="N122" i="17" s="1"/>
  <c r="T121" i="17"/>
  <c r="V121" i="17" s="1"/>
  <c r="M121" i="17"/>
  <c r="N121" i="17" s="1"/>
  <c r="AL120" i="17"/>
  <c r="T120" i="17"/>
  <c r="V120" i="17" s="1"/>
  <c r="M120" i="17"/>
  <c r="N120" i="17" s="1"/>
  <c r="T119" i="17"/>
  <c r="V119" i="17" s="1"/>
  <c r="M119" i="17"/>
  <c r="N119" i="17" s="1"/>
  <c r="T118" i="17"/>
  <c r="V118" i="17" s="1"/>
  <c r="M118" i="17"/>
  <c r="N118" i="17" s="1"/>
  <c r="T117" i="17"/>
  <c r="V117" i="17" s="1"/>
  <c r="M117" i="17"/>
  <c r="N117" i="17" s="1"/>
  <c r="AO116" i="17"/>
  <c r="AI116" i="17"/>
  <c r="AE116" i="17"/>
  <c r="T116" i="17"/>
  <c r="V116" i="17" s="1"/>
  <c r="M116" i="17"/>
  <c r="N116" i="17" s="1"/>
  <c r="AO115" i="17"/>
  <c r="AI115" i="17"/>
  <c r="AE115" i="17"/>
  <c r="T115" i="17"/>
  <c r="V115" i="17" s="1"/>
  <c r="M115" i="17"/>
  <c r="N115" i="17" s="1"/>
  <c r="AO114" i="17"/>
  <c r="AI114" i="17"/>
  <c r="AE114" i="17"/>
  <c r="T114" i="17"/>
  <c r="V114" i="17" s="1"/>
  <c r="M114" i="17"/>
  <c r="N114" i="17" s="1"/>
  <c r="AO113" i="17"/>
  <c r="AI113" i="17"/>
  <c r="AE113" i="17"/>
  <c r="T113" i="17"/>
  <c r="V113" i="17" s="1"/>
  <c r="M113" i="17"/>
  <c r="N113" i="17" s="1"/>
  <c r="AO112" i="17"/>
  <c r="AI112" i="17"/>
  <c r="AE112" i="17"/>
  <c r="T112" i="17"/>
  <c r="V112" i="17" s="1"/>
  <c r="M112" i="17"/>
  <c r="N112" i="17" s="1"/>
  <c r="AO111" i="17"/>
  <c r="AI111" i="17"/>
  <c r="AE111" i="17"/>
  <c r="T111" i="17"/>
  <c r="V111" i="17" s="1"/>
  <c r="M111" i="17"/>
  <c r="N111" i="17" s="1"/>
  <c r="AO110" i="17"/>
  <c r="AI110" i="17"/>
  <c r="AE110" i="17"/>
  <c r="T110" i="17"/>
  <c r="V110" i="17" s="1"/>
  <c r="M110" i="17"/>
  <c r="N110" i="17" s="1"/>
  <c r="AO109" i="17"/>
  <c r="AI109" i="17"/>
  <c r="AE109" i="17"/>
  <c r="T109" i="17"/>
  <c r="V109" i="17" s="1"/>
  <c r="M109" i="17"/>
  <c r="N109" i="17" s="1"/>
  <c r="AO108" i="17"/>
  <c r="AI108" i="17"/>
  <c r="AE108" i="17"/>
  <c r="AI118" i="17" l="1"/>
  <c r="AE118" i="17"/>
  <c r="AO120" i="17"/>
  <c r="I84" i="17"/>
  <c r="T79" i="17"/>
  <c r="N80" i="17"/>
  <c r="Q80" i="17" s="1"/>
  <c r="N79" i="17"/>
  <c r="T102" i="17"/>
  <c r="V102" i="17" s="1"/>
  <c r="M102" i="17"/>
  <c r="N102" i="17" s="1"/>
  <c r="T101" i="17"/>
  <c r="V101" i="17" s="1"/>
  <c r="M101" i="17"/>
  <c r="N101" i="17" s="1"/>
  <c r="T100" i="17"/>
  <c r="V100" i="17" s="1"/>
  <c r="M100" i="17"/>
  <c r="N100" i="17" s="1"/>
  <c r="T99" i="17"/>
  <c r="V99" i="17" s="1"/>
  <c r="M99" i="17"/>
  <c r="N99" i="17" s="1"/>
  <c r="T98" i="17"/>
  <c r="V98" i="17" s="1"/>
  <c r="M98" i="17"/>
  <c r="N98" i="17" s="1"/>
  <c r="T97" i="17"/>
  <c r="V97" i="17" s="1"/>
  <c r="M97" i="17"/>
  <c r="N97" i="17" s="1"/>
  <c r="T96" i="17"/>
  <c r="V96" i="17" s="1"/>
  <c r="M96" i="17"/>
  <c r="N96" i="17" s="1"/>
  <c r="AL95" i="17"/>
  <c r="T95" i="17"/>
  <c r="V95" i="17" s="1"/>
  <c r="M95" i="17"/>
  <c r="N95" i="17" s="1"/>
  <c r="T94" i="17"/>
  <c r="V94" i="17" s="1"/>
  <c r="M94" i="17"/>
  <c r="N94" i="17" s="1"/>
  <c r="T93" i="17"/>
  <c r="V93" i="17" s="1"/>
  <c r="M93" i="17"/>
  <c r="N93" i="17" s="1"/>
  <c r="T92" i="17"/>
  <c r="V92" i="17" s="1"/>
  <c r="M92" i="17"/>
  <c r="N92" i="17" s="1"/>
  <c r="AO91" i="17"/>
  <c r="AI91" i="17"/>
  <c r="AE91" i="17"/>
  <c r="V91" i="17"/>
  <c r="T91" i="17"/>
  <c r="N91" i="17"/>
  <c r="M91" i="17"/>
  <c r="AO90" i="17"/>
  <c r="AI90" i="17"/>
  <c r="AE90" i="17"/>
  <c r="T90" i="17"/>
  <c r="V90" i="17" s="1"/>
  <c r="M90" i="17"/>
  <c r="N90" i="17" s="1"/>
  <c r="AO89" i="17"/>
  <c r="AI89" i="17"/>
  <c r="AE89" i="17"/>
  <c r="V89" i="17"/>
  <c r="T89" i="17"/>
  <c r="M89" i="17"/>
  <c r="N89" i="17" s="1"/>
  <c r="AO88" i="17"/>
  <c r="AI88" i="17"/>
  <c r="AE88" i="17"/>
  <c r="T88" i="17"/>
  <c r="V88" i="17" s="1"/>
  <c r="M88" i="17"/>
  <c r="N88" i="17" s="1"/>
  <c r="AO87" i="17"/>
  <c r="AI87" i="17"/>
  <c r="AE87" i="17"/>
  <c r="T87" i="17"/>
  <c r="V87" i="17" s="1"/>
  <c r="M87" i="17"/>
  <c r="N87" i="17" s="1"/>
  <c r="AO86" i="17"/>
  <c r="AI86" i="17"/>
  <c r="AE86" i="17"/>
  <c r="T86" i="17"/>
  <c r="V86" i="17" s="1"/>
  <c r="M86" i="17"/>
  <c r="N86" i="17" s="1"/>
  <c r="AO85" i="17"/>
  <c r="AI85" i="17"/>
  <c r="AE85" i="17"/>
  <c r="T85" i="17"/>
  <c r="V85" i="17" s="1"/>
  <c r="M85" i="17"/>
  <c r="N85" i="17" s="1"/>
  <c r="AO84" i="17"/>
  <c r="AI84" i="17"/>
  <c r="AE84" i="17"/>
  <c r="T84" i="17"/>
  <c r="V84" i="17" s="1"/>
  <c r="M84" i="17"/>
  <c r="N84" i="17" s="1"/>
  <c r="AO83" i="17"/>
  <c r="AI83" i="17"/>
  <c r="AE83" i="17"/>
  <c r="AO95" i="17" l="1"/>
  <c r="N81" i="17"/>
  <c r="AI93" i="17"/>
  <c r="AA109" i="17" s="1"/>
  <c r="AE93" i="17"/>
  <c r="L77" i="17"/>
  <c r="K77" i="17"/>
  <c r="L78" i="17" s="1"/>
  <c r="J62" i="17"/>
  <c r="M62" i="17" s="1"/>
  <c r="N62" i="17" s="1"/>
  <c r="V76" i="17"/>
  <c r="T76" i="17"/>
  <c r="N76" i="17"/>
  <c r="M76" i="17"/>
  <c r="V75" i="17"/>
  <c r="T75" i="17"/>
  <c r="N75" i="17"/>
  <c r="M75" i="17"/>
  <c r="V74" i="17"/>
  <c r="T74" i="17"/>
  <c r="N74" i="17"/>
  <c r="M74" i="17"/>
  <c r="V73" i="17"/>
  <c r="T73" i="17"/>
  <c r="M73" i="17"/>
  <c r="N73" i="17" s="1"/>
  <c r="T72" i="17"/>
  <c r="V72" i="17" s="1"/>
  <c r="M72" i="17"/>
  <c r="N72" i="17" s="1"/>
  <c r="T71" i="17"/>
  <c r="V71" i="17" s="1"/>
  <c r="M71" i="17"/>
  <c r="N71" i="17" s="1"/>
  <c r="T70" i="17"/>
  <c r="V70" i="17" s="1"/>
  <c r="M70" i="17"/>
  <c r="N70" i="17" s="1"/>
  <c r="AL69" i="17"/>
  <c r="T69" i="17"/>
  <c r="V69" i="17" s="1"/>
  <c r="M69" i="17"/>
  <c r="N69" i="17" s="1"/>
  <c r="T68" i="17"/>
  <c r="V68" i="17" s="1"/>
  <c r="M68" i="17"/>
  <c r="N68" i="17" s="1"/>
  <c r="T67" i="17"/>
  <c r="V67" i="17" s="1"/>
  <c r="M67" i="17"/>
  <c r="N67" i="17" s="1"/>
  <c r="T66" i="17"/>
  <c r="V66" i="17" s="1"/>
  <c r="M66" i="17"/>
  <c r="N66" i="17" s="1"/>
  <c r="AO65" i="17"/>
  <c r="AI65" i="17"/>
  <c r="AE65" i="17"/>
  <c r="T65" i="17"/>
  <c r="V65" i="17" s="1"/>
  <c r="M65" i="17"/>
  <c r="N65" i="17" s="1"/>
  <c r="AO64" i="17"/>
  <c r="AI64" i="17"/>
  <c r="AE64" i="17"/>
  <c r="V64" i="17"/>
  <c r="T64" i="17"/>
  <c r="N64" i="17"/>
  <c r="M64" i="17"/>
  <c r="AO63" i="17"/>
  <c r="AI63" i="17"/>
  <c r="AE63" i="17"/>
  <c r="T63" i="17"/>
  <c r="V63" i="17" s="1"/>
  <c r="M63" i="17"/>
  <c r="N63" i="17" s="1"/>
  <c r="AO62" i="17"/>
  <c r="AI62" i="17"/>
  <c r="AE62" i="17"/>
  <c r="V62" i="17"/>
  <c r="T62" i="17"/>
  <c r="AO61" i="17"/>
  <c r="AI61" i="17"/>
  <c r="AE61" i="17"/>
  <c r="T61" i="17"/>
  <c r="V61" i="17" s="1"/>
  <c r="M61" i="17"/>
  <c r="N61" i="17" s="1"/>
  <c r="AO60" i="17"/>
  <c r="AI60" i="17"/>
  <c r="AE60" i="17"/>
  <c r="V60" i="17"/>
  <c r="T60" i="17"/>
  <c r="M60" i="17"/>
  <c r="N60" i="17" s="1"/>
  <c r="AO59" i="17"/>
  <c r="AI59" i="17"/>
  <c r="AE59" i="17"/>
  <c r="T59" i="17"/>
  <c r="V59" i="17" s="1"/>
  <c r="M59" i="17"/>
  <c r="N59" i="17" s="1"/>
  <c r="AO58" i="17"/>
  <c r="AI58" i="17"/>
  <c r="AE58" i="17"/>
  <c r="T58" i="17"/>
  <c r="V58" i="17" s="1"/>
  <c r="M58" i="17"/>
  <c r="N58" i="17" s="1"/>
  <c r="AO57" i="17"/>
  <c r="AI57" i="17"/>
  <c r="AE57" i="17"/>
  <c r="AO69" i="17" l="1"/>
  <c r="AI67" i="17"/>
  <c r="AA84" i="17" s="1"/>
  <c r="AE67" i="17"/>
  <c r="J35" i="17"/>
  <c r="T50" i="17"/>
  <c r="V50" i="17" s="1"/>
  <c r="M50" i="17"/>
  <c r="N50" i="17" s="1"/>
  <c r="T49" i="17"/>
  <c r="V49" i="17" s="1"/>
  <c r="M49" i="17"/>
  <c r="N49" i="17" s="1"/>
  <c r="T48" i="17"/>
  <c r="V48" i="17" s="1"/>
  <c r="M48" i="17"/>
  <c r="N48" i="17" s="1"/>
  <c r="T47" i="17"/>
  <c r="V47" i="17" s="1"/>
  <c r="M47" i="17"/>
  <c r="N47" i="17" s="1"/>
  <c r="T46" i="17"/>
  <c r="V46" i="17" s="1"/>
  <c r="M46" i="17"/>
  <c r="N46" i="17" s="1"/>
  <c r="T45" i="17"/>
  <c r="V45" i="17" s="1"/>
  <c r="M45" i="17"/>
  <c r="N45" i="17" s="1"/>
  <c r="T44" i="17"/>
  <c r="V44" i="17" s="1"/>
  <c r="M44" i="17"/>
  <c r="N44" i="17" s="1"/>
  <c r="AL43" i="17"/>
  <c r="T43" i="17"/>
  <c r="V43" i="17" s="1"/>
  <c r="M43" i="17"/>
  <c r="N43" i="17" s="1"/>
  <c r="T42" i="17"/>
  <c r="V42" i="17" s="1"/>
  <c r="M42" i="17"/>
  <c r="N42" i="17" s="1"/>
  <c r="T41" i="17"/>
  <c r="V41" i="17" s="1"/>
  <c r="M41" i="17"/>
  <c r="N41" i="17" s="1"/>
  <c r="T40" i="17"/>
  <c r="V40" i="17" s="1"/>
  <c r="M40" i="17"/>
  <c r="N40" i="17" s="1"/>
  <c r="AO39" i="17"/>
  <c r="AI39" i="17"/>
  <c r="AE39" i="17"/>
  <c r="T39" i="17"/>
  <c r="V39" i="17" s="1"/>
  <c r="M39" i="17"/>
  <c r="N39" i="17" s="1"/>
  <c r="AO38" i="17"/>
  <c r="AI38" i="17"/>
  <c r="AE38" i="17"/>
  <c r="T38" i="17"/>
  <c r="V38" i="17" s="1"/>
  <c r="M38" i="17"/>
  <c r="N38" i="17" s="1"/>
  <c r="AO37" i="17"/>
  <c r="AI37" i="17"/>
  <c r="AE37" i="17"/>
  <c r="T37" i="17"/>
  <c r="V37" i="17" s="1"/>
  <c r="M37" i="17"/>
  <c r="N37" i="17" s="1"/>
  <c r="AO36" i="17"/>
  <c r="AI36" i="17"/>
  <c r="AE36" i="17"/>
  <c r="T36" i="17"/>
  <c r="V36" i="17" s="1"/>
  <c r="M36" i="17"/>
  <c r="N36" i="17" s="1"/>
  <c r="AO35" i="17"/>
  <c r="AI35" i="17"/>
  <c r="AE35" i="17"/>
  <c r="T35" i="17"/>
  <c r="V35" i="17" s="1"/>
  <c r="M35" i="17"/>
  <c r="N35" i="17" s="1"/>
  <c r="AO34" i="17"/>
  <c r="AI34" i="17"/>
  <c r="AE34" i="17"/>
  <c r="T34" i="17"/>
  <c r="V34" i="17" s="1"/>
  <c r="M34" i="17"/>
  <c r="N34" i="17" s="1"/>
  <c r="AO33" i="17"/>
  <c r="AI33" i="17"/>
  <c r="AE33" i="17"/>
  <c r="T33" i="17"/>
  <c r="V33" i="17" s="1"/>
  <c r="M33" i="17"/>
  <c r="N33" i="17" s="1"/>
  <c r="AO32" i="17"/>
  <c r="AO43" i="17" s="1"/>
  <c r="AI32" i="17"/>
  <c r="AE32" i="17"/>
  <c r="T32" i="17"/>
  <c r="V32" i="17" s="1"/>
  <c r="M32" i="17"/>
  <c r="N32" i="17" s="1"/>
  <c r="AO31" i="17"/>
  <c r="AI31" i="17"/>
  <c r="AE31" i="17"/>
  <c r="AI41" i="17" l="1"/>
  <c r="AE41" i="17"/>
  <c r="D72" i="4"/>
  <c r="D170" i="4"/>
  <c r="D109" i="4"/>
  <c r="D53" i="4"/>
  <c r="D86" i="4"/>
  <c r="D57" i="4"/>
  <c r="D56" i="4"/>
  <c r="D60" i="4"/>
  <c r="D61" i="4"/>
  <c r="D48" i="4"/>
  <c r="C48" i="4"/>
  <c r="D7" i="4"/>
  <c r="D9" i="4"/>
  <c r="D10" i="4"/>
  <c r="D11" i="4"/>
  <c r="D13" i="4"/>
  <c r="D15" i="4"/>
  <c r="D16" i="4"/>
  <c r="D18" i="4"/>
  <c r="D19" i="4"/>
  <c r="D20" i="4"/>
  <c r="D21" i="4"/>
  <c r="D22" i="4"/>
  <c r="D23" i="4"/>
  <c r="D24" i="4"/>
  <c r="D25" i="4"/>
  <c r="D26" i="4"/>
  <c r="D28" i="4"/>
  <c r="D29" i="4"/>
  <c r="D30" i="4"/>
  <c r="D31" i="4"/>
  <c r="D32" i="4"/>
  <c r="D33" i="4"/>
  <c r="D35" i="4"/>
  <c r="D36" i="4"/>
  <c r="D37" i="4"/>
  <c r="D38" i="4"/>
  <c r="D39" i="4"/>
  <c r="D41" i="4"/>
  <c r="D42" i="4"/>
  <c r="D43" i="4"/>
  <c r="D44" i="4"/>
  <c r="D46" i="4"/>
  <c r="D47" i="4"/>
  <c r="D49" i="4"/>
  <c r="D50" i="4"/>
  <c r="D51" i="4"/>
  <c r="D62" i="4"/>
  <c r="D63" i="4"/>
  <c r="D64" i="4"/>
  <c r="D65" i="4"/>
  <c r="D66" i="4"/>
  <c r="D67" i="4"/>
  <c r="D69" i="4"/>
  <c r="D70" i="4"/>
  <c r="D71" i="4"/>
  <c r="D73" i="4"/>
  <c r="D76" i="4"/>
  <c r="D84" i="4"/>
  <c r="D85" i="4"/>
  <c r="D89" i="4"/>
  <c r="D92" i="4"/>
  <c r="D93" i="4"/>
  <c r="D94" i="4"/>
  <c r="D95" i="4"/>
  <c r="D96" i="4"/>
  <c r="D97" i="4"/>
  <c r="D98" i="4"/>
  <c r="D99" i="4"/>
  <c r="D100" i="4"/>
  <c r="D101" i="4"/>
  <c r="D103" i="4"/>
  <c r="D104" i="4"/>
  <c r="D105" i="4"/>
  <c r="D108" i="4"/>
  <c r="D110" i="4"/>
  <c r="D111" i="4"/>
  <c r="D112" i="4"/>
  <c r="D113" i="4"/>
  <c r="D115" i="4"/>
  <c r="D116" i="4"/>
  <c r="D117" i="4"/>
  <c r="D118" i="4"/>
  <c r="D120" i="4"/>
  <c r="D121" i="4"/>
  <c r="D122" i="4"/>
  <c r="D123" i="4"/>
  <c r="D124" i="4"/>
  <c r="D125" i="4"/>
  <c r="D127" i="4"/>
  <c r="D128" i="4"/>
  <c r="D129" i="4"/>
  <c r="D130" i="4"/>
  <c r="D131" i="4"/>
  <c r="D133" i="4"/>
  <c r="D135" i="4"/>
  <c r="D136" i="4"/>
  <c r="D139" i="4"/>
  <c r="D143" i="4"/>
  <c r="D144" i="4"/>
  <c r="D146" i="4"/>
  <c r="D148" i="4"/>
  <c r="D149" i="4"/>
  <c r="D150" i="4"/>
  <c r="D151" i="4"/>
  <c r="D152" i="4"/>
  <c r="D153" i="4"/>
  <c r="D154" i="4"/>
  <c r="D155" i="4"/>
  <c r="D156" i="4"/>
  <c r="D157" i="4"/>
  <c r="D158" i="4"/>
  <c r="D160" i="4"/>
  <c r="D161" i="4"/>
  <c r="D162" i="4"/>
  <c r="D163" i="4"/>
  <c r="D164" i="4"/>
  <c r="D165" i="4"/>
  <c r="D166" i="4"/>
  <c r="D167" i="4"/>
  <c r="D168" i="4"/>
  <c r="D169" i="4"/>
  <c r="D171" i="4"/>
  <c r="D172" i="4"/>
  <c r="D173" i="4"/>
  <c r="D174" i="4"/>
  <c r="D175" i="4"/>
  <c r="D176" i="4"/>
  <c r="D177" i="4"/>
  <c r="D178" i="4"/>
  <c r="D179" i="4"/>
  <c r="D180" i="4"/>
  <c r="D181" i="4"/>
  <c r="D184" i="4"/>
  <c r="D185" i="4"/>
  <c r="D186" i="4"/>
  <c r="D187" i="4"/>
  <c r="D188" i="4"/>
  <c r="D189" i="4"/>
  <c r="D192" i="4"/>
  <c r="T24" i="17"/>
  <c r="V24" i="17" s="1"/>
  <c r="M24" i="17"/>
  <c r="N24" i="17" s="1"/>
  <c r="T23" i="17"/>
  <c r="V23" i="17" s="1"/>
  <c r="M23" i="17"/>
  <c r="N23" i="17" s="1"/>
  <c r="T22" i="17"/>
  <c r="V22" i="17" s="1"/>
  <c r="M22" i="17"/>
  <c r="N22" i="17" s="1"/>
  <c r="T21" i="17"/>
  <c r="V21" i="17" s="1"/>
  <c r="M21" i="17"/>
  <c r="N21" i="17" s="1"/>
  <c r="T20" i="17"/>
  <c r="V20" i="17" s="1"/>
  <c r="M20" i="17"/>
  <c r="N20" i="17" s="1"/>
  <c r="T19" i="17"/>
  <c r="V19" i="17" s="1"/>
  <c r="M19" i="17"/>
  <c r="N19" i="17" s="1"/>
  <c r="T18" i="17"/>
  <c r="V18" i="17" s="1"/>
  <c r="M18" i="17"/>
  <c r="N18" i="17" s="1"/>
  <c r="AL17" i="17"/>
  <c r="V17" i="17"/>
  <c r="T17" i="17"/>
  <c r="N17" i="17"/>
  <c r="M17" i="17"/>
  <c r="V16" i="17"/>
  <c r="T16" i="17"/>
  <c r="M16" i="17"/>
  <c r="T15" i="17"/>
  <c r="V15" i="17" s="1"/>
  <c r="M15" i="17"/>
  <c r="N15" i="17" s="1"/>
  <c r="T14" i="17"/>
  <c r="V14" i="17" s="1"/>
  <c r="M14" i="17"/>
  <c r="N14" i="17" s="1"/>
  <c r="AO13" i="17"/>
  <c r="AI13" i="17"/>
  <c r="AE13" i="17"/>
  <c r="T13" i="17"/>
  <c r="V13" i="17" s="1"/>
  <c r="M13" i="17"/>
  <c r="N13" i="17" s="1"/>
  <c r="AO12" i="17"/>
  <c r="AI12" i="17"/>
  <c r="AE12" i="17"/>
  <c r="T12" i="17"/>
  <c r="V12" i="17" s="1"/>
  <c r="M12" i="17"/>
  <c r="N12" i="17" s="1"/>
  <c r="AO11" i="17"/>
  <c r="AI11" i="17"/>
  <c r="AE11" i="17"/>
  <c r="T11" i="17"/>
  <c r="V11" i="17" s="1"/>
  <c r="M11" i="17"/>
  <c r="N11" i="17" s="1"/>
  <c r="AO10" i="17"/>
  <c r="AI10" i="17"/>
  <c r="AE10" i="17"/>
  <c r="T10" i="17"/>
  <c r="V10" i="17" s="1"/>
  <c r="M10" i="17"/>
  <c r="N10" i="17" s="1"/>
  <c r="AO9" i="17"/>
  <c r="AI9" i="17"/>
  <c r="AE9" i="17"/>
  <c r="T9" i="17"/>
  <c r="V9" i="17" s="1"/>
  <c r="M9" i="17"/>
  <c r="N9" i="17" s="1"/>
  <c r="AO8" i="17"/>
  <c r="AI8" i="17"/>
  <c r="AE8" i="17"/>
  <c r="V8" i="17"/>
  <c r="T8" i="17"/>
  <c r="N8" i="17"/>
  <c r="M8" i="17"/>
  <c r="AO7" i="17"/>
  <c r="AI7" i="17"/>
  <c r="AE7" i="17"/>
  <c r="T7" i="17"/>
  <c r="V7" i="17" s="1"/>
  <c r="M7" i="17"/>
  <c r="N7" i="17" s="1"/>
  <c r="AO6" i="17"/>
  <c r="AI6" i="17"/>
  <c r="AE6" i="17"/>
  <c r="T6" i="17"/>
  <c r="V6" i="17" s="1"/>
  <c r="M6" i="17"/>
  <c r="N6" i="17" s="1"/>
  <c r="AO5" i="17"/>
  <c r="AI5" i="17"/>
  <c r="AE5" i="17"/>
  <c r="AO17" i="17" l="1"/>
  <c r="AI15" i="17"/>
  <c r="AA32" i="17" s="1"/>
  <c r="AE15" i="17"/>
  <c r="AA7" i="17" s="1"/>
  <c r="O143" i="16"/>
  <c r="T130" i="16" l="1"/>
  <c r="T152" i="16"/>
  <c r="V152" i="16" s="1"/>
  <c r="M152" i="16"/>
  <c r="N152" i="16" s="1"/>
  <c r="T151" i="16"/>
  <c r="V151" i="16" s="1"/>
  <c r="M151" i="16"/>
  <c r="N151" i="16" s="1"/>
  <c r="T150" i="16"/>
  <c r="V150" i="16" s="1"/>
  <c r="M150" i="16"/>
  <c r="N150" i="16" s="1"/>
  <c r="T149" i="16"/>
  <c r="V149" i="16" s="1"/>
  <c r="M149" i="16"/>
  <c r="N149" i="16" s="1"/>
  <c r="T148" i="16"/>
  <c r="V148" i="16" s="1"/>
  <c r="M148" i="16"/>
  <c r="N148" i="16" s="1"/>
  <c r="T147" i="16"/>
  <c r="V147" i="16" s="1"/>
  <c r="M147" i="16"/>
  <c r="N147" i="16" s="1"/>
  <c r="T146" i="16"/>
  <c r="V146" i="16" s="1"/>
  <c r="M146" i="16"/>
  <c r="N146" i="16" s="1"/>
  <c r="AL145" i="16"/>
  <c r="T145" i="16"/>
  <c r="V145" i="16" s="1"/>
  <c r="M145" i="16"/>
  <c r="N145" i="16" s="1"/>
  <c r="T144" i="16"/>
  <c r="V144" i="16" s="1"/>
  <c r="M144" i="16"/>
  <c r="N144" i="16" s="1"/>
  <c r="T143" i="16"/>
  <c r="V143" i="16" s="1"/>
  <c r="M143" i="16"/>
  <c r="N143" i="16" s="1"/>
  <c r="T142" i="16"/>
  <c r="V142" i="16" s="1"/>
  <c r="M142" i="16"/>
  <c r="N142" i="16" s="1"/>
  <c r="AO141" i="16"/>
  <c r="AI141" i="16"/>
  <c r="AE141" i="16"/>
  <c r="T141" i="16"/>
  <c r="V141" i="16" s="1"/>
  <c r="M141" i="16"/>
  <c r="N141" i="16" s="1"/>
  <c r="AO140" i="16"/>
  <c r="AI140" i="16"/>
  <c r="AE140" i="16"/>
  <c r="T140" i="16"/>
  <c r="V140" i="16" s="1"/>
  <c r="M140" i="16"/>
  <c r="N140" i="16" s="1"/>
  <c r="AO139" i="16"/>
  <c r="AI139" i="16"/>
  <c r="AE139" i="16"/>
  <c r="T139" i="16"/>
  <c r="M139" i="16"/>
  <c r="N139" i="16" s="1"/>
  <c r="AO138" i="16"/>
  <c r="AI138" i="16"/>
  <c r="AE138" i="16"/>
  <c r="T138" i="16"/>
  <c r="V138" i="16" s="1"/>
  <c r="M138" i="16"/>
  <c r="N138" i="16" s="1"/>
  <c r="AO137" i="16"/>
  <c r="AI137" i="16"/>
  <c r="AE137" i="16"/>
  <c r="T137" i="16"/>
  <c r="V137" i="16" s="1"/>
  <c r="M137" i="16"/>
  <c r="N137" i="16" s="1"/>
  <c r="AO136" i="16"/>
  <c r="AI136" i="16"/>
  <c r="AE136" i="16"/>
  <c r="T136" i="16"/>
  <c r="V136" i="16" s="1"/>
  <c r="M136" i="16"/>
  <c r="N136" i="16" s="1"/>
  <c r="AO135" i="16"/>
  <c r="AI135" i="16"/>
  <c r="AE135" i="16"/>
  <c r="T135" i="16"/>
  <c r="V135" i="16" s="1"/>
  <c r="M135" i="16"/>
  <c r="N135" i="16" s="1"/>
  <c r="AO134" i="16"/>
  <c r="AO145" i="16" s="1"/>
  <c r="AI134" i="16"/>
  <c r="AE134" i="16"/>
  <c r="T134" i="16"/>
  <c r="V134" i="16" s="1"/>
  <c r="M134" i="16"/>
  <c r="N134" i="16" s="1"/>
  <c r="AO133" i="16"/>
  <c r="AI133" i="16"/>
  <c r="AE133" i="16"/>
  <c r="AI143" i="16" l="1"/>
  <c r="AE143" i="16"/>
  <c r="T126" i="16"/>
  <c r="V126" i="16" s="1"/>
  <c r="M126" i="16"/>
  <c r="N126" i="16" s="1"/>
  <c r="T125" i="16"/>
  <c r="V125" i="16" s="1"/>
  <c r="M125" i="16"/>
  <c r="N125" i="16" s="1"/>
  <c r="T124" i="16"/>
  <c r="V124" i="16" s="1"/>
  <c r="M124" i="16"/>
  <c r="N124" i="16" s="1"/>
  <c r="T123" i="16"/>
  <c r="V123" i="16" s="1"/>
  <c r="M123" i="16"/>
  <c r="N123" i="16" s="1"/>
  <c r="T122" i="16"/>
  <c r="V122" i="16" s="1"/>
  <c r="M122" i="16"/>
  <c r="N122" i="16" s="1"/>
  <c r="T121" i="16"/>
  <c r="V121" i="16" s="1"/>
  <c r="M121" i="16"/>
  <c r="N121" i="16" s="1"/>
  <c r="T120" i="16"/>
  <c r="V120" i="16" s="1"/>
  <c r="M120" i="16"/>
  <c r="N120" i="16" s="1"/>
  <c r="AL119" i="16"/>
  <c r="T119" i="16"/>
  <c r="V119" i="16" s="1"/>
  <c r="M119" i="16"/>
  <c r="N119" i="16" s="1"/>
  <c r="T118" i="16"/>
  <c r="V118" i="16" s="1"/>
  <c r="M118" i="16"/>
  <c r="N118" i="16" s="1"/>
  <c r="T117" i="16"/>
  <c r="V117" i="16" s="1"/>
  <c r="M117" i="16"/>
  <c r="N117" i="16" s="1"/>
  <c r="T116" i="16"/>
  <c r="V116" i="16" s="1"/>
  <c r="M116" i="16"/>
  <c r="N116" i="16" s="1"/>
  <c r="AO115" i="16"/>
  <c r="AI115" i="16"/>
  <c r="AE115" i="16"/>
  <c r="T115" i="16"/>
  <c r="V115" i="16" s="1"/>
  <c r="M115" i="16"/>
  <c r="N115" i="16" s="1"/>
  <c r="AO114" i="16"/>
  <c r="AI114" i="16"/>
  <c r="AE114" i="16"/>
  <c r="T114" i="16"/>
  <c r="V114" i="16" s="1"/>
  <c r="M114" i="16"/>
  <c r="N114" i="16" s="1"/>
  <c r="AO113" i="16"/>
  <c r="AI113" i="16"/>
  <c r="AE113" i="16"/>
  <c r="T113" i="16"/>
  <c r="V113" i="16" s="1"/>
  <c r="M113" i="16"/>
  <c r="N113" i="16" s="1"/>
  <c r="AO112" i="16"/>
  <c r="AI112" i="16"/>
  <c r="AE112" i="16"/>
  <c r="T112" i="16"/>
  <c r="V112" i="16" s="1"/>
  <c r="M112" i="16"/>
  <c r="N112" i="16" s="1"/>
  <c r="AO111" i="16"/>
  <c r="AI111" i="16"/>
  <c r="AE111" i="16"/>
  <c r="T111" i="16"/>
  <c r="V111" i="16" s="1"/>
  <c r="M111" i="16"/>
  <c r="N111" i="16" s="1"/>
  <c r="AO110" i="16"/>
  <c r="AI110" i="16"/>
  <c r="AE110" i="16"/>
  <c r="T110" i="16"/>
  <c r="V110" i="16" s="1"/>
  <c r="M110" i="16"/>
  <c r="N110" i="16" s="1"/>
  <c r="AO109" i="16"/>
  <c r="AI109" i="16"/>
  <c r="AE109" i="16"/>
  <c r="T109" i="16"/>
  <c r="V109" i="16" s="1"/>
  <c r="M109" i="16"/>
  <c r="N109" i="16" s="1"/>
  <c r="AO108" i="16"/>
  <c r="AI108" i="16"/>
  <c r="AE108" i="16"/>
  <c r="T108" i="16"/>
  <c r="V108" i="16" s="1"/>
  <c r="M108" i="16"/>
  <c r="AO107" i="16"/>
  <c r="AI107" i="16"/>
  <c r="AE107" i="16"/>
  <c r="AI117" i="16" l="1"/>
  <c r="AO119" i="16"/>
  <c r="AE117" i="16"/>
  <c r="N79" i="16"/>
  <c r="T102" i="16"/>
  <c r="V102" i="16" s="1"/>
  <c r="M102" i="16"/>
  <c r="N102" i="16" s="1"/>
  <c r="T101" i="16"/>
  <c r="V101" i="16" s="1"/>
  <c r="M101" i="16"/>
  <c r="N101" i="16" s="1"/>
  <c r="T100" i="16"/>
  <c r="V100" i="16" s="1"/>
  <c r="M100" i="16"/>
  <c r="N100" i="16" s="1"/>
  <c r="T99" i="16"/>
  <c r="M99" i="16"/>
  <c r="T98" i="16"/>
  <c r="M98" i="16"/>
  <c r="N98" i="16" s="1"/>
  <c r="T97" i="16"/>
  <c r="M97" i="16"/>
  <c r="N97" i="16" s="1"/>
  <c r="T96" i="16"/>
  <c r="M96" i="16"/>
  <c r="AL95" i="16"/>
  <c r="T95" i="16"/>
  <c r="V95" i="16" s="1"/>
  <c r="M95" i="16"/>
  <c r="N95" i="16" s="1"/>
  <c r="T94" i="16"/>
  <c r="V94" i="16" s="1"/>
  <c r="M94" i="16"/>
  <c r="N94" i="16" s="1"/>
  <c r="T93" i="16"/>
  <c r="V93" i="16" s="1"/>
  <c r="M93" i="16"/>
  <c r="T92" i="16"/>
  <c r="V92" i="16" s="1"/>
  <c r="M92" i="16"/>
  <c r="N92" i="16" s="1"/>
  <c r="AO91" i="16"/>
  <c r="AI91" i="16"/>
  <c r="AE91" i="16"/>
  <c r="T91" i="16"/>
  <c r="V91" i="16" s="1"/>
  <c r="M91" i="16"/>
  <c r="N91" i="16" s="1"/>
  <c r="AO90" i="16"/>
  <c r="AI90" i="16"/>
  <c r="AE90" i="16"/>
  <c r="T90" i="16"/>
  <c r="V90" i="16" s="1"/>
  <c r="M90" i="16"/>
  <c r="N90" i="16" s="1"/>
  <c r="AO89" i="16"/>
  <c r="AI89" i="16"/>
  <c r="AE89" i="16"/>
  <c r="T89" i="16"/>
  <c r="V89" i="16" s="1"/>
  <c r="M89" i="16"/>
  <c r="N89" i="16" s="1"/>
  <c r="AO88" i="16"/>
  <c r="AI88" i="16"/>
  <c r="AE88" i="16"/>
  <c r="T88" i="16"/>
  <c r="V88" i="16" s="1"/>
  <c r="M88" i="16"/>
  <c r="N88" i="16" s="1"/>
  <c r="AO87" i="16"/>
  <c r="AI87" i="16"/>
  <c r="AE87" i="16"/>
  <c r="T87" i="16"/>
  <c r="V87" i="16" s="1"/>
  <c r="M87" i="16"/>
  <c r="N87" i="16" s="1"/>
  <c r="AO86" i="16"/>
  <c r="AI86" i="16"/>
  <c r="AE86" i="16"/>
  <c r="T86" i="16"/>
  <c r="V86" i="16" s="1"/>
  <c r="M86" i="16"/>
  <c r="N86" i="16" s="1"/>
  <c r="AO85" i="16"/>
  <c r="AI85" i="16"/>
  <c r="AE85" i="16"/>
  <c r="T85" i="16"/>
  <c r="V85" i="16" s="1"/>
  <c r="M85" i="16"/>
  <c r="N85" i="16" s="1"/>
  <c r="AO84" i="16"/>
  <c r="AI84" i="16"/>
  <c r="AE84" i="16"/>
  <c r="T84" i="16"/>
  <c r="V84" i="16" s="1"/>
  <c r="M84" i="16"/>
  <c r="N84" i="16" s="1"/>
  <c r="AO83" i="16"/>
  <c r="AI83" i="16"/>
  <c r="AE83" i="16"/>
  <c r="AI93" i="16" l="1"/>
  <c r="AO95" i="16"/>
  <c r="AE93" i="16"/>
  <c r="C104" i="4"/>
  <c r="C180" i="4"/>
  <c r="C24" i="4"/>
  <c r="C16" i="4"/>
  <c r="C25" i="4"/>
  <c r="D4" i="4"/>
  <c r="E4" i="4"/>
  <c r="F4" i="4"/>
  <c r="G4" i="4"/>
  <c r="H4" i="4"/>
  <c r="I4" i="4"/>
  <c r="J4" i="4"/>
  <c r="K4" i="4"/>
  <c r="L4" i="4"/>
  <c r="M4" i="4"/>
  <c r="C10" i="4"/>
  <c r="C18" i="4"/>
  <c r="C170" i="4"/>
  <c r="C131" i="4"/>
  <c r="C185" i="4"/>
  <c r="C128" i="4"/>
  <c r="C192" i="4"/>
  <c r="C6" i="4"/>
  <c r="C7" i="4"/>
  <c r="C9" i="4"/>
  <c r="C11" i="4"/>
  <c r="C13" i="4"/>
  <c r="C15" i="4"/>
  <c r="C19" i="4"/>
  <c r="C20" i="4"/>
  <c r="C21" i="4"/>
  <c r="C22" i="4"/>
  <c r="C23" i="4"/>
  <c r="C26" i="4"/>
  <c r="C28" i="4"/>
  <c r="C29" i="4"/>
  <c r="C30" i="4"/>
  <c r="C31" i="4"/>
  <c r="C32" i="4"/>
  <c r="C33" i="4"/>
  <c r="C35" i="4"/>
  <c r="C36" i="4"/>
  <c r="C37" i="4"/>
  <c r="C38" i="4"/>
  <c r="C39" i="4"/>
  <c r="C42" i="4"/>
  <c r="C43" i="4"/>
  <c r="C44" i="4"/>
  <c r="C45" i="4"/>
  <c r="C46" i="4"/>
  <c r="C47" i="4"/>
  <c r="C49" i="4"/>
  <c r="C50" i="4"/>
  <c r="C51" i="4"/>
  <c r="C56" i="4"/>
  <c r="C57" i="4"/>
  <c r="C61" i="4"/>
  <c r="C63" i="4"/>
  <c r="C64" i="4"/>
  <c r="C65" i="4"/>
  <c r="C66" i="4"/>
  <c r="C67" i="4"/>
  <c r="C69" i="4"/>
  <c r="C70" i="4"/>
  <c r="C71" i="4"/>
  <c r="C72" i="4"/>
  <c r="C73" i="4"/>
  <c r="C76" i="4"/>
  <c r="C84" i="4"/>
  <c r="C85" i="4"/>
  <c r="C89" i="4"/>
  <c r="C92" i="4"/>
  <c r="C93" i="4"/>
  <c r="C94" i="4"/>
  <c r="C95" i="4"/>
  <c r="C96" i="4"/>
  <c r="C97" i="4"/>
  <c r="C98" i="4"/>
  <c r="C99" i="4"/>
  <c r="C100" i="4"/>
  <c r="C101" i="4"/>
  <c r="C103" i="4"/>
  <c r="C105" i="4"/>
  <c r="C108" i="4"/>
  <c r="C110" i="4"/>
  <c r="C111" i="4"/>
  <c r="C112" i="4"/>
  <c r="C113" i="4"/>
  <c r="C115" i="4"/>
  <c r="C116" i="4"/>
  <c r="C117" i="4"/>
  <c r="C118" i="4"/>
  <c r="C120" i="4"/>
  <c r="C121" i="4"/>
  <c r="C122" i="4"/>
  <c r="C123" i="4"/>
  <c r="C124" i="4"/>
  <c r="C125" i="4"/>
  <c r="C127" i="4"/>
  <c r="C129" i="4"/>
  <c r="C130" i="4"/>
  <c r="C133" i="4"/>
  <c r="C135" i="4"/>
  <c r="C136" i="4"/>
  <c r="C139" i="4"/>
  <c r="C143" i="4"/>
  <c r="C144" i="4"/>
  <c r="C146" i="4"/>
  <c r="C148" i="4"/>
  <c r="C149" i="4"/>
  <c r="C150" i="4"/>
  <c r="C151" i="4"/>
  <c r="C152" i="4"/>
  <c r="C153" i="4"/>
  <c r="C154" i="4"/>
  <c r="C155" i="4"/>
  <c r="C156" i="4"/>
  <c r="C157" i="4"/>
  <c r="C158" i="4"/>
  <c r="C160" i="4"/>
  <c r="C161" i="4"/>
  <c r="C162" i="4"/>
  <c r="C163" i="4"/>
  <c r="C164" i="4"/>
  <c r="C165" i="4"/>
  <c r="C166" i="4"/>
  <c r="C167" i="4"/>
  <c r="C168" i="4"/>
  <c r="C169" i="4"/>
  <c r="C171" i="4"/>
  <c r="C172" i="4"/>
  <c r="C173" i="4"/>
  <c r="C174" i="4"/>
  <c r="C175" i="4"/>
  <c r="C176" i="4"/>
  <c r="C177" i="4"/>
  <c r="C178" i="4"/>
  <c r="C179" i="4"/>
  <c r="C181" i="4"/>
  <c r="C184" i="4"/>
  <c r="C186" i="4"/>
  <c r="C187" i="4"/>
  <c r="C188" i="4"/>
  <c r="C189" i="4"/>
  <c r="I52" i="16"/>
  <c r="V73" i="16"/>
  <c r="T75" i="16"/>
  <c r="V75" i="16" s="1"/>
  <c r="M75" i="16"/>
  <c r="N75" i="16" s="1"/>
  <c r="T74" i="16"/>
  <c r="V74" i="16" s="1"/>
  <c r="M74" i="16"/>
  <c r="N74" i="16" s="1"/>
  <c r="T73" i="16"/>
  <c r="N73" i="16"/>
  <c r="M73" i="16"/>
  <c r="T72" i="16"/>
  <c r="M72" i="16"/>
  <c r="N72" i="16" s="1"/>
  <c r="T71" i="16"/>
  <c r="M71" i="16"/>
  <c r="N71" i="16" s="1"/>
  <c r="T70" i="16"/>
  <c r="V70" i="16" s="1"/>
  <c r="M70" i="16"/>
  <c r="N70" i="16" s="1"/>
  <c r="T69" i="16"/>
  <c r="V69" i="16" s="1"/>
  <c r="M69" i="16"/>
  <c r="N69" i="16" s="1"/>
  <c r="AL68" i="16"/>
  <c r="T68" i="16"/>
  <c r="V68" i="16" s="1"/>
  <c r="M68" i="16"/>
  <c r="N68" i="16" s="1"/>
  <c r="T67" i="16"/>
  <c r="V67" i="16" s="1"/>
  <c r="M67" i="16"/>
  <c r="N67" i="16" s="1"/>
  <c r="T66" i="16"/>
  <c r="V66" i="16" s="1"/>
  <c r="M66" i="16"/>
  <c r="N66" i="16" s="1"/>
  <c r="T65" i="16"/>
  <c r="V65" i="16" s="1"/>
  <c r="M65" i="16"/>
  <c r="N65" i="16" s="1"/>
  <c r="AO64" i="16"/>
  <c r="AI64" i="16"/>
  <c r="AE64" i="16"/>
  <c r="T64" i="16"/>
  <c r="V64" i="16" s="1"/>
  <c r="M64" i="16"/>
  <c r="AO63" i="16"/>
  <c r="AI63" i="16"/>
  <c r="AE63" i="16"/>
  <c r="T63" i="16"/>
  <c r="V63" i="16" s="1"/>
  <c r="N63" i="16"/>
  <c r="M63" i="16"/>
  <c r="AO62" i="16"/>
  <c r="AI62" i="16"/>
  <c r="AE62" i="16"/>
  <c r="T62" i="16"/>
  <c r="V62" i="16" s="1"/>
  <c r="M62" i="16"/>
  <c r="AO61" i="16"/>
  <c r="AI61" i="16"/>
  <c r="AE61" i="16"/>
  <c r="T61" i="16"/>
  <c r="V61" i="16" s="1"/>
  <c r="M61" i="16"/>
  <c r="N61" i="16" s="1"/>
  <c r="AO60" i="16"/>
  <c r="AI60" i="16"/>
  <c r="AE60" i="16"/>
  <c r="T60" i="16"/>
  <c r="V60" i="16" s="1"/>
  <c r="M60" i="16"/>
  <c r="AO59" i="16"/>
  <c r="AI59" i="16"/>
  <c r="AE59" i="16"/>
  <c r="T59" i="16"/>
  <c r="V59" i="16" s="1"/>
  <c r="M59" i="16"/>
  <c r="N59" i="16" s="1"/>
  <c r="AO58" i="16"/>
  <c r="AI58" i="16"/>
  <c r="AE58" i="16"/>
  <c r="T58" i="16"/>
  <c r="V58" i="16" s="1"/>
  <c r="M58" i="16"/>
  <c r="AO57" i="16"/>
  <c r="AI57" i="16"/>
  <c r="AE57" i="16"/>
  <c r="T57" i="16"/>
  <c r="V57" i="16" s="1"/>
  <c r="M57" i="16"/>
  <c r="N57" i="16" s="1"/>
  <c r="AO56" i="16"/>
  <c r="AI56" i="16"/>
  <c r="AE56" i="16"/>
  <c r="AO68" i="16" l="1"/>
  <c r="AI66" i="16"/>
  <c r="AA85" i="16" s="1"/>
  <c r="C4" i="4"/>
  <c r="AE66" i="16"/>
  <c r="N58" i="16"/>
  <c r="N60" i="16"/>
  <c r="N62" i="16"/>
  <c r="N64" i="16"/>
  <c r="O22" i="16"/>
  <c r="O192" i="15"/>
  <c r="O167" i="15"/>
  <c r="O140" i="15"/>
  <c r="O109" i="15"/>
  <c r="N77" i="15"/>
  <c r="O50" i="15"/>
  <c r="O24" i="15"/>
  <c r="O204" i="14"/>
  <c r="O179" i="14"/>
  <c r="O143" i="14"/>
  <c r="O112" i="14"/>
  <c r="O84" i="14"/>
  <c r="N54" i="14"/>
  <c r="N24" i="14"/>
  <c r="O191" i="13"/>
  <c r="O160" i="13"/>
  <c r="O136" i="13"/>
  <c r="O109" i="13"/>
  <c r="O82" i="13"/>
  <c r="O47" i="13"/>
  <c r="O22" i="13"/>
  <c r="W9" i="14"/>
  <c r="M5" i="4"/>
  <c r="I5" i="4"/>
  <c r="S49" i="16"/>
  <c r="U49" i="16" s="1"/>
  <c r="K49" i="16" s="1"/>
  <c r="L49" i="16"/>
  <c r="M49" i="16" s="1"/>
  <c r="S48" i="16"/>
  <c r="U48" i="16" s="1"/>
  <c r="K48" i="16" s="1"/>
  <c r="L48" i="16"/>
  <c r="M48" i="16" s="1"/>
  <c r="S47" i="16"/>
  <c r="U47" i="16" s="1"/>
  <c r="K47" i="16" s="1"/>
  <c r="L47" i="16"/>
  <c r="M47" i="16" s="1"/>
  <c r="S46" i="16"/>
  <c r="U46" i="16" s="1"/>
  <c r="K46" i="16" s="1"/>
  <c r="L46" i="16"/>
  <c r="M46" i="16" s="1"/>
  <c r="S45" i="16"/>
  <c r="U45" i="16" s="1"/>
  <c r="K45" i="16" s="1"/>
  <c r="L45" i="16"/>
  <c r="M45" i="16" s="1"/>
  <c r="S44" i="16"/>
  <c r="U44" i="16" s="1"/>
  <c r="K44" i="16" s="1"/>
  <c r="L44" i="16"/>
  <c r="M44" i="16" s="1"/>
  <c r="S43" i="16"/>
  <c r="U43" i="16" s="1"/>
  <c r="K43" i="16" s="1"/>
  <c r="L43" i="16"/>
  <c r="M43" i="16" s="1"/>
  <c r="AK42" i="16"/>
  <c r="S42" i="16"/>
  <c r="U42" i="16" s="1"/>
  <c r="K42" i="16" s="1"/>
  <c r="L42" i="16"/>
  <c r="M42" i="16" s="1"/>
  <c r="S41" i="16"/>
  <c r="U41" i="16" s="1"/>
  <c r="K41" i="16" s="1"/>
  <c r="L41" i="16"/>
  <c r="M41" i="16" s="1"/>
  <c r="S40" i="16"/>
  <c r="U40" i="16" s="1"/>
  <c r="K40" i="16" s="1"/>
  <c r="L40" i="16"/>
  <c r="M40" i="16" s="1"/>
  <c r="S39" i="16"/>
  <c r="U39" i="16" s="1"/>
  <c r="K39" i="16" s="1"/>
  <c r="L39" i="16"/>
  <c r="M39" i="16" s="1"/>
  <c r="AN38" i="16"/>
  <c r="AH38" i="16"/>
  <c r="AD38" i="16"/>
  <c r="S38" i="16"/>
  <c r="U38" i="16" s="1"/>
  <c r="L38" i="16"/>
  <c r="M38" i="16" s="1"/>
  <c r="AN37" i="16"/>
  <c r="AH37" i="16"/>
  <c r="AD37" i="16"/>
  <c r="S37" i="16"/>
  <c r="U37" i="16" s="1"/>
  <c r="L37" i="16"/>
  <c r="M37" i="16" s="1"/>
  <c r="AN36" i="16"/>
  <c r="AH36" i="16"/>
  <c r="AD36" i="16"/>
  <c r="S36" i="16"/>
  <c r="U36" i="16" s="1"/>
  <c r="L36" i="16"/>
  <c r="M36" i="16" s="1"/>
  <c r="AN35" i="16"/>
  <c r="AH35" i="16"/>
  <c r="AD35" i="16"/>
  <c r="S35" i="16"/>
  <c r="L35" i="16"/>
  <c r="M35" i="16" s="1"/>
  <c r="AN34" i="16"/>
  <c r="AH34" i="16"/>
  <c r="AD34" i="16"/>
  <c r="S34" i="16"/>
  <c r="U34" i="16" s="1"/>
  <c r="K34" i="16" s="1"/>
  <c r="L34" i="16"/>
  <c r="M34" i="16" s="1"/>
  <c r="AN33" i="16"/>
  <c r="AH33" i="16"/>
  <c r="AD33" i="16"/>
  <c r="S33" i="16"/>
  <c r="U33" i="16" s="1"/>
  <c r="K33" i="16" s="1"/>
  <c r="L33" i="16"/>
  <c r="M33" i="16" s="1"/>
  <c r="AN32" i="16"/>
  <c r="AH32" i="16"/>
  <c r="AD32" i="16"/>
  <c r="S32" i="16"/>
  <c r="U32" i="16" s="1"/>
  <c r="K32" i="16" s="1"/>
  <c r="L32" i="16"/>
  <c r="M32" i="16" s="1"/>
  <c r="AN31" i="16"/>
  <c r="AH31" i="16"/>
  <c r="AD31" i="16"/>
  <c r="S31" i="16"/>
  <c r="L31" i="16"/>
  <c r="M31" i="16" s="1"/>
  <c r="AN30" i="16"/>
  <c r="AH30" i="16"/>
  <c r="AD30" i="16"/>
  <c r="AH40" i="16" l="1"/>
  <c r="AN42" i="16"/>
  <c r="U31" i="16"/>
  <c r="K31" i="16" s="1"/>
  <c r="AD40" i="16"/>
  <c r="AA1" i="16" l="1"/>
  <c r="AJ15" i="16"/>
  <c r="AM11" i="16"/>
  <c r="AG11" i="16"/>
  <c r="AC11" i="16"/>
  <c r="AM10" i="16"/>
  <c r="AG10" i="16"/>
  <c r="AC10" i="16"/>
  <c r="AM9" i="16"/>
  <c r="AG9" i="16"/>
  <c r="AC9" i="16"/>
  <c r="AM8" i="16"/>
  <c r="AG8" i="16"/>
  <c r="AC8" i="16"/>
  <c r="AM7" i="16"/>
  <c r="AG7" i="16"/>
  <c r="AC7" i="16"/>
  <c r="AM6" i="16"/>
  <c r="AG6" i="16"/>
  <c r="AC6" i="16"/>
  <c r="AM5" i="16"/>
  <c r="AG5" i="16"/>
  <c r="AC5" i="16"/>
  <c r="AM4" i="16"/>
  <c r="AG4" i="16"/>
  <c r="AC4" i="16"/>
  <c r="AM3" i="16"/>
  <c r="AG3" i="16"/>
  <c r="AC3" i="16"/>
  <c r="S21" i="16"/>
  <c r="U21" i="16" s="1"/>
  <c r="K21" i="16" s="1"/>
  <c r="L21" i="16"/>
  <c r="M21" i="16" s="1"/>
  <c r="S20" i="16"/>
  <c r="U20" i="16" s="1"/>
  <c r="K20" i="16" s="1"/>
  <c r="L20" i="16"/>
  <c r="M20" i="16" s="1"/>
  <c r="S19" i="16"/>
  <c r="U19" i="16" s="1"/>
  <c r="K19" i="16" s="1"/>
  <c r="L19" i="16"/>
  <c r="M19" i="16" s="1"/>
  <c r="S18" i="16"/>
  <c r="U18" i="16" s="1"/>
  <c r="K18" i="16" s="1"/>
  <c r="L18" i="16"/>
  <c r="M18" i="16" s="1"/>
  <c r="S17" i="16"/>
  <c r="U17" i="16" s="1"/>
  <c r="K17" i="16" s="1"/>
  <c r="L17" i="16"/>
  <c r="M17" i="16" s="1"/>
  <c r="S16" i="16"/>
  <c r="U16" i="16" s="1"/>
  <c r="L16" i="16"/>
  <c r="M16" i="16" s="1"/>
  <c r="U15" i="16"/>
  <c r="S15" i="16"/>
  <c r="M15" i="16"/>
  <c r="L15" i="16"/>
  <c r="S14" i="16"/>
  <c r="U14" i="16" s="1"/>
  <c r="L14" i="16"/>
  <c r="M14" i="16" s="1"/>
  <c r="S13" i="16"/>
  <c r="U13" i="16" s="1"/>
  <c r="L13" i="16"/>
  <c r="M13" i="16" s="1"/>
  <c r="S12" i="16"/>
  <c r="U12" i="16" s="1"/>
  <c r="L12" i="16"/>
  <c r="M12" i="16" s="1"/>
  <c r="U11" i="16"/>
  <c r="S11" i="16"/>
  <c r="M11" i="16"/>
  <c r="L11" i="16"/>
  <c r="K11" i="16"/>
  <c r="S10" i="16"/>
  <c r="L10" i="16"/>
  <c r="M10" i="16" s="1"/>
  <c r="S9" i="16"/>
  <c r="U9" i="16" s="1"/>
  <c r="K9" i="16" s="1"/>
  <c r="M9" i="16"/>
  <c r="L9" i="16"/>
  <c r="S8" i="16"/>
  <c r="U8" i="16" s="1"/>
  <c r="K8" i="16" s="1"/>
  <c r="L8" i="16"/>
  <c r="M8" i="16" s="1"/>
  <c r="U7" i="16"/>
  <c r="K7" i="16" s="1"/>
  <c r="S7" i="16"/>
  <c r="M7" i="16"/>
  <c r="L7" i="16"/>
  <c r="S6" i="16"/>
  <c r="U6" i="16" s="1"/>
  <c r="K6" i="16" s="1"/>
  <c r="L6" i="16"/>
  <c r="M6" i="16" s="1"/>
  <c r="S5" i="16"/>
  <c r="U5" i="16" s="1"/>
  <c r="K5" i="16" s="1"/>
  <c r="L5" i="16"/>
  <c r="M5" i="16" s="1"/>
  <c r="S4" i="16"/>
  <c r="U4" i="16" s="1"/>
  <c r="K4" i="16" s="1"/>
  <c r="L4" i="16"/>
  <c r="M4" i="16" s="1"/>
  <c r="S3" i="16"/>
  <c r="U3" i="16" s="1"/>
  <c r="K3" i="16" s="1"/>
  <c r="L3" i="16"/>
  <c r="M3" i="16" s="1"/>
  <c r="U10" i="16" l="1"/>
  <c r="K10" i="16" s="1"/>
  <c r="AM15" i="16"/>
  <c r="AG13" i="16"/>
  <c r="AC13" i="16"/>
  <c r="AL185" i="15"/>
  <c r="AO181" i="15"/>
  <c r="AI181" i="15"/>
  <c r="AE181" i="15"/>
  <c r="AO180" i="15"/>
  <c r="AI180" i="15"/>
  <c r="AE180" i="15"/>
  <c r="AO179" i="15"/>
  <c r="AI179" i="15"/>
  <c r="AE179" i="15"/>
  <c r="AO178" i="15"/>
  <c r="AI178" i="15"/>
  <c r="AE178" i="15"/>
  <c r="AO177" i="15"/>
  <c r="AI177" i="15"/>
  <c r="AE177" i="15"/>
  <c r="AO176" i="15"/>
  <c r="AI176" i="15"/>
  <c r="AE176" i="15"/>
  <c r="AO175" i="15"/>
  <c r="AI175" i="15"/>
  <c r="AE175" i="15"/>
  <c r="AO174" i="15"/>
  <c r="AO185" i="15" s="1"/>
  <c r="AI174" i="15"/>
  <c r="AE174" i="15"/>
  <c r="AO173" i="15"/>
  <c r="AI173" i="15"/>
  <c r="AI183" i="15" s="1"/>
  <c r="AE173" i="15"/>
  <c r="I179" i="15"/>
  <c r="L179" i="15" s="1"/>
  <c r="M179" i="15" s="1"/>
  <c r="S191" i="15"/>
  <c r="U191" i="15" s="1"/>
  <c r="K191" i="15" s="1"/>
  <c r="L191" i="15"/>
  <c r="M191" i="15" s="1"/>
  <c r="S190" i="15"/>
  <c r="U190" i="15" s="1"/>
  <c r="K190" i="15" s="1"/>
  <c r="L190" i="15"/>
  <c r="M190" i="15" s="1"/>
  <c r="U189" i="15"/>
  <c r="S189" i="15"/>
  <c r="M189" i="15"/>
  <c r="L189" i="15"/>
  <c r="K189" i="15"/>
  <c r="S188" i="15"/>
  <c r="U188" i="15" s="1"/>
  <c r="K188" i="15" s="1"/>
  <c r="L188" i="15"/>
  <c r="M188" i="15" s="1"/>
  <c r="S187" i="15"/>
  <c r="U187" i="15" s="1"/>
  <c r="K187" i="15" s="1"/>
  <c r="L187" i="15"/>
  <c r="M187" i="15" s="1"/>
  <c r="S186" i="15"/>
  <c r="U186" i="15" s="1"/>
  <c r="K186" i="15" s="1"/>
  <c r="L186" i="15"/>
  <c r="M186" i="15" s="1"/>
  <c r="U185" i="15"/>
  <c r="S185" i="15"/>
  <c r="M185" i="15"/>
  <c r="L185" i="15"/>
  <c r="K185" i="15"/>
  <c r="S184" i="15"/>
  <c r="U184" i="15" s="1"/>
  <c r="K184" i="15" s="1"/>
  <c r="L184" i="15"/>
  <c r="M184" i="15" s="1"/>
  <c r="S183" i="15"/>
  <c r="U183" i="15" s="1"/>
  <c r="K183" i="15" s="1"/>
  <c r="L183" i="15"/>
  <c r="M183" i="15" s="1"/>
  <c r="S182" i="15"/>
  <c r="U182" i="15" s="1"/>
  <c r="K182" i="15" s="1"/>
  <c r="L182" i="15"/>
  <c r="M182" i="15" s="1"/>
  <c r="U181" i="15"/>
  <c r="S181" i="15"/>
  <c r="M181" i="15"/>
  <c r="L181" i="15"/>
  <c r="K181" i="15"/>
  <c r="S180" i="15"/>
  <c r="U180" i="15" s="1"/>
  <c r="K180" i="15" s="1"/>
  <c r="L180" i="15"/>
  <c r="M180" i="15" s="1"/>
  <c r="S179" i="15"/>
  <c r="U179" i="15" s="1"/>
  <c r="K179" i="15" s="1"/>
  <c r="S178" i="15"/>
  <c r="U178" i="15" s="1"/>
  <c r="K178" i="15" s="1"/>
  <c r="L178" i="15"/>
  <c r="M178" i="15" s="1"/>
  <c r="S177" i="15"/>
  <c r="U177" i="15" s="1"/>
  <c r="K177" i="15" s="1"/>
  <c r="L177" i="15"/>
  <c r="M177" i="15" s="1"/>
  <c r="S176" i="15"/>
  <c r="U176" i="15" s="1"/>
  <c r="K176" i="15" s="1"/>
  <c r="L176" i="15"/>
  <c r="M176" i="15" s="1"/>
  <c r="U175" i="15"/>
  <c r="S175" i="15"/>
  <c r="M175" i="15"/>
  <c r="L175" i="15"/>
  <c r="S174" i="15"/>
  <c r="U174" i="15" s="1"/>
  <c r="K174" i="15" s="1"/>
  <c r="L174" i="15"/>
  <c r="M174" i="15" s="1"/>
  <c r="U173" i="15"/>
  <c r="S173" i="15"/>
  <c r="M173" i="15"/>
  <c r="L173" i="15"/>
  <c r="AE183" i="15" l="1"/>
  <c r="M144" i="15"/>
  <c r="L144" i="15"/>
  <c r="J144" i="15"/>
  <c r="I144" i="15"/>
  <c r="I145" i="15" s="1"/>
  <c r="U166" i="15"/>
  <c r="S166" i="15"/>
  <c r="M166" i="15"/>
  <c r="L166" i="15"/>
  <c r="K166" i="15"/>
  <c r="S165" i="15"/>
  <c r="U165" i="15" s="1"/>
  <c r="L165" i="15"/>
  <c r="M165" i="15" s="1"/>
  <c r="S164" i="15"/>
  <c r="U164" i="15" s="1"/>
  <c r="K164" i="15" s="1"/>
  <c r="L164" i="15"/>
  <c r="M164" i="15" s="1"/>
  <c r="S163" i="15"/>
  <c r="U163" i="15" s="1"/>
  <c r="K163" i="15" s="1"/>
  <c r="L163" i="15"/>
  <c r="M163" i="15" s="1"/>
  <c r="U162" i="15"/>
  <c r="K162" i="15" s="1"/>
  <c r="S162" i="15"/>
  <c r="L162" i="15"/>
  <c r="M162" i="15" s="1"/>
  <c r="S161" i="15"/>
  <c r="U161" i="15" s="1"/>
  <c r="K161" i="15" s="1"/>
  <c r="L161" i="15"/>
  <c r="M161" i="15" s="1"/>
  <c r="U160" i="15"/>
  <c r="K160" i="15" s="1"/>
  <c r="S160" i="15"/>
  <c r="L160" i="15"/>
  <c r="M160" i="15" s="1"/>
  <c r="AK159" i="15"/>
  <c r="S159" i="15"/>
  <c r="U159" i="15" s="1"/>
  <c r="L159" i="15"/>
  <c r="M159" i="15" s="1"/>
  <c r="S158" i="15"/>
  <c r="U158" i="15" s="1"/>
  <c r="L158" i="15"/>
  <c r="M158" i="15" s="1"/>
  <c r="S157" i="15"/>
  <c r="U157" i="15" s="1"/>
  <c r="L157" i="15"/>
  <c r="M157" i="15" s="1"/>
  <c r="S156" i="15"/>
  <c r="U156" i="15" s="1"/>
  <c r="L156" i="15"/>
  <c r="M156" i="15" s="1"/>
  <c r="AN155" i="15"/>
  <c r="AH155" i="15"/>
  <c r="AD155" i="15"/>
  <c r="U155" i="15"/>
  <c r="S155" i="15"/>
  <c r="M155" i="15"/>
  <c r="L155" i="15"/>
  <c r="AN154" i="15"/>
  <c r="AH154" i="15"/>
  <c r="AD154" i="15"/>
  <c r="S154" i="15"/>
  <c r="U154" i="15" s="1"/>
  <c r="L154" i="15"/>
  <c r="M154" i="15" s="1"/>
  <c r="AN153" i="15"/>
  <c r="AH153" i="15"/>
  <c r="AD153" i="15"/>
  <c r="S153" i="15"/>
  <c r="U153" i="15" s="1"/>
  <c r="L153" i="15"/>
  <c r="M153" i="15" s="1"/>
  <c r="AN152" i="15"/>
  <c r="AH152" i="15"/>
  <c r="AD152" i="15"/>
  <c r="S152" i="15"/>
  <c r="U152" i="15" s="1"/>
  <c r="L152" i="15"/>
  <c r="M152" i="15" s="1"/>
  <c r="AN151" i="15"/>
  <c r="AH151" i="15"/>
  <c r="AD151" i="15"/>
  <c r="S151" i="15"/>
  <c r="U151" i="15" s="1"/>
  <c r="L151" i="15"/>
  <c r="M151" i="15" s="1"/>
  <c r="AN150" i="15"/>
  <c r="AH150" i="15"/>
  <c r="AD150" i="15"/>
  <c r="S150" i="15"/>
  <c r="U150" i="15" s="1"/>
  <c r="L150" i="15"/>
  <c r="M150" i="15" s="1"/>
  <c r="AN149" i="15"/>
  <c r="AH149" i="15"/>
  <c r="AD149" i="15"/>
  <c r="S149" i="15"/>
  <c r="U149" i="15" s="1"/>
  <c r="K149" i="15" s="1"/>
  <c r="L149" i="15"/>
  <c r="M149" i="15" s="1"/>
  <c r="AN148" i="15"/>
  <c r="AH148" i="15"/>
  <c r="AD148" i="15"/>
  <c r="S148" i="15"/>
  <c r="U148" i="15" s="1"/>
  <c r="K148" i="15" s="1"/>
  <c r="L148" i="15"/>
  <c r="M148" i="15" s="1"/>
  <c r="AN147" i="15"/>
  <c r="AH147" i="15"/>
  <c r="AD147" i="15"/>
  <c r="AH157" i="15" l="1"/>
  <c r="AN159" i="15"/>
  <c r="AD157" i="15"/>
  <c r="S139" i="15"/>
  <c r="U139" i="15" s="1"/>
  <c r="L139" i="15"/>
  <c r="M139" i="15" s="1"/>
  <c r="S137" i="15"/>
  <c r="U137" i="15" s="1"/>
  <c r="L137" i="15"/>
  <c r="M137" i="15" s="1"/>
  <c r="S136" i="15"/>
  <c r="U136" i="15" s="1"/>
  <c r="L136" i="15"/>
  <c r="M136" i="15" s="1"/>
  <c r="S135" i="15"/>
  <c r="U135" i="15" s="1"/>
  <c r="L135" i="15"/>
  <c r="M135" i="15" s="1"/>
  <c r="S134" i="15"/>
  <c r="U134" i="15" s="1"/>
  <c r="L134" i="15"/>
  <c r="M134" i="15" s="1"/>
  <c r="S133" i="15"/>
  <c r="U133" i="15" s="1"/>
  <c r="L133" i="15"/>
  <c r="M133" i="15" s="1"/>
  <c r="U132" i="15"/>
  <c r="S132" i="15"/>
  <c r="L132" i="15"/>
  <c r="M132" i="15" s="1"/>
  <c r="AK131" i="15"/>
  <c r="S131" i="15"/>
  <c r="U131" i="15" s="1"/>
  <c r="L131" i="15"/>
  <c r="M131" i="15" s="1"/>
  <c r="S130" i="15"/>
  <c r="U130" i="15" s="1"/>
  <c r="L130" i="15"/>
  <c r="M130" i="15" s="1"/>
  <c r="S129" i="15"/>
  <c r="U129" i="15" s="1"/>
  <c r="L129" i="15"/>
  <c r="M129" i="15" s="1"/>
  <c r="U128" i="15"/>
  <c r="S128" i="15"/>
  <c r="L128" i="15"/>
  <c r="M128" i="15" s="1"/>
  <c r="AN127" i="15"/>
  <c r="AH127" i="15"/>
  <c r="AD127" i="15"/>
  <c r="S127" i="15"/>
  <c r="U127" i="15" s="1"/>
  <c r="L127" i="15"/>
  <c r="M127" i="15" s="1"/>
  <c r="AN126" i="15"/>
  <c r="AH126" i="15"/>
  <c r="AD126" i="15"/>
  <c r="S126" i="15"/>
  <c r="U126" i="15" s="1"/>
  <c r="L126" i="15"/>
  <c r="M126" i="15" s="1"/>
  <c r="AN125" i="15"/>
  <c r="AH125" i="15"/>
  <c r="AD125" i="15"/>
  <c r="S125" i="15"/>
  <c r="U125" i="15" s="1"/>
  <c r="L125" i="15"/>
  <c r="M125" i="15" s="1"/>
  <c r="AN124" i="15"/>
  <c r="AH124" i="15"/>
  <c r="AD124" i="15"/>
  <c r="S124" i="15"/>
  <c r="U124" i="15" s="1"/>
  <c r="L124" i="15"/>
  <c r="M124" i="15" s="1"/>
  <c r="AN123" i="15"/>
  <c r="AH123" i="15"/>
  <c r="AD123" i="15"/>
  <c r="S123" i="15"/>
  <c r="U123" i="15" s="1"/>
  <c r="L123" i="15"/>
  <c r="M123" i="15" s="1"/>
  <c r="AN122" i="15"/>
  <c r="AH122" i="15"/>
  <c r="AD122" i="15"/>
  <c r="S122" i="15"/>
  <c r="U122" i="15" s="1"/>
  <c r="L122" i="15"/>
  <c r="M122" i="15" s="1"/>
  <c r="AN121" i="15"/>
  <c r="AH121" i="15"/>
  <c r="AD121" i="15"/>
  <c r="S121" i="15"/>
  <c r="U121" i="15" s="1"/>
  <c r="L121" i="15"/>
  <c r="M121" i="15" s="1"/>
  <c r="AN120" i="15"/>
  <c r="AH120" i="15"/>
  <c r="AD120" i="15"/>
  <c r="S120" i="15"/>
  <c r="U120" i="15" s="1"/>
  <c r="L120" i="15"/>
  <c r="M120" i="15" s="1"/>
  <c r="AN119" i="15"/>
  <c r="AH119" i="15"/>
  <c r="AD119" i="15"/>
  <c r="AH129" i="15" l="1"/>
  <c r="AH131" i="15" s="1"/>
  <c r="AN131" i="15"/>
  <c r="AD129" i="15"/>
  <c r="L90" i="15"/>
  <c r="M90" i="15" s="1"/>
  <c r="L104" i="15"/>
  <c r="M104" i="15" s="1"/>
  <c r="L105" i="15"/>
  <c r="M105" i="15" s="1"/>
  <c r="L106" i="15"/>
  <c r="M106" i="15" s="1"/>
  <c r="L107" i="15"/>
  <c r="M107" i="15" s="1"/>
  <c r="K81" i="15"/>
  <c r="K82" i="15" s="1"/>
  <c r="S108" i="15"/>
  <c r="U108" i="15" s="1"/>
  <c r="L108" i="15"/>
  <c r="M108" i="15" s="1"/>
  <c r="S103" i="15"/>
  <c r="U103" i="15" s="1"/>
  <c r="L103" i="15"/>
  <c r="M103" i="15" s="1"/>
  <c r="S102" i="15"/>
  <c r="U102" i="15" s="1"/>
  <c r="L102" i="15"/>
  <c r="M102" i="15" s="1"/>
  <c r="S101" i="15"/>
  <c r="U101" i="15" s="1"/>
  <c r="L101" i="15"/>
  <c r="M101" i="15" s="1"/>
  <c r="S100" i="15"/>
  <c r="U100" i="15" s="1"/>
  <c r="K100" i="15" s="1"/>
  <c r="L100" i="15"/>
  <c r="M100" i="15" s="1"/>
  <c r="S99" i="15"/>
  <c r="U99" i="15" s="1"/>
  <c r="L99" i="15"/>
  <c r="M99" i="15" s="1"/>
  <c r="S98" i="15"/>
  <c r="U98" i="15" s="1"/>
  <c r="L98" i="15"/>
  <c r="M98" i="15" s="1"/>
  <c r="AK97" i="15"/>
  <c r="S97" i="15"/>
  <c r="U97" i="15" s="1"/>
  <c r="L97" i="15"/>
  <c r="M97" i="15" s="1"/>
  <c r="S96" i="15"/>
  <c r="U96" i="15" s="1"/>
  <c r="L96" i="15"/>
  <c r="M96" i="15" s="1"/>
  <c r="S95" i="15"/>
  <c r="U95" i="15" s="1"/>
  <c r="L95" i="15"/>
  <c r="M95" i="15" s="1"/>
  <c r="S94" i="15"/>
  <c r="U94" i="15" s="1"/>
  <c r="L94" i="15"/>
  <c r="M94" i="15" s="1"/>
  <c r="AN93" i="15"/>
  <c r="AH93" i="15"/>
  <c r="AD93" i="15"/>
  <c r="S93" i="15"/>
  <c r="U93" i="15" s="1"/>
  <c r="L93" i="15"/>
  <c r="M93" i="15" s="1"/>
  <c r="AN92" i="15"/>
  <c r="AH92" i="15"/>
  <c r="AD92" i="15"/>
  <c r="S92" i="15"/>
  <c r="U92" i="15" s="1"/>
  <c r="L92" i="15"/>
  <c r="M92" i="15" s="1"/>
  <c r="AN91" i="15"/>
  <c r="AH91" i="15"/>
  <c r="AD91" i="15"/>
  <c r="S91" i="15"/>
  <c r="U91" i="15" s="1"/>
  <c r="L91" i="15"/>
  <c r="M91" i="15" s="1"/>
  <c r="AN90" i="15"/>
  <c r="AH90" i="15"/>
  <c r="AD90" i="15"/>
  <c r="S90" i="15"/>
  <c r="U90" i="15" s="1"/>
  <c r="AN89" i="15"/>
  <c r="AH89" i="15"/>
  <c r="AD89" i="15"/>
  <c r="S89" i="15"/>
  <c r="U89" i="15" s="1"/>
  <c r="L89" i="15"/>
  <c r="M89" i="15" s="1"/>
  <c r="AN88" i="15"/>
  <c r="AH88" i="15"/>
  <c r="AD88" i="15"/>
  <c r="S88" i="15"/>
  <c r="U88" i="15" s="1"/>
  <c r="K88" i="15" s="1"/>
  <c r="L88" i="15"/>
  <c r="M88" i="15" s="1"/>
  <c r="AN87" i="15"/>
  <c r="AH87" i="15"/>
  <c r="AD87" i="15"/>
  <c r="S87" i="15"/>
  <c r="U87" i="15" s="1"/>
  <c r="K87" i="15" s="1"/>
  <c r="L87" i="15"/>
  <c r="M87" i="15" s="1"/>
  <c r="AN86" i="15"/>
  <c r="AH86" i="15"/>
  <c r="AD86" i="15"/>
  <c r="S86" i="15"/>
  <c r="U86" i="15" s="1"/>
  <c r="K86" i="15" s="1"/>
  <c r="L86" i="15"/>
  <c r="M86" i="15" s="1"/>
  <c r="AN85" i="15"/>
  <c r="AH85" i="15"/>
  <c r="AD85" i="15"/>
  <c r="AH95" i="15" l="1"/>
  <c r="AN97" i="15"/>
  <c r="AD95" i="15"/>
  <c r="S76" i="15"/>
  <c r="U76" i="15" s="1"/>
  <c r="K76" i="15" s="1"/>
  <c r="L76" i="15"/>
  <c r="M76" i="15" s="1"/>
  <c r="S75" i="15"/>
  <c r="U75" i="15" s="1"/>
  <c r="K75" i="15" s="1"/>
  <c r="L75" i="15"/>
  <c r="M75" i="15" s="1"/>
  <c r="S74" i="15"/>
  <c r="U74" i="15" s="1"/>
  <c r="K74" i="15" s="1"/>
  <c r="L74" i="15"/>
  <c r="M74" i="15" s="1"/>
  <c r="S73" i="15"/>
  <c r="U73" i="15" s="1"/>
  <c r="K73" i="15" s="1"/>
  <c r="L73" i="15"/>
  <c r="M73" i="15" s="1"/>
  <c r="S72" i="15"/>
  <c r="U72" i="15" s="1"/>
  <c r="L72" i="15"/>
  <c r="M72" i="15" s="1"/>
  <c r="S71" i="15"/>
  <c r="U71" i="15" s="1"/>
  <c r="L71" i="15"/>
  <c r="M71" i="15" s="1"/>
  <c r="S70" i="15"/>
  <c r="U70" i="15" s="1"/>
  <c r="L70" i="15"/>
  <c r="M70" i="15" s="1"/>
  <c r="AK69" i="15"/>
  <c r="S69" i="15"/>
  <c r="U69" i="15" s="1"/>
  <c r="L69" i="15"/>
  <c r="M69" i="15" s="1"/>
  <c r="S68" i="15"/>
  <c r="U68" i="15" s="1"/>
  <c r="L68" i="15"/>
  <c r="M68" i="15" s="1"/>
  <c r="S67" i="15"/>
  <c r="U67" i="15" s="1"/>
  <c r="L67" i="15"/>
  <c r="M67" i="15" s="1"/>
  <c r="S66" i="15"/>
  <c r="U66" i="15" s="1"/>
  <c r="L66" i="15"/>
  <c r="M66" i="15" s="1"/>
  <c r="AN65" i="15"/>
  <c r="AH65" i="15"/>
  <c r="AD65" i="15"/>
  <c r="S65" i="15"/>
  <c r="U65" i="15" s="1"/>
  <c r="L65" i="15"/>
  <c r="M65" i="15" s="1"/>
  <c r="AN64" i="15"/>
  <c r="AH64" i="15"/>
  <c r="AD64" i="15"/>
  <c r="S64" i="15"/>
  <c r="U64" i="15" s="1"/>
  <c r="L64" i="15"/>
  <c r="M64" i="15" s="1"/>
  <c r="AN63" i="15"/>
  <c r="AH63" i="15"/>
  <c r="AD63" i="15"/>
  <c r="S63" i="15"/>
  <c r="U63" i="15" s="1"/>
  <c r="L63" i="15"/>
  <c r="M63" i="15" s="1"/>
  <c r="AN62" i="15"/>
  <c r="AH62" i="15"/>
  <c r="AD62" i="15"/>
  <c r="S62" i="15"/>
  <c r="U62" i="15" s="1"/>
  <c r="L62" i="15"/>
  <c r="M62" i="15" s="1"/>
  <c r="AN61" i="15"/>
  <c r="AH61" i="15"/>
  <c r="AD61" i="15"/>
  <c r="S61" i="15"/>
  <c r="U61" i="15" s="1"/>
  <c r="L61" i="15"/>
  <c r="M61" i="15" s="1"/>
  <c r="AN60" i="15"/>
  <c r="AH60" i="15"/>
  <c r="AD60" i="15"/>
  <c r="S60" i="15"/>
  <c r="U60" i="15" s="1"/>
  <c r="L60" i="15"/>
  <c r="M60" i="15" s="1"/>
  <c r="AN59" i="15"/>
  <c r="AH59" i="15"/>
  <c r="AD59" i="15"/>
  <c r="S59" i="15"/>
  <c r="U59" i="15" s="1"/>
  <c r="L59" i="15"/>
  <c r="M59" i="15" s="1"/>
  <c r="AN58" i="15"/>
  <c r="AH58" i="15"/>
  <c r="AD58" i="15"/>
  <c r="S58" i="15"/>
  <c r="U58" i="15" s="1"/>
  <c r="L58" i="15"/>
  <c r="M58" i="15" s="1"/>
  <c r="AN57" i="15"/>
  <c r="AH57" i="15"/>
  <c r="AD57" i="15"/>
  <c r="AN69" i="15" l="1"/>
  <c r="AH67" i="15"/>
  <c r="AD67" i="15"/>
  <c r="S49" i="15"/>
  <c r="U49" i="15" s="1"/>
  <c r="K49" i="15" s="1"/>
  <c r="L49" i="15"/>
  <c r="M49" i="15" s="1"/>
  <c r="S48" i="15"/>
  <c r="U48" i="15" s="1"/>
  <c r="K48" i="15" s="1"/>
  <c r="L48" i="15"/>
  <c r="M48" i="15" s="1"/>
  <c r="S47" i="15"/>
  <c r="U47" i="15" s="1"/>
  <c r="K47" i="15" s="1"/>
  <c r="L47" i="15"/>
  <c r="M47" i="15" s="1"/>
  <c r="S46" i="15"/>
  <c r="U46" i="15" s="1"/>
  <c r="K46" i="15" s="1"/>
  <c r="L46" i="15"/>
  <c r="M46" i="15" s="1"/>
  <c r="S45" i="15"/>
  <c r="U45" i="15" s="1"/>
  <c r="K45" i="15" s="1"/>
  <c r="L45" i="15"/>
  <c r="M45" i="15" s="1"/>
  <c r="S44" i="15"/>
  <c r="U44" i="15" s="1"/>
  <c r="K44" i="15" s="1"/>
  <c r="L44" i="15"/>
  <c r="M44" i="15" s="1"/>
  <c r="S43" i="15"/>
  <c r="U43" i="15" s="1"/>
  <c r="K43" i="15" s="1"/>
  <c r="L43" i="15"/>
  <c r="M43" i="15" s="1"/>
  <c r="AK42" i="15"/>
  <c r="S42" i="15"/>
  <c r="U42" i="15" s="1"/>
  <c r="K42" i="15" s="1"/>
  <c r="L42" i="15"/>
  <c r="M42" i="15" s="1"/>
  <c r="S41" i="15"/>
  <c r="U41" i="15" s="1"/>
  <c r="K41" i="15" s="1"/>
  <c r="L41" i="15"/>
  <c r="M41" i="15" s="1"/>
  <c r="S40" i="15"/>
  <c r="U40" i="15" s="1"/>
  <c r="K40" i="15" s="1"/>
  <c r="L40" i="15"/>
  <c r="M40" i="15" s="1"/>
  <c r="S39" i="15"/>
  <c r="U39" i="15" s="1"/>
  <c r="L39" i="15"/>
  <c r="M39" i="15" s="1"/>
  <c r="AN38" i="15"/>
  <c r="AH38" i="15"/>
  <c r="AD38" i="15"/>
  <c r="S38" i="15"/>
  <c r="U38" i="15" s="1"/>
  <c r="L38" i="15"/>
  <c r="M38" i="15" s="1"/>
  <c r="AN37" i="15"/>
  <c r="AH37" i="15"/>
  <c r="AD37" i="15"/>
  <c r="S37" i="15"/>
  <c r="U37" i="15" s="1"/>
  <c r="L37" i="15"/>
  <c r="M37" i="15" s="1"/>
  <c r="AN36" i="15"/>
  <c r="AH36" i="15"/>
  <c r="AD36" i="15"/>
  <c r="S36" i="15"/>
  <c r="U36" i="15" s="1"/>
  <c r="L36" i="15"/>
  <c r="M36" i="15" s="1"/>
  <c r="AN35" i="15"/>
  <c r="AH35" i="15"/>
  <c r="AD35" i="15"/>
  <c r="S35" i="15"/>
  <c r="U35" i="15" s="1"/>
  <c r="K35" i="15" s="1"/>
  <c r="L35" i="15"/>
  <c r="M35" i="15" s="1"/>
  <c r="AN34" i="15"/>
  <c r="AH34" i="15"/>
  <c r="AD34" i="15"/>
  <c r="S34" i="15"/>
  <c r="U34" i="15" s="1"/>
  <c r="K34" i="15" s="1"/>
  <c r="L34" i="15"/>
  <c r="M34" i="15" s="1"/>
  <c r="AN33" i="15"/>
  <c r="AH33" i="15"/>
  <c r="AD33" i="15"/>
  <c r="S33" i="15"/>
  <c r="U33" i="15" s="1"/>
  <c r="L33" i="15"/>
  <c r="M33" i="15" s="1"/>
  <c r="AN32" i="15"/>
  <c r="AH32" i="15"/>
  <c r="AD32" i="15"/>
  <c r="S32" i="15"/>
  <c r="U32" i="15" s="1"/>
  <c r="L32" i="15"/>
  <c r="M32" i="15" s="1"/>
  <c r="AN31" i="15"/>
  <c r="AH31" i="15"/>
  <c r="AD31" i="15"/>
  <c r="S31" i="15"/>
  <c r="U31" i="15" s="1"/>
  <c r="L31" i="15"/>
  <c r="M31" i="15" s="1"/>
  <c r="AN30" i="15"/>
  <c r="AH30" i="15"/>
  <c r="AD30" i="15"/>
  <c r="AN42" i="15" l="1"/>
  <c r="AH40" i="15"/>
  <c r="AD40" i="15"/>
  <c r="N2" i="15"/>
  <c r="S23" i="15"/>
  <c r="U23" i="15" s="1"/>
  <c r="K23" i="15" s="1"/>
  <c r="L23" i="15"/>
  <c r="M23" i="15" s="1"/>
  <c r="S22" i="15"/>
  <c r="U22" i="15" s="1"/>
  <c r="K22" i="15" s="1"/>
  <c r="L22" i="15"/>
  <c r="M22" i="15" s="1"/>
  <c r="S21" i="15"/>
  <c r="U21" i="15" s="1"/>
  <c r="K21" i="15" s="1"/>
  <c r="L21" i="15"/>
  <c r="M21" i="15" s="1"/>
  <c r="S20" i="15"/>
  <c r="U20" i="15" s="1"/>
  <c r="L20" i="15"/>
  <c r="M20" i="15" s="1"/>
  <c r="S19" i="15"/>
  <c r="U19" i="15" s="1"/>
  <c r="L19" i="15"/>
  <c r="M19" i="15" s="1"/>
  <c r="S18" i="15"/>
  <c r="L18" i="15"/>
  <c r="M18" i="15" s="1"/>
  <c r="S17" i="15"/>
  <c r="K17" i="15" s="1"/>
  <c r="L17" i="15"/>
  <c r="M17" i="15" s="1"/>
  <c r="AK16" i="15"/>
  <c r="S16" i="15"/>
  <c r="L16" i="15"/>
  <c r="M16" i="15" s="1"/>
  <c r="S15" i="15"/>
  <c r="L15" i="15"/>
  <c r="M15" i="15" s="1"/>
  <c r="S14" i="15"/>
  <c r="L14" i="15"/>
  <c r="M14" i="15" s="1"/>
  <c r="S13" i="15"/>
  <c r="L13" i="15"/>
  <c r="M13" i="15" s="1"/>
  <c r="AN12" i="15"/>
  <c r="AH12" i="15"/>
  <c r="AD12" i="15"/>
  <c r="S12" i="15"/>
  <c r="L12" i="15"/>
  <c r="M12" i="15" s="1"/>
  <c r="AN11" i="15"/>
  <c r="AH11" i="15"/>
  <c r="AD11" i="15"/>
  <c r="S11" i="15"/>
  <c r="U11" i="15" s="1"/>
  <c r="K11" i="15" s="1"/>
  <c r="L11" i="15"/>
  <c r="M11" i="15" s="1"/>
  <c r="AN10" i="15"/>
  <c r="AH10" i="15"/>
  <c r="AD10" i="15"/>
  <c r="S10" i="15"/>
  <c r="U10" i="15" s="1"/>
  <c r="K10" i="15" s="1"/>
  <c r="L10" i="15"/>
  <c r="M10" i="15" s="1"/>
  <c r="AN9" i="15"/>
  <c r="AH9" i="15"/>
  <c r="AD9" i="15"/>
  <c r="S9" i="15"/>
  <c r="U9" i="15" s="1"/>
  <c r="K9" i="15" s="1"/>
  <c r="L9" i="15"/>
  <c r="M9" i="15" s="1"/>
  <c r="AN8" i="15"/>
  <c r="AH8" i="15"/>
  <c r="AD8" i="15"/>
  <c r="S8" i="15"/>
  <c r="U8" i="15" s="1"/>
  <c r="K8" i="15" s="1"/>
  <c r="L8" i="15"/>
  <c r="M8" i="15" s="1"/>
  <c r="AN7" i="15"/>
  <c r="AH7" i="15"/>
  <c r="AD7" i="15"/>
  <c r="S7" i="15"/>
  <c r="U7" i="15" s="1"/>
  <c r="K7" i="15" s="1"/>
  <c r="L7" i="15"/>
  <c r="M7" i="15" s="1"/>
  <c r="AN6" i="15"/>
  <c r="AH6" i="15"/>
  <c r="AD6" i="15"/>
  <c r="S6" i="15"/>
  <c r="U6" i="15" s="1"/>
  <c r="K6" i="15" s="1"/>
  <c r="L6" i="15"/>
  <c r="M6" i="15" s="1"/>
  <c r="AN5" i="15"/>
  <c r="AH5" i="15"/>
  <c r="AD5" i="15"/>
  <c r="S5" i="15"/>
  <c r="U5" i="15" s="1"/>
  <c r="K5" i="15" s="1"/>
  <c r="L5" i="15"/>
  <c r="M5" i="15" s="1"/>
  <c r="AN4" i="15"/>
  <c r="AH4" i="15"/>
  <c r="AD4" i="15"/>
  <c r="AN16" i="15" l="1"/>
  <c r="AH14" i="15"/>
  <c r="AD14" i="15"/>
  <c r="H181" i="14"/>
  <c r="S203" i="14" l="1"/>
  <c r="U203" i="14" s="1"/>
  <c r="L203" i="14"/>
  <c r="M203" i="14" s="1"/>
  <c r="S202" i="14"/>
  <c r="U202" i="14" s="1"/>
  <c r="L202" i="14"/>
  <c r="M202" i="14" s="1"/>
  <c r="S201" i="14"/>
  <c r="U201" i="14" s="1"/>
  <c r="L201" i="14"/>
  <c r="M201" i="14" s="1"/>
  <c r="U200" i="14"/>
  <c r="S200" i="14"/>
  <c r="M200" i="14"/>
  <c r="L200" i="14"/>
  <c r="S199" i="14"/>
  <c r="U199" i="14" s="1"/>
  <c r="L199" i="14"/>
  <c r="M199" i="14" s="1"/>
  <c r="U198" i="14"/>
  <c r="S198" i="14"/>
  <c r="M198" i="14"/>
  <c r="L198" i="14"/>
  <c r="S197" i="14"/>
  <c r="U197" i="14" s="1"/>
  <c r="L197" i="14"/>
  <c r="M197" i="14" s="1"/>
  <c r="AK196" i="14"/>
  <c r="S196" i="14"/>
  <c r="U196" i="14" s="1"/>
  <c r="M196" i="14"/>
  <c r="L196" i="14"/>
  <c r="S195" i="14"/>
  <c r="U195" i="14" s="1"/>
  <c r="L195" i="14"/>
  <c r="M195" i="14" s="1"/>
  <c r="U194" i="14"/>
  <c r="S194" i="14"/>
  <c r="M194" i="14"/>
  <c r="L194" i="14"/>
  <c r="S193" i="14"/>
  <c r="U193" i="14" s="1"/>
  <c r="L193" i="14"/>
  <c r="M193" i="14" s="1"/>
  <c r="AN192" i="14"/>
  <c r="AH192" i="14"/>
  <c r="AD192" i="14"/>
  <c r="S192" i="14"/>
  <c r="U192" i="14" s="1"/>
  <c r="L192" i="14"/>
  <c r="M192" i="14" s="1"/>
  <c r="AN191" i="14"/>
  <c r="AH191" i="14"/>
  <c r="AD191" i="14"/>
  <c r="S191" i="14"/>
  <c r="U191" i="14" s="1"/>
  <c r="L191" i="14"/>
  <c r="M191" i="14" s="1"/>
  <c r="AN190" i="14"/>
  <c r="AH190" i="14"/>
  <c r="AD190" i="14"/>
  <c r="S190" i="14"/>
  <c r="U190" i="14" s="1"/>
  <c r="L190" i="14"/>
  <c r="M190" i="14" s="1"/>
  <c r="AN189" i="14"/>
  <c r="AH189" i="14"/>
  <c r="AD189" i="14"/>
  <c r="S189" i="14"/>
  <c r="U189" i="14" s="1"/>
  <c r="L189" i="14"/>
  <c r="M189" i="14" s="1"/>
  <c r="AN188" i="14"/>
  <c r="AH188" i="14"/>
  <c r="AD188" i="14"/>
  <c r="S188" i="14"/>
  <c r="U188" i="14" s="1"/>
  <c r="L188" i="14"/>
  <c r="M188" i="14" s="1"/>
  <c r="AN187" i="14"/>
  <c r="AH187" i="14"/>
  <c r="AD187" i="14"/>
  <c r="S187" i="14"/>
  <c r="U187" i="14" s="1"/>
  <c r="L187" i="14"/>
  <c r="M187" i="14" s="1"/>
  <c r="AN186" i="14"/>
  <c r="AH186" i="14"/>
  <c r="AD186" i="14"/>
  <c r="S186" i="14"/>
  <c r="U186" i="14" s="1"/>
  <c r="L186" i="14"/>
  <c r="M186" i="14" s="1"/>
  <c r="AN185" i="14"/>
  <c r="AH185" i="14"/>
  <c r="AD185" i="14"/>
  <c r="S185" i="14"/>
  <c r="U185" i="14" s="1"/>
  <c r="L185" i="14"/>
  <c r="M185" i="14" s="1"/>
  <c r="AN184" i="14"/>
  <c r="AH184" i="14"/>
  <c r="AH194" i="14" s="1"/>
  <c r="AD184" i="14"/>
  <c r="AN196" i="14" l="1"/>
  <c r="AD194" i="14"/>
  <c r="AD196" i="14" s="1"/>
  <c r="L171" i="14"/>
  <c r="M171" i="14" s="1"/>
  <c r="S171" i="14"/>
  <c r="U171" i="14" s="1"/>
  <c r="K171" i="14" s="1"/>
  <c r="L172" i="14"/>
  <c r="M172" i="14" s="1"/>
  <c r="S172" i="14"/>
  <c r="U172" i="14" s="1"/>
  <c r="K172" i="14" s="1"/>
  <c r="L173" i="14"/>
  <c r="M173" i="14" s="1"/>
  <c r="S173" i="14"/>
  <c r="U173" i="14" s="1"/>
  <c r="L174" i="14"/>
  <c r="M174" i="14" s="1"/>
  <c r="S174" i="14"/>
  <c r="U174" i="14" s="1"/>
  <c r="L175" i="14"/>
  <c r="M175" i="14" s="1"/>
  <c r="S175" i="14"/>
  <c r="U175" i="14" s="1"/>
  <c r="K175" i="14" s="1"/>
  <c r="L176" i="14"/>
  <c r="M176" i="14" s="1"/>
  <c r="S176" i="14"/>
  <c r="U176" i="14" s="1"/>
  <c r="K176" i="14" s="1"/>
  <c r="N148" i="14"/>
  <c r="K150" i="14"/>
  <c r="M148" i="14" s="1"/>
  <c r="I149" i="14"/>
  <c r="S178" i="14"/>
  <c r="U178" i="14" s="1"/>
  <c r="K178" i="14" s="1"/>
  <c r="L178" i="14"/>
  <c r="M178" i="14" s="1"/>
  <c r="S177" i="14"/>
  <c r="U177" i="14" s="1"/>
  <c r="K177" i="14" s="1"/>
  <c r="L177" i="14"/>
  <c r="M177" i="14" s="1"/>
  <c r="S170" i="14"/>
  <c r="U170" i="14" s="1"/>
  <c r="K170" i="14" s="1"/>
  <c r="L170" i="14"/>
  <c r="M170" i="14" s="1"/>
  <c r="S169" i="14"/>
  <c r="U169" i="14" s="1"/>
  <c r="K169" i="14" s="1"/>
  <c r="L169" i="14"/>
  <c r="M169" i="14" s="1"/>
  <c r="S168" i="14"/>
  <c r="U168" i="14" s="1"/>
  <c r="K168" i="14" s="1"/>
  <c r="L168" i="14"/>
  <c r="M168" i="14" s="1"/>
  <c r="S167" i="14"/>
  <c r="U167" i="14" s="1"/>
  <c r="L167" i="14"/>
  <c r="M167" i="14" s="1"/>
  <c r="S166" i="14"/>
  <c r="U166" i="14" s="1"/>
  <c r="K166" i="14" s="1"/>
  <c r="L166" i="14"/>
  <c r="M166" i="14" s="1"/>
  <c r="AK165" i="14"/>
  <c r="S165" i="14"/>
  <c r="U165" i="14" s="1"/>
  <c r="K165" i="14" s="1"/>
  <c r="L165" i="14"/>
  <c r="M165" i="14" s="1"/>
  <c r="S164" i="14"/>
  <c r="U164" i="14" s="1"/>
  <c r="K164" i="14" s="1"/>
  <c r="L164" i="14"/>
  <c r="M164" i="14" s="1"/>
  <c r="S163" i="14"/>
  <c r="U163" i="14" s="1"/>
  <c r="K163" i="14" s="1"/>
  <c r="L163" i="14"/>
  <c r="M163" i="14" s="1"/>
  <c r="S162" i="14"/>
  <c r="U162" i="14" s="1"/>
  <c r="K162" i="14" s="1"/>
  <c r="L162" i="14"/>
  <c r="M162" i="14" s="1"/>
  <c r="AN161" i="14"/>
  <c r="AH161" i="14"/>
  <c r="AD161" i="14"/>
  <c r="S161" i="14"/>
  <c r="U161" i="14" s="1"/>
  <c r="L161" i="14"/>
  <c r="AN160" i="14"/>
  <c r="AH160" i="14"/>
  <c r="AD160" i="14"/>
  <c r="S160" i="14"/>
  <c r="U160" i="14" s="1"/>
  <c r="K160" i="14" s="1"/>
  <c r="L160" i="14"/>
  <c r="M160" i="14" s="1"/>
  <c r="AN159" i="14"/>
  <c r="AH159" i="14"/>
  <c r="AD159" i="14"/>
  <c r="S159" i="14"/>
  <c r="U159" i="14" s="1"/>
  <c r="K159" i="14" s="1"/>
  <c r="L159" i="14"/>
  <c r="M159" i="14" s="1"/>
  <c r="AN158" i="14"/>
  <c r="AH158" i="14"/>
  <c r="AD158" i="14"/>
  <c r="S158" i="14"/>
  <c r="U158" i="14" s="1"/>
  <c r="K158" i="14" s="1"/>
  <c r="L158" i="14"/>
  <c r="M158" i="14" s="1"/>
  <c r="AN157" i="14"/>
  <c r="AH157" i="14"/>
  <c r="AD157" i="14"/>
  <c r="S157" i="14"/>
  <c r="K157" i="14" s="1"/>
  <c r="L157" i="14"/>
  <c r="M157" i="14" s="1"/>
  <c r="AN156" i="14"/>
  <c r="AH156" i="14"/>
  <c r="AD156" i="14"/>
  <c r="S156" i="14"/>
  <c r="U156" i="14" s="1"/>
  <c r="K156" i="14" s="1"/>
  <c r="L156" i="14"/>
  <c r="M156" i="14" s="1"/>
  <c r="AN155" i="14"/>
  <c r="AH155" i="14"/>
  <c r="AD155" i="14"/>
  <c r="S155" i="14"/>
  <c r="U155" i="14" s="1"/>
  <c r="K155" i="14" s="1"/>
  <c r="L155" i="14"/>
  <c r="M155" i="14" s="1"/>
  <c r="AN154" i="14"/>
  <c r="AH154" i="14"/>
  <c r="AD154" i="14"/>
  <c r="S154" i="14"/>
  <c r="U154" i="14" s="1"/>
  <c r="K154" i="14" s="1"/>
  <c r="L154" i="14"/>
  <c r="M154" i="14" s="1"/>
  <c r="AN153" i="14"/>
  <c r="AH153" i="14"/>
  <c r="AD153" i="14"/>
  <c r="AH163" i="14" l="1"/>
  <c r="AN165" i="14"/>
  <c r="AD163" i="14"/>
  <c r="T124" i="14"/>
  <c r="S142" i="14"/>
  <c r="U142" i="14" s="1"/>
  <c r="K142" i="14" s="1"/>
  <c r="L142" i="14"/>
  <c r="M142" i="14" s="1"/>
  <c r="S141" i="14"/>
  <c r="U141" i="14" s="1"/>
  <c r="K141" i="14" s="1"/>
  <c r="L141" i="14"/>
  <c r="M141" i="14" s="1"/>
  <c r="S140" i="14"/>
  <c r="U140" i="14" s="1"/>
  <c r="K140" i="14" s="1"/>
  <c r="L140" i="14"/>
  <c r="M140" i="14" s="1"/>
  <c r="S139" i="14"/>
  <c r="U139" i="14" s="1"/>
  <c r="K139" i="14" s="1"/>
  <c r="L139" i="14"/>
  <c r="M139" i="14" s="1"/>
  <c r="S138" i="14"/>
  <c r="U138" i="14" s="1"/>
  <c r="K138" i="14" s="1"/>
  <c r="L138" i="14"/>
  <c r="M138" i="14" s="1"/>
  <c r="S137" i="14"/>
  <c r="U137" i="14" s="1"/>
  <c r="K137" i="14" s="1"/>
  <c r="L137" i="14"/>
  <c r="M137" i="14" s="1"/>
  <c r="S136" i="14"/>
  <c r="U136" i="14" s="1"/>
  <c r="K136" i="14" s="1"/>
  <c r="L136" i="14"/>
  <c r="M136" i="14" s="1"/>
  <c r="AK135" i="14"/>
  <c r="S135" i="14"/>
  <c r="L135" i="14"/>
  <c r="M135" i="14" s="1"/>
  <c r="K135" i="14"/>
  <c r="S134" i="14"/>
  <c r="K134" i="14" s="1"/>
  <c r="L134" i="14"/>
  <c r="M134" i="14" s="1"/>
  <c r="S133" i="14"/>
  <c r="L133" i="14"/>
  <c r="M133" i="14" s="1"/>
  <c r="K133" i="14"/>
  <c r="S132" i="14"/>
  <c r="L132" i="14"/>
  <c r="M132" i="14" s="1"/>
  <c r="AN131" i="14"/>
  <c r="AH131" i="14"/>
  <c r="AD131" i="14"/>
  <c r="S131" i="14"/>
  <c r="L131" i="14"/>
  <c r="M131" i="14" s="1"/>
  <c r="AN130" i="14"/>
  <c r="AH130" i="14"/>
  <c r="AD130" i="14"/>
  <c r="S130" i="14"/>
  <c r="U130" i="14" s="1"/>
  <c r="L130" i="14"/>
  <c r="M130" i="14" s="1"/>
  <c r="AN129" i="14"/>
  <c r="AH129" i="14"/>
  <c r="AD129" i="14"/>
  <c r="S129" i="14"/>
  <c r="U129" i="14" s="1"/>
  <c r="L129" i="14"/>
  <c r="M129" i="14" s="1"/>
  <c r="AN128" i="14"/>
  <c r="AH128" i="14"/>
  <c r="AD128" i="14"/>
  <c r="S128" i="14"/>
  <c r="U128" i="14" s="1"/>
  <c r="L128" i="14"/>
  <c r="M128" i="14" s="1"/>
  <c r="AN127" i="14"/>
  <c r="AH127" i="14"/>
  <c r="AD127" i="14"/>
  <c r="S127" i="14"/>
  <c r="U127" i="14" s="1"/>
  <c r="L127" i="14"/>
  <c r="M127" i="14" s="1"/>
  <c r="AN126" i="14"/>
  <c r="AH126" i="14"/>
  <c r="AD126" i="14"/>
  <c r="S126" i="14"/>
  <c r="U126" i="14" s="1"/>
  <c r="K126" i="14" s="1"/>
  <c r="L126" i="14"/>
  <c r="M126" i="14" s="1"/>
  <c r="AN125" i="14"/>
  <c r="AH125" i="14"/>
  <c r="AD125" i="14"/>
  <c r="S125" i="14"/>
  <c r="U125" i="14" s="1"/>
  <c r="L125" i="14"/>
  <c r="M125" i="14" s="1"/>
  <c r="AN124" i="14"/>
  <c r="AH124" i="14"/>
  <c r="AD124" i="14"/>
  <c r="S124" i="14"/>
  <c r="L124" i="14"/>
  <c r="M124" i="14" s="1"/>
  <c r="AN123" i="14"/>
  <c r="AH123" i="14"/>
  <c r="AD123" i="14"/>
  <c r="AN135" i="14" l="1"/>
  <c r="AH133" i="14"/>
  <c r="U124" i="14"/>
  <c r="AD133" i="14"/>
  <c r="S111" i="14"/>
  <c r="U111" i="14" s="1"/>
  <c r="L111" i="14"/>
  <c r="M111" i="14" s="1"/>
  <c r="S110" i="14"/>
  <c r="U110" i="14" s="1"/>
  <c r="L110" i="14"/>
  <c r="M110" i="14" s="1"/>
  <c r="S109" i="14"/>
  <c r="U109" i="14" s="1"/>
  <c r="L109" i="14"/>
  <c r="M109" i="14" s="1"/>
  <c r="S108" i="14"/>
  <c r="U108" i="14" s="1"/>
  <c r="L108" i="14"/>
  <c r="M108" i="14" s="1"/>
  <c r="S107" i="14"/>
  <c r="U107" i="14" s="1"/>
  <c r="L107" i="14"/>
  <c r="M107" i="14" s="1"/>
  <c r="S106" i="14"/>
  <c r="U106" i="14" s="1"/>
  <c r="L106" i="14"/>
  <c r="M106" i="14" s="1"/>
  <c r="S105" i="14"/>
  <c r="U105" i="14" s="1"/>
  <c r="L105" i="14"/>
  <c r="M105" i="14" s="1"/>
  <c r="AK104" i="14"/>
  <c r="S104" i="14"/>
  <c r="U104" i="14" s="1"/>
  <c r="L104" i="14"/>
  <c r="M104" i="14" s="1"/>
  <c r="S103" i="14"/>
  <c r="U103" i="14" s="1"/>
  <c r="L103" i="14"/>
  <c r="M103" i="14" s="1"/>
  <c r="S102" i="14"/>
  <c r="U102" i="14" s="1"/>
  <c r="L102" i="14"/>
  <c r="M102" i="14" s="1"/>
  <c r="S101" i="14"/>
  <c r="U101" i="14" s="1"/>
  <c r="L101" i="14"/>
  <c r="M101" i="14" s="1"/>
  <c r="AN100" i="14"/>
  <c r="AH100" i="14"/>
  <c r="AD100" i="14"/>
  <c r="S100" i="14"/>
  <c r="U100" i="14" s="1"/>
  <c r="L100" i="14"/>
  <c r="M100" i="14" s="1"/>
  <c r="AN99" i="14"/>
  <c r="AH99" i="14"/>
  <c r="AD99" i="14"/>
  <c r="S99" i="14"/>
  <c r="U99" i="14" s="1"/>
  <c r="L99" i="14"/>
  <c r="M99" i="14" s="1"/>
  <c r="AN98" i="14"/>
  <c r="AH98" i="14"/>
  <c r="AD98" i="14"/>
  <c r="S98" i="14"/>
  <c r="U98" i="14" s="1"/>
  <c r="L98" i="14"/>
  <c r="M98" i="14" s="1"/>
  <c r="AN97" i="14"/>
  <c r="AH97" i="14"/>
  <c r="AD97" i="14"/>
  <c r="S97" i="14"/>
  <c r="U97" i="14" s="1"/>
  <c r="L97" i="14"/>
  <c r="M97" i="14" s="1"/>
  <c r="AN96" i="14"/>
  <c r="AH96" i="14"/>
  <c r="AD96" i="14"/>
  <c r="S96" i="14"/>
  <c r="U96" i="14" s="1"/>
  <c r="L96" i="14"/>
  <c r="M96" i="14" s="1"/>
  <c r="AN95" i="14"/>
  <c r="AH95" i="14"/>
  <c r="AD95" i="14"/>
  <c r="S95" i="14"/>
  <c r="U95" i="14" s="1"/>
  <c r="L95" i="14"/>
  <c r="M95" i="14" s="1"/>
  <c r="AN94" i="14"/>
  <c r="AH94" i="14"/>
  <c r="AD94" i="14"/>
  <c r="S94" i="14"/>
  <c r="U94" i="14" s="1"/>
  <c r="L94" i="14"/>
  <c r="M94" i="14" s="1"/>
  <c r="AN93" i="14"/>
  <c r="AH93" i="14"/>
  <c r="AD93" i="14"/>
  <c r="S93" i="14"/>
  <c r="U93" i="14" s="1"/>
  <c r="L93" i="14"/>
  <c r="M93" i="14" s="1"/>
  <c r="AN92" i="14"/>
  <c r="AH92" i="14"/>
  <c r="AD92" i="14"/>
  <c r="AN104" i="14" l="1"/>
  <c r="AH102" i="14"/>
  <c r="AD102" i="14"/>
  <c r="L80" i="14"/>
  <c r="M80" i="14" s="1"/>
  <c r="S80" i="14"/>
  <c r="U80" i="14" s="1"/>
  <c r="S83" i="14"/>
  <c r="U83" i="14" s="1"/>
  <c r="K83" i="14" s="1"/>
  <c r="L83" i="14"/>
  <c r="M83" i="14" s="1"/>
  <c r="S79" i="14"/>
  <c r="U79" i="14" s="1"/>
  <c r="L79" i="14"/>
  <c r="M79" i="14" s="1"/>
  <c r="S78" i="14"/>
  <c r="U78" i="14" s="1"/>
  <c r="L78" i="14"/>
  <c r="M78" i="14" s="1"/>
  <c r="S77" i="14"/>
  <c r="U77" i="14" s="1"/>
  <c r="L77" i="14"/>
  <c r="M77" i="14" s="1"/>
  <c r="S76" i="14"/>
  <c r="U76" i="14" s="1"/>
  <c r="L76" i="14"/>
  <c r="M76" i="14" s="1"/>
  <c r="S75" i="14"/>
  <c r="U75" i="14" s="1"/>
  <c r="L75" i="14"/>
  <c r="M75" i="14" s="1"/>
  <c r="S74" i="14"/>
  <c r="U74" i="14" s="1"/>
  <c r="L74" i="14"/>
  <c r="M74" i="14" s="1"/>
  <c r="AK73" i="14"/>
  <c r="S73" i="14"/>
  <c r="U73" i="14" s="1"/>
  <c r="L73" i="14"/>
  <c r="M73" i="14" s="1"/>
  <c r="S72" i="14"/>
  <c r="U72" i="14" s="1"/>
  <c r="L72" i="14"/>
  <c r="M72" i="14" s="1"/>
  <c r="U71" i="14"/>
  <c r="L71" i="14"/>
  <c r="M71" i="14" s="1"/>
  <c r="S70" i="14"/>
  <c r="U70" i="14" s="1"/>
  <c r="L70" i="14"/>
  <c r="M70" i="14" s="1"/>
  <c r="AN69" i="14"/>
  <c r="AH69" i="14"/>
  <c r="AD69" i="14"/>
  <c r="S69" i="14"/>
  <c r="U69" i="14" s="1"/>
  <c r="L69" i="14"/>
  <c r="M69" i="14" s="1"/>
  <c r="AN68" i="14"/>
  <c r="AH68" i="14"/>
  <c r="AD68" i="14"/>
  <c r="S68" i="14"/>
  <c r="U68" i="14" s="1"/>
  <c r="L68" i="14"/>
  <c r="M68" i="14" s="1"/>
  <c r="AN67" i="14"/>
  <c r="AH67" i="14"/>
  <c r="AD67" i="14"/>
  <c r="S67" i="14"/>
  <c r="U67" i="14" s="1"/>
  <c r="K67" i="14" s="1"/>
  <c r="L67" i="14"/>
  <c r="M67" i="14" s="1"/>
  <c r="AN66" i="14"/>
  <c r="AH66" i="14"/>
  <c r="AD66" i="14"/>
  <c r="S66" i="14"/>
  <c r="U66" i="14" s="1"/>
  <c r="L66" i="14"/>
  <c r="M66" i="14" s="1"/>
  <c r="AN65" i="14"/>
  <c r="AH65" i="14"/>
  <c r="AD65" i="14"/>
  <c r="S65" i="14"/>
  <c r="U65" i="14" s="1"/>
  <c r="L65" i="14"/>
  <c r="M65" i="14" s="1"/>
  <c r="AN64" i="14"/>
  <c r="AH64" i="14"/>
  <c r="AD64" i="14"/>
  <c r="S64" i="14"/>
  <c r="U64" i="14" s="1"/>
  <c r="K64" i="14" s="1"/>
  <c r="L64" i="14"/>
  <c r="M64" i="14" s="1"/>
  <c r="AN63" i="14"/>
  <c r="AH63" i="14"/>
  <c r="AD63" i="14"/>
  <c r="S63" i="14"/>
  <c r="U63" i="14" s="1"/>
  <c r="L63" i="14"/>
  <c r="M63" i="14" s="1"/>
  <c r="AN62" i="14"/>
  <c r="AH62" i="14"/>
  <c r="AD62" i="14"/>
  <c r="S62" i="14"/>
  <c r="U62" i="14" s="1"/>
  <c r="L62" i="14"/>
  <c r="M62" i="14" s="1"/>
  <c r="AN61" i="14"/>
  <c r="AH61" i="14"/>
  <c r="AD61" i="14"/>
  <c r="AH71" i="14" l="1"/>
  <c r="AN73" i="14"/>
  <c r="AD71" i="14"/>
  <c r="M58" i="14"/>
  <c r="M59" i="14" s="1"/>
  <c r="S53" i="14" l="1"/>
  <c r="U53" i="14" s="1"/>
  <c r="K53" i="14" s="1"/>
  <c r="L53" i="14"/>
  <c r="M53" i="14" s="1"/>
  <c r="S52" i="14"/>
  <c r="U52" i="14" s="1"/>
  <c r="M52" i="14"/>
  <c r="S51" i="14"/>
  <c r="U51" i="14" s="1"/>
  <c r="K51" i="14" s="1"/>
  <c r="L51" i="14"/>
  <c r="M51" i="14" s="1"/>
  <c r="S50" i="14"/>
  <c r="U50" i="14" s="1"/>
  <c r="L50" i="14"/>
  <c r="M50" i="14" s="1"/>
  <c r="S49" i="14"/>
  <c r="U49" i="14" s="1"/>
  <c r="K49" i="14" s="1"/>
  <c r="L49" i="14"/>
  <c r="M49" i="14" s="1"/>
  <c r="S48" i="14"/>
  <c r="U48" i="14" s="1"/>
  <c r="L48" i="14"/>
  <c r="M48" i="14" s="1"/>
  <c r="S47" i="14"/>
  <c r="U47" i="14" s="1"/>
  <c r="K47" i="14" s="1"/>
  <c r="L47" i="14"/>
  <c r="M47" i="14" s="1"/>
  <c r="AK46" i="14"/>
  <c r="S46" i="14"/>
  <c r="U46" i="14" s="1"/>
  <c r="L46" i="14"/>
  <c r="M46" i="14" s="1"/>
  <c r="S45" i="14"/>
  <c r="U45" i="14" s="1"/>
  <c r="L45" i="14"/>
  <c r="M45" i="14" s="1"/>
  <c r="S44" i="14"/>
  <c r="U44" i="14" s="1"/>
  <c r="L44" i="14"/>
  <c r="S43" i="14"/>
  <c r="U43" i="14" s="1"/>
  <c r="L43" i="14"/>
  <c r="M43" i="14" s="1"/>
  <c r="AN42" i="14"/>
  <c r="AH42" i="14"/>
  <c r="AD42" i="14"/>
  <c r="S42" i="14"/>
  <c r="U42" i="14" s="1"/>
  <c r="L42" i="14"/>
  <c r="M42" i="14" s="1"/>
  <c r="AN41" i="14"/>
  <c r="AH41" i="14"/>
  <c r="AD41" i="14"/>
  <c r="S41" i="14"/>
  <c r="U41" i="14" s="1"/>
  <c r="L41" i="14"/>
  <c r="M41" i="14" s="1"/>
  <c r="AN40" i="14"/>
  <c r="AH40" i="14"/>
  <c r="AD40" i="14"/>
  <c r="S40" i="14"/>
  <c r="U40" i="14" s="1"/>
  <c r="L40" i="14"/>
  <c r="M40" i="14" s="1"/>
  <c r="AN39" i="14"/>
  <c r="AH39" i="14"/>
  <c r="AD39" i="14"/>
  <c r="S39" i="14"/>
  <c r="U39" i="14" s="1"/>
  <c r="L39" i="14"/>
  <c r="M39" i="14" s="1"/>
  <c r="AN38" i="14"/>
  <c r="AH38" i="14"/>
  <c r="AD38" i="14"/>
  <c r="S38" i="14"/>
  <c r="U38" i="14" s="1"/>
  <c r="L38" i="14"/>
  <c r="M38" i="14" s="1"/>
  <c r="AN37" i="14"/>
  <c r="AH37" i="14"/>
  <c r="AD37" i="14"/>
  <c r="S37" i="14"/>
  <c r="U37" i="14" s="1"/>
  <c r="L37" i="14"/>
  <c r="M37" i="14" s="1"/>
  <c r="AN36" i="14"/>
  <c r="AH36" i="14"/>
  <c r="AD36" i="14"/>
  <c r="S36" i="14"/>
  <c r="U36" i="14" s="1"/>
  <c r="K36" i="14" s="1"/>
  <c r="L36" i="14"/>
  <c r="M36" i="14" s="1"/>
  <c r="AN35" i="14"/>
  <c r="AH35" i="14"/>
  <c r="AD35" i="14"/>
  <c r="S35" i="14"/>
  <c r="U35" i="14" s="1"/>
  <c r="K35" i="14" s="1"/>
  <c r="L35" i="14"/>
  <c r="M35" i="14" s="1"/>
  <c r="AN34" i="14"/>
  <c r="AH34" i="14"/>
  <c r="AD34" i="14"/>
  <c r="AD44" i="14" l="1"/>
  <c r="AH44" i="14"/>
  <c r="AN46" i="14"/>
  <c r="AH26" i="14"/>
  <c r="S10" i="14"/>
  <c r="U10" i="14" s="1"/>
  <c r="K10" i="14" s="1"/>
  <c r="S23" i="14"/>
  <c r="U23" i="14" s="1"/>
  <c r="K23" i="14" s="1"/>
  <c r="L23" i="14"/>
  <c r="M23" i="14" s="1"/>
  <c r="S22" i="14"/>
  <c r="U22" i="14" s="1"/>
  <c r="K22" i="14" s="1"/>
  <c r="L22" i="14"/>
  <c r="M22" i="14" s="1"/>
  <c r="S21" i="14"/>
  <c r="U21" i="14" s="1"/>
  <c r="K21" i="14" s="1"/>
  <c r="L21" i="14"/>
  <c r="M21" i="14" s="1"/>
  <c r="S20" i="14"/>
  <c r="U20" i="14" s="1"/>
  <c r="L20" i="14"/>
  <c r="M20" i="14" s="1"/>
  <c r="S19" i="14"/>
  <c r="U19" i="14" s="1"/>
  <c r="K19" i="14" s="1"/>
  <c r="L19" i="14"/>
  <c r="M19" i="14" s="1"/>
  <c r="S18" i="14"/>
  <c r="U18" i="14" s="1"/>
  <c r="L18" i="14"/>
  <c r="S17" i="14"/>
  <c r="U17" i="14" s="1"/>
  <c r="L17" i="14"/>
  <c r="M17" i="14" s="1"/>
  <c r="AK16" i="14"/>
  <c r="S16" i="14"/>
  <c r="U16" i="14" s="1"/>
  <c r="L16" i="14"/>
  <c r="M16" i="14" s="1"/>
  <c r="S15" i="14"/>
  <c r="U15" i="14" s="1"/>
  <c r="K15" i="14" s="1"/>
  <c r="L15" i="14"/>
  <c r="M15" i="14" s="1"/>
  <c r="S14" i="14"/>
  <c r="U14" i="14" s="1"/>
  <c r="K14" i="14" s="1"/>
  <c r="L14" i="14"/>
  <c r="M14" i="14" s="1"/>
  <c r="S13" i="14"/>
  <c r="U13" i="14" s="1"/>
  <c r="L13" i="14"/>
  <c r="M13" i="14" s="1"/>
  <c r="AN12" i="14"/>
  <c r="AH12" i="14"/>
  <c r="AD12" i="14"/>
  <c r="S12" i="14"/>
  <c r="U12" i="14" s="1"/>
  <c r="K12" i="14" s="1"/>
  <c r="L12" i="14"/>
  <c r="M12" i="14" s="1"/>
  <c r="AN11" i="14"/>
  <c r="AH11" i="14"/>
  <c r="AD11" i="14"/>
  <c r="S11" i="14"/>
  <c r="U11" i="14" s="1"/>
  <c r="K11" i="14" s="1"/>
  <c r="L11" i="14"/>
  <c r="M11" i="14" s="1"/>
  <c r="AN10" i="14"/>
  <c r="AH10" i="14"/>
  <c r="AD10" i="14"/>
  <c r="L10" i="14"/>
  <c r="M10" i="14" s="1"/>
  <c r="AN9" i="14"/>
  <c r="AH9" i="14"/>
  <c r="AD9" i="14"/>
  <c r="S9" i="14"/>
  <c r="U9" i="14" s="1"/>
  <c r="K9" i="14" s="1"/>
  <c r="L9" i="14"/>
  <c r="M9" i="14" s="1"/>
  <c r="AN8" i="14"/>
  <c r="AH8" i="14"/>
  <c r="AD8" i="14"/>
  <c r="S8" i="14"/>
  <c r="U8" i="14" s="1"/>
  <c r="K8" i="14" s="1"/>
  <c r="L8" i="14"/>
  <c r="M8" i="14" s="1"/>
  <c r="AN7" i="14"/>
  <c r="AH7" i="14"/>
  <c r="AD7" i="14"/>
  <c r="S7" i="14"/>
  <c r="U7" i="14" s="1"/>
  <c r="K7" i="14" s="1"/>
  <c r="L7" i="14"/>
  <c r="M7" i="14" s="1"/>
  <c r="AN6" i="14"/>
  <c r="AH6" i="14"/>
  <c r="AD6" i="14"/>
  <c r="S6" i="14"/>
  <c r="U6" i="14" s="1"/>
  <c r="K6" i="14" s="1"/>
  <c r="L6" i="14"/>
  <c r="M6" i="14" s="1"/>
  <c r="AN5" i="14"/>
  <c r="AH5" i="14"/>
  <c r="AD5" i="14"/>
  <c r="S5" i="14"/>
  <c r="U5" i="14" s="1"/>
  <c r="K5" i="14" s="1"/>
  <c r="L5" i="14"/>
  <c r="M5" i="14" s="1"/>
  <c r="AN4" i="14"/>
  <c r="AH4" i="14"/>
  <c r="AD4" i="14"/>
  <c r="AN16" i="14" l="1"/>
  <c r="AH14" i="14"/>
  <c r="AD14" i="14"/>
  <c r="N196" i="13"/>
  <c r="F196" i="13"/>
  <c r="B202" i="13"/>
  <c r="S190" i="13"/>
  <c r="U190" i="13" s="1"/>
  <c r="K190" i="13" s="1"/>
  <c r="L190" i="13"/>
  <c r="M190" i="13" s="1"/>
  <c r="S189" i="13"/>
  <c r="U189" i="13" s="1"/>
  <c r="K189" i="13" s="1"/>
  <c r="L189" i="13"/>
  <c r="M189" i="13" s="1"/>
  <c r="S188" i="13"/>
  <c r="U188" i="13" s="1"/>
  <c r="K188" i="13" s="1"/>
  <c r="L188" i="13"/>
  <c r="M188" i="13" s="1"/>
  <c r="U187" i="13"/>
  <c r="S187" i="13"/>
  <c r="M187" i="13"/>
  <c r="L187" i="13"/>
  <c r="K187" i="13"/>
  <c r="S186" i="13"/>
  <c r="U186" i="13" s="1"/>
  <c r="K186" i="13" s="1"/>
  <c r="L186" i="13"/>
  <c r="M186" i="13" s="1"/>
  <c r="S185" i="13"/>
  <c r="U185" i="13" s="1"/>
  <c r="K185" i="13" s="1"/>
  <c r="L185" i="13"/>
  <c r="M185" i="13" s="1"/>
  <c r="S184" i="13"/>
  <c r="U184" i="13" s="1"/>
  <c r="K184" i="13" s="1"/>
  <c r="L184" i="13"/>
  <c r="M184" i="13" s="1"/>
  <c r="AK183" i="13"/>
  <c r="S183" i="13"/>
  <c r="U183" i="13" s="1"/>
  <c r="K183" i="13" s="1"/>
  <c r="L183" i="13"/>
  <c r="M183" i="13" s="1"/>
  <c r="S182" i="13"/>
  <c r="U182" i="13" s="1"/>
  <c r="K182" i="13" s="1"/>
  <c r="L182" i="13"/>
  <c r="M182" i="13" s="1"/>
  <c r="S181" i="13"/>
  <c r="U181" i="13" s="1"/>
  <c r="K181" i="13" s="1"/>
  <c r="L181" i="13"/>
  <c r="M181" i="13" s="1"/>
  <c r="S180" i="13"/>
  <c r="U180" i="13" s="1"/>
  <c r="L180" i="13"/>
  <c r="M180" i="13" s="1"/>
  <c r="AN179" i="13"/>
  <c r="AH179" i="13"/>
  <c r="AD179" i="13"/>
  <c r="S179" i="13"/>
  <c r="U179" i="13" s="1"/>
  <c r="L179" i="13"/>
  <c r="M179" i="13" s="1"/>
  <c r="AN178" i="13"/>
  <c r="AH178" i="13"/>
  <c r="AD178" i="13"/>
  <c r="S178" i="13"/>
  <c r="U178" i="13" s="1"/>
  <c r="K178" i="13" s="1"/>
  <c r="L178" i="13"/>
  <c r="M178" i="13" s="1"/>
  <c r="AN177" i="13"/>
  <c r="AH177" i="13"/>
  <c r="AD177" i="13"/>
  <c r="S177" i="13"/>
  <c r="U177" i="13" s="1"/>
  <c r="K177" i="13" s="1"/>
  <c r="L177" i="13"/>
  <c r="M177" i="13" s="1"/>
  <c r="AN176" i="13"/>
  <c r="AH176" i="13"/>
  <c r="AD176" i="13"/>
  <c r="S176" i="13"/>
  <c r="U176" i="13" s="1"/>
  <c r="L176" i="13"/>
  <c r="M176" i="13" s="1"/>
  <c r="AN175" i="13"/>
  <c r="AH175" i="13"/>
  <c r="AD175" i="13"/>
  <c r="S175" i="13"/>
  <c r="U175" i="13" s="1"/>
  <c r="L175" i="13"/>
  <c r="M175" i="13" s="1"/>
  <c r="AN174" i="13"/>
  <c r="AH174" i="13"/>
  <c r="AD174" i="13"/>
  <c r="S174" i="13"/>
  <c r="U174" i="13" s="1"/>
  <c r="K174" i="13" s="1"/>
  <c r="L174" i="13"/>
  <c r="M174" i="13" s="1"/>
  <c r="AN173" i="13"/>
  <c r="AH173" i="13"/>
  <c r="AD173" i="13"/>
  <c r="S173" i="13"/>
  <c r="U173" i="13" s="1"/>
  <c r="K173" i="13" s="1"/>
  <c r="L173" i="13"/>
  <c r="M173" i="13" s="1"/>
  <c r="AN172" i="13"/>
  <c r="AH172" i="13"/>
  <c r="AD172" i="13"/>
  <c r="S172" i="13"/>
  <c r="U172" i="13" s="1"/>
  <c r="K172" i="13" s="1"/>
  <c r="L172" i="13"/>
  <c r="M172" i="13" s="1"/>
  <c r="AN171" i="13"/>
  <c r="AH171" i="13"/>
  <c r="AD171" i="13"/>
  <c r="AN183" i="13" l="1"/>
  <c r="AH181" i="13"/>
  <c r="AD181" i="13"/>
  <c r="J163" i="13"/>
  <c r="H163" i="13"/>
  <c r="U148" i="13"/>
  <c r="U150" i="13"/>
  <c r="K150" i="13" s="1"/>
  <c r="S138" i="13"/>
  <c r="S159" i="13"/>
  <c r="U159" i="13" s="1"/>
  <c r="L159" i="13"/>
  <c r="M159" i="13" s="1"/>
  <c r="S158" i="13"/>
  <c r="U158" i="13" s="1"/>
  <c r="L158" i="13"/>
  <c r="M158" i="13" s="1"/>
  <c r="S157" i="13"/>
  <c r="U157" i="13" s="1"/>
  <c r="L157" i="13"/>
  <c r="M157" i="13" s="1"/>
  <c r="S156" i="13"/>
  <c r="U156" i="13" s="1"/>
  <c r="K156" i="13" s="1"/>
  <c r="L156" i="13"/>
  <c r="M156" i="13" s="1"/>
  <c r="S155" i="13"/>
  <c r="U155" i="13" s="1"/>
  <c r="K155" i="13" s="1"/>
  <c r="L155" i="13"/>
  <c r="M155" i="13" s="1"/>
  <c r="U154" i="13"/>
  <c r="K154" i="13" s="1"/>
  <c r="S154" i="13"/>
  <c r="M154" i="13"/>
  <c r="L154" i="13"/>
  <c r="S153" i="13"/>
  <c r="U153" i="13" s="1"/>
  <c r="K153" i="13" s="1"/>
  <c r="L153" i="13"/>
  <c r="M153" i="13" s="1"/>
  <c r="AK152" i="13"/>
  <c r="S152" i="13"/>
  <c r="U152" i="13" s="1"/>
  <c r="K152" i="13" s="1"/>
  <c r="L152" i="13"/>
  <c r="M152" i="13" s="1"/>
  <c r="S151" i="13"/>
  <c r="L151" i="13"/>
  <c r="M151" i="13" s="1"/>
  <c r="S150" i="13"/>
  <c r="M150" i="13"/>
  <c r="L150" i="13"/>
  <c r="S149" i="13"/>
  <c r="L149" i="13"/>
  <c r="M149" i="13" s="1"/>
  <c r="AN148" i="13"/>
  <c r="AH148" i="13"/>
  <c r="AD148" i="13"/>
  <c r="S148" i="13"/>
  <c r="L148" i="13"/>
  <c r="M148" i="13" s="1"/>
  <c r="AN147" i="13"/>
  <c r="AH147" i="13"/>
  <c r="AD147" i="13"/>
  <c r="S147" i="13"/>
  <c r="L147" i="13"/>
  <c r="M147" i="13" s="1"/>
  <c r="AN146" i="13"/>
  <c r="AH146" i="13"/>
  <c r="AD146" i="13"/>
  <c r="S146" i="13"/>
  <c r="U146" i="13" s="1"/>
  <c r="L146" i="13"/>
  <c r="M146" i="13" s="1"/>
  <c r="AN145" i="13"/>
  <c r="AH145" i="13"/>
  <c r="AD145" i="13"/>
  <c r="S145" i="13"/>
  <c r="U145" i="13" s="1"/>
  <c r="L145" i="13"/>
  <c r="M145" i="13" s="1"/>
  <c r="AN144" i="13"/>
  <c r="AH144" i="13"/>
  <c r="AD144" i="13"/>
  <c r="S144" i="13"/>
  <c r="U144" i="13" s="1"/>
  <c r="K144" i="13" s="1"/>
  <c r="L144" i="13"/>
  <c r="M144" i="13" s="1"/>
  <c r="AN143" i="13"/>
  <c r="AH143" i="13"/>
  <c r="AD143" i="13"/>
  <c r="S143" i="13"/>
  <c r="U143" i="13" s="1"/>
  <c r="K143" i="13" s="1"/>
  <c r="L143" i="13"/>
  <c r="M143" i="13" s="1"/>
  <c r="AN142" i="13"/>
  <c r="AH142" i="13"/>
  <c r="AD142" i="13"/>
  <c r="S142" i="13"/>
  <c r="U142" i="13" s="1"/>
  <c r="K142" i="13" s="1"/>
  <c r="L142" i="13"/>
  <c r="M142" i="13" s="1"/>
  <c r="AN141" i="13"/>
  <c r="AH141" i="13"/>
  <c r="AD141" i="13"/>
  <c r="S141" i="13"/>
  <c r="U141" i="13" s="1"/>
  <c r="K141" i="13" s="1"/>
  <c r="L141" i="13"/>
  <c r="M141" i="13" s="1"/>
  <c r="AN140" i="13"/>
  <c r="AH140" i="13"/>
  <c r="AD140" i="13"/>
  <c r="AN152" i="13" l="1"/>
  <c r="U151" i="13"/>
  <c r="K151" i="13" s="1"/>
  <c r="U149" i="13"/>
  <c r="K149" i="13" s="1"/>
  <c r="U147" i="13"/>
  <c r="K147" i="13" s="1"/>
  <c r="AH150" i="13"/>
  <c r="K148" i="13"/>
  <c r="AD150" i="13"/>
  <c r="U135" i="13"/>
  <c r="S135" i="13"/>
  <c r="M135" i="13"/>
  <c r="L135" i="13"/>
  <c r="K135" i="13"/>
  <c r="S134" i="13"/>
  <c r="U134" i="13" s="1"/>
  <c r="K134" i="13" s="1"/>
  <c r="L134" i="13"/>
  <c r="M134" i="13" s="1"/>
  <c r="S133" i="13"/>
  <c r="U133" i="13" s="1"/>
  <c r="K133" i="13" s="1"/>
  <c r="L133" i="13"/>
  <c r="M133" i="13" s="1"/>
  <c r="S132" i="13"/>
  <c r="U132" i="13" s="1"/>
  <c r="K132" i="13" s="1"/>
  <c r="L132" i="13"/>
  <c r="M132" i="13" s="1"/>
  <c r="U131" i="13"/>
  <c r="S131" i="13"/>
  <c r="M131" i="13"/>
  <c r="L131" i="13"/>
  <c r="K131" i="13"/>
  <c r="S130" i="13"/>
  <c r="U130" i="13" s="1"/>
  <c r="K130" i="13" s="1"/>
  <c r="L130" i="13"/>
  <c r="M130" i="13" s="1"/>
  <c r="S129" i="13"/>
  <c r="U129" i="13" s="1"/>
  <c r="K129" i="13" s="1"/>
  <c r="L129" i="13"/>
  <c r="M129" i="13" s="1"/>
  <c r="AK128" i="13"/>
  <c r="S128" i="13"/>
  <c r="U128" i="13" s="1"/>
  <c r="K128" i="13" s="1"/>
  <c r="L128" i="13"/>
  <c r="M128" i="13" s="1"/>
  <c r="S127" i="13"/>
  <c r="U127" i="13" s="1"/>
  <c r="L127" i="13"/>
  <c r="M127" i="13" s="1"/>
  <c r="S126" i="13"/>
  <c r="U126" i="13" s="1"/>
  <c r="L126" i="13"/>
  <c r="M126" i="13" s="1"/>
  <c r="S125" i="13"/>
  <c r="U125" i="13" s="1"/>
  <c r="L125" i="13"/>
  <c r="M125" i="13" s="1"/>
  <c r="AN124" i="13"/>
  <c r="AH124" i="13"/>
  <c r="AD124" i="13"/>
  <c r="S124" i="13"/>
  <c r="U124" i="13" s="1"/>
  <c r="L124" i="13"/>
  <c r="M124" i="13" s="1"/>
  <c r="AN123" i="13"/>
  <c r="AH123" i="13"/>
  <c r="AD123" i="13"/>
  <c r="S123" i="13"/>
  <c r="U123" i="13" s="1"/>
  <c r="L123" i="13"/>
  <c r="M123" i="13" s="1"/>
  <c r="AN122" i="13"/>
  <c r="AH122" i="13"/>
  <c r="AD122" i="13"/>
  <c r="S122" i="13"/>
  <c r="U122" i="13" s="1"/>
  <c r="L122" i="13"/>
  <c r="M122" i="13" s="1"/>
  <c r="AN121" i="13"/>
  <c r="AH121" i="13"/>
  <c r="AD121" i="13"/>
  <c r="S121" i="13"/>
  <c r="U121" i="13" s="1"/>
  <c r="L121" i="13"/>
  <c r="M121" i="13" s="1"/>
  <c r="AN120" i="13"/>
  <c r="AH120" i="13"/>
  <c r="AD120" i="13"/>
  <c r="S120" i="13"/>
  <c r="U120" i="13" s="1"/>
  <c r="L120" i="13"/>
  <c r="M120" i="13" s="1"/>
  <c r="AN119" i="13"/>
  <c r="AH119" i="13"/>
  <c r="AD119" i="13"/>
  <c r="S119" i="13"/>
  <c r="U119" i="13" s="1"/>
  <c r="L119" i="13"/>
  <c r="M119" i="13" s="1"/>
  <c r="AN118" i="13"/>
  <c r="AH118" i="13"/>
  <c r="AD118" i="13"/>
  <c r="S118" i="13"/>
  <c r="U118" i="13" s="1"/>
  <c r="L118" i="13"/>
  <c r="M118" i="13" s="1"/>
  <c r="AN117" i="13"/>
  <c r="AN128" i="13" s="1"/>
  <c r="AH117" i="13"/>
  <c r="AD117" i="13"/>
  <c r="S117" i="13"/>
  <c r="U117" i="13" s="1"/>
  <c r="L117" i="13"/>
  <c r="M117" i="13" s="1"/>
  <c r="AN116" i="13"/>
  <c r="AH116" i="13"/>
  <c r="AD116" i="13"/>
  <c r="AH126" i="13" l="1"/>
  <c r="AD126" i="13"/>
  <c r="T91" i="13"/>
  <c r="S108" i="13"/>
  <c r="U108" i="13" s="1"/>
  <c r="K108" i="13" s="1"/>
  <c r="L108" i="13"/>
  <c r="M108" i="13" s="1"/>
  <c r="S107" i="13"/>
  <c r="U107" i="13" s="1"/>
  <c r="K107" i="13" s="1"/>
  <c r="L107" i="13"/>
  <c r="M107" i="13" s="1"/>
  <c r="U106" i="13"/>
  <c r="S106" i="13"/>
  <c r="M106" i="13"/>
  <c r="L106" i="13"/>
  <c r="K106" i="13"/>
  <c r="S105" i="13"/>
  <c r="U105" i="13" s="1"/>
  <c r="K105" i="13" s="1"/>
  <c r="L105" i="13"/>
  <c r="M105" i="13" s="1"/>
  <c r="S104" i="13"/>
  <c r="U104" i="13" s="1"/>
  <c r="K104" i="13" s="1"/>
  <c r="L104" i="13"/>
  <c r="M104" i="13" s="1"/>
  <c r="S103" i="13"/>
  <c r="U103" i="13" s="1"/>
  <c r="L103" i="13"/>
  <c r="M103" i="13" s="1"/>
  <c r="U102" i="13"/>
  <c r="S102" i="13"/>
  <c r="M102" i="13"/>
  <c r="L102" i="13"/>
  <c r="AK101" i="13"/>
  <c r="S101" i="13"/>
  <c r="U101" i="13" s="1"/>
  <c r="K101" i="13" s="1"/>
  <c r="L101" i="13"/>
  <c r="M101" i="13" s="1"/>
  <c r="S100" i="13"/>
  <c r="U100" i="13" s="1"/>
  <c r="K100" i="13" s="1"/>
  <c r="L100" i="13"/>
  <c r="M100" i="13" s="1"/>
  <c r="S99" i="13"/>
  <c r="U99" i="13" s="1"/>
  <c r="L99" i="13"/>
  <c r="M99" i="13" s="1"/>
  <c r="S98" i="13"/>
  <c r="U98" i="13" s="1"/>
  <c r="L98" i="13"/>
  <c r="M98" i="13" s="1"/>
  <c r="AN97" i="13"/>
  <c r="AH97" i="13"/>
  <c r="AD97" i="13"/>
  <c r="S97" i="13"/>
  <c r="U97" i="13" s="1"/>
  <c r="L97" i="13"/>
  <c r="M97" i="13" s="1"/>
  <c r="AN96" i="13"/>
  <c r="AH96" i="13"/>
  <c r="AD96" i="13"/>
  <c r="S96" i="13"/>
  <c r="U96" i="13" s="1"/>
  <c r="L96" i="13"/>
  <c r="M96" i="13" s="1"/>
  <c r="AN95" i="13"/>
  <c r="AH95" i="13"/>
  <c r="AD95" i="13"/>
  <c r="S95" i="13"/>
  <c r="U95" i="13" s="1"/>
  <c r="L95" i="13"/>
  <c r="M95" i="13" s="1"/>
  <c r="AN94" i="13"/>
  <c r="AH94" i="13"/>
  <c r="AD94" i="13"/>
  <c r="S94" i="13"/>
  <c r="U94" i="13" s="1"/>
  <c r="L94" i="13"/>
  <c r="M94" i="13" s="1"/>
  <c r="AN93" i="13"/>
  <c r="AH93" i="13"/>
  <c r="AD93" i="13"/>
  <c r="S93" i="13"/>
  <c r="U93" i="13" s="1"/>
  <c r="L93" i="13"/>
  <c r="M93" i="13" s="1"/>
  <c r="AN92" i="13"/>
  <c r="AH92" i="13"/>
  <c r="AD92" i="13"/>
  <c r="S92" i="13"/>
  <c r="U92" i="13" s="1"/>
  <c r="L92" i="13"/>
  <c r="M92" i="13" s="1"/>
  <c r="AN91" i="13"/>
  <c r="AH91" i="13"/>
  <c r="AD91" i="13"/>
  <c r="S91" i="13"/>
  <c r="U91" i="13" s="1"/>
  <c r="K91" i="13" s="1"/>
  <c r="L91" i="13"/>
  <c r="M91" i="13" s="1"/>
  <c r="AN90" i="13"/>
  <c r="AN101" i="13" s="1"/>
  <c r="AH90" i="13"/>
  <c r="AD90" i="13"/>
  <c r="S90" i="13"/>
  <c r="U90" i="13" s="1"/>
  <c r="L90" i="13"/>
  <c r="M90" i="13" s="1"/>
  <c r="AN89" i="13"/>
  <c r="AH89" i="13"/>
  <c r="AD89" i="13"/>
  <c r="AH99" i="13" l="1"/>
  <c r="AD99" i="13"/>
  <c r="S80" i="13"/>
  <c r="U80" i="13" s="1"/>
  <c r="K80" i="13" s="1"/>
  <c r="L80" i="13"/>
  <c r="M80" i="13" s="1"/>
  <c r="S79" i="13"/>
  <c r="U79" i="13" s="1"/>
  <c r="K79" i="13" s="1"/>
  <c r="L79" i="13"/>
  <c r="M79" i="13" s="1"/>
  <c r="U78" i="13"/>
  <c r="S78" i="13"/>
  <c r="M78" i="13"/>
  <c r="L78" i="13"/>
  <c r="K78" i="13"/>
  <c r="S77" i="13"/>
  <c r="U77" i="13" s="1"/>
  <c r="K77" i="13" s="1"/>
  <c r="L77" i="13"/>
  <c r="M77" i="13" s="1"/>
  <c r="S76" i="13"/>
  <c r="U76" i="13" s="1"/>
  <c r="K76" i="13" s="1"/>
  <c r="L76" i="13"/>
  <c r="M76" i="13" s="1"/>
  <c r="S81" i="13"/>
  <c r="U81" i="13" s="1"/>
  <c r="K81" i="13" s="1"/>
  <c r="L81" i="13"/>
  <c r="M81" i="13" s="1"/>
  <c r="S75" i="13"/>
  <c r="U75" i="13" s="1"/>
  <c r="K75" i="13" s="1"/>
  <c r="L75" i="13"/>
  <c r="M75" i="13" s="1"/>
  <c r="S74" i="13"/>
  <c r="U74" i="13" s="1"/>
  <c r="K74" i="13" s="1"/>
  <c r="L74" i="13"/>
  <c r="M74" i="13" s="1"/>
  <c r="S73" i="13"/>
  <c r="U73" i="13" s="1"/>
  <c r="K73" i="13" s="1"/>
  <c r="L73" i="13"/>
  <c r="M73" i="13" s="1"/>
  <c r="S72" i="13"/>
  <c r="U72" i="13" s="1"/>
  <c r="K72" i="13" s="1"/>
  <c r="L72" i="13"/>
  <c r="M72" i="13" s="1"/>
  <c r="S71" i="13"/>
  <c r="U71" i="13" s="1"/>
  <c r="L71" i="13"/>
  <c r="M71" i="13" s="1"/>
  <c r="S70" i="13"/>
  <c r="U70" i="13" s="1"/>
  <c r="K70" i="13" s="1"/>
  <c r="L70" i="13"/>
  <c r="M70" i="13" s="1"/>
  <c r="AK69" i="13"/>
  <c r="S69" i="13"/>
  <c r="U69" i="13" s="1"/>
  <c r="K69" i="13" s="1"/>
  <c r="L69" i="13"/>
  <c r="M69" i="13" s="1"/>
  <c r="S68" i="13"/>
  <c r="U68" i="13" s="1"/>
  <c r="L68" i="13"/>
  <c r="M68" i="13" s="1"/>
  <c r="S67" i="13"/>
  <c r="U67" i="13" s="1"/>
  <c r="K67" i="13" s="1"/>
  <c r="L67" i="13"/>
  <c r="M67" i="13" s="1"/>
  <c r="S66" i="13"/>
  <c r="U66" i="13" s="1"/>
  <c r="K66" i="13" s="1"/>
  <c r="L66" i="13"/>
  <c r="M66" i="13" s="1"/>
  <c r="AN65" i="13"/>
  <c r="AH65" i="13"/>
  <c r="AD65" i="13"/>
  <c r="S65" i="13"/>
  <c r="U65" i="13" s="1"/>
  <c r="K65" i="13" s="1"/>
  <c r="L65" i="13"/>
  <c r="M65" i="13" s="1"/>
  <c r="AN64" i="13"/>
  <c r="AH64" i="13"/>
  <c r="AD64" i="13"/>
  <c r="S64" i="13"/>
  <c r="U64" i="13" s="1"/>
  <c r="K64" i="13" s="1"/>
  <c r="L64" i="13"/>
  <c r="M64" i="13" s="1"/>
  <c r="AN63" i="13"/>
  <c r="AH63" i="13"/>
  <c r="AD63" i="13"/>
  <c r="U63" i="13"/>
  <c r="K63" i="13" s="1"/>
  <c r="S63" i="13"/>
  <c r="L63" i="13"/>
  <c r="M63" i="13" s="1"/>
  <c r="AN62" i="13"/>
  <c r="AH62" i="13"/>
  <c r="AD62" i="13"/>
  <c r="U62" i="13"/>
  <c r="K62" i="13" s="1"/>
  <c r="S62" i="13"/>
  <c r="M62" i="13"/>
  <c r="L62" i="13"/>
  <c r="AN61" i="13"/>
  <c r="AH61" i="13"/>
  <c r="AD61" i="13"/>
  <c r="S61" i="13"/>
  <c r="U61" i="13" s="1"/>
  <c r="K61" i="13" s="1"/>
  <c r="L61" i="13"/>
  <c r="M61" i="13" s="1"/>
  <c r="AN60" i="13"/>
  <c r="AH60" i="13"/>
  <c r="AD60" i="13"/>
  <c r="S60" i="13"/>
  <c r="U60" i="13" s="1"/>
  <c r="K60" i="13" s="1"/>
  <c r="L60" i="13"/>
  <c r="M60" i="13" s="1"/>
  <c r="AN59" i="13"/>
  <c r="AH59" i="13"/>
  <c r="AD59" i="13"/>
  <c r="S59" i="13"/>
  <c r="U59" i="13" s="1"/>
  <c r="K59" i="13" s="1"/>
  <c r="L59" i="13"/>
  <c r="M59" i="13" s="1"/>
  <c r="AN58" i="13"/>
  <c r="AN69" i="13" s="1"/>
  <c r="AH58" i="13"/>
  <c r="AD58" i="13"/>
  <c r="S58" i="13"/>
  <c r="U58" i="13" s="1"/>
  <c r="K58" i="13" s="1"/>
  <c r="L58" i="13"/>
  <c r="M58" i="13" s="1"/>
  <c r="AN57" i="13"/>
  <c r="AH57" i="13"/>
  <c r="AD57" i="13"/>
  <c r="AH67" i="13" l="1"/>
  <c r="AD67" i="13"/>
  <c r="N18" i="1"/>
  <c r="S46" i="13" l="1"/>
  <c r="U46" i="13" s="1"/>
  <c r="K46" i="13" s="1"/>
  <c r="L46" i="13"/>
  <c r="M46" i="13" s="1"/>
  <c r="S45" i="13"/>
  <c r="U45" i="13" s="1"/>
  <c r="K45" i="13" s="1"/>
  <c r="L45" i="13"/>
  <c r="M45" i="13" s="1"/>
  <c r="S44" i="13"/>
  <c r="U44" i="13" s="1"/>
  <c r="K44" i="13" s="1"/>
  <c r="L44" i="13"/>
  <c r="M44" i="13" s="1"/>
  <c r="S43" i="13"/>
  <c r="U43" i="13" s="1"/>
  <c r="K43" i="13" s="1"/>
  <c r="L43" i="13"/>
  <c r="M43" i="13" s="1"/>
  <c r="S42" i="13"/>
  <c r="U42" i="13" s="1"/>
  <c r="K42" i="13" s="1"/>
  <c r="L42" i="13"/>
  <c r="M42" i="13" s="1"/>
  <c r="S41" i="13"/>
  <c r="U41" i="13" s="1"/>
  <c r="K41" i="13" s="1"/>
  <c r="L41" i="13"/>
  <c r="M41" i="13" s="1"/>
  <c r="S40" i="13"/>
  <c r="U40" i="13" s="1"/>
  <c r="K40" i="13" s="1"/>
  <c r="L40" i="13"/>
  <c r="M40" i="13" s="1"/>
  <c r="AK39" i="13"/>
  <c r="S39" i="13"/>
  <c r="U39" i="13" s="1"/>
  <c r="L39" i="13"/>
  <c r="M39" i="13" s="1"/>
  <c r="S38" i="13"/>
  <c r="U38" i="13" s="1"/>
  <c r="K38" i="13" s="1"/>
  <c r="L38" i="13"/>
  <c r="M38" i="13" s="1"/>
  <c r="S37" i="13"/>
  <c r="U37" i="13" s="1"/>
  <c r="K37" i="13" s="1"/>
  <c r="L37" i="13"/>
  <c r="M37" i="13" s="1"/>
  <c r="S36" i="13"/>
  <c r="U36" i="13" s="1"/>
  <c r="K36" i="13" s="1"/>
  <c r="L36" i="13"/>
  <c r="M36" i="13" s="1"/>
  <c r="AN35" i="13"/>
  <c r="AH35" i="13"/>
  <c r="AD35" i="13"/>
  <c r="K35" i="13"/>
  <c r="L35" i="13"/>
  <c r="M35" i="13" s="1"/>
  <c r="AN34" i="13"/>
  <c r="AH34" i="13"/>
  <c r="AD34" i="13"/>
  <c r="S34" i="13"/>
  <c r="U34" i="13" s="1"/>
  <c r="K34" i="13" s="1"/>
  <c r="L34" i="13"/>
  <c r="M34" i="13" s="1"/>
  <c r="AN33" i="13"/>
  <c r="AH33" i="13"/>
  <c r="AD33" i="13"/>
  <c r="S33" i="13"/>
  <c r="U33" i="13" s="1"/>
  <c r="K33" i="13" s="1"/>
  <c r="L33" i="13"/>
  <c r="M33" i="13" s="1"/>
  <c r="AN32" i="13"/>
  <c r="AH32" i="13"/>
  <c r="AD32" i="13"/>
  <c r="S32" i="13"/>
  <c r="U32" i="13" s="1"/>
  <c r="K32" i="13" s="1"/>
  <c r="L32" i="13"/>
  <c r="M32" i="13" s="1"/>
  <c r="AN31" i="13"/>
  <c r="AH31" i="13"/>
  <c r="AD31" i="13"/>
  <c r="S31" i="13"/>
  <c r="U31" i="13" s="1"/>
  <c r="K31" i="13" s="1"/>
  <c r="L31" i="13"/>
  <c r="M31" i="13" s="1"/>
  <c r="AN30" i="13"/>
  <c r="AH30" i="13"/>
  <c r="AD30" i="13"/>
  <c r="S30" i="13"/>
  <c r="U30" i="13" s="1"/>
  <c r="K30" i="13" s="1"/>
  <c r="L30" i="13"/>
  <c r="M30" i="13" s="1"/>
  <c r="AN29" i="13"/>
  <c r="AH29" i="13"/>
  <c r="AD29" i="13"/>
  <c r="S29" i="13"/>
  <c r="U29" i="13" s="1"/>
  <c r="K29" i="13" s="1"/>
  <c r="L29" i="13"/>
  <c r="M29" i="13" s="1"/>
  <c r="AN28" i="13"/>
  <c r="AH28" i="13"/>
  <c r="AD28" i="13"/>
  <c r="S28" i="13"/>
  <c r="U28" i="13" s="1"/>
  <c r="K28" i="13" s="1"/>
  <c r="L28" i="13"/>
  <c r="M28" i="13" s="1"/>
  <c r="AN27" i="13"/>
  <c r="AH27" i="13"/>
  <c r="AD27" i="13"/>
  <c r="AN39" i="13" l="1"/>
  <c r="AH37" i="13"/>
  <c r="AD37" i="13"/>
  <c r="N40" i="1"/>
  <c r="W113" i="5"/>
  <c r="S21" i="13"/>
  <c r="U21" i="13" s="1"/>
  <c r="K21" i="13" s="1"/>
  <c r="L21" i="13"/>
  <c r="M21" i="13" s="1"/>
  <c r="S20" i="13"/>
  <c r="U20" i="13" s="1"/>
  <c r="K20" i="13" s="1"/>
  <c r="L20" i="13"/>
  <c r="M20" i="13" s="1"/>
  <c r="S19" i="13"/>
  <c r="U19" i="13" s="1"/>
  <c r="K19" i="13" s="1"/>
  <c r="L19" i="13"/>
  <c r="M19" i="13" s="1"/>
  <c r="S18" i="13"/>
  <c r="U18" i="13" s="1"/>
  <c r="L18" i="13"/>
  <c r="M18" i="13" s="1"/>
  <c r="U17" i="13"/>
  <c r="S17" i="13"/>
  <c r="M17" i="13"/>
  <c r="L17" i="13"/>
  <c r="S16" i="13"/>
  <c r="U16" i="13" s="1"/>
  <c r="L16" i="13"/>
  <c r="M16" i="13" s="1"/>
  <c r="U15" i="13"/>
  <c r="K15" i="13" s="1"/>
  <c r="S15" i="13"/>
  <c r="L15" i="13"/>
  <c r="M15" i="13" s="1"/>
  <c r="AK14" i="13"/>
  <c r="S14" i="13"/>
  <c r="U14" i="13" s="1"/>
  <c r="L14" i="13"/>
  <c r="M14" i="13" s="1"/>
  <c r="S13" i="13"/>
  <c r="U13" i="13" s="1"/>
  <c r="L13" i="13"/>
  <c r="M13" i="13" s="1"/>
  <c r="S12" i="13"/>
  <c r="U12" i="13" s="1"/>
  <c r="L12" i="13"/>
  <c r="M12" i="13" s="1"/>
  <c r="U11" i="13"/>
  <c r="K11" i="13" s="1"/>
  <c r="S11" i="13"/>
  <c r="L11" i="13"/>
  <c r="M11" i="13" s="1"/>
  <c r="AN10" i="13"/>
  <c r="AH10" i="13"/>
  <c r="AD10" i="13"/>
  <c r="S10" i="13"/>
  <c r="U10" i="13" s="1"/>
  <c r="K10" i="13" s="1"/>
  <c r="L10" i="13"/>
  <c r="M10" i="13" s="1"/>
  <c r="AN9" i="13"/>
  <c r="AH9" i="13"/>
  <c r="AD9" i="13"/>
  <c r="S9" i="13"/>
  <c r="U9" i="13" s="1"/>
  <c r="K9" i="13" s="1"/>
  <c r="L9" i="13"/>
  <c r="M9" i="13" s="1"/>
  <c r="AN8" i="13"/>
  <c r="AH8" i="13"/>
  <c r="AD8" i="13"/>
  <c r="S8" i="13"/>
  <c r="U8" i="13" s="1"/>
  <c r="K8" i="13" s="1"/>
  <c r="L8" i="13"/>
  <c r="M8" i="13" s="1"/>
  <c r="AN7" i="13"/>
  <c r="AH7" i="13"/>
  <c r="AD7" i="13"/>
  <c r="S7" i="13"/>
  <c r="U7" i="13" s="1"/>
  <c r="K7" i="13" s="1"/>
  <c r="L7" i="13"/>
  <c r="M7" i="13" s="1"/>
  <c r="AN6" i="13"/>
  <c r="AH6" i="13"/>
  <c r="AD6" i="13"/>
  <c r="S6" i="13"/>
  <c r="U6" i="13" s="1"/>
  <c r="K6" i="13" s="1"/>
  <c r="L6" i="13"/>
  <c r="M6" i="13" s="1"/>
  <c r="AN5" i="13"/>
  <c r="AH5" i="13"/>
  <c r="AD5" i="13"/>
  <c r="S5" i="13"/>
  <c r="U5" i="13" s="1"/>
  <c r="K5" i="13" s="1"/>
  <c r="L5" i="13"/>
  <c r="M5" i="13" s="1"/>
  <c r="AN4" i="13"/>
  <c r="AH4" i="13"/>
  <c r="AD4" i="13"/>
  <c r="S4" i="13"/>
  <c r="U4" i="13" s="1"/>
  <c r="K4" i="13" s="1"/>
  <c r="L4" i="13"/>
  <c r="M4" i="13" s="1"/>
  <c r="AN3" i="13"/>
  <c r="AN14" i="13" s="1"/>
  <c r="AH3" i="13"/>
  <c r="AD3" i="13"/>
  <c r="S3" i="13"/>
  <c r="U3" i="13" s="1"/>
  <c r="K3" i="13" s="1"/>
  <c r="L3" i="13"/>
  <c r="M3" i="13" s="1"/>
  <c r="AN2" i="13"/>
  <c r="AH2" i="13"/>
  <c r="AD2" i="13"/>
  <c r="AH12" i="13" l="1"/>
  <c r="AD12" i="13"/>
  <c r="T170" i="11"/>
  <c r="S192" i="11"/>
  <c r="U192" i="11" s="1"/>
  <c r="K192" i="11" s="1"/>
  <c r="L192" i="11"/>
  <c r="M192" i="11" s="1"/>
  <c r="U191" i="11"/>
  <c r="S191" i="11"/>
  <c r="M191" i="11"/>
  <c r="L191" i="11"/>
  <c r="K191" i="11"/>
  <c r="S190" i="11"/>
  <c r="U190" i="11" s="1"/>
  <c r="K190" i="11" s="1"/>
  <c r="L190" i="11"/>
  <c r="M190" i="11" s="1"/>
  <c r="S189" i="11"/>
  <c r="U189" i="11" s="1"/>
  <c r="K189" i="11" s="1"/>
  <c r="L189" i="11"/>
  <c r="M189" i="11" s="1"/>
  <c r="S188" i="11"/>
  <c r="U188" i="11" s="1"/>
  <c r="K188" i="11" s="1"/>
  <c r="L188" i="11"/>
  <c r="M188" i="11" s="1"/>
  <c r="U187" i="11"/>
  <c r="S187" i="11"/>
  <c r="M187" i="11"/>
  <c r="L187" i="11"/>
  <c r="K187" i="11"/>
  <c r="S186" i="11"/>
  <c r="U186" i="11" s="1"/>
  <c r="K186" i="11" s="1"/>
  <c r="L186" i="11"/>
  <c r="M186" i="11" s="1"/>
  <c r="AK185" i="11"/>
  <c r="S185" i="11"/>
  <c r="U185" i="11" s="1"/>
  <c r="K185" i="11" s="1"/>
  <c r="L185" i="11"/>
  <c r="M185" i="11" s="1"/>
  <c r="S184" i="11"/>
  <c r="U184" i="11" s="1"/>
  <c r="K184" i="11" s="1"/>
  <c r="L184" i="11"/>
  <c r="M184" i="11" s="1"/>
  <c r="U183" i="11"/>
  <c r="K183" i="11" s="1"/>
  <c r="S183" i="11"/>
  <c r="L183" i="11"/>
  <c r="M183" i="11" s="1"/>
  <c r="S182" i="11"/>
  <c r="U182" i="11" s="1"/>
  <c r="K182" i="11" s="1"/>
  <c r="L182" i="11"/>
  <c r="M182" i="11" s="1"/>
  <c r="AN181" i="11"/>
  <c r="AH181" i="11"/>
  <c r="AD181" i="11"/>
  <c r="S181" i="11"/>
  <c r="U181" i="11" s="1"/>
  <c r="K181" i="11" s="1"/>
  <c r="L181" i="11"/>
  <c r="M181" i="11" s="1"/>
  <c r="AN180" i="11"/>
  <c r="AH180" i="11"/>
  <c r="AD180" i="11"/>
  <c r="S180" i="11"/>
  <c r="U180" i="11" s="1"/>
  <c r="K180" i="11" s="1"/>
  <c r="L180" i="11"/>
  <c r="M180" i="11" s="1"/>
  <c r="AN179" i="11"/>
  <c r="AH179" i="11"/>
  <c r="AD179" i="11"/>
  <c r="S179" i="11"/>
  <c r="U179" i="11" s="1"/>
  <c r="L179" i="11"/>
  <c r="M179" i="11" s="1"/>
  <c r="AN178" i="11"/>
  <c r="AH178" i="11"/>
  <c r="AD178" i="11"/>
  <c r="S178" i="11"/>
  <c r="U178" i="11" s="1"/>
  <c r="K178" i="11" s="1"/>
  <c r="L178" i="11"/>
  <c r="M178" i="11" s="1"/>
  <c r="AN177" i="11"/>
  <c r="AH177" i="11"/>
  <c r="AD177" i="11"/>
  <c r="S177" i="11"/>
  <c r="U177" i="11" s="1"/>
  <c r="K177" i="11" s="1"/>
  <c r="L177" i="11"/>
  <c r="M177" i="11" s="1"/>
  <c r="AN176" i="11"/>
  <c r="AH176" i="11"/>
  <c r="AD176" i="11"/>
  <c r="S176" i="11"/>
  <c r="L176" i="11"/>
  <c r="M176" i="11" s="1"/>
  <c r="AN175" i="11"/>
  <c r="AH175" i="11"/>
  <c r="AD175" i="11"/>
  <c r="S175" i="11"/>
  <c r="K175" i="11" s="1"/>
  <c r="L175" i="11"/>
  <c r="M175" i="11" s="1"/>
  <c r="AN174" i="11"/>
  <c r="AN185" i="11" s="1"/>
  <c r="AH174" i="11"/>
  <c r="AD174" i="11"/>
  <c r="S174" i="11"/>
  <c r="L174" i="11"/>
  <c r="M174" i="11" s="1"/>
  <c r="AN173" i="11"/>
  <c r="AH173" i="11"/>
  <c r="AD173" i="11"/>
  <c r="AD183" i="11" l="1"/>
  <c r="AH183" i="11"/>
  <c r="F163" i="11"/>
  <c r="F164" i="11" s="1"/>
  <c r="S157" i="11"/>
  <c r="U157" i="11" s="1"/>
  <c r="K157" i="11" s="1"/>
  <c r="L157" i="11"/>
  <c r="M157" i="11" s="1"/>
  <c r="S156" i="11"/>
  <c r="U156" i="11" s="1"/>
  <c r="K156" i="11" s="1"/>
  <c r="L156" i="11"/>
  <c r="M156" i="11" s="1"/>
  <c r="S155" i="11"/>
  <c r="U155" i="11" s="1"/>
  <c r="K155" i="11" s="1"/>
  <c r="L155" i="11"/>
  <c r="M155" i="11" s="1"/>
  <c r="S154" i="11"/>
  <c r="U154" i="11" s="1"/>
  <c r="K154" i="11" s="1"/>
  <c r="L154" i="11"/>
  <c r="M154" i="11" s="1"/>
  <c r="U153" i="11"/>
  <c r="K153" i="11" s="1"/>
  <c r="S153" i="11"/>
  <c r="L153" i="11"/>
  <c r="M153" i="11" s="1"/>
  <c r="S152" i="11"/>
  <c r="U152" i="11" s="1"/>
  <c r="K152" i="11" s="1"/>
  <c r="L152" i="11"/>
  <c r="M152" i="11" s="1"/>
  <c r="U151" i="11"/>
  <c r="S151" i="11"/>
  <c r="M151" i="11"/>
  <c r="L151" i="11"/>
  <c r="K151" i="11"/>
  <c r="AK150" i="11"/>
  <c r="S150" i="11"/>
  <c r="U150" i="11" s="1"/>
  <c r="L150" i="11"/>
  <c r="M150" i="11" s="1"/>
  <c r="S149" i="11"/>
  <c r="U149" i="11" s="1"/>
  <c r="K149" i="11" s="1"/>
  <c r="L149" i="11"/>
  <c r="M149" i="11" s="1"/>
  <c r="S148" i="11"/>
  <c r="U148" i="11" s="1"/>
  <c r="K148" i="11" s="1"/>
  <c r="L148" i="11"/>
  <c r="M148" i="11" s="1"/>
  <c r="S147" i="11"/>
  <c r="U147" i="11" s="1"/>
  <c r="K147" i="11" s="1"/>
  <c r="L147" i="11"/>
  <c r="M147" i="11" s="1"/>
  <c r="AN146" i="11"/>
  <c r="AH146" i="11"/>
  <c r="AD146" i="11"/>
  <c r="S146" i="11"/>
  <c r="U146" i="11" s="1"/>
  <c r="K146" i="11" s="1"/>
  <c r="L146" i="11"/>
  <c r="M146" i="11" s="1"/>
  <c r="AN145" i="11"/>
  <c r="AH145" i="11"/>
  <c r="AD145" i="11"/>
  <c r="S145" i="11"/>
  <c r="U145" i="11" s="1"/>
  <c r="K145" i="11" s="1"/>
  <c r="L145" i="11"/>
  <c r="M145" i="11" s="1"/>
  <c r="AN144" i="11"/>
  <c r="AH144" i="11"/>
  <c r="AD144" i="11"/>
  <c r="S144" i="11"/>
  <c r="U144" i="11" s="1"/>
  <c r="L144" i="11"/>
  <c r="M144" i="11" s="1"/>
  <c r="AN143" i="11"/>
  <c r="AH143" i="11"/>
  <c r="AD143" i="11"/>
  <c r="S143" i="11"/>
  <c r="U143" i="11" s="1"/>
  <c r="K143" i="11" s="1"/>
  <c r="L143" i="11"/>
  <c r="M143" i="11" s="1"/>
  <c r="AN142" i="11"/>
  <c r="AH142" i="11"/>
  <c r="AD142" i="11"/>
  <c r="S142" i="11"/>
  <c r="U142" i="11" s="1"/>
  <c r="K142" i="11" s="1"/>
  <c r="L142" i="11"/>
  <c r="M142" i="11" s="1"/>
  <c r="AN141" i="11"/>
  <c r="AH141" i="11"/>
  <c r="AD141" i="11"/>
  <c r="S141" i="11"/>
  <c r="U141" i="11" s="1"/>
  <c r="K141" i="11" s="1"/>
  <c r="L141" i="11"/>
  <c r="M141" i="11" s="1"/>
  <c r="AN140" i="11"/>
  <c r="AH140" i="11"/>
  <c r="AD140" i="11"/>
  <c r="S140" i="11"/>
  <c r="U140" i="11" s="1"/>
  <c r="K140" i="11" s="1"/>
  <c r="L140" i="11"/>
  <c r="M140" i="11" s="1"/>
  <c r="AN139" i="11"/>
  <c r="AN150" i="11" s="1"/>
  <c r="AH139" i="11"/>
  <c r="AD139" i="11"/>
  <c r="S139" i="11"/>
  <c r="U139" i="11" s="1"/>
  <c r="K139" i="11" s="1"/>
  <c r="L139" i="11"/>
  <c r="M139" i="11" s="1"/>
  <c r="AN138" i="11"/>
  <c r="AH138" i="11"/>
  <c r="AD138" i="11"/>
  <c r="AD148" i="11" s="1"/>
  <c r="AH148" i="11" l="1"/>
  <c r="S132" i="11"/>
  <c r="U132" i="11" s="1"/>
  <c r="K132" i="11" s="1"/>
  <c r="L132" i="11"/>
  <c r="M132" i="11" s="1"/>
  <c r="U131" i="11"/>
  <c r="S131" i="11"/>
  <c r="M131" i="11"/>
  <c r="L131" i="11"/>
  <c r="K131" i="11"/>
  <c r="S130" i="11"/>
  <c r="U130" i="11" s="1"/>
  <c r="K130" i="11" s="1"/>
  <c r="L130" i="11"/>
  <c r="M130" i="11" s="1"/>
  <c r="S129" i="11"/>
  <c r="U129" i="11" s="1"/>
  <c r="L129" i="11"/>
  <c r="M129" i="11" s="1"/>
  <c r="S128" i="11"/>
  <c r="U128" i="11" s="1"/>
  <c r="K128" i="11" s="1"/>
  <c r="L128" i="11"/>
  <c r="M128" i="11" s="1"/>
  <c r="U127" i="11"/>
  <c r="K127" i="11" s="1"/>
  <c r="S127" i="11"/>
  <c r="L127" i="11"/>
  <c r="M127" i="11" s="1"/>
  <c r="S126" i="11"/>
  <c r="U126" i="11" s="1"/>
  <c r="L126" i="11"/>
  <c r="M126" i="11" s="1"/>
  <c r="AK125" i="11"/>
  <c r="S125" i="11"/>
  <c r="U125" i="11" s="1"/>
  <c r="L125" i="11"/>
  <c r="M125" i="11" s="1"/>
  <c r="S124" i="11"/>
  <c r="U124" i="11" s="1"/>
  <c r="L124" i="11"/>
  <c r="M124" i="11" s="1"/>
  <c r="S123" i="11"/>
  <c r="L123" i="11"/>
  <c r="M123" i="11" s="1"/>
  <c r="S122" i="11"/>
  <c r="U122" i="11" s="1"/>
  <c r="L122" i="11"/>
  <c r="M122" i="11" s="1"/>
  <c r="AN121" i="11"/>
  <c r="AH121" i="11"/>
  <c r="AD121" i="11"/>
  <c r="S121" i="11"/>
  <c r="U121" i="11" s="1"/>
  <c r="L121" i="11"/>
  <c r="M121" i="11" s="1"/>
  <c r="AN120" i="11"/>
  <c r="AH120" i="11"/>
  <c r="AD120" i="11"/>
  <c r="S120" i="11"/>
  <c r="U120" i="11" s="1"/>
  <c r="L120" i="11"/>
  <c r="M120" i="11" s="1"/>
  <c r="AN119" i="11"/>
  <c r="AH119" i="11"/>
  <c r="AD119" i="11"/>
  <c r="S119" i="11"/>
  <c r="U119" i="11" s="1"/>
  <c r="L119" i="11"/>
  <c r="M119" i="11" s="1"/>
  <c r="AN118" i="11"/>
  <c r="AH118" i="11"/>
  <c r="AD118" i="11"/>
  <c r="S118" i="11"/>
  <c r="U118" i="11" s="1"/>
  <c r="K118" i="11" s="1"/>
  <c r="L118" i="11"/>
  <c r="M118" i="11" s="1"/>
  <c r="AN117" i="11"/>
  <c r="AH117" i="11"/>
  <c r="AD117" i="11"/>
  <c r="S117" i="11"/>
  <c r="U117" i="11" s="1"/>
  <c r="K117" i="11" s="1"/>
  <c r="L117" i="11"/>
  <c r="M117" i="11" s="1"/>
  <c r="AN116" i="11"/>
  <c r="AH116" i="11"/>
  <c r="AD116" i="11"/>
  <c r="S116" i="11"/>
  <c r="U116" i="11" s="1"/>
  <c r="K116" i="11" s="1"/>
  <c r="L116" i="11"/>
  <c r="M116" i="11" s="1"/>
  <c r="AN115" i="11"/>
  <c r="AH115" i="11"/>
  <c r="AD115" i="11"/>
  <c r="S115" i="11"/>
  <c r="U115" i="11" s="1"/>
  <c r="L115" i="11"/>
  <c r="M115" i="11" s="1"/>
  <c r="AN114" i="11"/>
  <c r="AN125" i="11" s="1"/>
  <c r="AH114" i="11"/>
  <c r="AD114" i="11"/>
  <c r="S114" i="11"/>
  <c r="U114" i="11" s="1"/>
  <c r="L114" i="11"/>
  <c r="M114" i="11" s="1"/>
  <c r="AN113" i="11"/>
  <c r="AH113" i="11"/>
  <c r="AD113" i="11"/>
  <c r="AH123" i="11" l="1"/>
  <c r="AD123" i="11"/>
  <c r="L105" i="11"/>
  <c r="M105" i="11" s="1"/>
  <c r="V90" i="11"/>
  <c r="S104" i="11"/>
  <c r="U104" i="11" s="1"/>
  <c r="K104" i="11" s="1"/>
  <c r="L104" i="11"/>
  <c r="M104" i="11" s="1"/>
  <c r="S103" i="11"/>
  <c r="U103" i="11" s="1"/>
  <c r="K103" i="11" s="1"/>
  <c r="L103" i="11"/>
  <c r="M103" i="11" s="1"/>
  <c r="U102" i="11"/>
  <c r="K102" i="11" s="1"/>
  <c r="S102" i="11"/>
  <c r="L102" i="11"/>
  <c r="M102" i="11" s="1"/>
  <c r="S101" i="11"/>
  <c r="U101" i="11" s="1"/>
  <c r="K101" i="11" s="1"/>
  <c r="L101" i="11"/>
  <c r="M101" i="11" s="1"/>
  <c r="L100" i="11"/>
  <c r="M100" i="11" s="1"/>
  <c r="S99" i="11"/>
  <c r="U99" i="11" s="1"/>
  <c r="K99" i="11" s="1"/>
  <c r="L99" i="11"/>
  <c r="M99" i="11" s="1"/>
  <c r="S98" i="11"/>
  <c r="U98" i="11" s="1"/>
  <c r="K98" i="11" s="1"/>
  <c r="L98" i="11"/>
  <c r="M98" i="11" s="1"/>
  <c r="AK97" i="11"/>
  <c r="U97" i="11"/>
  <c r="K97" i="11" s="1"/>
  <c r="S97" i="11"/>
  <c r="L97" i="11"/>
  <c r="M97" i="11" s="1"/>
  <c r="S96" i="11"/>
  <c r="K96" i="11" s="1"/>
  <c r="L96" i="11"/>
  <c r="M96" i="11" s="1"/>
  <c r="S95" i="11"/>
  <c r="L95" i="11"/>
  <c r="M95" i="11" s="1"/>
  <c r="S94" i="11"/>
  <c r="U94" i="11" s="1"/>
  <c r="K94" i="11" s="1"/>
  <c r="L94" i="11"/>
  <c r="M94" i="11" s="1"/>
  <c r="AN93" i="11"/>
  <c r="AH93" i="11"/>
  <c r="AD93" i="11"/>
  <c r="S93" i="11"/>
  <c r="U93" i="11" s="1"/>
  <c r="K93" i="11" s="1"/>
  <c r="L93" i="11"/>
  <c r="M93" i="11" s="1"/>
  <c r="AN92" i="11"/>
  <c r="AH92" i="11"/>
  <c r="AD92" i="11"/>
  <c r="S92" i="11"/>
  <c r="U92" i="11" s="1"/>
  <c r="K92" i="11" s="1"/>
  <c r="L92" i="11"/>
  <c r="M92" i="11" s="1"/>
  <c r="AN91" i="11"/>
  <c r="AH91" i="11"/>
  <c r="AD91" i="11"/>
  <c r="S91" i="11"/>
  <c r="U91" i="11" s="1"/>
  <c r="K91" i="11" s="1"/>
  <c r="L91" i="11"/>
  <c r="M91" i="11" s="1"/>
  <c r="AN90" i="11"/>
  <c r="AH90" i="11"/>
  <c r="AD90" i="11"/>
  <c r="S90" i="11"/>
  <c r="U90" i="11" s="1"/>
  <c r="K90" i="11" s="1"/>
  <c r="L90" i="11"/>
  <c r="M90" i="11" s="1"/>
  <c r="AN89" i="11"/>
  <c r="AH89" i="11"/>
  <c r="AD89" i="11"/>
  <c r="S89" i="11"/>
  <c r="U89" i="11" s="1"/>
  <c r="K89" i="11" s="1"/>
  <c r="L89" i="11"/>
  <c r="M89" i="11" s="1"/>
  <c r="AN88" i="11"/>
  <c r="AH88" i="11"/>
  <c r="AD88" i="11"/>
  <c r="S88" i="11"/>
  <c r="U88" i="11" s="1"/>
  <c r="K88" i="11" s="1"/>
  <c r="L88" i="11"/>
  <c r="M88" i="11" s="1"/>
  <c r="AN87" i="11"/>
  <c r="AH87" i="11"/>
  <c r="AD87" i="11"/>
  <c r="S87" i="11"/>
  <c r="U87" i="11" s="1"/>
  <c r="K87" i="11" s="1"/>
  <c r="L87" i="11"/>
  <c r="M87" i="11" s="1"/>
  <c r="AN86" i="11"/>
  <c r="AN97" i="11" s="1"/>
  <c r="AH86" i="11"/>
  <c r="AD86" i="11"/>
  <c r="S86" i="11"/>
  <c r="U86" i="11" s="1"/>
  <c r="K86" i="11" s="1"/>
  <c r="L86" i="11"/>
  <c r="M86" i="11" s="1"/>
  <c r="AN85" i="11"/>
  <c r="AH85" i="11"/>
  <c r="AH95" i="11" s="1"/>
  <c r="AD85" i="11"/>
  <c r="AD95" i="11" l="1"/>
  <c r="S74" i="11"/>
  <c r="U74" i="11" s="1"/>
  <c r="K74" i="11" s="1"/>
  <c r="L74" i="11"/>
  <c r="M74" i="11" s="1"/>
  <c r="S73" i="11"/>
  <c r="U73" i="11" s="1"/>
  <c r="K73" i="11" s="1"/>
  <c r="L73" i="11"/>
  <c r="M73" i="11" s="1"/>
  <c r="S72" i="11"/>
  <c r="U72" i="11" s="1"/>
  <c r="K72" i="11" s="1"/>
  <c r="L72" i="11"/>
  <c r="M72" i="11" s="1"/>
  <c r="S71" i="11"/>
  <c r="U71" i="11" s="1"/>
  <c r="K71" i="11" s="1"/>
  <c r="L71" i="11"/>
  <c r="M71" i="11" s="1"/>
  <c r="U70" i="11"/>
  <c r="S70" i="11"/>
  <c r="L70" i="11"/>
  <c r="M70" i="11" s="1"/>
  <c r="S69" i="11"/>
  <c r="U69" i="11" s="1"/>
  <c r="L69" i="11"/>
  <c r="M69" i="11" s="1"/>
  <c r="S68" i="11"/>
  <c r="U68" i="11" s="1"/>
  <c r="L68" i="11"/>
  <c r="M68" i="11" s="1"/>
  <c r="U67" i="11"/>
  <c r="K67" i="11" s="1"/>
  <c r="S67" i="11"/>
  <c r="L67" i="11"/>
  <c r="M67" i="11" s="1"/>
  <c r="S66" i="11"/>
  <c r="U66" i="11" s="1"/>
  <c r="K66" i="11" s="1"/>
  <c r="L66" i="11"/>
  <c r="M66" i="11" s="1"/>
  <c r="U65" i="11"/>
  <c r="S65" i="11"/>
  <c r="M65" i="11"/>
  <c r="L65" i="11"/>
  <c r="K65" i="11"/>
  <c r="S64" i="11"/>
  <c r="U64" i="11" s="1"/>
  <c r="L64" i="11"/>
  <c r="M64" i="11" s="1"/>
  <c r="AN63" i="11"/>
  <c r="AH63" i="11"/>
  <c r="AD63" i="11"/>
  <c r="S63" i="11"/>
  <c r="U63" i="11" s="1"/>
  <c r="L63" i="11"/>
  <c r="M63" i="11" s="1"/>
  <c r="AN62" i="11"/>
  <c r="AH62" i="11"/>
  <c r="AD62" i="11"/>
  <c r="S62" i="11"/>
  <c r="U62" i="11" s="1"/>
  <c r="L62" i="11"/>
  <c r="M62" i="11" s="1"/>
  <c r="AN61" i="11"/>
  <c r="AH61" i="11"/>
  <c r="AD61" i="11"/>
  <c r="S61" i="11"/>
  <c r="U61" i="11" s="1"/>
  <c r="L61" i="11"/>
  <c r="M61" i="11" s="1"/>
  <c r="AN60" i="11"/>
  <c r="AH60" i="11"/>
  <c r="AD60" i="11"/>
  <c r="S60" i="11"/>
  <c r="U60" i="11" s="1"/>
  <c r="L60" i="11"/>
  <c r="M60" i="11" s="1"/>
  <c r="AN59" i="11"/>
  <c r="AH59" i="11"/>
  <c r="AD59" i="11"/>
  <c r="S59" i="11"/>
  <c r="U59" i="11" s="1"/>
  <c r="K59" i="11" s="1"/>
  <c r="L59" i="11"/>
  <c r="M59" i="11" s="1"/>
  <c r="AN58" i="11"/>
  <c r="AH58" i="11"/>
  <c r="AD58" i="11"/>
  <c r="S58" i="11"/>
  <c r="U58" i="11" s="1"/>
  <c r="K58" i="11" s="1"/>
  <c r="L58" i="11"/>
  <c r="M58" i="11" s="1"/>
  <c r="AN57" i="11"/>
  <c r="AH57" i="11"/>
  <c r="AD57" i="11"/>
  <c r="S57" i="11"/>
  <c r="U57" i="11" s="1"/>
  <c r="K57" i="11" s="1"/>
  <c r="L57" i="11"/>
  <c r="M57" i="11" s="1"/>
  <c r="AN56" i="11"/>
  <c r="AN67" i="11" s="1"/>
  <c r="AH56" i="11"/>
  <c r="AD56" i="11"/>
  <c r="S56" i="11"/>
  <c r="U56" i="11" s="1"/>
  <c r="K56" i="11" s="1"/>
  <c r="L56" i="11"/>
  <c r="M56" i="11" s="1"/>
  <c r="AN55" i="11"/>
  <c r="AH55" i="11"/>
  <c r="AH65" i="11" s="1"/>
  <c r="AD55" i="11"/>
  <c r="AD65" i="11" l="1"/>
  <c r="AG51" i="11"/>
  <c r="O24" i="11" l="1"/>
  <c r="N24" i="11"/>
  <c r="R24" i="11" s="1"/>
  <c r="L36" i="11"/>
  <c r="M36" i="11"/>
  <c r="S47" i="11"/>
  <c r="U47" i="11" s="1"/>
  <c r="K47" i="11" s="1"/>
  <c r="L47" i="11"/>
  <c r="M47" i="11" s="1"/>
  <c r="S46" i="11"/>
  <c r="U46" i="11" s="1"/>
  <c r="K46" i="11" s="1"/>
  <c r="L46" i="11"/>
  <c r="M46" i="11" s="1"/>
  <c r="S45" i="11"/>
  <c r="L45" i="11"/>
  <c r="M45" i="11" s="1"/>
  <c r="K45" i="11"/>
  <c r="S44" i="11"/>
  <c r="L44" i="11"/>
  <c r="S43" i="11"/>
  <c r="L43" i="11"/>
  <c r="M43" i="11" s="1"/>
  <c r="S42" i="11"/>
  <c r="K42" i="11" s="1"/>
  <c r="L42" i="11"/>
  <c r="M42" i="11" s="1"/>
  <c r="K41" i="11"/>
  <c r="S41" i="11"/>
  <c r="L41" i="11"/>
  <c r="M41" i="11" s="1"/>
  <c r="AK40" i="11"/>
  <c r="S40" i="11"/>
  <c r="L40" i="11"/>
  <c r="S39" i="11"/>
  <c r="U39" i="11" s="1"/>
  <c r="K39" i="11" s="1"/>
  <c r="L39" i="11"/>
  <c r="M39" i="11" s="1"/>
  <c r="S38" i="11"/>
  <c r="U38" i="11" s="1"/>
  <c r="K38" i="11" s="1"/>
  <c r="L38" i="11"/>
  <c r="M38" i="11" s="1"/>
  <c r="S37" i="11"/>
  <c r="U37" i="11" s="1"/>
  <c r="K37" i="11" s="1"/>
  <c r="L37" i="11"/>
  <c r="M37" i="11" s="1"/>
  <c r="AN35" i="11"/>
  <c r="AH35" i="11"/>
  <c r="AD35" i="11"/>
  <c r="S35" i="11"/>
  <c r="U35" i="11" s="1"/>
  <c r="L35" i="11"/>
  <c r="M35" i="11" s="1"/>
  <c r="AN34" i="11"/>
  <c r="AH34" i="11"/>
  <c r="AD34" i="11"/>
  <c r="S34" i="11"/>
  <c r="U34" i="11" s="1"/>
  <c r="K34" i="11" s="1"/>
  <c r="L34" i="11"/>
  <c r="M34" i="11" s="1"/>
  <c r="AN33" i="11"/>
  <c r="AH33" i="11"/>
  <c r="AD33" i="11"/>
  <c r="S33" i="11"/>
  <c r="U33" i="11" s="1"/>
  <c r="K33" i="11" s="1"/>
  <c r="M33" i="11"/>
  <c r="AN32" i="11"/>
  <c r="AH32" i="11"/>
  <c r="AD32" i="11"/>
  <c r="S32" i="11"/>
  <c r="U32" i="11" s="1"/>
  <c r="K32" i="11" s="1"/>
  <c r="L32" i="11"/>
  <c r="M32" i="11" s="1"/>
  <c r="AN31" i="11"/>
  <c r="AH31" i="11"/>
  <c r="S31" i="11"/>
  <c r="U31" i="11" s="1"/>
  <c r="K31" i="11" s="1"/>
  <c r="L31" i="11"/>
  <c r="M31" i="11" s="1"/>
  <c r="AN30" i="11"/>
  <c r="AH30" i="11"/>
  <c r="AD30" i="11"/>
  <c r="S30" i="11"/>
  <c r="U30" i="11" s="1"/>
  <c r="K30" i="11" s="1"/>
  <c r="L30" i="11"/>
  <c r="M30" i="11" s="1"/>
  <c r="AN29" i="11"/>
  <c r="AH29" i="11"/>
  <c r="AD29" i="11"/>
  <c r="S29" i="11"/>
  <c r="U29" i="11" s="1"/>
  <c r="K29" i="11" s="1"/>
  <c r="L29" i="11"/>
  <c r="M29" i="11" s="1"/>
  <c r="AN28" i="11"/>
  <c r="AN40" i="11" s="1"/>
  <c r="AH28" i="11"/>
  <c r="AD28" i="11"/>
  <c r="S28" i="11"/>
  <c r="U28" i="11" s="1"/>
  <c r="L28" i="11"/>
  <c r="M28" i="11" s="1"/>
  <c r="AN27" i="11"/>
  <c r="AH27" i="11"/>
  <c r="AD27" i="11"/>
  <c r="K28" i="11" l="1"/>
  <c r="U48" i="11"/>
  <c r="AH38" i="11"/>
  <c r="AA27" i="11" s="1"/>
  <c r="AD38" i="11"/>
  <c r="S21" i="11"/>
  <c r="U21" i="11" s="1"/>
  <c r="K21" i="11" s="1"/>
  <c r="L21" i="11"/>
  <c r="M21" i="11" s="1"/>
  <c r="U20" i="11"/>
  <c r="S20" i="11"/>
  <c r="M20" i="11"/>
  <c r="L20" i="11"/>
  <c r="K20" i="11"/>
  <c r="S19" i="11"/>
  <c r="U19" i="11" s="1"/>
  <c r="K19" i="11" s="1"/>
  <c r="L19" i="11"/>
  <c r="M19" i="11" s="1"/>
  <c r="S18" i="11"/>
  <c r="U18" i="11" s="1"/>
  <c r="K18" i="11" s="1"/>
  <c r="L18" i="11"/>
  <c r="M18" i="11" s="1"/>
  <c r="S17" i="11"/>
  <c r="U17" i="11" s="1"/>
  <c r="K17" i="11" s="1"/>
  <c r="L17" i="11"/>
  <c r="M17" i="11" s="1"/>
  <c r="U16" i="11"/>
  <c r="K16" i="11" s="1"/>
  <c r="S16" i="11"/>
  <c r="L16" i="11"/>
  <c r="M16" i="11" s="1"/>
  <c r="S15" i="11"/>
  <c r="U15" i="11" s="1"/>
  <c r="K15" i="11" s="1"/>
  <c r="L15" i="11"/>
  <c r="M15" i="11" s="1"/>
  <c r="U14" i="11"/>
  <c r="S14" i="11"/>
  <c r="L14" i="11"/>
  <c r="M14" i="11" s="1"/>
  <c r="S13" i="11"/>
  <c r="U13" i="11" s="1"/>
  <c r="L13" i="11"/>
  <c r="M13" i="11" s="1"/>
  <c r="S12" i="11"/>
  <c r="U12" i="11" s="1"/>
  <c r="L12" i="11"/>
  <c r="M12" i="11" s="1"/>
  <c r="U11" i="11"/>
  <c r="K11" i="11" s="1"/>
  <c r="L11" i="11"/>
  <c r="M11" i="11" s="1"/>
  <c r="AN10" i="11"/>
  <c r="AH10" i="11"/>
  <c r="AD10" i="11"/>
  <c r="S10" i="11"/>
  <c r="U10" i="11" s="1"/>
  <c r="K10" i="11" s="1"/>
  <c r="L10" i="11"/>
  <c r="M10" i="11" s="1"/>
  <c r="AN9" i="11"/>
  <c r="AH9" i="11"/>
  <c r="AD9" i="11"/>
  <c r="S9" i="11"/>
  <c r="U9" i="11" s="1"/>
  <c r="K9" i="11" s="1"/>
  <c r="L9" i="11"/>
  <c r="M9" i="11" s="1"/>
  <c r="AN8" i="11"/>
  <c r="AH8" i="11"/>
  <c r="AD8" i="11"/>
  <c r="S8" i="11"/>
  <c r="U8" i="11" s="1"/>
  <c r="K8" i="11" s="1"/>
  <c r="L8" i="11"/>
  <c r="M8" i="11" s="1"/>
  <c r="AN7" i="11"/>
  <c r="AH7" i="11"/>
  <c r="AD7" i="11"/>
  <c r="S7" i="11"/>
  <c r="U7" i="11" s="1"/>
  <c r="K7" i="11" s="1"/>
  <c r="L7" i="11"/>
  <c r="M7" i="11" s="1"/>
  <c r="AN6" i="11"/>
  <c r="AH6" i="11"/>
  <c r="AD6" i="11"/>
  <c r="S6" i="11"/>
  <c r="U6" i="11" s="1"/>
  <c r="K6" i="11" s="1"/>
  <c r="L6" i="11"/>
  <c r="M6" i="11" s="1"/>
  <c r="AN5" i="11"/>
  <c r="AH5" i="11"/>
  <c r="AD5" i="11"/>
  <c r="S5" i="11"/>
  <c r="U5" i="11" s="1"/>
  <c r="K5" i="11" s="1"/>
  <c r="L5" i="11"/>
  <c r="M5" i="11" s="1"/>
  <c r="AN4" i="11"/>
  <c r="AH4" i="11"/>
  <c r="AD4" i="11"/>
  <c r="S4" i="11"/>
  <c r="U4" i="11" s="1"/>
  <c r="K4" i="11" s="1"/>
  <c r="L4" i="11"/>
  <c r="M4" i="11" s="1"/>
  <c r="AN3" i="11"/>
  <c r="AN14" i="11" s="1"/>
  <c r="AH3" i="11"/>
  <c r="AD3" i="11"/>
  <c r="S3" i="11"/>
  <c r="U3" i="11" s="1"/>
  <c r="K3" i="11" s="1"/>
  <c r="L3" i="11"/>
  <c r="M3" i="11" s="1"/>
  <c r="AN2" i="11"/>
  <c r="AH2" i="11"/>
  <c r="AD2" i="11"/>
  <c r="AH12" i="11" l="1"/>
  <c r="AA5" i="11" s="1"/>
  <c r="AD12" i="11"/>
  <c r="S215" i="10"/>
  <c r="U215" i="10" s="1"/>
  <c r="K215" i="10" s="1"/>
  <c r="L215" i="10"/>
  <c r="M215" i="10" s="1"/>
  <c r="U214" i="10"/>
  <c r="S214" i="10"/>
  <c r="M214" i="10"/>
  <c r="L214" i="10"/>
  <c r="K214" i="10"/>
  <c r="S213" i="10"/>
  <c r="U213" i="10" s="1"/>
  <c r="K213" i="10" s="1"/>
  <c r="L213" i="10"/>
  <c r="M213" i="10" s="1"/>
  <c r="S212" i="10"/>
  <c r="U212" i="10" s="1"/>
  <c r="K212" i="10" s="1"/>
  <c r="L212" i="10"/>
  <c r="M212" i="10" s="1"/>
  <c r="S211" i="10"/>
  <c r="U211" i="10" s="1"/>
  <c r="K211" i="10" s="1"/>
  <c r="L211" i="10"/>
  <c r="M211" i="10" s="1"/>
  <c r="U210" i="10"/>
  <c r="S210" i="10"/>
  <c r="M210" i="10"/>
  <c r="L210" i="10"/>
  <c r="K210" i="10"/>
  <c r="S209" i="10"/>
  <c r="U209" i="10" s="1"/>
  <c r="K209" i="10" s="1"/>
  <c r="L209" i="10"/>
  <c r="M209" i="10" s="1"/>
  <c r="S208" i="10"/>
  <c r="U208" i="10" s="1"/>
  <c r="K208" i="10" s="1"/>
  <c r="L208" i="10"/>
  <c r="M208" i="10" s="1"/>
  <c r="S207" i="10"/>
  <c r="U207" i="10" s="1"/>
  <c r="K207" i="10" s="1"/>
  <c r="L207" i="10"/>
  <c r="M207" i="10" s="1"/>
  <c r="U206" i="10"/>
  <c r="S206" i="10"/>
  <c r="M206" i="10"/>
  <c r="L206" i="10"/>
  <c r="K206" i="10"/>
  <c r="S205" i="10"/>
  <c r="U205" i="10" s="1"/>
  <c r="K205" i="10" s="1"/>
  <c r="L205" i="10"/>
  <c r="M205" i="10" s="1"/>
  <c r="AN204" i="10"/>
  <c r="AH204" i="10"/>
  <c r="AD204" i="10"/>
  <c r="S204" i="10"/>
  <c r="U204" i="10" s="1"/>
  <c r="K204" i="10" s="1"/>
  <c r="L204" i="10"/>
  <c r="M204" i="10" s="1"/>
  <c r="AN203" i="10"/>
  <c r="AH203" i="10"/>
  <c r="AD203" i="10"/>
  <c r="S203" i="10"/>
  <c r="U203" i="10" s="1"/>
  <c r="K203" i="10" s="1"/>
  <c r="L203" i="10"/>
  <c r="M203" i="10" s="1"/>
  <c r="AN202" i="10"/>
  <c r="AH202" i="10"/>
  <c r="AD202" i="10"/>
  <c r="S202" i="10"/>
  <c r="U202" i="10" s="1"/>
  <c r="K202" i="10" s="1"/>
  <c r="L202" i="10"/>
  <c r="M202" i="10" s="1"/>
  <c r="AN201" i="10"/>
  <c r="AH201" i="10"/>
  <c r="AD201" i="10"/>
  <c r="S201" i="10"/>
  <c r="L201" i="10"/>
  <c r="AN200" i="10"/>
  <c r="AH200" i="10"/>
  <c r="AD200" i="10"/>
  <c r="S200" i="10"/>
  <c r="K200" i="10" s="1"/>
  <c r="L200" i="10"/>
  <c r="M200" i="10" s="1"/>
  <c r="AN199" i="10"/>
  <c r="AH199" i="10"/>
  <c r="AD199" i="10"/>
  <c r="S199" i="10"/>
  <c r="L199" i="10"/>
  <c r="M199" i="10" s="1"/>
  <c r="AN198" i="10"/>
  <c r="AH198" i="10"/>
  <c r="AD198" i="10"/>
  <c r="S198" i="10"/>
  <c r="L198" i="10"/>
  <c r="M198" i="10" s="1"/>
  <c r="AN197" i="10"/>
  <c r="AN208" i="10" s="1"/>
  <c r="AH197" i="10"/>
  <c r="AD197" i="10"/>
  <c r="S197" i="10"/>
  <c r="U197" i="10" s="1"/>
  <c r="K197" i="10" s="1"/>
  <c r="L197" i="10"/>
  <c r="M197" i="10" s="1"/>
  <c r="AN196" i="10"/>
  <c r="AH196" i="10"/>
  <c r="AH206" i="10" s="1"/>
  <c r="AD196" i="10"/>
  <c r="AD206" i="10" l="1"/>
  <c r="L160" i="10"/>
  <c r="M160" i="10" s="1"/>
  <c r="L161" i="10"/>
  <c r="M161" i="10" s="1"/>
  <c r="L162" i="10"/>
  <c r="M162" i="10" s="1"/>
  <c r="L163" i="10"/>
  <c r="M163" i="10" s="1"/>
  <c r="L164" i="10"/>
  <c r="M164" i="10"/>
  <c r="L165" i="10"/>
  <c r="M165" i="10"/>
  <c r="K164" i="10"/>
  <c r="K162" i="10"/>
  <c r="K161" i="10"/>
  <c r="K160" i="10"/>
  <c r="S165" i="10" l="1"/>
  <c r="U165" i="10" s="1"/>
  <c r="K165" i="10" s="1"/>
  <c r="S159" i="10"/>
  <c r="U159" i="10" s="1"/>
  <c r="K159" i="10" s="1"/>
  <c r="L159" i="10"/>
  <c r="M159" i="10" s="1"/>
  <c r="S158" i="10"/>
  <c r="U158" i="10" s="1"/>
  <c r="L158" i="10"/>
  <c r="M158" i="10" s="1"/>
  <c r="S157" i="10"/>
  <c r="U157" i="10" s="1"/>
  <c r="L157" i="10"/>
  <c r="M157" i="10" s="1"/>
  <c r="S156" i="10"/>
  <c r="U156" i="10" s="1"/>
  <c r="L156" i="10"/>
  <c r="M156" i="10" s="1"/>
  <c r="S155" i="10"/>
  <c r="U155" i="10" s="1"/>
  <c r="L155" i="10"/>
  <c r="M155" i="10" s="1"/>
  <c r="S154" i="10"/>
  <c r="U154" i="10" s="1"/>
  <c r="L154" i="10"/>
  <c r="M154" i="10" s="1"/>
  <c r="AK153" i="10"/>
  <c r="S153" i="10"/>
  <c r="U153" i="10" s="1"/>
  <c r="L153" i="10"/>
  <c r="M153" i="10" s="1"/>
  <c r="S152" i="10"/>
  <c r="U152" i="10" s="1"/>
  <c r="L152" i="10"/>
  <c r="M152" i="10" s="1"/>
  <c r="S151" i="10"/>
  <c r="U151" i="10" s="1"/>
  <c r="L151" i="10"/>
  <c r="M151" i="10" s="1"/>
  <c r="S150" i="10"/>
  <c r="U150" i="10" s="1"/>
  <c r="L150" i="10"/>
  <c r="M150" i="10" s="1"/>
  <c r="AN149" i="10"/>
  <c r="AH149" i="10"/>
  <c r="AD149" i="10"/>
  <c r="S149" i="10"/>
  <c r="U149" i="10" s="1"/>
  <c r="L149" i="10"/>
  <c r="M149" i="10" s="1"/>
  <c r="AN148" i="10"/>
  <c r="AH148" i="10"/>
  <c r="AD148" i="10"/>
  <c r="S148" i="10"/>
  <c r="U148" i="10" s="1"/>
  <c r="L148" i="10"/>
  <c r="M148" i="10" s="1"/>
  <c r="AN147" i="10"/>
  <c r="AH147" i="10"/>
  <c r="AD147" i="10"/>
  <c r="S147" i="10"/>
  <c r="U147" i="10" s="1"/>
  <c r="L147" i="10"/>
  <c r="M147" i="10" s="1"/>
  <c r="AN146" i="10"/>
  <c r="AH146" i="10"/>
  <c r="AD146" i="10"/>
  <c r="S146" i="10"/>
  <c r="U146" i="10" s="1"/>
  <c r="L146" i="10"/>
  <c r="AN145" i="10"/>
  <c r="AH145" i="10"/>
  <c r="AD145" i="10"/>
  <c r="S145" i="10"/>
  <c r="U145" i="10" s="1"/>
  <c r="L145" i="10"/>
  <c r="AN144" i="10"/>
  <c r="AH144" i="10"/>
  <c r="AD144" i="10"/>
  <c r="S144" i="10"/>
  <c r="U144" i="10" s="1"/>
  <c r="L144" i="10"/>
  <c r="M144" i="10" s="1"/>
  <c r="AN143" i="10"/>
  <c r="AH143" i="10"/>
  <c r="AD143" i="10"/>
  <c r="S143" i="10"/>
  <c r="U143" i="10" s="1"/>
  <c r="L143" i="10"/>
  <c r="M143" i="10" s="1"/>
  <c r="AN142" i="10"/>
  <c r="AH142" i="10"/>
  <c r="AD142" i="10"/>
  <c r="S142" i="10"/>
  <c r="U142" i="10" s="1"/>
  <c r="L142" i="10"/>
  <c r="M142" i="10" s="1"/>
  <c r="AN141" i="10"/>
  <c r="AH141" i="10"/>
  <c r="AH151" i="10" s="1"/>
  <c r="AD141" i="10"/>
  <c r="AN153" i="10" l="1"/>
  <c r="AD151" i="10"/>
  <c r="T116" i="10"/>
  <c r="S133" i="10"/>
  <c r="U133" i="10" s="1"/>
  <c r="K133" i="10" s="1"/>
  <c r="L133" i="10"/>
  <c r="M133" i="10" s="1"/>
  <c r="S132" i="10"/>
  <c r="U132" i="10" s="1"/>
  <c r="K132" i="10" s="1"/>
  <c r="L132" i="10"/>
  <c r="M132" i="10" s="1"/>
  <c r="S131" i="10"/>
  <c r="U131" i="10" s="1"/>
  <c r="K131" i="10" s="1"/>
  <c r="L131" i="10"/>
  <c r="M131" i="10" s="1"/>
  <c r="S130" i="10"/>
  <c r="K130" i="10" s="1"/>
  <c r="L130" i="10"/>
  <c r="M130" i="10" s="1"/>
  <c r="K129" i="10"/>
  <c r="S129" i="10"/>
  <c r="L129" i="10"/>
  <c r="M129" i="10" s="1"/>
  <c r="S128" i="10"/>
  <c r="U128" i="10" s="1"/>
  <c r="L128" i="10"/>
  <c r="M128" i="10" s="1"/>
  <c r="S127" i="10"/>
  <c r="U127" i="10" s="1"/>
  <c r="L127" i="10"/>
  <c r="M127" i="10" s="1"/>
  <c r="AK126" i="10"/>
  <c r="S126" i="10"/>
  <c r="U126" i="10" s="1"/>
  <c r="L126" i="10"/>
  <c r="M126" i="10" s="1"/>
  <c r="S125" i="10"/>
  <c r="U125" i="10" s="1"/>
  <c r="K125" i="10" s="1"/>
  <c r="L125" i="10"/>
  <c r="S124" i="10"/>
  <c r="U124" i="10" s="1"/>
  <c r="L124" i="10"/>
  <c r="M124" i="10" s="1"/>
  <c r="S123" i="10"/>
  <c r="U123" i="10" s="1"/>
  <c r="K123" i="10" s="1"/>
  <c r="L123" i="10"/>
  <c r="M123" i="10" s="1"/>
  <c r="AN122" i="10"/>
  <c r="AH122" i="10"/>
  <c r="AD122" i="10"/>
  <c r="S122" i="10"/>
  <c r="U122" i="10" s="1"/>
  <c r="K122" i="10" s="1"/>
  <c r="L122" i="10"/>
  <c r="M122" i="10" s="1"/>
  <c r="AN121" i="10"/>
  <c r="AH121" i="10"/>
  <c r="AD121" i="10"/>
  <c r="S121" i="10"/>
  <c r="U121" i="10" s="1"/>
  <c r="K121" i="10" s="1"/>
  <c r="L121" i="10"/>
  <c r="M121" i="10" s="1"/>
  <c r="AN120" i="10"/>
  <c r="AH120" i="10"/>
  <c r="AD120" i="10"/>
  <c r="S120" i="10"/>
  <c r="U120" i="10" s="1"/>
  <c r="K120" i="10" s="1"/>
  <c r="L120" i="10"/>
  <c r="M120" i="10" s="1"/>
  <c r="AN119" i="10"/>
  <c r="AH119" i="10"/>
  <c r="AD119" i="10"/>
  <c r="S119" i="10"/>
  <c r="U119" i="10" s="1"/>
  <c r="K119" i="10" s="1"/>
  <c r="L119" i="10"/>
  <c r="M119" i="10" s="1"/>
  <c r="AN118" i="10"/>
  <c r="AH118" i="10"/>
  <c r="AD118" i="10"/>
  <c r="S118" i="10"/>
  <c r="U118" i="10" s="1"/>
  <c r="K118" i="10" s="1"/>
  <c r="L118" i="10"/>
  <c r="M118" i="10" s="1"/>
  <c r="AN117" i="10"/>
  <c r="AH117" i="10"/>
  <c r="AD117" i="10"/>
  <c r="S117" i="10"/>
  <c r="U117" i="10" s="1"/>
  <c r="K117" i="10" s="1"/>
  <c r="L117" i="10"/>
  <c r="M117" i="10" s="1"/>
  <c r="AN116" i="10"/>
  <c r="AH116" i="10"/>
  <c r="AD116" i="10"/>
  <c r="S116" i="10"/>
  <c r="U116" i="10" s="1"/>
  <c r="K116" i="10" s="1"/>
  <c r="L116" i="10"/>
  <c r="M116" i="10" s="1"/>
  <c r="AN115" i="10"/>
  <c r="AH115" i="10"/>
  <c r="AD115" i="10"/>
  <c r="S115" i="10"/>
  <c r="U115" i="10" s="1"/>
  <c r="K115" i="10" s="1"/>
  <c r="L115" i="10"/>
  <c r="M115" i="10" s="1"/>
  <c r="AN114" i="10"/>
  <c r="AH114" i="10"/>
  <c r="AD114" i="10"/>
  <c r="AN126" i="10" l="1"/>
  <c r="AH124" i="10"/>
  <c r="AD124" i="10"/>
  <c r="S106" i="10"/>
  <c r="U106" i="10" s="1"/>
  <c r="K106" i="10" s="1"/>
  <c r="L106" i="10"/>
  <c r="M106" i="10" s="1"/>
  <c r="S105" i="10"/>
  <c r="U105" i="10" s="1"/>
  <c r="K105" i="10" s="1"/>
  <c r="L105" i="10"/>
  <c r="M105" i="10" s="1"/>
  <c r="S104" i="10"/>
  <c r="U104" i="10" s="1"/>
  <c r="K104" i="10" s="1"/>
  <c r="L104" i="10"/>
  <c r="M104" i="10" s="1"/>
  <c r="S103" i="10"/>
  <c r="K103" i="10" s="1"/>
  <c r="L103" i="10"/>
  <c r="M103" i="10" s="1"/>
  <c r="S102" i="10"/>
  <c r="L102" i="10"/>
  <c r="M102" i="10" s="1"/>
  <c r="S101" i="10"/>
  <c r="L101" i="10"/>
  <c r="M101" i="10" s="1"/>
  <c r="S100" i="10"/>
  <c r="L100" i="10"/>
  <c r="M100" i="10" s="1"/>
  <c r="AK99" i="10"/>
  <c r="S99" i="10"/>
  <c r="L99" i="10"/>
  <c r="M99" i="10" s="1"/>
  <c r="S98" i="10"/>
  <c r="L98" i="10"/>
  <c r="M98" i="10" s="1"/>
  <c r="S97" i="10"/>
  <c r="L97" i="10"/>
  <c r="M97" i="10" s="1"/>
  <c r="S96" i="10"/>
  <c r="L96" i="10"/>
  <c r="M96" i="10" s="1"/>
  <c r="AN95" i="10"/>
  <c r="AH95" i="10"/>
  <c r="AD95" i="10"/>
  <c r="S95" i="10"/>
  <c r="L95" i="10"/>
  <c r="M95" i="10" s="1"/>
  <c r="K95" i="10"/>
  <c r="AN94" i="10"/>
  <c r="AH94" i="10"/>
  <c r="AD94" i="10"/>
  <c r="S94" i="10"/>
  <c r="L94" i="10"/>
  <c r="M94" i="10" s="1"/>
  <c r="AN93" i="10"/>
  <c r="AH93" i="10"/>
  <c r="AD93" i="10"/>
  <c r="S93" i="10"/>
  <c r="K93" i="10" s="1"/>
  <c r="L93" i="10"/>
  <c r="M93" i="10" s="1"/>
  <c r="AN92" i="10"/>
  <c r="AH92" i="10"/>
  <c r="AD92" i="10"/>
  <c r="S92" i="10"/>
  <c r="U92" i="10" s="1"/>
  <c r="K92" i="10" s="1"/>
  <c r="L92" i="10"/>
  <c r="M92" i="10" s="1"/>
  <c r="AN91" i="10"/>
  <c r="AH91" i="10"/>
  <c r="AD91" i="10"/>
  <c r="S91" i="10"/>
  <c r="U91" i="10" s="1"/>
  <c r="K91" i="10" s="1"/>
  <c r="L91" i="10"/>
  <c r="M91" i="10" s="1"/>
  <c r="AN90" i="10"/>
  <c r="AH90" i="10"/>
  <c r="AD90" i="10"/>
  <c r="S90" i="10"/>
  <c r="U90" i="10" s="1"/>
  <c r="K90" i="10" s="1"/>
  <c r="L90" i="10"/>
  <c r="M90" i="10" s="1"/>
  <c r="AN89" i="10"/>
  <c r="AH89" i="10"/>
  <c r="AD89" i="10"/>
  <c r="S89" i="10"/>
  <c r="U89" i="10" s="1"/>
  <c r="K89" i="10" s="1"/>
  <c r="L89" i="10"/>
  <c r="M89" i="10" s="1"/>
  <c r="AN88" i="10"/>
  <c r="AH88" i="10"/>
  <c r="AD88" i="10"/>
  <c r="S88" i="10"/>
  <c r="U88" i="10" s="1"/>
  <c r="K88" i="10" s="1"/>
  <c r="L88" i="10"/>
  <c r="M88" i="10" s="1"/>
  <c r="AN87" i="10"/>
  <c r="AH87" i="10"/>
  <c r="AD87" i="10"/>
  <c r="AD97" i="10" l="1"/>
  <c r="AH97" i="10"/>
  <c r="AN99" i="10"/>
  <c r="U107" i="10"/>
  <c r="AJ59" i="10"/>
  <c r="S77" i="10"/>
  <c r="U77" i="10" s="1"/>
  <c r="K77" i="10" s="1"/>
  <c r="L77" i="10"/>
  <c r="M77" i="10" s="1"/>
  <c r="S76" i="10"/>
  <c r="U76" i="10" s="1"/>
  <c r="K76" i="10" s="1"/>
  <c r="L76" i="10"/>
  <c r="M76" i="10" s="1"/>
  <c r="S75" i="10"/>
  <c r="U75" i="10" s="1"/>
  <c r="K75" i="10" s="1"/>
  <c r="L75" i="10"/>
  <c r="M75" i="10" s="1"/>
  <c r="S74" i="10"/>
  <c r="U74" i="10" s="1"/>
  <c r="K74" i="10" s="1"/>
  <c r="L74" i="10"/>
  <c r="M74" i="10" s="1"/>
  <c r="S73" i="10"/>
  <c r="L73" i="10"/>
  <c r="M73" i="10" s="1"/>
  <c r="S72" i="10"/>
  <c r="L72" i="10"/>
  <c r="M72" i="10" s="1"/>
  <c r="S71" i="10"/>
  <c r="L71" i="10"/>
  <c r="M71" i="10" s="1"/>
  <c r="AK70" i="10"/>
  <c r="S70" i="10"/>
  <c r="L70" i="10"/>
  <c r="M70" i="10" s="1"/>
  <c r="S69" i="10"/>
  <c r="L69" i="10"/>
  <c r="M69" i="10" s="1"/>
  <c r="S68" i="10"/>
  <c r="L68" i="10"/>
  <c r="M68" i="10" s="1"/>
  <c r="S67" i="10"/>
  <c r="M67" i="10"/>
  <c r="L67" i="10"/>
  <c r="AN66" i="10"/>
  <c r="AH66" i="10"/>
  <c r="AD66" i="10"/>
  <c r="S66" i="10"/>
  <c r="U66" i="10" s="1"/>
  <c r="K66" i="10" s="1"/>
  <c r="L66" i="10"/>
  <c r="M66" i="10" s="1"/>
  <c r="AN65" i="10"/>
  <c r="AH65" i="10"/>
  <c r="AD65" i="10"/>
  <c r="S65" i="10"/>
  <c r="U65" i="10" s="1"/>
  <c r="K65" i="10" s="1"/>
  <c r="L65" i="10"/>
  <c r="M65" i="10" s="1"/>
  <c r="AN64" i="10"/>
  <c r="AH64" i="10"/>
  <c r="AD64" i="10"/>
  <c r="S64" i="10"/>
  <c r="U64" i="10" s="1"/>
  <c r="K64" i="10" s="1"/>
  <c r="L64" i="10"/>
  <c r="M64" i="10" s="1"/>
  <c r="AN63" i="10"/>
  <c r="AH63" i="10"/>
  <c r="AD63" i="10"/>
  <c r="S63" i="10"/>
  <c r="U63" i="10" s="1"/>
  <c r="K63" i="10" s="1"/>
  <c r="L63" i="10"/>
  <c r="M63" i="10" s="1"/>
  <c r="AN62" i="10"/>
  <c r="AH62" i="10"/>
  <c r="AD62" i="10"/>
  <c r="S62" i="10"/>
  <c r="U62" i="10" s="1"/>
  <c r="K62" i="10" s="1"/>
  <c r="L62" i="10"/>
  <c r="M62" i="10" s="1"/>
  <c r="AN61" i="10"/>
  <c r="AH61" i="10"/>
  <c r="AD61" i="10"/>
  <c r="S61" i="10"/>
  <c r="U61" i="10" s="1"/>
  <c r="K61" i="10" s="1"/>
  <c r="L61" i="10"/>
  <c r="M61" i="10" s="1"/>
  <c r="AN60" i="10"/>
  <c r="AH60" i="10"/>
  <c r="AD60" i="10"/>
  <c r="S60" i="10"/>
  <c r="L60" i="10"/>
  <c r="M60" i="10" s="1"/>
  <c r="K60" i="10"/>
  <c r="AN59" i="10"/>
  <c r="AH59" i="10"/>
  <c r="AD59" i="10"/>
  <c r="S59" i="10"/>
  <c r="U59" i="10" s="1"/>
  <c r="K59" i="10" s="1"/>
  <c r="L59" i="10"/>
  <c r="M59" i="10" s="1"/>
  <c r="AN58" i="10"/>
  <c r="AH58" i="10"/>
  <c r="AD58" i="10"/>
  <c r="U78" i="10" l="1"/>
  <c r="AN70" i="10"/>
  <c r="AH68" i="10"/>
  <c r="AD68" i="10"/>
  <c r="I29" i="10"/>
  <c r="J29" i="10"/>
  <c r="K29" i="10" s="1"/>
  <c r="S51" i="10"/>
  <c r="U51" i="10" s="1"/>
  <c r="K51" i="10" s="1"/>
  <c r="L51" i="10"/>
  <c r="M51" i="10" s="1"/>
  <c r="S50" i="10"/>
  <c r="U50" i="10" s="1"/>
  <c r="K50" i="10" s="1"/>
  <c r="L50" i="10"/>
  <c r="M50" i="10" s="1"/>
  <c r="S49" i="10"/>
  <c r="U49" i="10" s="1"/>
  <c r="K49" i="10" s="1"/>
  <c r="L49" i="10"/>
  <c r="M49" i="10" s="1"/>
  <c r="S48" i="10"/>
  <c r="U48" i="10" s="1"/>
  <c r="K48" i="10" s="1"/>
  <c r="L48" i="10"/>
  <c r="M48" i="10" s="1"/>
  <c r="S47" i="10"/>
  <c r="U47" i="10" s="1"/>
  <c r="K47" i="10" s="1"/>
  <c r="L47" i="10"/>
  <c r="M47" i="10" s="1"/>
  <c r="S46" i="10"/>
  <c r="U46" i="10" s="1"/>
  <c r="K46" i="10" s="1"/>
  <c r="L46" i="10"/>
  <c r="M46" i="10" s="1"/>
  <c r="S45" i="10"/>
  <c r="U45" i="10" s="1"/>
  <c r="K45" i="10" s="1"/>
  <c r="L45" i="10"/>
  <c r="M45" i="10" s="1"/>
  <c r="AK44" i="10"/>
  <c r="S44" i="10"/>
  <c r="L44" i="10"/>
  <c r="M44" i="10" s="1"/>
  <c r="K44" i="10"/>
  <c r="S43" i="10"/>
  <c r="K43" i="10" s="1"/>
  <c r="L43" i="10"/>
  <c r="M43" i="10" s="1"/>
  <c r="K42" i="10"/>
  <c r="S42" i="10"/>
  <c r="M42" i="10"/>
  <c r="L42" i="10"/>
  <c r="S41" i="10"/>
  <c r="U41" i="10" s="1"/>
  <c r="K41" i="10" s="1"/>
  <c r="L41" i="10"/>
  <c r="M41" i="10" s="1"/>
  <c r="AN40" i="10"/>
  <c r="AH40" i="10"/>
  <c r="AD40" i="10"/>
  <c r="S40" i="10"/>
  <c r="U40" i="10" s="1"/>
  <c r="K40" i="10" s="1"/>
  <c r="L40" i="10"/>
  <c r="M40" i="10" s="1"/>
  <c r="AN39" i="10"/>
  <c r="AH39" i="10"/>
  <c r="AD39" i="10"/>
  <c r="S39" i="10"/>
  <c r="U39" i="10" s="1"/>
  <c r="K39" i="10" s="1"/>
  <c r="L39" i="10"/>
  <c r="M39" i="10" s="1"/>
  <c r="AN38" i="10"/>
  <c r="AH38" i="10"/>
  <c r="AD38" i="10"/>
  <c r="S38" i="10"/>
  <c r="U38" i="10" s="1"/>
  <c r="K38" i="10" s="1"/>
  <c r="L38" i="10"/>
  <c r="M38" i="10" s="1"/>
  <c r="AN37" i="10"/>
  <c r="AH37" i="10"/>
  <c r="AD37" i="10"/>
  <c r="S37" i="10"/>
  <c r="U37" i="10" s="1"/>
  <c r="K37" i="10" s="1"/>
  <c r="L37" i="10"/>
  <c r="M37" i="10" s="1"/>
  <c r="AN36" i="10"/>
  <c r="AH36" i="10"/>
  <c r="AD36" i="10"/>
  <c r="S36" i="10"/>
  <c r="U36" i="10" s="1"/>
  <c r="K36" i="10" s="1"/>
  <c r="L36" i="10"/>
  <c r="M36" i="10" s="1"/>
  <c r="AN35" i="10"/>
  <c r="AH35" i="10"/>
  <c r="AD35" i="10"/>
  <c r="S35" i="10"/>
  <c r="L35" i="10"/>
  <c r="M35" i="10" s="1"/>
  <c r="AN34" i="10"/>
  <c r="AH34" i="10"/>
  <c r="AD34" i="10"/>
  <c r="S34" i="10"/>
  <c r="U34" i="10" s="1"/>
  <c r="K34" i="10" s="1"/>
  <c r="L34" i="10"/>
  <c r="M34" i="10" s="1"/>
  <c r="AN33" i="10"/>
  <c r="AH33" i="10"/>
  <c r="AD33" i="10"/>
  <c r="S33" i="10"/>
  <c r="U33" i="10" s="1"/>
  <c r="K33" i="10" s="1"/>
  <c r="L33" i="10"/>
  <c r="M33" i="10" s="1"/>
  <c r="AN32" i="10"/>
  <c r="AH32" i="10"/>
  <c r="AD32" i="10"/>
  <c r="AN44" i="10" l="1"/>
  <c r="U35" i="10"/>
  <c r="K35" i="10" s="1"/>
  <c r="AH42" i="10"/>
  <c r="AD42" i="10"/>
  <c r="H1" i="10"/>
  <c r="I1" i="10" s="1"/>
  <c r="S22" i="10"/>
  <c r="U22" i="10" s="1"/>
  <c r="K22" i="10" s="1"/>
  <c r="L22" i="10"/>
  <c r="M22" i="10" s="1"/>
  <c r="S21" i="10"/>
  <c r="U21" i="10" s="1"/>
  <c r="K21" i="10" s="1"/>
  <c r="L21" i="10"/>
  <c r="M21" i="10" s="1"/>
  <c r="S20" i="10"/>
  <c r="U20" i="10" s="1"/>
  <c r="K20" i="10" s="1"/>
  <c r="L20" i="10"/>
  <c r="M20" i="10" s="1"/>
  <c r="S19" i="10"/>
  <c r="U19" i="10" s="1"/>
  <c r="K19" i="10" s="1"/>
  <c r="L19" i="10"/>
  <c r="M19" i="10" s="1"/>
  <c r="S18" i="10"/>
  <c r="U18" i="10" s="1"/>
  <c r="K18" i="10" s="1"/>
  <c r="L18" i="10"/>
  <c r="M18" i="10" s="1"/>
  <c r="S17" i="10"/>
  <c r="U17" i="10" s="1"/>
  <c r="K17" i="10" s="1"/>
  <c r="L17" i="10"/>
  <c r="M17" i="10" s="1"/>
  <c r="S16" i="10"/>
  <c r="U16" i="10" s="1"/>
  <c r="K16" i="10" s="1"/>
  <c r="L16" i="10"/>
  <c r="M16" i="10" s="1"/>
  <c r="AK15" i="10"/>
  <c r="K15" i="10"/>
  <c r="S15" i="10"/>
  <c r="L15" i="10"/>
  <c r="M15" i="10" s="1"/>
  <c r="S14" i="10"/>
  <c r="K14" i="10" s="1"/>
  <c r="L14" i="10"/>
  <c r="M14" i="10" s="1"/>
  <c r="S13" i="10"/>
  <c r="L13" i="10"/>
  <c r="M13" i="10" s="1"/>
  <c r="S12" i="10"/>
  <c r="U12" i="10" s="1"/>
  <c r="K12" i="10" s="1"/>
  <c r="L12" i="10"/>
  <c r="M12" i="10" s="1"/>
  <c r="AN11" i="10"/>
  <c r="AH11" i="10"/>
  <c r="AD11" i="10"/>
  <c r="S11" i="10"/>
  <c r="U11" i="10" s="1"/>
  <c r="K11" i="10" s="1"/>
  <c r="L11" i="10"/>
  <c r="M11" i="10" s="1"/>
  <c r="AN10" i="10"/>
  <c r="AH10" i="10"/>
  <c r="AD10" i="10"/>
  <c r="S10" i="10"/>
  <c r="U10" i="10" s="1"/>
  <c r="K10" i="10" s="1"/>
  <c r="L10" i="10"/>
  <c r="M10" i="10" s="1"/>
  <c r="AN9" i="10"/>
  <c r="AH9" i="10"/>
  <c r="AD9" i="10"/>
  <c r="S9" i="10"/>
  <c r="U9" i="10" s="1"/>
  <c r="K9" i="10" s="1"/>
  <c r="L9" i="10"/>
  <c r="M9" i="10" s="1"/>
  <c r="AN8" i="10"/>
  <c r="AH8" i="10"/>
  <c r="AD8" i="10"/>
  <c r="S8" i="10"/>
  <c r="U8" i="10" s="1"/>
  <c r="K8" i="10" s="1"/>
  <c r="L8" i="10"/>
  <c r="M8" i="10" s="1"/>
  <c r="AN7" i="10"/>
  <c r="AH7" i="10"/>
  <c r="AD7" i="10"/>
  <c r="S7" i="10"/>
  <c r="U7" i="10" s="1"/>
  <c r="K7" i="10" s="1"/>
  <c r="L7" i="10"/>
  <c r="M7" i="10" s="1"/>
  <c r="AN6" i="10"/>
  <c r="AH6" i="10"/>
  <c r="AD6" i="10"/>
  <c r="S6" i="10"/>
  <c r="U6" i="10" s="1"/>
  <c r="K6" i="10" s="1"/>
  <c r="L6" i="10"/>
  <c r="M6" i="10" s="1"/>
  <c r="AN5" i="10"/>
  <c r="AH5" i="10"/>
  <c r="AD5" i="10"/>
  <c r="S5" i="10"/>
  <c r="U5" i="10" s="1"/>
  <c r="K5" i="10" s="1"/>
  <c r="L5" i="10"/>
  <c r="M5" i="10" s="1"/>
  <c r="AN4" i="10"/>
  <c r="AN15" i="10" s="1"/>
  <c r="AH4" i="10"/>
  <c r="AD4" i="10"/>
  <c r="S4" i="10"/>
  <c r="U4" i="10" s="1"/>
  <c r="K4" i="10" s="1"/>
  <c r="L4" i="10"/>
  <c r="M4" i="10" s="1"/>
  <c r="AN3" i="10"/>
  <c r="AH3" i="10"/>
  <c r="AH13" i="10" s="1"/>
  <c r="AD3" i="10"/>
  <c r="AD13" i="10" l="1"/>
  <c r="S197" i="9" l="1"/>
  <c r="U197" i="9" s="1"/>
  <c r="K197" i="9" s="1"/>
  <c r="L197" i="9"/>
  <c r="M197" i="9" s="1"/>
  <c r="S196" i="9"/>
  <c r="U196" i="9" s="1"/>
  <c r="K196" i="9" s="1"/>
  <c r="L196" i="9"/>
  <c r="M196" i="9" s="1"/>
  <c r="S195" i="9"/>
  <c r="U195" i="9" s="1"/>
  <c r="K195" i="9" s="1"/>
  <c r="L195" i="9"/>
  <c r="M195" i="9" s="1"/>
  <c r="S194" i="9"/>
  <c r="L194" i="9"/>
  <c r="M194" i="9" s="1"/>
  <c r="S193" i="9"/>
  <c r="L193" i="9"/>
  <c r="M193" i="9" s="1"/>
  <c r="S192" i="9"/>
  <c r="K192" i="9" s="1"/>
  <c r="L192" i="9"/>
  <c r="M192" i="9" s="1"/>
  <c r="S191" i="9"/>
  <c r="L191" i="9"/>
  <c r="M191" i="9" s="1"/>
  <c r="K191" i="9"/>
  <c r="AK190" i="9"/>
  <c r="S190" i="9"/>
  <c r="K190" i="9" s="1"/>
  <c r="L190" i="9"/>
  <c r="M190" i="9" s="1"/>
  <c r="S189" i="9"/>
  <c r="M189" i="9"/>
  <c r="L189" i="9"/>
  <c r="K189" i="9"/>
  <c r="S188" i="9"/>
  <c r="U188" i="9" s="1"/>
  <c r="K188" i="9" s="1"/>
  <c r="L188" i="9"/>
  <c r="M188" i="9" s="1"/>
  <c r="S187" i="9"/>
  <c r="L187" i="9"/>
  <c r="M187" i="9" s="1"/>
  <c r="K187" i="9"/>
  <c r="AN186" i="9"/>
  <c r="AH186" i="9"/>
  <c r="AD186" i="9"/>
  <c r="K186" i="9"/>
  <c r="S186" i="9"/>
  <c r="L186" i="9"/>
  <c r="M186" i="9" s="1"/>
  <c r="AN185" i="9"/>
  <c r="AH185" i="9"/>
  <c r="AD185" i="9"/>
  <c r="S185" i="9"/>
  <c r="L185" i="9"/>
  <c r="M185" i="9" s="1"/>
  <c r="K185" i="9"/>
  <c r="AN184" i="9"/>
  <c r="AH184" i="9"/>
  <c r="AD184" i="9"/>
  <c r="K184" i="9"/>
  <c r="S184" i="9"/>
  <c r="L184" i="9"/>
  <c r="AN183" i="9"/>
  <c r="AH183" i="9"/>
  <c r="AD183" i="9"/>
  <c r="K183" i="9"/>
  <c r="S183" i="9"/>
  <c r="M183" i="9"/>
  <c r="L183" i="9"/>
  <c r="AN182" i="9"/>
  <c r="AH182" i="9"/>
  <c r="AD182" i="9"/>
  <c r="S182" i="9"/>
  <c r="U182" i="9" s="1"/>
  <c r="L182" i="9"/>
  <c r="AN181" i="9"/>
  <c r="AH181" i="9"/>
  <c r="AD181" i="9"/>
  <c r="S181" i="9"/>
  <c r="L181" i="9"/>
  <c r="M181" i="9" s="1"/>
  <c r="AN180" i="9"/>
  <c r="AH180" i="9"/>
  <c r="AD180" i="9"/>
  <c r="K180" i="9"/>
  <c r="S180" i="9"/>
  <c r="L180" i="9"/>
  <c r="M180" i="9" s="1"/>
  <c r="AN179" i="9"/>
  <c r="AN190" i="9" s="1"/>
  <c r="AH179" i="9"/>
  <c r="AD179" i="9"/>
  <c r="U179" i="9"/>
  <c r="S179" i="9"/>
  <c r="L179" i="9"/>
  <c r="M179" i="9" s="1"/>
  <c r="AN178" i="9"/>
  <c r="AH178" i="9"/>
  <c r="AD178" i="9"/>
  <c r="AD188" i="9" s="1"/>
  <c r="U198" i="9" l="1"/>
  <c r="K179" i="9"/>
  <c r="AH188" i="9"/>
  <c r="S170" i="9"/>
  <c r="U170" i="9" s="1"/>
  <c r="K170" i="9" s="1"/>
  <c r="L170" i="9"/>
  <c r="M170" i="9" s="1"/>
  <c r="S169" i="9"/>
  <c r="U169" i="9" s="1"/>
  <c r="L169" i="9"/>
  <c r="M169" i="9" s="1"/>
  <c r="S168" i="9"/>
  <c r="U168" i="9" s="1"/>
  <c r="K168" i="9" s="1"/>
  <c r="L168" i="9"/>
  <c r="M168" i="9" s="1"/>
  <c r="S167" i="9"/>
  <c r="L167" i="9"/>
  <c r="M167" i="9" s="1"/>
  <c r="K167" i="9"/>
  <c r="S166" i="9"/>
  <c r="L166" i="9"/>
  <c r="S165" i="9"/>
  <c r="L165" i="9"/>
  <c r="M162" i="9"/>
  <c r="S171" i="9"/>
  <c r="U171" i="9" s="1"/>
  <c r="K171" i="9" s="1"/>
  <c r="L171" i="9"/>
  <c r="M171" i="9" s="1"/>
  <c r="S164" i="9"/>
  <c r="K164" i="9" s="1"/>
  <c r="L164" i="9"/>
  <c r="M164" i="9" s="1"/>
  <c r="S163" i="9"/>
  <c r="U163" i="9" s="1"/>
  <c r="K163" i="9" s="1"/>
  <c r="L163" i="9"/>
  <c r="M163" i="9" s="1"/>
  <c r="S162" i="9"/>
  <c r="U162" i="9" s="1"/>
  <c r="S161" i="9"/>
  <c r="U161" i="9" s="1"/>
  <c r="K161" i="9" s="1"/>
  <c r="L161" i="9"/>
  <c r="M161" i="9" s="1"/>
  <c r="S160" i="9"/>
  <c r="L160" i="9"/>
  <c r="M160" i="9" s="1"/>
  <c r="S159" i="9"/>
  <c r="L159" i="9"/>
  <c r="M159" i="9" s="1"/>
  <c r="K159" i="9"/>
  <c r="AK158" i="9"/>
  <c r="S158" i="9"/>
  <c r="K158" i="9" s="1"/>
  <c r="L158" i="9"/>
  <c r="M158" i="9" s="1"/>
  <c r="S157" i="9"/>
  <c r="L157" i="9"/>
  <c r="S156" i="9"/>
  <c r="U156" i="9" s="1"/>
  <c r="L156" i="9"/>
  <c r="M156" i="9" s="1"/>
  <c r="S155" i="9"/>
  <c r="K155" i="9" s="1"/>
  <c r="L155" i="9"/>
  <c r="M155" i="9" s="1"/>
  <c r="AN154" i="9"/>
  <c r="AH154" i="9"/>
  <c r="AD154" i="9"/>
  <c r="S154" i="9"/>
  <c r="L154" i="9"/>
  <c r="M154" i="9" s="1"/>
  <c r="AN153" i="9"/>
  <c r="AH153" i="9"/>
  <c r="AD153" i="9"/>
  <c r="S153" i="9"/>
  <c r="L153" i="9"/>
  <c r="M153" i="9" s="1"/>
  <c r="AN152" i="9"/>
  <c r="AH152" i="9"/>
  <c r="AD152" i="9"/>
  <c r="S152" i="9"/>
  <c r="L152" i="9"/>
  <c r="M152" i="9" s="1"/>
  <c r="AN151" i="9"/>
  <c r="AH151" i="9"/>
  <c r="AD151" i="9"/>
  <c r="S151" i="9"/>
  <c r="L151" i="9"/>
  <c r="M151" i="9" s="1"/>
  <c r="K151" i="9"/>
  <c r="AN150" i="9"/>
  <c r="AH150" i="9"/>
  <c r="AD150" i="9"/>
  <c r="S150" i="9"/>
  <c r="L150" i="9"/>
  <c r="AN149" i="9"/>
  <c r="AH149" i="9"/>
  <c r="AD149" i="9"/>
  <c r="K149" i="9"/>
  <c r="S149" i="9"/>
  <c r="L149" i="9"/>
  <c r="M149" i="9" s="1"/>
  <c r="AN148" i="9"/>
  <c r="AH148" i="9"/>
  <c r="AD148" i="9"/>
  <c r="S148" i="9"/>
  <c r="L148" i="9"/>
  <c r="M148" i="9" s="1"/>
  <c r="AN147" i="9"/>
  <c r="AH147" i="9"/>
  <c r="AD147" i="9"/>
  <c r="K147" i="9"/>
  <c r="S147" i="9"/>
  <c r="L147" i="9"/>
  <c r="M147" i="9" s="1"/>
  <c r="AN146" i="9"/>
  <c r="AH146" i="9"/>
  <c r="AD146" i="9"/>
  <c r="AD156" i="9" l="1"/>
  <c r="AH156" i="9"/>
  <c r="AN158" i="9"/>
  <c r="S138" i="9"/>
  <c r="U138" i="9" s="1"/>
  <c r="K138" i="9" s="1"/>
  <c r="L138" i="9"/>
  <c r="M138" i="9" s="1"/>
  <c r="S137" i="9"/>
  <c r="U137" i="9" s="1"/>
  <c r="K137" i="9" s="1"/>
  <c r="L137" i="9"/>
  <c r="M137" i="9" s="1"/>
  <c r="S136" i="9"/>
  <c r="U136" i="9" s="1"/>
  <c r="K136" i="9" s="1"/>
  <c r="L136" i="9"/>
  <c r="M136" i="9" s="1"/>
  <c r="S135" i="9"/>
  <c r="U135" i="9" s="1"/>
  <c r="K135" i="9" s="1"/>
  <c r="L135" i="9"/>
  <c r="M135" i="9" s="1"/>
  <c r="S134" i="9"/>
  <c r="U134" i="9" s="1"/>
  <c r="K134" i="9" s="1"/>
  <c r="L134" i="9"/>
  <c r="M134" i="9" s="1"/>
  <c r="S133" i="9"/>
  <c r="L133" i="9"/>
  <c r="M133" i="9" s="1"/>
  <c r="K132" i="9"/>
  <c r="S132" i="9"/>
  <c r="L132" i="9"/>
  <c r="M132" i="9" s="1"/>
  <c r="AK131" i="9"/>
  <c r="S131" i="9"/>
  <c r="L131" i="9"/>
  <c r="M131" i="9" s="1"/>
  <c r="S130" i="9"/>
  <c r="U130" i="9" s="1"/>
  <c r="K130" i="9" s="1"/>
  <c r="L130" i="9"/>
  <c r="M130" i="9" s="1"/>
  <c r="S129" i="9"/>
  <c r="L129" i="9"/>
  <c r="M129" i="9" s="1"/>
  <c r="K129" i="9"/>
  <c r="S128" i="9"/>
  <c r="K128" i="9" s="1"/>
  <c r="L128" i="9"/>
  <c r="M128" i="9" s="1"/>
  <c r="AN127" i="9"/>
  <c r="AH127" i="9"/>
  <c r="AD127" i="9"/>
  <c r="S127" i="9"/>
  <c r="L127" i="9"/>
  <c r="M127" i="9" s="1"/>
  <c r="AN126" i="9"/>
  <c r="AH126" i="9"/>
  <c r="AD126" i="9"/>
  <c r="S126" i="9"/>
  <c r="K126" i="9" s="1"/>
  <c r="L126" i="9"/>
  <c r="M126" i="9" s="1"/>
  <c r="AN125" i="9"/>
  <c r="AH125" i="9"/>
  <c r="AD125" i="9"/>
  <c r="S125" i="9"/>
  <c r="L125" i="9"/>
  <c r="M125" i="9" s="1"/>
  <c r="AN124" i="9"/>
  <c r="AH124" i="9"/>
  <c r="AD124" i="9"/>
  <c r="S124" i="9"/>
  <c r="U124" i="9" s="1"/>
  <c r="K124" i="9" s="1"/>
  <c r="L124" i="9"/>
  <c r="M124" i="9" s="1"/>
  <c r="AN123" i="9"/>
  <c r="AH123" i="9"/>
  <c r="AD123" i="9"/>
  <c r="S123" i="9"/>
  <c r="U123" i="9" s="1"/>
  <c r="K123" i="9" s="1"/>
  <c r="L123" i="9"/>
  <c r="M123" i="9" s="1"/>
  <c r="AN122" i="9"/>
  <c r="AH122" i="9"/>
  <c r="AD122" i="9"/>
  <c r="S122" i="9"/>
  <c r="U122" i="9" s="1"/>
  <c r="K122" i="9" s="1"/>
  <c r="L122" i="9"/>
  <c r="M122" i="9" s="1"/>
  <c r="AN121" i="9"/>
  <c r="AH121" i="9"/>
  <c r="AD121" i="9"/>
  <c r="S121" i="9"/>
  <c r="U121" i="9" s="1"/>
  <c r="K121" i="9" s="1"/>
  <c r="L121" i="9"/>
  <c r="M121" i="9" s="1"/>
  <c r="AN120" i="9"/>
  <c r="AH120" i="9"/>
  <c r="AD120" i="9"/>
  <c r="S120" i="9"/>
  <c r="U120" i="9" s="1"/>
  <c r="K120" i="9" s="1"/>
  <c r="L120" i="9"/>
  <c r="M120" i="9" s="1"/>
  <c r="AN119" i="9"/>
  <c r="AH119" i="9"/>
  <c r="AD119" i="9"/>
  <c r="AN131" i="9" l="1"/>
  <c r="AH129" i="9"/>
  <c r="AD129" i="9"/>
  <c r="P110" i="9"/>
  <c r="I109" i="9"/>
  <c r="V109" i="9"/>
  <c r="I113" i="9"/>
  <c r="E110" i="9"/>
  <c r="F110" i="9" s="1"/>
  <c r="N54" i="9"/>
  <c r="O83" i="9"/>
  <c r="S106" i="9"/>
  <c r="U106" i="9" s="1"/>
  <c r="K106" i="9" s="1"/>
  <c r="L106" i="9"/>
  <c r="M106" i="9" s="1"/>
  <c r="S104" i="9"/>
  <c r="U104" i="9" s="1"/>
  <c r="K104" i="9" s="1"/>
  <c r="L104" i="9"/>
  <c r="M104" i="9" s="1"/>
  <c r="S103" i="9"/>
  <c r="U103" i="9" s="1"/>
  <c r="K103" i="9" s="1"/>
  <c r="L103" i="9"/>
  <c r="M103" i="9" s="1"/>
  <c r="S102" i="9"/>
  <c r="U102" i="9" s="1"/>
  <c r="K102" i="9" s="1"/>
  <c r="L102" i="9"/>
  <c r="M102" i="9" s="1"/>
  <c r="S101" i="9"/>
  <c r="U101" i="9" s="1"/>
  <c r="K101" i="9" s="1"/>
  <c r="L101" i="9"/>
  <c r="M101" i="9" s="1"/>
  <c r="U100" i="9"/>
  <c r="K100" i="9" s="1"/>
  <c r="S100" i="9"/>
  <c r="L100" i="9"/>
  <c r="M100" i="9" s="1"/>
  <c r="S99" i="9"/>
  <c r="U99" i="9" s="1"/>
  <c r="K99" i="9" s="1"/>
  <c r="L99" i="9"/>
  <c r="M99" i="9" s="1"/>
  <c r="AK98" i="9"/>
  <c r="S98" i="9"/>
  <c r="U98" i="9" s="1"/>
  <c r="K98" i="9" s="1"/>
  <c r="L98" i="9"/>
  <c r="M98" i="9" s="1"/>
  <c r="S97" i="9"/>
  <c r="U97" i="9" s="1"/>
  <c r="K97" i="9" s="1"/>
  <c r="L97" i="9"/>
  <c r="M97" i="9" s="1"/>
  <c r="U96" i="9"/>
  <c r="S96" i="9"/>
  <c r="M96" i="9"/>
  <c r="L96" i="9"/>
  <c r="K96" i="9"/>
  <c r="S95" i="9"/>
  <c r="U95" i="9" s="1"/>
  <c r="K95" i="9" s="1"/>
  <c r="L95" i="9"/>
  <c r="M95" i="9" s="1"/>
  <c r="AN94" i="9"/>
  <c r="AH94" i="9"/>
  <c r="AD94" i="9"/>
  <c r="S94" i="9"/>
  <c r="U94" i="9" s="1"/>
  <c r="K94" i="9" s="1"/>
  <c r="L94" i="9"/>
  <c r="M94" i="9" s="1"/>
  <c r="AN93" i="9"/>
  <c r="AH93" i="9"/>
  <c r="AD93" i="9"/>
  <c r="S93" i="9"/>
  <c r="U93" i="9" s="1"/>
  <c r="K93" i="9" s="1"/>
  <c r="L93" i="9"/>
  <c r="M93" i="9" s="1"/>
  <c r="AN92" i="9"/>
  <c r="AH92" i="9"/>
  <c r="AD92" i="9"/>
  <c r="S92" i="9"/>
  <c r="U92" i="9" s="1"/>
  <c r="K92" i="9" s="1"/>
  <c r="L92" i="9"/>
  <c r="M92" i="9" s="1"/>
  <c r="AN91" i="9"/>
  <c r="AH91" i="9"/>
  <c r="AD91" i="9"/>
  <c r="S91" i="9"/>
  <c r="U91" i="9" s="1"/>
  <c r="K91" i="9" s="1"/>
  <c r="L91" i="9"/>
  <c r="M91" i="9" s="1"/>
  <c r="AN90" i="9"/>
  <c r="AH90" i="9"/>
  <c r="AD90" i="9"/>
  <c r="S90" i="9"/>
  <c r="U90" i="9" s="1"/>
  <c r="K90" i="9" s="1"/>
  <c r="L90" i="9"/>
  <c r="M90" i="9" s="1"/>
  <c r="AN89" i="9"/>
  <c r="AH89" i="9"/>
  <c r="AD89" i="9"/>
  <c r="S89" i="9"/>
  <c r="U89" i="9" s="1"/>
  <c r="K89" i="9" s="1"/>
  <c r="L89" i="9"/>
  <c r="M89" i="9" s="1"/>
  <c r="AN88" i="9"/>
  <c r="AH88" i="9"/>
  <c r="AD88" i="9"/>
  <c r="S88" i="9"/>
  <c r="U88" i="9" s="1"/>
  <c r="K88" i="9" s="1"/>
  <c r="L88" i="9"/>
  <c r="M88" i="9" s="1"/>
  <c r="AN87" i="9"/>
  <c r="AN98" i="9" s="1"/>
  <c r="AH87" i="9"/>
  <c r="AD87" i="9"/>
  <c r="S87" i="9"/>
  <c r="U87" i="9" s="1"/>
  <c r="K87" i="9" s="1"/>
  <c r="L87" i="9"/>
  <c r="M87" i="9" s="1"/>
  <c r="AN86" i="9"/>
  <c r="AH86" i="9"/>
  <c r="AD86" i="9"/>
  <c r="AH96" i="9" l="1"/>
  <c r="AD96" i="9"/>
  <c r="AP57" i="9"/>
  <c r="I58" i="9"/>
  <c r="L58" i="9" s="1"/>
  <c r="M58" i="9" s="1"/>
  <c r="S76" i="9"/>
  <c r="U76" i="9" s="1"/>
  <c r="K76" i="9" s="1"/>
  <c r="L76" i="9"/>
  <c r="M76" i="9" s="1"/>
  <c r="S75" i="9"/>
  <c r="U75" i="9" s="1"/>
  <c r="K75" i="9" s="1"/>
  <c r="M75" i="9"/>
  <c r="L75" i="9"/>
  <c r="S74" i="9"/>
  <c r="U74" i="9" s="1"/>
  <c r="K74" i="9" s="1"/>
  <c r="L74" i="9"/>
  <c r="M74" i="9" s="1"/>
  <c r="S73" i="9"/>
  <c r="U73" i="9" s="1"/>
  <c r="K73" i="9" s="1"/>
  <c r="L73" i="9"/>
  <c r="M73" i="9" s="1"/>
  <c r="S72" i="9"/>
  <c r="U72" i="9" s="1"/>
  <c r="K72" i="9" s="1"/>
  <c r="L72" i="9"/>
  <c r="M72" i="9" s="1"/>
  <c r="S71" i="9"/>
  <c r="U71" i="9" s="1"/>
  <c r="K71" i="9" s="1"/>
  <c r="L71" i="9"/>
  <c r="M71" i="9" s="1"/>
  <c r="S70" i="9"/>
  <c r="U70" i="9" s="1"/>
  <c r="K70" i="9" s="1"/>
  <c r="L70" i="9"/>
  <c r="M70" i="9" s="1"/>
  <c r="AK69" i="9"/>
  <c r="S69" i="9"/>
  <c r="U69" i="9" s="1"/>
  <c r="K69" i="9" s="1"/>
  <c r="L69" i="9"/>
  <c r="M69" i="9" s="1"/>
  <c r="S68" i="9"/>
  <c r="U68" i="9" s="1"/>
  <c r="K68" i="9" s="1"/>
  <c r="L68" i="9"/>
  <c r="M68" i="9" s="1"/>
  <c r="S67" i="9"/>
  <c r="U67" i="9" s="1"/>
  <c r="K67" i="9" s="1"/>
  <c r="L67" i="9"/>
  <c r="M67" i="9" s="1"/>
  <c r="S66" i="9"/>
  <c r="U66" i="9" s="1"/>
  <c r="K66" i="9" s="1"/>
  <c r="L66" i="9"/>
  <c r="M66" i="9" s="1"/>
  <c r="AN65" i="9"/>
  <c r="AH65" i="9"/>
  <c r="AD65" i="9"/>
  <c r="S65" i="9"/>
  <c r="U65" i="9" s="1"/>
  <c r="K65" i="9" s="1"/>
  <c r="L65" i="9"/>
  <c r="AN64" i="9"/>
  <c r="AH64" i="9"/>
  <c r="AD64" i="9"/>
  <c r="S64" i="9"/>
  <c r="K64" i="9" s="1"/>
  <c r="L64" i="9"/>
  <c r="M64" i="9" s="1"/>
  <c r="AN63" i="9"/>
  <c r="AH63" i="9"/>
  <c r="AD63" i="9"/>
  <c r="S63" i="9"/>
  <c r="K63" i="9" s="1"/>
  <c r="L63" i="9"/>
  <c r="M63" i="9" s="1"/>
  <c r="AN62" i="9"/>
  <c r="AH62" i="9"/>
  <c r="AD62" i="9"/>
  <c r="S62" i="9"/>
  <c r="L62" i="9"/>
  <c r="M62" i="9" s="1"/>
  <c r="AN61" i="9"/>
  <c r="AH61" i="9"/>
  <c r="AD61" i="9"/>
  <c r="S61" i="9"/>
  <c r="U61" i="9" s="1"/>
  <c r="K61" i="9" s="1"/>
  <c r="L61" i="9"/>
  <c r="M61" i="9" s="1"/>
  <c r="AN60" i="9"/>
  <c r="AH60" i="9"/>
  <c r="AD60" i="9"/>
  <c r="S60" i="9"/>
  <c r="L60" i="9"/>
  <c r="M60" i="9" s="1"/>
  <c r="AN59" i="9"/>
  <c r="AH59" i="9"/>
  <c r="AD59" i="9"/>
  <c r="L59" i="9"/>
  <c r="M59" i="9" s="1"/>
  <c r="AN58" i="9"/>
  <c r="AH58" i="9"/>
  <c r="AD58" i="9"/>
  <c r="S58" i="9"/>
  <c r="U58" i="9" s="1"/>
  <c r="K58" i="9" s="1"/>
  <c r="AN57" i="9"/>
  <c r="AH57" i="9"/>
  <c r="AD57" i="9"/>
  <c r="AN69" i="9" l="1"/>
  <c r="AH67" i="9"/>
  <c r="AD67" i="9"/>
  <c r="T28" i="9"/>
  <c r="I27" i="9"/>
  <c r="S50" i="9" l="1"/>
  <c r="U50" i="9" s="1"/>
  <c r="K50" i="9" s="1"/>
  <c r="L50" i="9"/>
  <c r="M50" i="9" s="1"/>
  <c r="S49" i="9"/>
  <c r="U49" i="9" s="1"/>
  <c r="K49" i="9" s="1"/>
  <c r="L49" i="9"/>
  <c r="M49" i="9" s="1"/>
  <c r="S48" i="9"/>
  <c r="U48" i="9" s="1"/>
  <c r="K48" i="9" s="1"/>
  <c r="L48" i="9"/>
  <c r="M48" i="9" s="1"/>
  <c r="S47" i="9"/>
  <c r="U47" i="9" s="1"/>
  <c r="K47" i="9" s="1"/>
  <c r="L47" i="9"/>
  <c r="M47" i="9" s="1"/>
  <c r="S46" i="9"/>
  <c r="U46" i="9" s="1"/>
  <c r="L46" i="9"/>
  <c r="M46" i="9" s="1"/>
  <c r="S45" i="9"/>
  <c r="L45" i="9"/>
  <c r="M45" i="9" s="1"/>
  <c r="S44" i="9"/>
  <c r="L44" i="9"/>
  <c r="M44" i="9" s="1"/>
  <c r="AK43" i="9"/>
  <c r="S43" i="9"/>
  <c r="L43" i="9"/>
  <c r="M43" i="9" s="1"/>
  <c r="S42" i="9"/>
  <c r="U42" i="9" s="1"/>
  <c r="L42" i="9"/>
  <c r="M42" i="9" s="1"/>
  <c r="S41" i="9"/>
  <c r="L41" i="9"/>
  <c r="M41" i="9" s="1"/>
  <c r="S40" i="9"/>
  <c r="L40" i="9"/>
  <c r="M40" i="9" s="1"/>
  <c r="AN39" i="9"/>
  <c r="AH39" i="9"/>
  <c r="AD39" i="9"/>
  <c r="S39" i="9"/>
  <c r="U39" i="9" s="1"/>
  <c r="K39" i="9" s="1"/>
  <c r="L39" i="9"/>
  <c r="M39" i="9" s="1"/>
  <c r="AN38" i="9"/>
  <c r="AH38" i="9"/>
  <c r="AD38" i="9"/>
  <c r="S38" i="9"/>
  <c r="U38" i="9" s="1"/>
  <c r="K38" i="9" s="1"/>
  <c r="L38" i="9"/>
  <c r="M38" i="9" s="1"/>
  <c r="AN37" i="9"/>
  <c r="AH37" i="9"/>
  <c r="AD37" i="9"/>
  <c r="S37" i="9"/>
  <c r="U37" i="9" s="1"/>
  <c r="K37" i="9" s="1"/>
  <c r="L37" i="9"/>
  <c r="M37" i="9" s="1"/>
  <c r="AN36" i="9"/>
  <c r="AH36" i="9"/>
  <c r="AD36" i="9"/>
  <c r="S36" i="9"/>
  <c r="K36" i="9" s="1"/>
  <c r="L36" i="9"/>
  <c r="M36" i="9" s="1"/>
  <c r="AN35" i="9"/>
  <c r="AH35" i="9"/>
  <c r="AD35" i="9"/>
  <c r="S35" i="9"/>
  <c r="U35" i="9" s="1"/>
  <c r="K35" i="9" s="1"/>
  <c r="L35" i="9"/>
  <c r="M35" i="9" s="1"/>
  <c r="AN34" i="9"/>
  <c r="AH34" i="9"/>
  <c r="AD34" i="9"/>
  <c r="K34" i="9"/>
  <c r="S34" i="9"/>
  <c r="L34" i="9"/>
  <c r="M34" i="9" s="1"/>
  <c r="AN33" i="9"/>
  <c r="AH33" i="9"/>
  <c r="AD33" i="9"/>
  <c r="S33" i="9"/>
  <c r="U33" i="9" s="1"/>
  <c r="K33" i="9" s="1"/>
  <c r="L33" i="9"/>
  <c r="M33" i="9" s="1"/>
  <c r="AN32" i="9"/>
  <c r="AH32" i="9"/>
  <c r="AD32" i="9"/>
  <c r="S32" i="9"/>
  <c r="U32" i="9" s="1"/>
  <c r="L32" i="9"/>
  <c r="M32" i="9" s="1"/>
  <c r="AN31" i="9"/>
  <c r="AH31" i="9"/>
  <c r="AD31" i="9"/>
  <c r="AN43" i="9" l="1"/>
  <c r="K32" i="9"/>
  <c r="U51" i="9"/>
  <c r="AH41" i="9"/>
  <c r="AD41" i="9"/>
  <c r="AK1" i="9" l="1"/>
  <c r="AE25" i="9"/>
  <c r="S22" i="9"/>
  <c r="U22" i="9" s="1"/>
  <c r="K22" i="9" s="1"/>
  <c r="L22" i="9"/>
  <c r="M22" i="9" s="1"/>
  <c r="S21" i="9"/>
  <c r="U21" i="9" s="1"/>
  <c r="K21" i="9" s="1"/>
  <c r="L21" i="9"/>
  <c r="M21" i="9" s="1"/>
  <c r="S20" i="9"/>
  <c r="U20" i="9" s="1"/>
  <c r="K20" i="9" s="1"/>
  <c r="L20" i="9"/>
  <c r="M20" i="9" s="1"/>
  <c r="S19" i="9"/>
  <c r="U19" i="9" s="1"/>
  <c r="K19" i="9" s="1"/>
  <c r="L19" i="9"/>
  <c r="M19" i="9" s="1"/>
  <c r="S18" i="9"/>
  <c r="L18" i="9"/>
  <c r="M18" i="9" s="1"/>
  <c r="S17" i="9"/>
  <c r="K17" i="9" s="1"/>
  <c r="L17" i="9"/>
  <c r="M17" i="9" s="1"/>
  <c r="K16" i="9"/>
  <c r="S16" i="9"/>
  <c r="L16" i="9"/>
  <c r="M16" i="9" s="1"/>
  <c r="AK15" i="9"/>
  <c r="S15" i="9"/>
  <c r="K15" i="9" s="1"/>
  <c r="L15" i="9"/>
  <c r="M15" i="9" s="1"/>
  <c r="S14" i="9"/>
  <c r="L14" i="9"/>
  <c r="M14" i="9" s="1"/>
  <c r="K14" i="9"/>
  <c r="S13" i="9"/>
  <c r="K13" i="9" s="1"/>
  <c r="L13" i="9"/>
  <c r="M13" i="9" s="1"/>
  <c r="S12" i="9"/>
  <c r="L12" i="9"/>
  <c r="M12" i="9" s="1"/>
  <c r="K12" i="9"/>
  <c r="AN11" i="9"/>
  <c r="AH11" i="9"/>
  <c r="AD11" i="9"/>
  <c r="S11" i="9"/>
  <c r="U11" i="9" s="1"/>
  <c r="K11" i="9" s="1"/>
  <c r="L11" i="9"/>
  <c r="M11" i="9" s="1"/>
  <c r="AN10" i="9"/>
  <c r="AH10" i="9"/>
  <c r="AD10" i="9"/>
  <c r="S10" i="9"/>
  <c r="U10" i="9" s="1"/>
  <c r="K10" i="9" s="1"/>
  <c r="L10" i="9"/>
  <c r="M10" i="9" s="1"/>
  <c r="AN9" i="9"/>
  <c r="AH9" i="9"/>
  <c r="AD9" i="9"/>
  <c r="S9" i="9"/>
  <c r="U9" i="9" s="1"/>
  <c r="K9" i="9" s="1"/>
  <c r="L9" i="9"/>
  <c r="M9" i="9" s="1"/>
  <c r="AN8" i="9"/>
  <c r="AH8" i="9"/>
  <c r="AD8" i="9"/>
  <c r="S8" i="9"/>
  <c r="L8" i="9"/>
  <c r="M8" i="9" s="1"/>
  <c r="K8" i="9"/>
  <c r="AN7" i="9"/>
  <c r="AH7" i="9"/>
  <c r="AD7" i="9"/>
  <c r="K7" i="9"/>
  <c r="S7" i="9"/>
  <c r="L7" i="9"/>
  <c r="M7" i="9" s="1"/>
  <c r="AN6" i="9"/>
  <c r="AH6" i="9"/>
  <c r="AD6" i="9"/>
  <c r="K6" i="9"/>
  <c r="S6" i="9"/>
  <c r="L6" i="9"/>
  <c r="M6" i="9" s="1"/>
  <c r="AN5" i="9"/>
  <c r="AH5" i="9"/>
  <c r="AD5" i="9"/>
  <c r="S5" i="9"/>
  <c r="K5" i="9" s="1"/>
  <c r="L5" i="9"/>
  <c r="M5" i="9" s="1"/>
  <c r="AN4" i="9"/>
  <c r="AH4" i="9"/>
  <c r="AD4" i="9"/>
  <c r="S4" i="9"/>
  <c r="U4" i="9" s="1"/>
  <c r="L4" i="9"/>
  <c r="M4" i="9" s="1"/>
  <c r="AN3" i="9"/>
  <c r="AH3" i="9"/>
  <c r="AD3" i="9"/>
  <c r="U265" i="8"/>
  <c r="S265" i="8"/>
  <c r="M265" i="8"/>
  <c r="L265" i="8"/>
  <c r="K265" i="8"/>
  <c r="S264" i="8"/>
  <c r="U264" i="8" s="1"/>
  <c r="K264" i="8" s="1"/>
  <c r="L264" i="8"/>
  <c r="M264" i="8" s="1"/>
  <c r="S263" i="8"/>
  <c r="U263" i="8" s="1"/>
  <c r="K263" i="8" s="1"/>
  <c r="L263" i="8"/>
  <c r="M263" i="8" s="1"/>
  <c r="S262" i="8"/>
  <c r="U262" i="8" s="1"/>
  <c r="K262" i="8" s="1"/>
  <c r="L262" i="8"/>
  <c r="M262" i="8" s="1"/>
  <c r="U261" i="8"/>
  <c r="S261" i="8"/>
  <c r="M261" i="8"/>
  <c r="L261" i="8"/>
  <c r="K261" i="8"/>
  <c r="S260" i="8"/>
  <c r="U260" i="8" s="1"/>
  <c r="K260" i="8" s="1"/>
  <c r="L260" i="8"/>
  <c r="M260" i="8" s="1"/>
  <c r="S259" i="8"/>
  <c r="U259" i="8" s="1"/>
  <c r="K259" i="8" s="1"/>
  <c r="L259" i="8"/>
  <c r="M259" i="8" s="1"/>
  <c r="AK258" i="8"/>
  <c r="S258" i="8"/>
  <c r="U258" i="8" s="1"/>
  <c r="K258" i="8" s="1"/>
  <c r="L258" i="8"/>
  <c r="M258" i="8" s="1"/>
  <c r="S257" i="8"/>
  <c r="U257" i="8" s="1"/>
  <c r="K257" i="8" s="1"/>
  <c r="L257" i="8"/>
  <c r="M257" i="8" s="1"/>
  <c r="S256" i="8"/>
  <c r="U256" i="8" s="1"/>
  <c r="K256" i="8" s="1"/>
  <c r="L256" i="8"/>
  <c r="M256" i="8" s="1"/>
  <c r="U255" i="8"/>
  <c r="S255" i="8"/>
  <c r="M255" i="8"/>
  <c r="L255" i="8"/>
  <c r="K255" i="8"/>
  <c r="AN254" i="8"/>
  <c r="AH254" i="8"/>
  <c r="AD254" i="8"/>
  <c r="U254" i="8"/>
  <c r="S254" i="8"/>
  <c r="M254" i="8"/>
  <c r="L254" i="8"/>
  <c r="K254" i="8"/>
  <c r="AN253" i="8"/>
  <c r="AH253" i="8"/>
  <c r="AD253" i="8"/>
  <c r="U253" i="8"/>
  <c r="S253" i="8"/>
  <c r="M253" i="8"/>
  <c r="L253" i="8"/>
  <c r="K253" i="8"/>
  <c r="AN252" i="8"/>
  <c r="AH252" i="8"/>
  <c r="AD252" i="8"/>
  <c r="U252" i="8"/>
  <c r="K252" i="8" s="1"/>
  <c r="S252" i="8"/>
  <c r="M252" i="8"/>
  <c r="L252" i="8"/>
  <c r="AN251" i="8"/>
  <c r="AH251" i="8"/>
  <c r="AD251" i="8"/>
  <c r="S251" i="8"/>
  <c r="U251" i="8" s="1"/>
  <c r="K251" i="8" s="1"/>
  <c r="L251" i="8"/>
  <c r="M251" i="8" s="1"/>
  <c r="AN250" i="8"/>
  <c r="AH250" i="8"/>
  <c r="AD250" i="8"/>
  <c r="S250" i="8"/>
  <c r="U250" i="8" s="1"/>
  <c r="K250" i="8" s="1"/>
  <c r="L250" i="8"/>
  <c r="M250" i="8" s="1"/>
  <c r="AN249" i="8"/>
  <c r="AH249" i="8"/>
  <c r="AD249" i="8"/>
  <c r="S249" i="8"/>
  <c r="U249" i="8" s="1"/>
  <c r="K249" i="8" s="1"/>
  <c r="L249" i="8"/>
  <c r="M249" i="8" s="1"/>
  <c r="AN248" i="8"/>
  <c r="AH248" i="8"/>
  <c r="AD248" i="8"/>
  <c r="S248" i="8"/>
  <c r="U248" i="8" s="1"/>
  <c r="K248" i="8" s="1"/>
  <c r="L248" i="8"/>
  <c r="M248" i="8" s="1"/>
  <c r="AN247" i="8"/>
  <c r="AN258" i="8" s="1"/>
  <c r="AH247" i="8"/>
  <c r="AD247" i="8"/>
  <c r="S247" i="8"/>
  <c r="U247" i="8" s="1"/>
  <c r="K247" i="8" s="1"/>
  <c r="L247" i="8"/>
  <c r="M247" i="8" s="1"/>
  <c r="AN246" i="8"/>
  <c r="AH246" i="8"/>
  <c r="AH256" i="8" s="1"/>
  <c r="AD246" i="8"/>
  <c r="AD256" i="8" s="1"/>
  <c r="AN15" i="9" l="1"/>
  <c r="K4" i="9"/>
  <c r="U23" i="9"/>
  <c r="AH13" i="9"/>
  <c r="AD13" i="9"/>
  <c r="L232" i="8"/>
  <c r="L233" i="8" s="1"/>
  <c r="G233" i="8"/>
  <c r="AL1" i="9" l="1"/>
  <c r="AM1" i="9" s="1"/>
  <c r="S224" i="8"/>
  <c r="U224" i="8" s="1"/>
  <c r="K224" i="8" s="1"/>
  <c r="L224" i="8"/>
  <c r="M224" i="8" s="1"/>
  <c r="U223" i="8"/>
  <c r="S223" i="8"/>
  <c r="M223" i="8"/>
  <c r="L223" i="8"/>
  <c r="K223" i="8"/>
  <c r="S222" i="8"/>
  <c r="U222" i="8" s="1"/>
  <c r="K222" i="8" s="1"/>
  <c r="L222" i="8"/>
  <c r="M222" i="8" s="1"/>
  <c r="S221" i="8"/>
  <c r="U221" i="8" s="1"/>
  <c r="K221" i="8" s="1"/>
  <c r="L221" i="8"/>
  <c r="M221" i="8" s="1"/>
  <c r="S220" i="8"/>
  <c r="U220" i="8" s="1"/>
  <c r="K220" i="8" s="1"/>
  <c r="L220" i="8"/>
  <c r="M220" i="8" s="1"/>
  <c r="U219" i="8"/>
  <c r="S219" i="8"/>
  <c r="M219" i="8"/>
  <c r="L219" i="8"/>
  <c r="K219" i="8"/>
  <c r="S218" i="8"/>
  <c r="U218" i="8" s="1"/>
  <c r="K218" i="8" s="1"/>
  <c r="L218" i="8"/>
  <c r="M218" i="8" s="1"/>
  <c r="AK217" i="8"/>
  <c r="S217" i="8"/>
  <c r="U217" i="8" s="1"/>
  <c r="K217" i="8" s="1"/>
  <c r="L217" i="8"/>
  <c r="M217" i="8" s="1"/>
  <c r="S216" i="8"/>
  <c r="U216" i="8" s="1"/>
  <c r="K216" i="8" s="1"/>
  <c r="L216" i="8"/>
  <c r="M216" i="8" s="1"/>
  <c r="S215" i="8"/>
  <c r="U215" i="8" s="1"/>
  <c r="K215" i="8" s="1"/>
  <c r="L215" i="8"/>
  <c r="M215" i="8" s="1"/>
  <c r="S214" i="8"/>
  <c r="U214" i="8" s="1"/>
  <c r="K214" i="8" s="1"/>
  <c r="L214" i="8"/>
  <c r="M214" i="8" s="1"/>
  <c r="AN213" i="8"/>
  <c r="AH213" i="8"/>
  <c r="AD213" i="8"/>
  <c r="S213" i="8"/>
  <c r="U213" i="8" s="1"/>
  <c r="K213" i="8" s="1"/>
  <c r="L213" i="8"/>
  <c r="M213" i="8" s="1"/>
  <c r="AN212" i="8"/>
  <c r="AH212" i="8"/>
  <c r="AD212" i="8"/>
  <c r="S212" i="8"/>
  <c r="U212" i="8" s="1"/>
  <c r="K212" i="8" s="1"/>
  <c r="L212" i="8"/>
  <c r="M212" i="8" s="1"/>
  <c r="AN211" i="8"/>
  <c r="AH211" i="8"/>
  <c r="AD211" i="8"/>
  <c r="S211" i="8"/>
  <c r="U211" i="8" s="1"/>
  <c r="K211" i="8" s="1"/>
  <c r="L211" i="8"/>
  <c r="M211" i="8" s="1"/>
  <c r="AN210" i="8"/>
  <c r="AH210" i="8"/>
  <c r="AD210" i="8"/>
  <c r="S210" i="8"/>
  <c r="U210" i="8" s="1"/>
  <c r="K210" i="8" s="1"/>
  <c r="L210" i="8"/>
  <c r="M210" i="8" s="1"/>
  <c r="AN209" i="8"/>
  <c r="AH209" i="8"/>
  <c r="AD209" i="8"/>
  <c r="S209" i="8"/>
  <c r="U209" i="8" s="1"/>
  <c r="L209" i="8"/>
  <c r="AN208" i="8"/>
  <c r="AH208" i="8"/>
  <c r="AD208" i="8"/>
  <c r="S208" i="8"/>
  <c r="U208" i="8" s="1"/>
  <c r="K208" i="8" s="1"/>
  <c r="L208" i="8"/>
  <c r="M208" i="8" s="1"/>
  <c r="AN207" i="8"/>
  <c r="AH207" i="8"/>
  <c r="AD207" i="8"/>
  <c r="S207" i="8"/>
  <c r="U207" i="8" s="1"/>
  <c r="K207" i="8" s="1"/>
  <c r="L207" i="8"/>
  <c r="M207" i="8" s="1"/>
  <c r="AN206" i="8"/>
  <c r="AN217" i="8" s="1"/>
  <c r="AH206" i="8"/>
  <c r="AD206" i="8"/>
  <c r="S206" i="8"/>
  <c r="U206" i="8" s="1"/>
  <c r="K206" i="8" s="1"/>
  <c r="L206" i="8"/>
  <c r="M206" i="8" s="1"/>
  <c r="AN205" i="8"/>
  <c r="AH205" i="8"/>
  <c r="AH215" i="8" s="1"/>
  <c r="AD205" i="8"/>
  <c r="AD215" i="8" l="1"/>
  <c r="AD14" i="9" s="1"/>
  <c r="H200" i="8"/>
  <c r="S195" i="8"/>
  <c r="U195" i="8" s="1"/>
  <c r="K195" i="8" s="1"/>
  <c r="L195" i="8"/>
  <c r="M195" i="8" s="1"/>
  <c r="S194" i="8"/>
  <c r="U194" i="8" s="1"/>
  <c r="K194" i="8" s="1"/>
  <c r="L194" i="8"/>
  <c r="M194" i="8" s="1"/>
  <c r="U193" i="8"/>
  <c r="S193" i="8"/>
  <c r="M193" i="8"/>
  <c r="L193" i="8"/>
  <c r="K193" i="8"/>
  <c r="S192" i="8"/>
  <c r="U192" i="8" s="1"/>
  <c r="K192" i="8" s="1"/>
  <c r="L192" i="8"/>
  <c r="M192" i="8" s="1"/>
  <c r="S191" i="8"/>
  <c r="U191" i="8" s="1"/>
  <c r="K191" i="8" s="1"/>
  <c r="M191" i="8"/>
  <c r="L191" i="8"/>
  <c r="S190" i="8"/>
  <c r="U190" i="8" s="1"/>
  <c r="K190" i="8" s="1"/>
  <c r="L190" i="8"/>
  <c r="M190" i="8" s="1"/>
  <c r="U189" i="8"/>
  <c r="S189" i="8"/>
  <c r="M189" i="8"/>
  <c r="L189" i="8"/>
  <c r="K189" i="8"/>
  <c r="AK188" i="8"/>
  <c r="U188" i="8"/>
  <c r="S188" i="8"/>
  <c r="M188" i="8"/>
  <c r="L188" i="8"/>
  <c r="K188" i="8"/>
  <c r="S187" i="8"/>
  <c r="K187" i="8" s="1"/>
  <c r="L187" i="8"/>
  <c r="M187" i="8" s="1"/>
  <c r="S186" i="8"/>
  <c r="M186" i="8"/>
  <c r="L186" i="8"/>
  <c r="S185" i="8"/>
  <c r="U185" i="8" s="1"/>
  <c r="K185" i="8" s="1"/>
  <c r="L185" i="8"/>
  <c r="M185" i="8" s="1"/>
  <c r="AN184" i="8"/>
  <c r="AH184" i="8"/>
  <c r="AD184" i="8"/>
  <c r="S184" i="8"/>
  <c r="L184" i="8"/>
  <c r="M184" i="8" s="1"/>
  <c r="AN183" i="8"/>
  <c r="AH183" i="8"/>
  <c r="AD183" i="8"/>
  <c r="S183" i="8"/>
  <c r="L183" i="8"/>
  <c r="M183" i="8" s="1"/>
  <c r="AN182" i="8"/>
  <c r="AH182" i="8"/>
  <c r="AD182" i="8"/>
  <c r="S182" i="8"/>
  <c r="K182" i="8" s="1"/>
  <c r="L182" i="8"/>
  <c r="M182" i="8" s="1"/>
  <c r="AN181" i="8"/>
  <c r="AH181" i="8"/>
  <c r="AD181" i="8"/>
  <c r="S181" i="8"/>
  <c r="U181" i="8" s="1"/>
  <c r="K181" i="8" s="1"/>
  <c r="L181" i="8"/>
  <c r="M181" i="8" s="1"/>
  <c r="AN180" i="8"/>
  <c r="AH180" i="8"/>
  <c r="AD180" i="8"/>
  <c r="S180" i="8"/>
  <c r="U180" i="8" s="1"/>
  <c r="K180" i="8" s="1"/>
  <c r="L180" i="8"/>
  <c r="M180" i="8" s="1"/>
  <c r="AN179" i="8"/>
  <c r="AH179" i="8"/>
  <c r="AD179" i="8"/>
  <c r="S179" i="8"/>
  <c r="U179" i="8" s="1"/>
  <c r="K179" i="8" s="1"/>
  <c r="L179" i="8"/>
  <c r="M179" i="8" s="1"/>
  <c r="AN178" i="8"/>
  <c r="AH178" i="8"/>
  <c r="AD178" i="8"/>
  <c r="S178" i="8"/>
  <c r="U178" i="8" s="1"/>
  <c r="K178" i="8" s="1"/>
  <c r="L178" i="8"/>
  <c r="M178" i="8" s="1"/>
  <c r="AN177" i="8"/>
  <c r="AH177" i="8"/>
  <c r="AD177" i="8"/>
  <c r="S177" i="8"/>
  <c r="U177" i="8" s="1"/>
  <c r="K177" i="8" s="1"/>
  <c r="L177" i="8"/>
  <c r="M177" i="8" s="1"/>
  <c r="AN176" i="8"/>
  <c r="AH176" i="8"/>
  <c r="AD176" i="8"/>
  <c r="AD186" i="8" s="1"/>
  <c r="AN188" i="8" l="1"/>
  <c r="U196" i="8"/>
  <c r="AE16" i="9"/>
  <c r="AD15" i="9"/>
  <c r="AD16" i="9" s="1"/>
  <c r="AE15" i="9" s="1"/>
  <c r="AH186" i="8"/>
  <c r="AA132" i="8" l="1"/>
  <c r="S148" i="8" l="1"/>
  <c r="L148" i="8"/>
  <c r="M148" i="8" s="1"/>
  <c r="S147" i="8"/>
  <c r="K147" i="8" s="1"/>
  <c r="L147" i="8"/>
  <c r="M147" i="8" s="1"/>
  <c r="K146" i="8"/>
  <c r="S146" i="8"/>
  <c r="L146" i="8"/>
  <c r="M146" i="8" s="1"/>
  <c r="S145" i="8"/>
  <c r="L145" i="8"/>
  <c r="M145" i="8" s="1"/>
  <c r="S144" i="8"/>
  <c r="L144" i="8"/>
  <c r="M144" i="8" s="1"/>
  <c r="K144" i="8"/>
  <c r="S143" i="8"/>
  <c r="K143" i="8" s="1"/>
  <c r="L143" i="8"/>
  <c r="M143" i="8" s="1"/>
  <c r="K142" i="8"/>
  <c r="S142" i="8"/>
  <c r="L142" i="8"/>
  <c r="M142" i="8" s="1"/>
  <c r="AK141" i="8"/>
  <c r="S141" i="8"/>
  <c r="U141" i="8" s="1"/>
  <c r="K141" i="8" s="1"/>
  <c r="L141" i="8"/>
  <c r="M141" i="8" s="1"/>
  <c r="U140" i="8"/>
  <c r="K140" i="8" s="1"/>
  <c r="S140" i="8"/>
  <c r="L140" i="8"/>
  <c r="M140" i="8" s="1"/>
  <c r="S139" i="8"/>
  <c r="U139" i="8" s="1"/>
  <c r="L139" i="8"/>
  <c r="M139" i="8" s="1"/>
  <c r="S138" i="8"/>
  <c r="L138" i="8"/>
  <c r="M138" i="8" s="1"/>
  <c r="K138" i="8"/>
  <c r="AN137" i="8"/>
  <c r="AH137" i="8"/>
  <c r="AD137" i="8"/>
  <c r="S137" i="8"/>
  <c r="L137" i="8"/>
  <c r="M137" i="8" s="1"/>
  <c r="K137" i="8"/>
  <c r="AN136" i="8"/>
  <c r="AH136" i="8"/>
  <c r="AD136" i="8"/>
  <c r="S136" i="8"/>
  <c r="L136" i="8"/>
  <c r="M136" i="8" s="1"/>
  <c r="K136" i="8"/>
  <c r="AN135" i="8"/>
  <c r="AH135" i="8"/>
  <c r="AD135" i="8"/>
  <c r="S135" i="8"/>
  <c r="M135" i="8"/>
  <c r="L135" i="8"/>
  <c r="K135" i="8"/>
  <c r="AN134" i="8"/>
  <c r="AH134" i="8"/>
  <c r="AD134" i="8"/>
  <c r="S134" i="8"/>
  <c r="L134" i="8"/>
  <c r="M134" i="8" s="1"/>
  <c r="K134" i="8"/>
  <c r="AN133" i="8"/>
  <c r="AH133" i="8"/>
  <c r="AD133" i="8"/>
  <c r="S133" i="8"/>
  <c r="K133" i="8" s="1"/>
  <c r="L133" i="8"/>
  <c r="M133" i="8" s="1"/>
  <c r="AN132" i="8"/>
  <c r="AH132" i="8"/>
  <c r="AD132" i="8"/>
  <c r="S132" i="8"/>
  <c r="L132" i="8"/>
  <c r="M132" i="8" s="1"/>
  <c r="K132" i="8"/>
  <c r="AN131" i="8"/>
  <c r="AH131" i="8"/>
  <c r="AD131" i="8"/>
  <c r="S131" i="8"/>
  <c r="K131" i="8" s="1"/>
  <c r="M131" i="8"/>
  <c r="L131" i="8"/>
  <c r="AN130" i="8"/>
  <c r="AN141" i="8" s="1"/>
  <c r="AH130" i="8"/>
  <c r="AD130" i="8"/>
  <c r="S130" i="8"/>
  <c r="M130" i="8"/>
  <c r="L130" i="8"/>
  <c r="K130" i="8"/>
  <c r="AN129" i="8"/>
  <c r="AH129" i="8"/>
  <c r="AD129" i="8"/>
  <c r="K139" i="8" l="1"/>
  <c r="U149" i="8"/>
  <c r="AH139" i="8"/>
  <c r="AD139" i="8"/>
  <c r="AN114" i="8"/>
  <c r="O119" i="8"/>
  <c r="AK119" i="8" s="1"/>
  <c r="L113" i="8"/>
  <c r="M113" i="8"/>
  <c r="S118" i="8"/>
  <c r="U118" i="8" s="1"/>
  <c r="K118" i="8" s="1"/>
  <c r="L118" i="8"/>
  <c r="M118" i="8" s="1"/>
  <c r="S117" i="8"/>
  <c r="U117" i="8" s="1"/>
  <c r="K117" i="8" s="1"/>
  <c r="L117" i="8"/>
  <c r="M117" i="8" s="1"/>
  <c r="S116" i="8"/>
  <c r="L116" i="8"/>
  <c r="M116" i="8" s="1"/>
  <c r="S115" i="8"/>
  <c r="U115" i="8" s="1"/>
  <c r="L115" i="8"/>
  <c r="M115" i="8" s="1"/>
  <c r="U114" i="8"/>
  <c r="S114" i="8"/>
  <c r="L114" i="8"/>
  <c r="M114" i="8" s="1"/>
  <c r="S113" i="8"/>
  <c r="S112" i="8"/>
  <c r="L112" i="8"/>
  <c r="M112" i="8" s="1"/>
  <c r="AK111" i="8"/>
  <c r="S111" i="8"/>
  <c r="L111" i="8"/>
  <c r="M111" i="8" s="1"/>
  <c r="S110" i="8"/>
  <c r="L110" i="8"/>
  <c r="M110" i="8" s="1"/>
  <c r="S109" i="8"/>
  <c r="L109" i="8"/>
  <c r="M109" i="8" s="1"/>
  <c r="S108" i="8"/>
  <c r="L108" i="8"/>
  <c r="M108" i="8" s="1"/>
  <c r="AN107" i="8"/>
  <c r="AH107" i="8"/>
  <c r="AD107" i="8"/>
  <c r="S107" i="8"/>
  <c r="L107" i="8"/>
  <c r="AN106" i="8"/>
  <c r="AH106" i="8"/>
  <c r="AD106" i="8"/>
  <c r="S106" i="8"/>
  <c r="L106" i="8"/>
  <c r="M106" i="8" s="1"/>
  <c r="AN105" i="8"/>
  <c r="AH105" i="8"/>
  <c r="AD105" i="8"/>
  <c r="S105" i="8"/>
  <c r="U105" i="8" s="1"/>
  <c r="K105" i="8" s="1"/>
  <c r="L105" i="8"/>
  <c r="M105" i="8" s="1"/>
  <c r="AN104" i="8"/>
  <c r="AH104" i="8"/>
  <c r="AD104" i="8"/>
  <c r="S104" i="8"/>
  <c r="L104" i="8"/>
  <c r="M104" i="8" s="1"/>
  <c r="AN103" i="8"/>
  <c r="AH103" i="8"/>
  <c r="AD103" i="8"/>
  <c r="S103" i="8"/>
  <c r="U103" i="8" s="1"/>
  <c r="K103" i="8" s="1"/>
  <c r="L103" i="8"/>
  <c r="M103" i="8" s="1"/>
  <c r="AN102" i="8"/>
  <c r="AH102" i="8"/>
  <c r="AD102" i="8"/>
  <c r="S102" i="8"/>
  <c r="U102" i="8" s="1"/>
  <c r="K102" i="8" s="1"/>
  <c r="L102" i="8"/>
  <c r="M102" i="8" s="1"/>
  <c r="AN101" i="8"/>
  <c r="AH101" i="8"/>
  <c r="AD101" i="8"/>
  <c r="S101" i="8"/>
  <c r="U101" i="8" s="1"/>
  <c r="K101" i="8" s="1"/>
  <c r="L101" i="8"/>
  <c r="M101" i="8" s="1"/>
  <c r="AN100" i="8"/>
  <c r="AN111" i="8" s="1"/>
  <c r="AH100" i="8"/>
  <c r="AD100" i="8"/>
  <c r="S100" i="8"/>
  <c r="U100" i="8" s="1"/>
  <c r="K100" i="8" s="1"/>
  <c r="L100" i="8"/>
  <c r="M100" i="8" s="1"/>
  <c r="AN99" i="8"/>
  <c r="AH99" i="8"/>
  <c r="AD99" i="8"/>
  <c r="AD109" i="8" l="1"/>
  <c r="U119" i="8"/>
  <c r="AH109" i="8"/>
  <c r="AE119" i="8" s="1"/>
  <c r="AN119" i="8" s="1"/>
  <c r="O84" i="8"/>
  <c r="AK84" i="8"/>
  <c r="AH84" i="8"/>
  <c r="AN79" i="8"/>
  <c r="S83" i="8" l="1"/>
  <c r="U83" i="8" s="1"/>
  <c r="K83" i="8" s="1"/>
  <c r="L83" i="8"/>
  <c r="M83" i="8" s="1"/>
  <c r="U82" i="8"/>
  <c r="S82" i="8"/>
  <c r="M82" i="8"/>
  <c r="L82" i="8"/>
  <c r="K82" i="8"/>
  <c r="S81" i="8"/>
  <c r="U81" i="8" s="1"/>
  <c r="K81" i="8" s="1"/>
  <c r="L81" i="8"/>
  <c r="M81" i="8" s="1"/>
  <c r="S80" i="8"/>
  <c r="U80" i="8" s="1"/>
  <c r="K80" i="8" s="1"/>
  <c r="L80" i="8"/>
  <c r="M80" i="8" s="1"/>
  <c r="S79" i="8"/>
  <c r="U79" i="8" s="1"/>
  <c r="K79" i="8" s="1"/>
  <c r="L79" i="8"/>
  <c r="M79" i="8" s="1"/>
  <c r="S78" i="8"/>
  <c r="U78" i="8" s="1"/>
  <c r="K78" i="8" s="1"/>
  <c r="M78" i="8"/>
  <c r="L78" i="8"/>
  <c r="S77" i="8"/>
  <c r="U77" i="8" s="1"/>
  <c r="K77" i="8" s="1"/>
  <c r="L77" i="8"/>
  <c r="M77" i="8" s="1"/>
  <c r="AK76" i="8"/>
  <c r="S76" i="8"/>
  <c r="U76" i="8" s="1"/>
  <c r="K76" i="8" s="1"/>
  <c r="L76" i="8"/>
  <c r="M76" i="8" s="1"/>
  <c r="S75" i="8"/>
  <c r="U75" i="8" s="1"/>
  <c r="K75" i="8" s="1"/>
  <c r="L75" i="8"/>
  <c r="M75" i="8" s="1"/>
  <c r="U74" i="8"/>
  <c r="S74" i="8"/>
  <c r="M74" i="8"/>
  <c r="L74" i="8"/>
  <c r="K74" i="8"/>
  <c r="S73" i="8"/>
  <c r="U73" i="8" s="1"/>
  <c r="L73" i="8"/>
  <c r="AN72" i="8"/>
  <c r="AH72" i="8"/>
  <c r="AD72" i="8"/>
  <c r="S72" i="8"/>
  <c r="U72" i="8" s="1"/>
  <c r="L72" i="8"/>
  <c r="M72" i="8" s="1"/>
  <c r="AN71" i="8"/>
  <c r="AH71" i="8"/>
  <c r="AD71" i="8"/>
  <c r="S71" i="8"/>
  <c r="U71" i="8" s="1"/>
  <c r="K71" i="8" s="1"/>
  <c r="L71" i="8"/>
  <c r="M71" i="8" s="1"/>
  <c r="AN70" i="8"/>
  <c r="AH70" i="8"/>
  <c r="AD70" i="8"/>
  <c r="S70" i="8"/>
  <c r="U70" i="8" s="1"/>
  <c r="L70" i="8"/>
  <c r="M70" i="8" s="1"/>
  <c r="AN69" i="8"/>
  <c r="AH69" i="8"/>
  <c r="AD69" i="8"/>
  <c r="S69" i="8"/>
  <c r="K69" i="8" s="1"/>
  <c r="L69" i="8"/>
  <c r="M69" i="8" s="1"/>
  <c r="AN68" i="8"/>
  <c r="AH68" i="8"/>
  <c r="AD68" i="8"/>
  <c r="S68" i="8"/>
  <c r="U68" i="8" s="1"/>
  <c r="K68" i="8" s="1"/>
  <c r="L68" i="8"/>
  <c r="M68" i="8" s="1"/>
  <c r="AN67" i="8"/>
  <c r="AH67" i="8"/>
  <c r="AD67" i="8"/>
  <c r="S67" i="8"/>
  <c r="U67" i="8" s="1"/>
  <c r="K67" i="8" s="1"/>
  <c r="L67" i="8"/>
  <c r="M67" i="8" s="1"/>
  <c r="AN66" i="8"/>
  <c r="AH66" i="8"/>
  <c r="AD66" i="8"/>
  <c r="S66" i="8"/>
  <c r="U66" i="8" s="1"/>
  <c r="K66" i="8" s="1"/>
  <c r="L66" i="8"/>
  <c r="M66" i="8" s="1"/>
  <c r="AN65" i="8"/>
  <c r="AN76" i="8" s="1"/>
  <c r="AH65" i="8"/>
  <c r="AD65" i="8"/>
  <c r="S65" i="8"/>
  <c r="U65" i="8" s="1"/>
  <c r="K65" i="8" s="1"/>
  <c r="L65" i="8"/>
  <c r="M65" i="8" s="1"/>
  <c r="AN64" i="8"/>
  <c r="AH64" i="8"/>
  <c r="AD64" i="8"/>
  <c r="K72" i="8" l="1"/>
  <c r="U84" i="8"/>
  <c r="AH74" i="8"/>
  <c r="AE84" i="8" s="1"/>
  <c r="AN84" i="8" s="1"/>
  <c r="K70" i="8"/>
  <c r="AD74" i="8"/>
  <c r="O55" i="8"/>
  <c r="AN55" i="8"/>
  <c r="AD48" i="8"/>
  <c r="AE48" i="8" s="1"/>
  <c r="AA21" i="8"/>
  <c r="S43" i="8"/>
  <c r="U42" i="8"/>
  <c r="J32" i="8"/>
  <c r="I39" i="8"/>
  <c r="L39" i="8" s="1"/>
  <c r="M39" i="8" s="1"/>
  <c r="S54" i="8"/>
  <c r="U54" i="8" s="1"/>
  <c r="K54" i="8" s="1"/>
  <c r="M54" i="8"/>
  <c r="L54" i="8"/>
  <c r="S53" i="8"/>
  <c r="U53" i="8" s="1"/>
  <c r="K53" i="8" s="1"/>
  <c r="L53" i="8"/>
  <c r="M53" i="8" s="1"/>
  <c r="U52" i="8"/>
  <c r="S52" i="8"/>
  <c r="M52" i="8"/>
  <c r="L52" i="8"/>
  <c r="K52" i="8"/>
  <c r="S51" i="8"/>
  <c r="U51" i="8" s="1"/>
  <c r="K51" i="8" s="1"/>
  <c r="L51" i="8"/>
  <c r="M51" i="8" s="1"/>
  <c r="S50" i="8"/>
  <c r="U50" i="8" s="1"/>
  <c r="K50" i="8" s="1"/>
  <c r="L50" i="8"/>
  <c r="M50" i="8" s="1"/>
  <c r="S49" i="8"/>
  <c r="K49" i="8" s="1"/>
  <c r="L49" i="8"/>
  <c r="M49" i="8" s="1"/>
  <c r="S48" i="8"/>
  <c r="U48" i="8" s="1"/>
  <c r="L48" i="8"/>
  <c r="M48" i="8" s="1"/>
  <c r="AK47" i="8"/>
  <c r="AH60" i="8" s="1"/>
  <c r="S47" i="8"/>
  <c r="K47" i="8" s="1"/>
  <c r="L47" i="8"/>
  <c r="M47" i="8" s="1"/>
  <c r="S46" i="8"/>
  <c r="U46" i="8" s="1"/>
  <c r="K46" i="8" s="1"/>
  <c r="L46" i="8"/>
  <c r="M46" i="8" s="1"/>
  <c r="K45" i="8"/>
  <c r="L45" i="8"/>
  <c r="M45" i="8" s="1"/>
  <c r="S44" i="8"/>
  <c r="K44" i="8" s="1"/>
  <c r="L44" i="8"/>
  <c r="M44" i="8" s="1"/>
  <c r="AN43" i="8"/>
  <c r="AH43" i="8"/>
  <c r="AD43" i="8"/>
  <c r="S42" i="8"/>
  <c r="L43" i="8"/>
  <c r="M43" i="8" s="1"/>
  <c r="AN42" i="8"/>
  <c r="AH42" i="8"/>
  <c r="AD42" i="8"/>
  <c r="S41" i="8"/>
  <c r="U41" i="8" s="1"/>
  <c r="L42" i="8"/>
  <c r="M42" i="8" s="1"/>
  <c r="AN41" i="8"/>
  <c r="AH41" i="8"/>
  <c r="AD41" i="8"/>
  <c r="S40" i="8"/>
  <c r="L41" i="8"/>
  <c r="M41" i="8" s="1"/>
  <c r="AN40" i="8"/>
  <c r="AH40" i="8"/>
  <c r="AD40" i="8"/>
  <c r="L40" i="8"/>
  <c r="M40" i="8" s="1"/>
  <c r="AN39" i="8"/>
  <c r="AH39" i="8"/>
  <c r="AD39" i="8"/>
  <c r="S39" i="8"/>
  <c r="K39" i="8" s="1"/>
  <c r="AN38" i="8"/>
  <c r="AH38" i="8"/>
  <c r="AD38" i="8"/>
  <c r="S38" i="8"/>
  <c r="U38" i="8" s="1"/>
  <c r="K38" i="8" s="1"/>
  <c r="L38" i="8"/>
  <c r="M38" i="8" s="1"/>
  <c r="AN37" i="8"/>
  <c r="AH37" i="8"/>
  <c r="AD37" i="8"/>
  <c r="S37" i="8"/>
  <c r="U37" i="8" s="1"/>
  <c r="K37" i="8" s="1"/>
  <c r="L37" i="8"/>
  <c r="M37" i="8" s="1"/>
  <c r="AN36" i="8"/>
  <c r="AH36" i="8"/>
  <c r="AD36" i="8"/>
  <c r="S36" i="8"/>
  <c r="U36" i="8" s="1"/>
  <c r="K36" i="8" s="1"/>
  <c r="L36" i="8"/>
  <c r="M36" i="8" s="1"/>
  <c r="AN35" i="8"/>
  <c r="AH35" i="8"/>
  <c r="AH45" i="8" s="1"/>
  <c r="AE60" i="8" s="1"/>
  <c r="AN60" i="8" s="1"/>
  <c r="AD35" i="8"/>
  <c r="K41" i="8" l="1"/>
  <c r="AN47" i="8"/>
  <c r="J31" i="8"/>
  <c r="J33" i="8" s="1"/>
  <c r="U40" i="8"/>
  <c r="K40" i="8" s="1"/>
  <c r="K43" i="8"/>
  <c r="K42" i="8"/>
  <c r="AD45" i="8"/>
  <c r="AN18" i="8"/>
  <c r="O23" i="8"/>
  <c r="U55" i="8" l="1"/>
  <c r="S22" i="8"/>
  <c r="U22" i="8" s="1"/>
  <c r="K22" i="8" s="1"/>
  <c r="L22" i="8"/>
  <c r="M22" i="8" s="1"/>
  <c r="U21" i="8"/>
  <c r="S21" i="8"/>
  <c r="M21" i="8"/>
  <c r="L21" i="8"/>
  <c r="K21" i="8"/>
  <c r="S20" i="8"/>
  <c r="L20" i="8"/>
  <c r="M20" i="8" s="1"/>
  <c r="S19" i="8"/>
  <c r="L19" i="8"/>
  <c r="M19" i="8" s="1"/>
  <c r="S18" i="8"/>
  <c r="L18" i="8"/>
  <c r="M18" i="8" s="1"/>
  <c r="S17" i="8"/>
  <c r="U17" i="8" s="1"/>
  <c r="L17" i="8"/>
  <c r="M17" i="8" s="1"/>
  <c r="S16" i="8"/>
  <c r="K16" i="8" s="1"/>
  <c r="L16" i="8"/>
  <c r="M16" i="8" s="1"/>
  <c r="AK15" i="8"/>
  <c r="S15" i="8"/>
  <c r="M15" i="8"/>
  <c r="S14" i="8"/>
  <c r="L14" i="8"/>
  <c r="M14" i="8" s="1"/>
  <c r="K13" i="8"/>
  <c r="S13" i="8"/>
  <c r="L13" i="8"/>
  <c r="M13" i="8" s="1"/>
  <c r="S12" i="8"/>
  <c r="L12" i="8"/>
  <c r="M12" i="8" s="1"/>
  <c r="AN11" i="8"/>
  <c r="AH11" i="8"/>
  <c r="AD11" i="8"/>
  <c r="S11" i="8"/>
  <c r="L11" i="8"/>
  <c r="M11" i="8" s="1"/>
  <c r="AN10" i="8"/>
  <c r="AH10" i="8"/>
  <c r="AD10" i="8"/>
  <c r="S10" i="8"/>
  <c r="L10" i="8"/>
  <c r="M10" i="8" s="1"/>
  <c r="AN9" i="8"/>
  <c r="AH9" i="8"/>
  <c r="AD9" i="8"/>
  <c r="S9" i="8"/>
  <c r="L9" i="8"/>
  <c r="M9" i="8" s="1"/>
  <c r="AN8" i="8"/>
  <c r="AH8" i="8"/>
  <c r="AD8" i="8"/>
  <c r="S8" i="8"/>
  <c r="L8" i="8"/>
  <c r="M8" i="8" s="1"/>
  <c r="AN7" i="8"/>
  <c r="AH7" i="8"/>
  <c r="AD7" i="8"/>
  <c r="S7" i="8"/>
  <c r="L7" i="8"/>
  <c r="M7" i="8" s="1"/>
  <c r="AN6" i="8"/>
  <c r="AH6" i="8"/>
  <c r="AD6" i="8"/>
  <c r="S6" i="8"/>
  <c r="L6" i="8"/>
  <c r="M6" i="8" s="1"/>
  <c r="AN5" i="8"/>
  <c r="AH5" i="8"/>
  <c r="AD5" i="8"/>
  <c r="S5" i="8"/>
  <c r="U5" i="8" s="1"/>
  <c r="K5" i="8" s="1"/>
  <c r="L5" i="8"/>
  <c r="M5" i="8" s="1"/>
  <c r="AN4" i="8"/>
  <c r="AH4" i="8"/>
  <c r="AD4" i="8"/>
  <c r="S4" i="8"/>
  <c r="U4" i="8" s="1"/>
  <c r="L4" i="8"/>
  <c r="M4" i="8" s="1"/>
  <c r="AN3" i="8"/>
  <c r="AH3" i="8"/>
  <c r="AD3" i="8"/>
  <c r="AD13" i="8" l="1"/>
  <c r="AN15" i="8"/>
  <c r="K4" i="8"/>
  <c r="U23" i="8"/>
  <c r="AH23" i="8"/>
  <c r="AH13" i="8"/>
  <c r="AE23" i="8" s="1"/>
  <c r="AN201" i="7"/>
  <c r="AN200" i="7"/>
  <c r="AN199" i="7"/>
  <c r="AN198" i="7"/>
  <c r="AN197" i="7"/>
  <c r="AN196" i="7"/>
  <c r="AN195" i="7"/>
  <c r="AN194" i="7"/>
  <c r="AN193" i="7"/>
  <c r="AN203" i="7" s="1"/>
  <c r="AN205" i="7" s="1"/>
  <c r="O213" i="7"/>
  <c r="J191" i="7"/>
  <c r="J190" i="7"/>
  <c r="S212" i="7"/>
  <c r="U212" i="7" s="1"/>
  <c r="K212" i="7" s="1"/>
  <c r="L212" i="7"/>
  <c r="M212" i="7" s="1"/>
  <c r="S211" i="7"/>
  <c r="U211" i="7" s="1"/>
  <c r="K211" i="7" s="1"/>
  <c r="L211" i="7"/>
  <c r="M211" i="7" s="1"/>
  <c r="S210" i="7"/>
  <c r="U210" i="7" s="1"/>
  <c r="K210" i="7" s="1"/>
  <c r="L210" i="7"/>
  <c r="M210" i="7" s="1"/>
  <c r="U209" i="7"/>
  <c r="S209" i="7"/>
  <c r="M209" i="7"/>
  <c r="L209" i="7"/>
  <c r="K209" i="7"/>
  <c r="S208" i="7"/>
  <c r="U208" i="7" s="1"/>
  <c r="K208" i="7" s="1"/>
  <c r="L208" i="7"/>
  <c r="M208" i="7" s="1"/>
  <c r="S207" i="7"/>
  <c r="U207" i="7" s="1"/>
  <c r="K207" i="7" s="1"/>
  <c r="L207" i="7"/>
  <c r="M207" i="7" s="1"/>
  <c r="S206" i="7"/>
  <c r="U206" i="7" s="1"/>
  <c r="K206" i="7" s="1"/>
  <c r="L206" i="7"/>
  <c r="M206" i="7" s="1"/>
  <c r="AK205" i="7"/>
  <c r="S205" i="7"/>
  <c r="U205" i="7" s="1"/>
  <c r="K205" i="7" s="1"/>
  <c r="L205" i="7"/>
  <c r="M205" i="7" s="1"/>
  <c r="S204" i="7"/>
  <c r="K204" i="7" s="1"/>
  <c r="L204" i="7"/>
  <c r="M204" i="7" s="1"/>
  <c r="K203" i="7"/>
  <c r="S203" i="7"/>
  <c r="L203" i="7"/>
  <c r="M203" i="7" s="1"/>
  <c r="S202" i="7"/>
  <c r="K202" i="7" s="1"/>
  <c r="L202" i="7"/>
  <c r="M202" i="7" s="1"/>
  <c r="AH201" i="7"/>
  <c r="AD201" i="7"/>
  <c r="S201" i="7"/>
  <c r="K201" i="7" s="1"/>
  <c r="L201" i="7"/>
  <c r="M201" i="7" s="1"/>
  <c r="AH200" i="7"/>
  <c r="AD200" i="7"/>
  <c r="S200" i="7"/>
  <c r="U200" i="7" s="1"/>
  <c r="K200" i="7" s="1"/>
  <c r="L200" i="7"/>
  <c r="M200" i="7" s="1"/>
  <c r="AH199" i="7"/>
  <c r="AD199" i="7"/>
  <c r="S199" i="7"/>
  <c r="U199" i="7" s="1"/>
  <c r="K199" i="7" s="1"/>
  <c r="L199" i="7"/>
  <c r="M199" i="7" s="1"/>
  <c r="AH198" i="7"/>
  <c r="AD198" i="7"/>
  <c r="S198" i="7"/>
  <c r="K198" i="7" s="1"/>
  <c r="L198" i="7"/>
  <c r="M198" i="7" s="1"/>
  <c r="AH197" i="7"/>
  <c r="AD197" i="7"/>
  <c r="S197" i="7"/>
  <c r="L197" i="7"/>
  <c r="AH196" i="7"/>
  <c r="AD196" i="7"/>
  <c r="S196" i="7"/>
  <c r="L196" i="7"/>
  <c r="AH195" i="7"/>
  <c r="AD195" i="7"/>
  <c r="S195" i="7"/>
  <c r="L195" i="7"/>
  <c r="AH194" i="7"/>
  <c r="AD194" i="7"/>
  <c r="S194" i="7"/>
  <c r="K194" i="7" s="1"/>
  <c r="L194" i="7"/>
  <c r="M194" i="7" s="1"/>
  <c r="AH193" i="7"/>
  <c r="AD193" i="7"/>
  <c r="U213" i="7" l="1"/>
  <c r="AN23" i="8"/>
  <c r="AH14" i="8"/>
  <c r="AD203" i="7"/>
  <c r="AH203" i="7"/>
  <c r="G185" i="7"/>
  <c r="O180" i="7"/>
  <c r="U167" i="7"/>
  <c r="P154" i="7"/>
  <c r="P153" i="7"/>
  <c r="AN165" i="7"/>
  <c r="AN164" i="7"/>
  <c r="AN163" i="7"/>
  <c r="AN162" i="7"/>
  <c r="AN161" i="7"/>
  <c r="AN160" i="7"/>
  <c r="AN159" i="7"/>
  <c r="AN158" i="7"/>
  <c r="AN157" i="7"/>
  <c r="AN166" i="7" s="1"/>
  <c r="AN168" i="7" s="1"/>
  <c r="AR165" i="7"/>
  <c r="AR164" i="7"/>
  <c r="AR163" i="7"/>
  <c r="AR162" i="7"/>
  <c r="AR161" i="7"/>
  <c r="AR160" i="7"/>
  <c r="AR159" i="7"/>
  <c r="AR158" i="7"/>
  <c r="AR157" i="7"/>
  <c r="S180" i="7"/>
  <c r="L180" i="7"/>
  <c r="M180" i="7" s="1"/>
  <c r="S174" i="7"/>
  <c r="U174" i="7" s="1"/>
  <c r="K174" i="7" s="1"/>
  <c r="L174" i="7"/>
  <c r="M174" i="7" s="1"/>
  <c r="S173" i="7"/>
  <c r="U173" i="7" s="1"/>
  <c r="K173" i="7" s="1"/>
  <c r="L173" i="7"/>
  <c r="M173" i="7" s="1"/>
  <c r="S172" i="7"/>
  <c r="U172" i="7" s="1"/>
  <c r="K172" i="7" s="1"/>
  <c r="L172" i="7"/>
  <c r="M172" i="7" s="1"/>
  <c r="S171" i="7"/>
  <c r="U171" i="7" s="1"/>
  <c r="K171" i="7" s="1"/>
  <c r="L171" i="7"/>
  <c r="M171" i="7" s="1"/>
  <c r="S170" i="7"/>
  <c r="U170" i="7" s="1"/>
  <c r="K170" i="7" s="1"/>
  <c r="L170" i="7"/>
  <c r="M170" i="7" s="1"/>
  <c r="S169" i="7"/>
  <c r="U169" i="7" s="1"/>
  <c r="K169" i="7" s="1"/>
  <c r="L169" i="7"/>
  <c r="M169" i="7" s="1"/>
  <c r="AK168" i="7"/>
  <c r="S168" i="7"/>
  <c r="U168" i="7" s="1"/>
  <c r="K168" i="7" s="1"/>
  <c r="L168" i="7"/>
  <c r="M168" i="7" s="1"/>
  <c r="S167" i="7"/>
  <c r="L167" i="7"/>
  <c r="M167" i="7" s="1"/>
  <c r="S166" i="7"/>
  <c r="L166" i="7"/>
  <c r="M166" i="7" s="1"/>
  <c r="AH165" i="7"/>
  <c r="AD165" i="7"/>
  <c r="S165" i="7"/>
  <c r="K165" i="7" s="1"/>
  <c r="L165" i="7"/>
  <c r="M165" i="7" s="1"/>
  <c r="AH164" i="7"/>
  <c r="AD164" i="7"/>
  <c r="S164" i="7"/>
  <c r="U164" i="7" s="1"/>
  <c r="L164" i="7"/>
  <c r="AH163" i="7"/>
  <c r="AD163" i="7"/>
  <c r="S163" i="7"/>
  <c r="K163" i="7" s="1"/>
  <c r="L163" i="7"/>
  <c r="AH162" i="7"/>
  <c r="AD162" i="7"/>
  <c r="S162" i="7"/>
  <c r="L162" i="7"/>
  <c r="AH161" i="7"/>
  <c r="AD161" i="7"/>
  <c r="S161" i="7"/>
  <c r="U161" i="7" s="1"/>
  <c r="K161" i="7" s="1"/>
  <c r="L161" i="7"/>
  <c r="M161" i="7" s="1"/>
  <c r="AH160" i="7"/>
  <c r="AD160" i="7"/>
  <c r="S160" i="7"/>
  <c r="K160" i="7" s="1"/>
  <c r="L160" i="7"/>
  <c r="M160" i="7" s="1"/>
  <c r="AH159" i="7"/>
  <c r="AD159" i="7"/>
  <c r="S159" i="7"/>
  <c r="K159" i="7" s="1"/>
  <c r="L159" i="7"/>
  <c r="M159" i="7" s="1"/>
  <c r="AH158" i="7"/>
  <c r="AD158" i="7"/>
  <c r="S158" i="7"/>
  <c r="L158" i="7"/>
  <c r="AH157" i="7"/>
  <c r="AD157" i="7"/>
  <c r="O150" i="7"/>
  <c r="K167" i="7" l="1"/>
  <c r="AR166" i="7"/>
  <c r="U180" i="7"/>
  <c r="K180" i="7" s="1"/>
  <c r="AH166" i="7"/>
  <c r="AD166" i="7"/>
  <c r="L138" i="7"/>
  <c r="M138" i="7" s="1"/>
  <c r="S138" i="7"/>
  <c r="U138" i="7" s="1"/>
  <c r="K138" i="7" s="1"/>
  <c r="L139" i="7"/>
  <c r="M139" i="7" s="1"/>
  <c r="S139" i="7"/>
  <c r="U139" i="7" s="1"/>
  <c r="K139" i="7" s="1"/>
  <c r="L140" i="7"/>
  <c r="M140" i="7" s="1"/>
  <c r="S140" i="7"/>
  <c r="U140" i="7" s="1"/>
  <c r="K140" i="7" s="1"/>
  <c r="L141" i="7"/>
  <c r="M141" i="7" s="1"/>
  <c r="S141" i="7"/>
  <c r="U141" i="7"/>
  <c r="K141" i="7" s="1"/>
  <c r="L142" i="7"/>
  <c r="M142" i="7" s="1"/>
  <c r="S142" i="7"/>
  <c r="U142" i="7" s="1"/>
  <c r="L143" i="7"/>
  <c r="M143" i="7" s="1"/>
  <c r="S143" i="7"/>
  <c r="U143" i="7" s="1"/>
  <c r="K143" i="7" s="1"/>
  <c r="L144" i="7"/>
  <c r="M144" i="7" s="1"/>
  <c r="S144" i="7"/>
  <c r="U144" i="7" s="1"/>
  <c r="K144" i="7" s="1"/>
  <c r="L145" i="7"/>
  <c r="M145" i="7" s="1"/>
  <c r="S145" i="7"/>
  <c r="U145" i="7" s="1"/>
  <c r="K145" i="7" s="1"/>
  <c r="L146" i="7"/>
  <c r="M146" i="7" s="1"/>
  <c r="S146" i="7"/>
  <c r="U146" i="7" s="1"/>
  <c r="K146" i="7" s="1"/>
  <c r="L147" i="7"/>
  <c r="M147" i="7" s="1"/>
  <c r="S147" i="7"/>
  <c r="U147" i="7" s="1"/>
  <c r="K147" i="7" s="1"/>
  <c r="L148" i="7"/>
  <c r="M148" i="7" s="1"/>
  <c r="S148" i="7"/>
  <c r="U148" i="7" s="1"/>
  <c r="K148" i="7" s="1"/>
  <c r="L149" i="7"/>
  <c r="M149" i="7" s="1"/>
  <c r="S149" i="7"/>
  <c r="U149" i="7" s="1"/>
  <c r="K149" i="7" s="1"/>
  <c r="L150" i="7"/>
  <c r="M150" i="7" s="1"/>
  <c r="S150" i="7"/>
  <c r="U150" i="7" s="1"/>
  <c r="K150" i="7" s="1"/>
  <c r="S137" i="7"/>
  <c r="U137" i="7" s="1"/>
  <c r="L137" i="7"/>
  <c r="M137" i="7" s="1"/>
  <c r="S136" i="7"/>
  <c r="U136" i="7" s="1"/>
  <c r="L136" i="7"/>
  <c r="M136" i="7" s="1"/>
  <c r="AO135" i="7"/>
  <c r="S131" i="7"/>
  <c r="T111" i="7"/>
  <c r="S135" i="7"/>
  <c r="U135" i="7" s="1"/>
  <c r="L135" i="7"/>
  <c r="M135" i="7" s="1"/>
  <c r="S134" i="7"/>
  <c r="U134" i="7" s="1"/>
  <c r="L134" i="7"/>
  <c r="S133" i="7"/>
  <c r="U133" i="7" s="1"/>
  <c r="K133" i="7" s="1"/>
  <c r="L133" i="7"/>
  <c r="M133" i="7" s="1"/>
  <c r="U132" i="7"/>
  <c r="K132" i="7" s="1"/>
  <c r="L132" i="7"/>
  <c r="M132" i="7" s="1"/>
  <c r="U131" i="7"/>
  <c r="K131" i="7" s="1"/>
  <c r="L131" i="7"/>
  <c r="M131" i="7" s="1"/>
  <c r="S130" i="7"/>
  <c r="U130" i="7" s="1"/>
  <c r="K130" i="7" s="1"/>
  <c r="L130" i="7"/>
  <c r="M130" i="7" s="1"/>
  <c r="AK129" i="7"/>
  <c r="S129" i="7"/>
  <c r="U129" i="7" s="1"/>
  <c r="K129" i="7" s="1"/>
  <c r="L129" i="7"/>
  <c r="M129" i="7" s="1"/>
  <c r="S128" i="7"/>
  <c r="U128" i="7" s="1"/>
  <c r="K128" i="7" s="1"/>
  <c r="L128" i="7"/>
  <c r="M128" i="7" s="1"/>
  <c r="S127" i="7"/>
  <c r="U127" i="7" s="1"/>
  <c r="K127" i="7" s="1"/>
  <c r="L127" i="7"/>
  <c r="M127" i="7" s="1"/>
  <c r="S126" i="7"/>
  <c r="U126" i="7" s="1"/>
  <c r="K126" i="7" s="1"/>
  <c r="L126" i="7"/>
  <c r="M126" i="7" s="1"/>
  <c r="AN125" i="7"/>
  <c r="AH125" i="7"/>
  <c r="AD125" i="7"/>
  <c r="S125" i="7"/>
  <c r="U125" i="7" s="1"/>
  <c r="K125" i="7" s="1"/>
  <c r="L125" i="7"/>
  <c r="M125" i="7" s="1"/>
  <c r="AN124" i="7"/>
  <c r="AH124" i="7"/>
  <c r="AD124" i="7"/>
  <c r="S124" i="7"/>
  <c r="U124" i="7" s="1"/>
  <c r="K124" i="7" s="1"/>
  <c r="L124" i="7"/>
  <c r="M124" i="7" s="1"/>
  <c r="AN123" i="7"/>
  <c r="AH123" i="7"/>
  <c r="AD123" i="7"/>
  <c r="S123" i="7"/>
  <c r="U123" i="7" s="1"/>
  <c r="K123" i="7" s="1"/>
  <c r="L123" i="7"/>
  <c r="M123" i="7" s="1"/>
  <c r="AN122" i="7"/>
  <c r="AH122" i="7"/>
  <c r="AD122" i="7"/>
  <c r="S122" i="7"/>
  <c r="U122" i="7" s="1"/>
  <c r="K122" i="7" s="1"/>
  <c r="L122" i="7"/>
  <c r="M122" i="7" s="1"/>
  <c r="AN121" i="7"/>
  <c r="AH121" i="7"/>
  <c r="AD121" i="7"/>
  <c r="S121" i="7"/>
  <c r="U121" i="7" s="1"/>
  <c r="K121" i="7" s="1"/>
  <c r="L121" i="7"/>
  <c r="M121" i="7" s="1"/>
  <c r="AN120" i="7"/>
  <c r="AH120" i="7"/>
  <c r="AD120" i="7"/>
  <c r="S120" i="7"/>
  <c r="U120" i="7" s="1"/>
  <c r="K120" i="7" s="1"/>
  <c r="L120" i="7"/>
  <c r="M120" i="7" s="1"/>
  <c r="AN119" i="7"/>
  <c r="AH119" i="7"/>
  <c r="AD119" i="7"/>
  <c r="S119" i="7"/>
  <c r="U119" i="7" s="1"/>
  <c r="K119" i="7" s="1"/>
  <c r="L119" i="7"/>
  <c r="M119" i="7" s="1"/>
  <c r="AN118" i="7"/>
  <c r="AH118" i="7"/>
  <c r="AD118" i="7"/>
  <c r="S118" i="7"/>
  <c r="U118" i="7" s="1"/>
  <c r="K118" i="7" s="1"/>
  <c r="L118" i="7"/>
  <c r="M118" i="7" s="1"/>
  <c r="AN117" i="7"/>
  <c r="AH117" i="7"/>
  <c r="AD117" i="7"/>
  <c r="AH127" i="7" l="1"/>
  <c r="AN129" i="7"/>
  <c r="AD127" i="7"/>
  <c r="AN102" i="7"/>
  <c r="O109" i="7"/>
  <c r="AA91" i="7"/>
  <c r="K94" i="7"/>
  <c r="S106" i="7"/>
  <c r="U106" i="7" s="1"/>
  <c r="K106" i="7" s="1"/>
  <c r="L106" i="7"/>
  <c r="M106" i="7" s="1"/>
  <c r="S105" i="7"/>
  <c r="U105" i="7" s="1"/>
  <c r="K105" i="7" s="1"/>
  <c r="L105" i="7"/>
  <c r="M105" i="7" s="1"/>
  <c r="S104" i="7"/>
  <c r="U104" i="7" s="1"/>
  <c r="L104" i="7"/>
  <c r="M104" i="7" s="1"/>
  <c r="S103" i="7"/>
  <c r="U103" i="7" s="1"/>
  <c r="K103" i="7" s="1"/>
  <c r="L103" i="7"/>
  <c r="M103" i="7" s="1"/>
  <c r="S102" i="7"/>
  <c r="U102" i="7" s="1"/>
  <c r="K102" i="7" s="1"/>
  <c r="L102" i="7"/>
  <c r="M102" i="7" s="1"/>
  <c r="S101" i="7"/>
  <c r="U101" i="7" s="1"/>
  <c r="M101" i="7"/>
  <c r="S100" i="7"/>
  <c r="U100" i="7" s="1"/>
  <c r="K100" i="7" s="1"/>
  <c r="L100" i="7"/>
  <c r="M100" i="7" s="1"/>
  <c r="AK99" i="7"/>
  <c r="S99" i="7"/>
  <c r="K99" i="7" s="1"/>
  <c r="L99" i="7"/>
  <c r="M99" i="7" s="1"/>
  <c r="S98" i="7"/>
  <c r="L98" i="7"/>
  <c r="S97" i="7"/>
  <c r="L97" i="7"/>
  <c r="M97" i="7" s="1"/>
  <c r="K96" i="7"/>
  <c r="S96" i="7"/>
  <c r="L96" i="7"/>
  <c r="M96" i="7" s="1"/>
  <c r="AN95" i="7"/>
  <c r="AH95" i="7"/>
  <c r="AD95" i="7"/>
  <c r="S95" i="7"/>
  <c r="L95" i="7"/>
  <c r="M95" i="7" s="1"/>
  <c r="AN94" i="7"/>
  <c r="AH94" i="7"/>
  <c r="AD94" i="7"/>
  <c r="U94" i="7"/>
  <c r="S94" i="7"/>
  <c r="M94" i="7"/>
  <c r="L94" i="7"/>
  <c r="AN93" i="7"/>
  <c r="AH93" i="7"/>
  <c r="AD93" i="7"/>
  <c r="S93" i="7"/>
  <c r="K93" i="7" s="1"/>
  <c r="L93" i="7"/>
  <c r="M93" i="7" s="1"/>
  <c r="AN92" i="7"/>
  <c r="AH92" i="7"/>
  <c r="AD92" i="7"/>
  <c r="S92" i="7"/>
  <c r="K92" i="7" s="1"/>
  <c r="L92" i="7"/>
  <c r="M92" i="7" s="1"/>
  <c r="AN91" i="7"/>
  <c r="AH91" i="7"/>
  <c r="AD91" i="7"/>
  <c r="S91" i="7"/>
  <c r="U91" i="7" s="1"/>
  <c r="K91" i="7" s="1"/>
  <c r="L91" i="7"/>
  <c r="M91" i="7" s="1"/>
  <c r="AN90" i="7"/>
  <c r="AH90" i="7"/>
  <c r="AD90" i="7"/>
  <c r="S90" i="7"/>
  <c r="U90" i="7" s="1"/>
  <c r="L90" i="7"/>
  <c r="M90" i="7" s="1"/>
  <c r="AN89" i="7"/>
  <c r="AH89" i="7"/>
  <c r="AD89" i="7"/>
  <c r="S89" i="7"/>
  <c r="U89" i="7" s="1"/>
  <c r="K89" i="7" s="1"/>
  <c r="L89" i="7"/>
  <c r="M89" i="7" s="1"/>
  <c r="AN88" i="7"/>
  <c r="AH88" i="7"/>
  <c r="AD88" i="7"/>
  <c r="S88" i="7"/>
  <c r="U88" i="7" s="1"/>
  <c r="K88" i="7" s="1"/>
  <c r="L88" i="7"/>
  <c r="M88" i="7" s="1"/>
  <c r="AN87" i="7"/>
  <c r="AH87" i="7"/>
  <c r="AD87" i="7"/>
  <c r="U92" i="7" l="1"/>
  <c r="AN99" i="7"/>
  <c r="AH97" i="7"/>
  <c r="AD97" i="7"/>
  <c r="U93" i="7"/>
  <c r="AN60" i="7"/>
  <c r="AN59" i="7"/>
  <c r="AN58" i="7"/>
  <c r="AN57" i="7"/>
  <c r="AN56" i="7"/>
  <c r="AN55" i="7"/>
  <c r="AN54" i="7"/>
  <c r="AN53" i="7"/>
  <c r="AN52" i="7"/>
  <c r="L72" i="7"/>
  <c r="L71" i="7"/>
  <c r="R48" i="7"/>
  <c r="S48" i="7" s="1"/>
  <c r="T49" i="7" s="1"/>
  <c r="U22" i="2"/>
  <c r="W22" i="2" s="1"/>
  <c r="M22" i="2"/>
  <c r="N22" i="2" s="1"/>
  <c r="U21" i="2"/>
  <c r="W21" i="2" s="1"/>
  <c r="M21" i="2"/>
  <c r="N21" i="2" s="1"/>
  <c r="U20" i="2"/>
  <c r="W20" i="2" s="1"/>
  <c r="M20" i="2"/>
  <c r="N20" i="2" s="1"/>
  <c r="U19" i="2"/>
  <c r="W19" i="2" s="1"/>
  <c r="M19" i="2"/>
  <c r="N19" i="2" s="1"/>
  <c r="U18" i="2"/>
  <c r="W18" i="2" s="1"/>
  <c r="M18" i="2"/>
  <c r="N18" i="2" s="1"/>
  <c r="U17" i="2"/>
  <c r="W17" i="2" s="1"/>
  <c r="M17" i="2"/>
  <c r="N17" i="2" s="1"/>
  <c r="U16" i="2"/>
  <c r="W16" i="2" s="1"/>
  <c r="M16" i="2"/>
  <c r="N16" i="2" s="1"/>
  <c r="U15" i="2"/>
  <c r="W15" i="2" s="1"/>
  <c r="M15" i="2"/>
  <c r="N15" i="2" s="1"/>
  <c r="U14" i="2"/>
  <c r="W14" i="2" s="1"/>
  <c r="M14" i="2"/>
  <c r="N14" i="2" s="1"/>
  <c r="U13" i="2"/>
  <c r="W13" i="2" s="1"/>
  <c r="M13" i="2"/>
  <c r="N13" i="2" s="1"/>
  <c r="U12" i="2"/>
  <c r="W12" i="2" s="1"/>
  <c r="M12" i="2"/>
  <c r="N12" i="2" s="1"/>
  <c r="AJ11" i="2"/>
  <c r="AF11" i="2"/>
  <c r="U11" i="2"/>
  <c r="W11" i="2" s="1"/>
  <c r="M11" i="2"/>
  <c r="N11" i="2" s="1"/>
  <c r="AJ10" i="2"/>
  <c r="AF10" i="2"/>
  <c r="U10" i="2"/>
  <c r="W10" i="2" s="1"/>
  <c r="M10" i="2"/>
  <c r="N10" i="2" s="1"/>
  <c r="AJ9" i="2"/>
  <c r="AF9" i="2"/>
  <c r="U9" i="2"/>
  <c r="W9" i="2" s="1"/>
  <c r="M9" i="2"/>
  <c r="N9" i="2" s="1"/>
  <c r="AJ8" i="2"/>
  <c r="AF8" i="2"/>
  <c r="U8" i="2"/>
  <c r="W8" i="2" s="1"/>
  <c r="M8" i="2"/>
  <c r="N8" i="2" s="1"/>
  <c r="AJ7" i="2"/>
  <c r="AF7" i="2"/>
  <c r="U7" i="2"/>
  <c r="W7" i="2" s="1"/>
  <c r="M7" i="2"/>
  <c r="N7" i="2" s="1"/>
  <c r="AJ6" i="2"/>
  <c r="AF6" i="2"/>
  <c r="U6" i="2"/>
  <c r="W6" i="2" s="1"/>
  <c r="M6" i="2"/>
  <c r="N6" i="2" s="1"/>
  <c r="AJ5" i="2"/>
  <c r="AF5" i="2"/>
  <c r="U5" i="2"/>
  <c r="W5" i="2" s="1"/>
  <c r="M5" i="2"/>
  <c r="N5" i="2" s="1"/>
  <c r="AJ4" i="2"/>
  <c r="AF4" i="2"/>
  <c r="U4" i="2"/>
  <c r="W4" i="2" s="1"/>
  <c r="M4" i="2"/>
  <c r="N4" i="2" s="1"/>
  <c r="AJ3" i="2"/>
  <c r="AJ13" i="2" s="1"/>
  <c r="AJ23" i="2" s="1"/>
  <c r="AF3" i="2"/>
  <c r="L76" i="7"/>
  <c r="M76" i="7" s="1"/>
  <c r="S66" i="7"/>
  <c r="S67" i="7"/>
  <c r="K67" i="7" s="1"/>
  <c r="S68" i="7"/>
  <c r="K68" i="7" s="1"/>
  <c r="S69" i="7"/>
  <c r="K69" i="7" s="1"/>
  <c r="S70" i="7"/>
  <c r="S76" i="7"/>
  <c r="U76" i="7" s="1"/>
  <c r="K76" i="7" s="1"/>
  <c r="AH52" i="7"/>
  <c r="AH60" i="7"/>
  <c r="AH59" i="7"/>
  <c r="AH58" i="7"/>
  <c r="AH57" i="7"/>
  <c r="AH56" i="7"/>
  <c r="AH55" i="7"/>
  <c r="AH54" i="7"/>
  <c r="AH53" i="7"/>
  <c r="L61" i="7"/>
  <c r="M61" i="7" s="1"/>
  <c r="L62" i="7"/>
  <c r="M62" i="7" s="1"/>
  <c r="L63" i="7"/>
  <c r="M63" i="7" s="1"/>
  <c r="L64" i="7"/>
  <c r="L67" i="7"/>
  <c r="M67" i="7" s="1"/>
  <c r="L68" i="7"/>
  <c r="M68" i="7" s="1"/>
  <c r="L69" i="7"/>
  <c r="M69" i="7" s="1"/>
  <c r="L70" i="7"/>
  <c r="AK64" i="7"/>
  <c r="S64" i="7"/>
  <c r="S63" i="7"/>
  <c r="U63" i="7" s="1"/>
  <c r="K63" i="7" s="1"/>
  <c r="S62" i="7"/>
  <c r="U62" i="7" s="1"/>
  <c r="K62" i="7" s="1"/>
  <c r="S61" i="7"/>
  <c r="U61" i="7" s="1"/>
  <c r="K61" i="7" s="1"/>
  <c r="AD60" i="7"/>
  <c r="S60" i="7"/>
  <c r="U60" i="7" s="1"/>
  <c r="K60" i="7" s="1"/>
  <c r="L60" i="7"/>
  <c r="M60" i="7" s="1"/>
  <c r="AD59" i="7"/>
  <c r="S59" i="7"/>
  <c r="U59" i="7" s="1"/>
  <c r="K59" i="7" s="1"/>
  <c r="L59" i="7"/>
  <c r="M59" i="7" s="1"/>
  <c r="AD58" i="7"/>
  <c r="S58" i="7"/>
  <c r="U58" i="7" s="1"/>
  <c r="K58" i="7" s="1"/>
  <c r="L58" i="7"/>
  <c r="M58" i="7" s="1"/>
  <c r="AD57" i="7"/>
  <c r="S57" i="7"/>
  <c r="U57" i="7" s="1"/>
  <c r="K57" i="7" s="1"/>
  <c r="L57" i="7"/>
  <c r="M57" i="7" s="1"/>
  <c r="AD56" i="7"/>
  <c r="S56" i="7"/>
  <c r="U56" i="7" s="1"/>
  <c r="K56" i="7" s="1"/>
  <c r="L56" i="7"/>
  <c r="M56" i="7" s="1"/>
  <c r="AD55" i="7"/>
  <c r="S55" i="7"/>
  <c r="U55" i="7" s="1"/>
  <c r="K55" i="7" s="1"/>
  <c r="L55" i="7"/>
  <c r="M55" i="7" s="1"/>
  <c r="AD54" i="7"/>
  <c r="S54" i="7"/>
  <c r="U54" i="7" s="1"/>
  <c r="K54" i="7" s="1"/>
  <c r="L54" i="7"/>
  <c r="M54" i="7" s="1"/>
  <c r="AD53" i="7"/>
  <c r="S53" i="7"/>
  <c r="U53" i="7" s="1"/>
  <c r="K53" i="7" s="1"/>
  <c r="L53" i="7"/>
  <c r="M53" i="7" s="1"/>
  <c r="AD52" i="7"/>
  <c r="AN64" i="7" l="1"/>
  <c r="AH62" i="7"/>
  <c r="AF13" i="2"/>
  <c r="AJ18" i="2" s="1"/>
  <c r="AG18" i="2" s="1"/>
  <c r="AD62" i="7"/>
  <c r="R42" i="7"/>
  <c r="AN34" i="7" l="1"/>
  <c r="AN36" i="7" s="1"/>
  <c r="R41" i="7"/>
  <c r="L39" i="7"/>
  <c r="M39" i="7" s="1"/>
  <c r="N21" i="7"/>
  <c r="I22" i="7"/>
  <c r="H20" i="7" s="1"/>
  <c r="R25" i="7" l="1"/>
  <c r="T25" i="7" s="1"/>
  <c r="K25" i="7" s="1"/>
  <c r="R26" i="7"/>
  <c r="T26" i="7" s="1"/>
  <c r="K26" i="7" s="1"/>
  <c r="R27" i="7"/>
  <c r="T27" i="7" s="1"/>
  <c r="K27" i="7" s="1"/>
  <c r="R28" i="7"/>
  <c r="R29" i="7"/>
  <c r="R30" i="7"/>
  <c r="R31" i="7"/>
  <c r="R32" i="7"/>
  <c r="R65" i="7"/>
  <c r="R34" i="7"/>
  <c r="R35" i="7"/>
  <c r="R36" i="7"/>
  <c r="T29" i="7"/>
  <c r="K29" i="7" s="1"/>
  <c r="T30" i="7"/>
  <c r="K30" i="7" s="1"/>
  <c r="K37" i="7"/>
  <c r="K31" i="7"/>
  <c r="L30" i="7"/>
  <c r="M30" i="7" s="1"/>
  <c r="L31" i="7"/>
  <c r="M31" i="7" s="1"/>
  <c r="L32" i="7"/>
  <c r="M32" i="7" s="1"/>
  <c r="L35" i="7"/>
  <c r="L36" i="7"/>
  <c r="M36" i="7" s="1"/>
  <c r="L37" i="7"/>
  <c r="M37" i="7" s="1"/>
  <c r="L38" i="7"/>
  <c r="M38" i="7" s="1"/>
  <c r="R40" i="7"/>
  <c r="R38" i="7"/>
  <c r="R37" i="7"/>
  <c r="AK36" i="7"/>
  <c r="M35" i="7"/>
  <c r="AH34" i="7"/>
  <c r="AD32" i="7"/>
  <c r="AD31" i="7"/>
  <c r="AD30" i="7"/>
  <c r="AD29" i="7"/>
  <c r="L29" i="7"/>
  <c r="M29" i="7" s="1"/>
  <c r="AD28" i="7"/>
  <c r="T28" i="7"/>
  <c r="K28" i="7" s="1"/>
  <c r="L28" i="7"/>
  <c r="M28" i="7" s="1"/>
  <c r="AD27" i="7"/>
  <c r="L27" i="7"/>
  <c r="M27" i="7" s="1"/>
  <c r="AD26" i="7"/>
  <c r="L26" i="7"/>
  <c r="M26" i="7" s="1"/>
  <c r="AD25" i="7"/>
  <c r="L25" i="7"/>
  <c r="M25" i="7" s="1"/>
  <c r="AD24" i="7"/>
  <c r="AD34" i="7" l="1"/>
  <c r="L8" i="7" l="1"/>
  <c r="M8" i="7" s="1"/>
  <c r="AD10" i="7"/>
  <c r="AD9" i="7"/>
  <c r="R17" i="7"/>
  <c r="T17" i="7" s="1"/>
  <c r="U17" i="7" s="1"/>
  <c r="R16" i="7"/>
  <c r="R15" i="7"/>
  <c r="AK14" i="7"/>
  <c r="R14" i="7"/>
  <c r="L14" i="7"/>
  <c r="M14" i="7" s="1"/>
  <c r="R13" i="7"/>
  <c r="T13" i="7" s="1"/>
  <c r="L13" i="7"/>
  <c r="M13" i="7" s="1"/>
  <c r="AH12" i="7"/>
  <c r="AH15" i="7" s="1"/>
  <c r="T12" i="7"/>
  <c r="L12" i="7"/>
  <c r="M12" i="7" s="1"/>
  <c r="R11" i="7"/>
  <c r="T11" i="7" s="1"/>
  <c r="K11" i="7" s="1"/>
  <c r="L11" i="7"/>
  <c r="M11" i="7" s="1"/>
  <c r="R10" i="7"/>
  <c r="L10" i="7"/>
  <c r="M10" i="7" s="1"/>
  <c r="K9" i="7"/>
  <c r="L9" i="7"/>
  <c r="M9" i="7" s="1"/>
  <c r="AD8" i="7"/>
  <c r="R8" i="7"/>
  <c r="T8" i="7" s="1"/>
  <c r="AD7" i="7"/>
  <c r="R7" i="7"/>
  <c r="L7" i="7"/>
  <c r="M7" i="7" s="1"/>
  <c r="AD6" i="7"/>
  <c r="R6" i="7"/>
  <c r="T6" i="7" s="1"/>
  <c r="L6" i="7"/>
  <c r="M6" i="7" s="1"/>
  <c r="AD5" i="7"/>
  <c r="R5" i="7"/>
  <c r="T5" i="7" s="1"/>
  <c r="K5" i="7" s="1"/>
  <c r="L5" i="7"/>
  <c r="M5" i="7" s="1"/>
  <c r="AD4" i="7"/>
  <c r="R4" i="7"/>
  <c r="T4" i="7" s="1"/>
  <c r="K4" i="7" s="1"/>
  <c r="L4" i="7"/>
  <c r="M4" i="7" s="1"/>
  <c r="AD3" i="7"/>
  <c r="R3" i="7"/>
  <c r="T3" i="7" s="1"/>
  <c r="L3" i="7"/>
  <c r="M3" i="7" s="1"/>
  <c r="AD2" i="7"/>
  <c r="AD12" i="7" l="1"/>
  <c r="K7" i="7"/>
  <c r="K6" i="7"/>
  <c r="G141" i="1"/>
  <c r="D139" i="1"/>
  <c r="AK120" i="1" l="1"/>
  <c r="AH118" i="1"/>
  <c r="AD115" i="1"/>
  <c r="AD114" i="1"/>
  <c r="AD113" i="1"/>
  <c r="AD112" i="1"/>
  <c r="AD111" i="1"/>
  <c r="AD110" i="1"/>
  <c r="AD109" i="1"/>
  <c r="AD108" i="1"/>
  <c r="AD118" i="1" s="1"/>
  <c r="H105" i="1"/>
  <c r="R119" i="5" l="1"/>
  <c r="T122" i="5" s="1"/>
  <c r="L119" i="5" s="1"/>
  <c r="M119" i="5"/>
  <c r="N119" i="5" s="1"/>
  <c r="R118" i="5"/>
  <c r="T121" i="5" s="1"/>
  <c r="L118" i="5" s="1"/>
  <c r="M118" i="5"/>
  <c r="N118" i="5" s="1"/>
  <c r="R117" i="5"/>
  <c r="T120" i="5" s="1"/>
  <c r="M117" i="5"/>
  <c r="N117" i="5" s="1"/>
  <c r="R116" i="5"/>
  <c r="T119" i="5" s="1"/>
  <c r="L116" i="5" s="1"/>
  <c r="M116" i="5"/>
  <c r="N116" i="5" s="1"/>
  <c r="R115" i="5"/>
  <c r="T118" i="5" s="1"/>
  <c r="L115" i="5" s="1"/>
  <c r="M115" i="5"/>
  <c r="N115" i="5" s="1"/>
  <c r="R114" i="5"/>
  <c r="T117" i="5" s="1"/>
  <c r="L114" i="5" s="1"/>
  <c r="M114" i="5"/>
  <c r="N114" i="5" s="1"/>
  <c r="R113" i="5"/>
  <c r="T116" i="5" s="1"/>
  <c r="L113" i="5" s="1"/>
  <c r="M113" i="5"/>
  <c r="N113" i="5" s="1"/>
  <c r="R112" i="5"/>
  <c r="T115" i="5" s="1"/>
  <c r="L112" i="5" s="1"/>
  <c r="M112" i="5"/>
  <c r="N112" i="5" s="1"/>
  <c r="R111" i="5"/>
  <c r="M111" i="5"/>
  <c r="N111" i="5" s="1"/>
  <c r="R110" i="5"/>
  <c r="T113" i="5" s="1"/>
  <c r="L110" i="5" s="1"/>
  <c r="M110" i="5"/>
  <c r="N110" i="5" s="1"/>
  <c r="R109" i="5"/>
  <c r="T112" i="5" s="1"/>
  <c r="L109" i="5" s="1"/>
  <c r="M109" i="5"/>
  <c r="N109" i="5" s="1"/>
  <c r="R108" i="5"/>
  <c r="M108" i="5"/>
  <c r="N108" i="5" s="1"/>
  <c r="L108" i="5"/>
  <c r="R107" i="5"/>
  <c r="M107" i="5"/>
  <c r="N107" i="5" s="1"/>
  <c r="L107" i="5"/>
  <c r="R106" i="5"/>
  <c r="T109" i="5" s="1"/>
  <c r="L106" i="5" s="1"/>
  <c r="M106" i="5"/>
  <c r="N106" i="5" s="1"/>
  <c r="R105" i="5"/>
  <c r="T108" i="5" s="1"/>
  <c r="L105" i="5" s="1"/>
  <c r="M105" i="5"/>
  <c r="N105" i="5" s="1"/>
  <c r="Q104" i="5"/>
  <c r="S104" i="5" s="1"/>
  <c r="L104" i="5" s="1"/>
  <c r="M104" i="5"/>
  <c r="N104" i="5" s="1"/>
  <c r="Q103" i="5"/>
  <c r="S103" i="5" s="1"/>
  <c r="L103" i="5" s="1"/>
  <c r="M103" i="5"/>
  <c r="N103" i="5" s="1"/>
  <c r="Q102" i="5"/>
  <c r="S102" i="5" s="1"/>
  <c r="L102" i="5" s="1"/>
  <c r="M102" i="5"/>
  <c r="N102" i="5" s="1"/>
  <c r="Q101" i="5"/>
  <c r="S101" i="5" s="1"/>
  <c r="L101" i="5" s="1"/>
  <c r="M101" i="5"/>
  <c r="N101" i="5" s="1"/>
  <c r="Q100" i="5"/>
  <c r="S100" i="5" s="1"/>
  <c r="M100" i="5"/>
  <c r="N100" i="5" s="1"/>
  <c r="Q99" i="5"/>
  <c r="S99" i="5" s="1"/>
  <c r="M99" i="5"/>
  <c r="N99" i="5" s="1"/>
  <c r="Q98" i="5"/>
  <c r="S98" i="5" s="1"/>
  <c r="M98" i="5"/>
  <c r="N98" i="5" s="1"/>
  <c r="Q97" i="5"/>
  <c r="S97" i="5" s="1"/>
  <c r="Q96" i="5"/>
  <c r="S96" i="5" s="1"/>
  <c r="Q95" i="5"/>
  <c r="S95" i="5" s="1"/>
  <c r="S94" i="5"/>
  <c r="M94" i="5"/>
  <c r="N94" i="5" s="1"/>
  <c r="Q93" i="5"/>
  <c r="S93" i="5" s="1"/>
  <c r="M93" i="5"/>
  <c r="Q92" i="5"/>
  <c r="S92" i="5" s="1"/>
  <c r="M92" i="5"/>
  <c r="N92" i="5" s="1"/>
  <c r="Q91" i="5"/>
  <c r="S91" i="5" s="1"/>
  <c r="J91" i="5"/>
  <c r="M91" i="5" s="1"/>
  <c r="N91" i="5" s="1"/>
  <c r="Q90" i="5"/>
  <c r="S90" i="5" s="1"/>
  <c r="M90" i="5"/>
  <c r="N90" i="5" s="1"/>
  <c r="Q89" i="5"/>
  <c r="M89" i="5"/>
  <c r="N89" i="5" s="1"/>
  <c r="Q88" i="5"/>
  <c r="S88" i="5" s="1"/>
  <c r="M88" i="5"/>
  <c r="N88" i="5" s="1"/>
  <c r="Q87" i="5"/>
  <c r="S87" i="5" s="1"/>
  <c r="M87" i="5"/>
  <c r="N87" i="5" s="1"/>
  <c r="Q86" i="5"/>
  <c r="S86" i="5" s="1"/>
  <c r="M86" i="5"/>
  <c r="N86" i="5" s="1"/>
  <c r="S85" i="5"/>
  <c r="M85" i="5"/>
  <c r="N85" i="5" s="1"/>
  <c r="P84" i="5"/>
  <c r="L83" i="5"/>
  <c r="M83" i="5" s="1"/>
  <c r="P82" i="5"/>
  <c r="R82" i="5" s="1"/>
  <c r="L82" i="5"/>
  <c r="M82" i="5" s="1"/>
  <c r="P81" i="5"/>
  <c r="R81" i="5" s="1"/>
  <c r="L81" i="5"/>
  <c r="M81" i="5" s="1"/>
  <c r="P80" i="5"/>
  <c r="L80" i="5"/>
  <c r="M80" i="5" s="1"/>
  <c r="P79" i="5"/>
  <c r="R79" i="5" s="1"/>
  <c r="L79" i="5"/>
  <c r="M79" i="5" s="1"/>
  <c r="P78" i="5"/>
  <c r="R78" i="5" s="1"/>
  <c r="K78" i="5" s="1"/>
  <c r="L78" i="5"/>
  <c r="M78" i="5" s="1"/>
  <c r="P77" i="5"/>
  <c r="R77" i="5" s="1"/>
  <c r="K77" i="5" s="1"/>
  <c r="L77" i="5"/>
  <c r="M77" i="5" s="1"/>
  <c r="P76" i="5"/>
  <c r="R76" i="5" s="1"/>
  <c r="K76" i="5" s="1"/>
  <c r="L76" i="5"/>
  <c r="M76" i="5" s="1"/>
  <c r="P75" i="5"/>
  <c r="R75" i="5" s="1"/>
  <c r="K75" i="5" s="1"/>
  <c r="L75" i="5"/>
  <c r="M75" i="5" s="1"/>
  <c r="P74" i="5"/>
  <c r="R74" i="5" s="1"/>
  <c r="K74" i="5" s="1"/>
  <c r="L74" i="5"/>
  <c r="M74" i="5" s="1"/>
  <c r="P73" i="5"/>
  <c r="R73" i="5" s="1"/>
  <c r="K73" i="5" s="1"/>
  <c r="L73" i="5"/>
  <c r="M73" i="5" s="1"/>
  <c r="P72" i="5"/>
  <c r="R72" i="5" s="1"/>
  <c r="K72" i="5" s="1"/>
  <c r="L72" i="5"/>
  <c r="M72" i="5" s="1"/>
  <c r="P71" i="5"/>
  <c r="R71" i="5" s="1"/>
  <c r="K71" i="5" s="1"/>
  <c r="M71" i="5"/>
  <c r="P70" i="5"/>
  <c r="R70" i="5" s="1"/>
  <c r="K70" i="5" s="1"/>
  <c r="L70" i="5"/>
  <c r="M70" i="5" s="1"/>
  <c r="P69" i="5"/>
  <c r="R69" i="5" s="1"/>
  <c r="L69" i="5"/>
  <c r="M69" i="5" s="1"/>
  <c r="R68" i="5"/>
  <c r="L68" i="5"/>
  <c r="M68" i="5" s="1"/>
  <c r="R67" i="5"/>
  <c r="L67" i="5"/>
  <c r="M67" i="5" s="1"/>
  <c r="P66" i="5"/>
  <c r="R66" i="5" s="1"/>
  <c r="L66" i="5"/>
  <c r="M66" i="5" s="1"/>
  <c r="P65" i="5"/>
  <c r="R65" i="5" s="1"/>
  <c r="L65" i="5"/>
  <c r="M65" i="5" s="1"/>
  <c r="P64" i="5"/>
  <c r="R64" i="5" s="1"/>
  <c r="L64" i="5"/>
  <c r="M64" i="5" s="1"/>
  <c r="P63" i="5"/>
  <c r="R63" i="5" s="1"/>
  <c r="L63" i="5"/>
  <c r="M63" i="5" s="1"/>
  <c r="P62" i="5"/>
  <c r="R62" i="5" s="1"/>
  <c r="K62" i="5" s="1"/>
  <c r="L62" i="5"/>
  <c r="M62" i="5" s="1"/>
  <c r="P61" i="5"/>
  <c r="R61" i="5" s="1"/>
  <c r="L61" i="5"/>
  <c r="M61" i="5" s="1"/>
  <c r="P60" i="5"/>
  <c r="R60" i="5" s="1"/>
  <c r="K60" i="5" s="1"/>
  <c r="L60" i="5"/>
  <c r="M60" i="5" s="1"/>
  <c r="P59" i="5"/>
  <c r="R59" i="5" s="1"/>
  <c r="K59" i="5" s="1"/>
  <c r="L59" i="5"/>
  <c r="M59" i="5" s="1"/>
  <c r="P58" i="5"/>
  <c r="R58" i="5" s="1"/>
  <c r="K58" i="5" s="1"/>
  <c r="L58" i="5"/>
  <c r="M58" i="5" s="1"/>
  <c r="P50" i="5"/>
  <c r="R50" i="5" s="1"/>
  <c r="P49" i="5"/>
  <c r="R49" i="5" s="1"/>
  <c r="P48" i="5"/>
  <c r="R48" i="5" s="1"/>
  <c r="P47" i="5"/>
  <c r="R47" i="5" s="1"/>
  <c r="L47" i="5"/>
  <c r="M47" i="5" s="1"/>
  <c r="R46" i="5"/>
  <c r="L46" i="5"/>
  <c r="M46" i="5" s="1"/>
  <c r="P45" i="5"/>
  <c r="R45" i="5" s="1"/>
  <c r="L45" i="5"/>
  <c r="M45" i="5" s="1"/>
  <c r="P44" i="5"/>
  <c r="R44" i="5" s="1"/>
  <c r="L44" i="5"/>
  <c r="M44" i="5" s="1"/>
  <c r="P43" i="5"/>
  <c r="R43" i="5" s="1"/>
  <c r="L43" i="5"/>
  <c r="M43" i="5" s="1"/>
  <c r="R42" i="5"/>
  <c r="L42" i="5"/>
  <c r="M42" i="5" s="1"/>
  <c r="L41" i="5"/>
  <c r="M41" i="5" s="1"/>
  <c r="P40" i="5"/>
  <c r="R40" i="5" s="1"/>
  <c r="K40" i="5" s="1"/>
  <c r="L40" i="5"/>
  <c r="M40" i="5" s="1"/>
  <c r="P39" i="5"/>
  <c r="R39" i="5" s="1"/>
  <c r="K39" i="5" s="1"/>
  <c r="L39" i="5"/>
  <c r="M39" i="5" s="1"/>
  <c r="O38" i="5"/>
  <c r="P38" i="5" s="1"/>
  <c r="R38" i="5" s="1"/>
  <c r="K38" i="5" s="1"/>
  <c r="L38" i="5"/>
  <c r="M38" i="5" s="1"/>
  <c r="P37" i="5"/>
  <c r="R37" i="5" s="1"/>
  <c r="K37" i="5" s="1"/>
  <c r="L37" i="5"/>
  <c r="M37" i="5" s="1"/>
  <c r="P36" i="5"/>
  <c r="R36" i="5" s="1"/>
  <c r="K36" i="5" s="1"/>
  <c r="L36" i="5"/>
  <c r="M36" i="5" s="1"/>
  <c r="P22" i="5"/>
  <c r="R22" i="5" s="1"/>
  <c r="K22" i="5" s="1"/>
  <c r="L22" i="5"/>
  <c r="M22" i="5" s="1"/>
  <c r="R21" i="5"/>
  <c r="K21" i="5" s="1"/>
  <c r="L21" i="5"/>
  <c r="M21" i="5" s="1"/>
  <c r="R20" i="5"/>
  <c r="L20" i="5"/>
  <c r="M20" i="5" s="1"/>
  <c r="P19" i="5"/>
  <c r="R19" i="5" s="1"/>
  <c r="K19" i="5" s="1"/>
  <c r="L19" i="5"/>
  <c r="M19" i="5" s="1"/>
  <c r="R18" i="5"/>
  <c r="L18" i="5"/>
  <c r="M18" i="5" s="1"/>
  <c r="P17" i="5"/>
  <c r="R17" i="5" s="1"/>
  <c r="K17" i="5" s="1"/>
  <c r="L17" i="5"/>
  <c r="M17" i="5" s="1"/>
  <c r="P16" i="5"/>
  <c r="R16" i="5" s="1"/>
  <c r="K16" i="5" s="1"/>
  <c r="L16" i="5"/>
  <c r="M16" i="5" s="1"/>
  <c r="P15" i="5"/>
  <c r="R15" i="5" s="1"/>
  <c r="L15" i="5"/>
  <c r="M15" i="5" s="1"/>
  <c r="P8" i="5"/>
  <c r="R8" i="5" s="1"/>
  <c r="K8" i="5" s="1"/>
  <c r="L8" i="5"/>
  <c r="M8" i="5" s="1"/>
  <c r="P7" i="5"/>
  <c r="R7" i="5" s="1"/>
  <c r="K7" i="5" s="1"/>
  <c r="L7" i="5"/>
  <c r="M7" i="5" s="1"/>
  <c r="P6" i="5"/>
  <c r="R6" i="5" s="1"/>
  <c r="L6" i="5"/>
  <c r="M6" i="5" s="1"/>
  <c r="P5" i="5"/>
  <c r="R5" i="5" s="1"/>
  <c r="K5" i="5" s="1"/>
  <c r="L5" i="5"/>
  <c r="M5" i="5" s="1"/>
  <c r="P4" i="5"/>
  <c r="R4" i="5" s="1"/>
  <c r="K4" i="5" s="1"/>
  <c r="L4" i="5"/>
  <c r="M4" i="5" s="1"/>
  <c r="P3" i="5"/>
  <c r="R3" i="5" s="1"/>
  <c r="L3" i="5"/>
  <c r="M3" i="5" s="1"/>
  <c r="F27" i="6"/>
  <c r="D27" i="6"/>
  <c r="C27" i="6"/>
  <c r="R123" i="1"/>
  <c r="T123" i="1" s="1"/>
  <c r="U123" i="1" s="1"/>
  <c r="R122" i="1"/>
  <c r="R121" i="1"/>
  <c r="R120" i="1"/>
  <c r="L120" i="1"/>
  <c r="M120" i="1" s="1"/>
  <c r="R119" i="1"/>
  <c r="T119" i="1" s="1"/>
  <c r="L119" i="1"/>
  <c r="M119" i="1" s="1"/>
  <c r="R118" i="1"/>
  <c r="T118" i="1" s="1"/>
  <c r="M118" i="1"/>
  <c r="L118" i="1"/>
  <c r="R117" i="1"/>
  <c r="T117" i="1" s="1"/>
  <c r="L117" i="1"/>
  <c r="M117" i="1" s="1"/>
  <c r="R116" i="1"/>
  <c r="T116" i="1" s="1"/>
  <c r="K116" i="1" s="1"/>
  <c r="L116" i="1"/>
  <c r="M116" i="1" s="1"/>
  <c r="R115" i="1"/>
  <c r="T115" i="1" s="1"/>
  <c r="L115" i="1"/>
  <c r="M115" i="1" s="1"/>
  <c r="R114" i="1"/>
  <c r="T114" i="1" s="1"/>
  <c r="L114" i="1"/>
  <c r="M114" i="1" s="1"/>
  <c r="R113" i="1"/>
  <c r="T113" i="1" s="1"/>
  <c r="L113" i="1"/>
  <c r="M113" i="1" s="1"/>
  <c r="R112" i="1"/>
  <c r="T112" i="1" s="1"/>
  <c r="L112" i="1"/>
  <c r="M112" i="1" s="1"/>
  <c r="T111" i="1"/>
  <c r="K111" i="1" s="1"/>
  <c r="R111" i="1"/>
  <c r="L111" i="1"/>
  <c r="M111" i="1" s="1"/>
  <c r="R110" i="1"/>
  <c r="T110" i="1" s="1"/>
  <c r="K110" i="1" s="1"/>
  <c r="L110" i="1"/>
  <c r="M110" i="1" s="1"/>
  <c r="R109" i="1"/>
  <c r="T109" i="1" s="1"/>
  <c r="L109" i="1"/>
  <c r="M109" i="1" s="1"/>
  <c r="R101" i="1"/>
  <c r="M101" i="1"/>
  <c r="L101" i="1"/>
  <c r="K101" i="1"/>
  <c r="R100" i="1"/>
  <c r="M100" i="1"/>
  <c r="L100" i="1"/>
  <c r="K100" i="1"/>
  <c r="R99" i="1"/>
  <c r="M99" i="1"/>
  <c r="L99" i="1"/>
  <c r="L98" i="1"/>
  <c r="M98" i="1" s="1"/>
  <c r="K98" i="1"/>
  <c r="R97" i="1"/>
  <c r="L97" i="1"/>
  <c r="L96" i="1"/>
  <c r="M96" i="1" s="1"/>
  <c r="K96" i="1"/>
  <c r="R95" i="1"/>
  <c r="L95" i="1"/>
  <c r="M95" i="1" s="1"/>
  <c r="K95" i="1"/>
  <c r="R94" i="1"/>
  <c r="L94" i="1"/>
  <c r="M94" i="1" s="1"/>
  <c r="K94" i="1"/>
  <c r="R93" i="1"/>
  <c r="L93" i="1"/>
  <c r="M93" i="1" s="1"/>
  <c r="R92" i="1"/>
  <c r="L92" i="1"/>
  <c r="M92" i="1" s="1"/>
  <c r="T91" i="1"/>
  <c r="K91" i="1" s="1"/>
  <c r="R91" i="1"/>
  <c r="L91" i="1"/>
  <c r="M91" i="1" s="1"/>
  <c r="T90" i="1"/>
  <c r="K90" i="1" s="1"/>
  <c r="R90" i="1"/>
  <c r="L90" i="1"/>
  <c r="M90" i="1" s="1"/>
  <c r="R89" i="1"/>
  <c r="T89" i="1" s="1"/>
  <c r="K89" i="1" s="1"/>
  <c r="L89" i="1"/>
  <c r="M89" i="1" s="1"/>
  <c r="R88" i="1"/>
  <c r="T88" i="1" s="1"/>
  <c r="K88" i="1" s="1"/>
  <c r="M88" i="1"/>
  <c r="L88" i="1"/>
  <c r="T87" i="1"/>
  <c r="K87" i="1" s="1"/>
  <c r="R87" i="1"/>
  <c r="L87" i="1"/>
  <c r="M87" i="1" s="1"/>
  <c r="K113" i="1" l="1"/>
  <c r="U113" i="1"/>
  <c r="B159" i="4"/>
  <c r="B75" i="4"/>
  <c r="B180" i="4"/>
  <c r="B10" i="4"/>
  <c r="B128" i="4"/>
  <c r="B104" i="4"/>
  <c r="B16" i="4"/>
  <c r="B170" i="4"/>
  <c r="B131" i="4"/>
  <c r="B6" i="4"/>
  <c r="B23" i="4"/>
  <c r="B122" i="4"/>
  <c r="B189" i="4"/>
  <c r="B161" i="4"/>
  <c r="B156" i="4"/>
  <c r="B15" i="4"/>
  <c r="B187" i="4"/>
  <c r="B185" i="4"/>
  <c r="B17" i="4"/>
  <c r="B112" i="4"/>
  <c r="B95" i="4"/>
  <c r="B97" i="4"/>
  <c r="B99" i="4"/>
  <c r="B101" i="4"/>
  <c r="B105" i="4"/>
  <c r="B110" i="4"/>
  <c r="B113" i="4"/>
  <c r="B116" i="4"/>
  <c r="B118" i="4"/>
  <c r="B121" i="4"/>
  <c r="B124" i="4"/>
  <c r="B127" i="4"/>
  <c r="B130" i="4"/>
  <c r="B135" i="4"/>
  <c r="B139" i="4"/>
  <c r="B144" i="4"/>
  <c r="B149" i="4"/>
  <c r="B152" i="4"/>
  <c r="B154" i="4"/>
  <c r="B157" i="4"/>
  <c r="B162" i="4"/>
  <c r="B164" i="4"/>
  <c r="B166" i="4"/>
  <c r="B168" i="4"/>
  <c r="B171" i="4"/>
  <c r="B173" i="4"/>
  <c r="B175" i="4"/>
  <c r="B177" i="4"/>
  <c r="B179" i="4"/>
  <c r="B67" i="4"/>
  <c r="B72" i="4"/>
  <c r="B85" i="4"/>
  <c r="B57" i="4"/>
  <c r="B51" i="4"/>
  <c r="B26" i="4"/>
  <c r="B35" i="4"/>
  <c r="B43" i="4"/>
  <c r="B11" i="4"/>
  <c r="B21" i="4"/>
  <c r="B151" i="4"/>
  <c r="B31" i="4"/>
  <c r="B160" i="4"/>
  <c r="B39" i="4"/>
  <c r="B188" i="4"/>
  <c r="B186" i="4"/>
  <c r="B30" i="4"/>
  <c r="B146" i="4"/>
  <c r="B94" i="4"/>
  <c r="B96" i="4"/>
  <c r="B98" i="4"/>
  <c r="B100" i="4"/>
  <c r="B103" i="4"/>
  <c r="B108" i="4"/>
  <c r="B111" i="4"/>
  <c r="B115" i="4"/>
  <c r="B117" i="4"/>
  <c r="B120" i="4"/>
  <c r="B123" i="4"/>
  <c r="B125" i="4"/>
  <c r="B129" i="4"/>
  <c r="B133" i="4"/>
  <c r="B136" i="4"/>
  <c r="B143" i="4"/>
  <c r="B148" i="4"/>
  <c r="B150" i="4"/>
  <c r="B153" i="4"/>
  <c r="B155" i="4"/>
  <c r="B158" i="4"/>
  <c r="B163" i="4"/>
  <c r="B165" i="4"/>
  <c r="B167" i="4"/>
  <c r="B169" i="4"/>
  <c r="B172" i="4"/>
  <c r="B174" i="4"/>
  <c r="B176" i="4"/>
  <c r="B178" i="4"/>
  <c r="B181" i="4"/>
  <c r="B93" i="4"/>
  <c r="B69" i="4"/>
  <c r="B71" i="4"/>
  <c r="B73" i="4"/>
  <c r="B84" i="4"/>
  <c r="B89" i="4"/>
  <c r="B56" i="4"/>
  <c r="B61" i="4"/>
  <c r="B64" i="4"/>
  <c r="B29" i="4"/>
  <c r="B22" i="4"/>
  <c r="B28" i="4"/>
  <c r="B33" i="4"/>
  <c r="B36" i="4"/>
  <c r="B38" i="4"/>
  <c r="B42" i="4"/>
  <c r="B44" i="4"/>
  <c r="B46" i="4"/>
  <c r="B48" i="4"/>
  <c r="B9" i="4"/>
  <c r="B19" i="4"/>
  <c r="B49" i="4"/>
  <c r="B184" i="4"/>
  <c r="B70" i="4"/>
  <c r="B76" i="4"/>
  <c r="B66" i="4"/>
  <c r="B63" i="4"/>
  <c r="B20" i="4"/>
  <c r="B32" i="4"/>
  <c r="B37" i="4"/>
  <c r="B41" i="4"/>
  <c r="B45" i="4"/>
  <c r="B47" i="4"/>
  <c r="B7" i="4"/>
  <c r="B13" i="4"/>
  <c r="B50" i="4"/>
  <c r="B65" i="4"/>
  <c r="K117" i="1"/>
  <c r="K114" i="1"/>
  <c r="U114" i="1"/>
  <c r="K115" i="1"/>
  <c r="K112" i="1"/>
  <c r="U112" i="1"/>
  <c r="R80" i="5"/>
  <c r="K61" i="5"/>
  <c r="K15" i="5"/>
  <c r="K3" i="5"/>
  <c r="K6" i="5"/>
  <c r="B4" i="4" l="1"/>
  <c r="E5" i="4" s="1"/>
  <c r="R79" i="1"/>
  <c r="T79" i="1" s="1"/>
  <c r="R78" i="1"/>
  <c r="R77" i="1"/>
  <c r="T77" i="1" s="1"/>
  <c r="T76" i="1"/>
  <c r="L76" i="1"/>
  <c r="M76" i="1" s="1"/>
  <c r="T75" i="1"/>
  <c r="R75" i="1"/>
  <c r="L75" i="1"/>
  <c r="M75" i="1" s="1"/>
  <c r="T74" i="1"/>
  <c r="M74" i="1"/>
  <c r="L74" i="1"/>
  <c r="R73" i="1"/>
  <c r="T73" i="1" s="1"/>
  <c r="K73" i="1" s="1"/>
  <c r="L73" i="1"/>
  <c r="M73" i="1" s="1"/>
  <c r="R72" i="1"/>
  <c r="T72" i="1" s="1"/>
  <c r="K72" i="1" s="1"/>
  <c r="L72" i="1"/>
  <c r="M72" i="1" s="1"/>
  <c r="R71" i="1"/>
  <c r="L71" i="1"/>
  <c r="M71" i="1" s="1"/>
  <c r="R70" i="1"/>
  <c r="T70" i="1" s="1"/>
  <c r="L70" i="1"/>
  <c r="M70" i="1" s="1"/>
  <c r="T69" i="1"/>
  <c r="R69" i="1"/>
  <c r="L69" i="1"/>
  <c r="M69" i="1" s="1"/>
  <c r="R68" i="1"/>
  <c r="T68" i="1" s="1"/>
  <c r="L68" i="1"/>
  <c r="M68" i="1" s="1"/>
  <c r="R67" i="1"/>
  <c r="T67" i="1" s="1"/>
  <c r="K67" i="1" s="1"/>
  <c r="L67" i="1"/>
  <c r="M67" i="1" s="1"/>
  <c r="R66" i="1"/>
  <c r="T66" i="1" s="1"/>
  <c r="K66" i="1" s="1"/>
  <c r="M66" i="1"/>
  <c r="L66" i="1"/>
  <c r="R65" i="1"/>
  <c r="T65" i="1" s="1"/>
  <c r="K65" i="1" s="1"/>
  <c r="L65" i="1"/>
  <c r="M65" i="1" s="1"/>
  <c r="T78" i="1" l="1"/>
  <c r="K68" i="1"/>
  <c r="R58" i="1"/>
  <c r="T58" i="1" s="1"/>
  <c r="L57" i="1"/>
  <c r="M57" i="1" s="1"/>
  <c r="R56" i="1"/>
  <c r="L56" i="1"/>
  <c r="M56" i="1" s="1"/>
  <c r="L55" i="1"/>
  <c r="M55" i="1" s="1"/>
  <c r="R54" i="1"/>
  <c r="T54" i="1" s="1"/>
  <c r="K54" i="1" s="1"/>
  <c r="M54" i="1"/>
  <c r="L54" i="1"/>
  <c r="R53" i="1"/>
  <c r="L53" i="1"/>
  <c r="M53" i="1" s="1"/>
  <c r="K53" i="1"/>
  <c r="T52" i="1"/>
  <c r="R52" i="1"/>
  <c r="L52" i="1"/>
  <c r="M52" i="1" s="1"/>
  <c r="R51" i="1"/>
  <c r="M51" i="1"/>
  <c r="L51" i="1"/>
  <c r="R50" i="1"/>
  <c r="L50" i="1"/>
  <c r="M50" i="1" s="1"/>
  <c r="R49" i="1"/>
  <c r="T49" i="1" s="1"/>
  <c r="K49" i="1" s="1"/>
  <c r="L49" i="1"/>
  <c r="M49" i="1" s="1"/>
  <c r="R48" i="1"/>
  <c r="T48" i="1" s="1"/>
  <c r="K48" i="1" s="1"/>
  <c r="L48" i="1"/>
  <c r="M48" i="1" s="1"/>
  <c r="R47" i="1"/>
  <c r="T47" i="1" s="1"/>
  <c r="K47" i="1" s="1"/>
  <c r="L47" i="1"/>
  <c r="M47" i="1" s="1"/>
  <c r="T46" i="1"/>
  <c r="R46" i="1"/>
  <c r="L46" i="1"/>
  <c r="M46" i="1" s="1"/>
  <c r="T56" i="1" l="1"/>
  <c r="K46" i="1"/>
  <c r="R38" i="1"/>
  <c r="L38" i="1"/>
  <c r="M38" i="1" s="1"/>
  <c r="R37" i="1"/>
  <c r="L37" i="1"/>
  <c r="M37" i="1" s="1"/>
  <c r="K37" i="1"/>
  <c r="R36" i="1"/>
  <c r="L36" i="1"/>
  <c r="M36" i="1" s="1"/>
  <c r="K36" i="1"/>
  <c r="R35" i="1"/>
  <c r="L35" i="1"/>
  <c r="M35" i="1" s="1"/>
  <c r="K35" i="1"/>
  <c r="R34" i="1"/>
  <c r="L34" i="1"/>
  <c r="M34" i="1" s="1"/>
  <c r="K34" i="1"/>
  <c r="R33" i="1"/>
  <c r="T33" i="1" s="1"/>
  <c r="K33" i="1" s="1"/>
  <c r="L33" i="1"/>
  <c r="M33" i="1" s="1"/>
  <c r="R32" i="1"/>
  <c r="L32" i="1"/>
  <c r="M32" i="1" s="1"/>
  <c r="K32" i="1"/>
  <c r="R31" i="1"/>
  <c r="L31" i="1"/>
  <c r="M31" i="1" s="1"/>
  <c r="K31" i="1"/>
  <c r="R30" i="1"/>
  <c r="T30" i="1" s="1"/>
  <c r="K30" i="1" s="1"/>
  <c r="L30" i="1"/>
  <c r="M30" i="1" s="1"/>
  <c r="R29" i="1"/>
  <c r="T29" i="1" s="1"/>
  <c r="K29" i="1" s="1"/>
  <c r="L29" i="1"/>
  <c r="M29" i="1" s="1"/>
  <c r="R28" i="1"/>
  <c r="T28" i="1" s="1"/>
  <c r="K28" i="1" s="1"/>
  <c r="L28" i="1"/>
  <c r="M28" i="1" s="1"/>
  <c r="R27" i="1"/>
  <c r="T27" i="1" s="1"/>
  <c r="K27" i="1" s="1"/>
  <c r="L27" i="1"/>
  <c r="M27" i="1" s="1"/>
  <c r="R26" i="1"/>
  <c r="T26" i="1" s="1"/>
  <c r="K26" i="1" s="1"/>
  <c r="L26" i="1"/>
  <c r="M26" i="1" s="1"/>
  <c r="R25" i="1"/>
  <c r="T25" i="1" s="1"/>
  <c r="K25" i="1" s="1"/>
  <c r="L25" i="1"/>
  <c r="M25" i="1" s="1"/>
  <c r="R24" i="1"/>
  <c r="T24" i="1" s="1"/>
  <c r="K24" i="1" s="1"/>
  <c r="L24" i="1"/>
  <c r="M24" i="1" s="1"/>
  <c r="R16" i="1"/>
  <c r="R17" i="1"/>
  <c r="T17" i="1" s="1"/>
  <c r="R15" i="1"/>
  <c r="L15" i="1"/>
  <c r="M15" i="1" s="1"/>
  <c r="R14" i="1"/>
  <c r="L14" i="1"/>
  <c r="M14" i="1" s="1"/>
  <c r="M13" i="1"/>
  <c r="R12" i="1"/>
  <c r="T12" i="1" s="1"/>
  <c r="M12" i="1"/>
  <c r="T11" i="1"/>
  <c r="L11" i="1"/>
  <c r="M11" i="1" s="1"/>
  <c r="T10" i="1"/>
  <c r="L10" i="1"/>
  <c r="M10" i="1" s="1"/>
  <c r="K10" i="1"/>
  <c r="T9" i="1"/>
  <c r="L9" i="1"/>
  <c r="M9" i="1" s="1"/>
  <c r="T8" i="1"/>
  <c r="K8" i="1" s="1"/>
  <c r="L8" i="1"/>
  <c r="M8" i="1" s="1"/>
  <c r="T7" i="1"/>
  <c r="K7" i="1" s="1"/>
  <c r="L7" i="1"/>
  <c r="M7" i="1" s="1"/>
  <c r="T6" i="1"/>
  <c r="L6" i="1"/>
  <c r="M6" i="1" s="1"/>
  <c r="R5" i="1"/>
  <c r="M5" i="1"/>
  <c r="L5" i="1"/>
  <c r="L4" i="1"/>
  <c r="M4" i="1" s="1"/>
  <c r="K4" i="1"/>
  <c r="R3" i="1"/>
  <c r="T3" i="1" s="1"/>
  <c r="L3" i="1"/>
  <c r="M3" i="1" s="1"/>
</calcChain>
</file>

<file path=xl/sharedStrings.xml><?xml version="1.0" encoding="utf-8"?>
<sst xmlns="http://schemas.openxmlformats.org/spreadsheetml/2006/main" count="16483" uniqueCount="4045">
  <si>
    <t xml:space="preserve">Total de entreada </t>
  </si>
  <si>
    <t>Ganancia mìnima $10</t>
  </si>
  <si>
    <t xml:space="preserve">N° de Pedido </t>
  </si>
  <si>
    <t xml:space="preserve">Fecha </t>
  </si>
  <si>
    <t xml:space="preserve">Nombre del cliente </t>
  </si>
  <si>
    <t xml:space="preserve">N° de Contacto </t>
  </si>
  <si>
    <t xml:space="preserve">Recoleccion </t>
  </si>
  <si>
    <t xml:space="preserve">Entrega </t>
  </si>
  <si>
    <t>Producto</t>
  </si>
  <si>
    <t>Paga con…</t>
  </si>
  <si>
    <t xml:space="preserve">Costo del pedido </t>
  </si>
  <si>
    <t>Tarifa ($10)</t>
  </si>
  <si>
    <t>Extra Propina</t>
  </si>
  <si>
    <t xml:space="preserve">Cobro total  </t>
  </si>
  <si>
    <t xml:space="preserve">Cambio </t>
  </si>
  <si>
    <t>Reyes deuda</t>
  </si>
  <si>
    <t xml:space="preserve">Dinero entregado a repartidor para compra </t>
  </si>
  <si>
    <t xml:space="preserve">Dinero entregado al repartidor para cambio </t>
  </si>
  <si>
    <t xml:space="preserve">Dinero total dado al repartidor </t>
  </si>
  <si>
    <t xml:space="preserve">Dinero total recibido por el repartidor </t>
  </si>
  <si>
    <t>Ganancia</t>
  </si>
  <si>
    <t xml:space="preserve">Recepcion de pedido </t>
  </si>
  <si>
    <t xml:space="preserve">Entrega de pedido </t>
  </si>
  <si>
    <t>Notas</t>
  </si>
  <si>
    <t>Azahalea</t>
  </si>
  <si>
    <t>Antojitos Mario</t>
  </si>
  <si>
    <t>Castañeda 58</t>
  </si>
  <si>
    <t>Tamal verde y un atole</t>
  </si>
  <si>
    <t>Reyes</t>
  </si>
  <si>
    <t>1/2 JAMON, 1/4 QUESO, 1 BIMBO GRANDE Y 1/"2 MEDIO</t>
  </si>
  <si>
    <t xml:space="preserve">Alejandra </t>
  </si>
  <si>
    <t xml:space="preserve">Irma </t>
  </si>
  <si>
    <t xml:space="preserve">20A </t>
  </si>
  <si>
    <t xml:space="preserve">3 paquetes de magdalenas </t>
  </si>
  <si>
    <t>Irma y polleria philgrims</t>
  </si>
  <si>
    <t>33b 103</t>
  </si>
  <si>
    <t>Una pechuga de pollo 4 tomates 1k de tomate 1 sopa de fideo, 5 de cilantro</t>
  </si>
  <si>
    <t>Elvia</t>
  </si>
  <si>
    <t>irma</t>
  </si>
  <si>
    <t>olivar 33</t>
  </si>
  <si>
    <t>doritos, sabritas, cocacola 600, sensao 600</t>
  </si>
  <si>
    <t>oxxo</t>
  </si>
  <si>
    <t>14a 402</t>
  </si>
  <si>
    <t>3 cocacolas light</t>
  </si>
  <si>
    <t>yayo</t>
  </si>
  <si>
    <t>?</t>
  </si>
  <si>
    <t>pedidito</t>
  </si>
  <si>
    <t>1 pepsi y 1 cigarro</t>
  </si>
  <si>
    <t>Eliseo</t>
  </si>
  <si>
    <t>pan chino, tortilleria,nieves</t>
  </si>
  <si>
    <t>aquiles 344 c 102</t>
  </si>
  <si>
    <t>3 budines, 1k tortillas y 2 nieves</t>
  </si>
  <si>
    <t>reyes</t>
  </si>
  <si>
    <t>6B 201</t>
  </si>
  <si>
    <t>1k arroz y queso philadelfia</t>
  </si>
  <si>
    <t>33a 402</t>
  </si>
  <si>
    <t>3 de 10 l bonafot</t>
  </si>
  <si>
    <t xml:space="preserve">3 paquetes de pavo salchichas y 2  medias noches </t>
  </si>
  <si>
    <t>34b 103</t>
  </si>
  <si>
    <t xml:space="preserve">3 cagumas. Sabritas moradas, </t>
  </si>
  <si>
    <t>Moises</t>
  </si>
  <si>
    <t>jaula</t>
  </si>
  <si>
    <t>pan chico, dorios, 25 de jamon</t>
  </si>
  <si>
    <t xml:space="preserve">Deposito en tarjeta </t>
  </si>
  <si>
    <t>Lupita</t>
  </si>
  <si>
    <t xml:space="preserve">Conasupo </t>
  </si>
  <si>
    <t>Narvarte 160</t>
  </si>
  <si>
    <t xml:space="preserve">4 Bolsas de leche </t>
  </si>
  <si>
    <t xml:space="preserve">Angeles </t>
  </si>
  <si>
    <t>Recauderia y cocina</t>
  </si>
  <si>
    <t xml:space="preserve">Hacienda de narvarte </t>
  </si>
  <si>
    <t xml:space="preserve">3 ordenes </t>
  </si>
  <si>
    <t>Javier</t>
  </si>
  <si>
    <t>eqaly</t>
  </si>
  <si>
    <t>32b 101</t>
  </si>
  <si>
    <t xml:space="preserve">2 Garrafones </t>
  </si>
  <si>
    <t xml:space="preserve">Recauderia </t>
  </si>
  <si>
    <t xml:space="preserve">34 B 103 </t>
  </si>
  <si>
    <t xml:space="preserve">4 piernaS con muslo con todo y piel, 2 alas completa, 1 rabadilla con carnita, media pechuga a la mitad </t>
  </si>
  <si>
    <t xml:space="preserve">Tienda irma </t>
  </si>
  <si>
    <t xml:space="preserve">24 B depto 401 </t>
  </si>
  <si>
    <t>1 garrafon de 10L, coca vidrio, sangria de 600 o squirt, 1 kilo de tortillas</t>
  </si>
  <si>
    <t>Melissa</t>
  </si>
  <si>
    <t xml:space="preserve">Tortilleria </t>
  </si>
  <si>
    <t>Edificio 6 A</t>
  </si>
  <si>
    <t xml:space="preserve">Medio de tortillas, una orden de arroz y una orden de frijoles </t>
  </si>
  <si>
    <t xml:space="preserve">Polleria pegada a la farmacia </t>
  </si>
  <si>
    <t xml:space="preserve">Hacienda de narvarte 160 prados </t>
  </si>
  <si>
    <t xml:space="preserve">1 pehuga partida en 4 sin piel, es pa cocer </t>
  </si>
  <si>
    <t>Tacos el vecino</t>
  </si>
  <si>
    <t>equaly</t>
  </si>
  <si>
    <t>taqueria</t>
  </si>
  <si>
    <t xml:space="preserve">1 garrafon  </t>
  </si>
  <si>
    <t>Elvia Vazuquez</t>
  </si>
  <si>
    <t xml:space="preserve">19b </t>
  </si>
  <si>
    <t xml:space="preserve">1/4 de queso 1/4 de jamon y pan grande </t>
  </si>
  <si>
    <t>x</t>
  </si>
  <si>
    <t>Maria</t>
  </si>
  <si>
    <t>14a 204</t>
  </si>
  <si>
    <t xml:space="preserve">2 kilos de tortillas </t>
  </si>
  <si>
    <t>16b 403</t>
  </si>
  <si>
    <t>8 refrescos y un paquete de servilletas</t>
  </si>
  <si>
    <t>Gabriela</t>
  </si>
  <si>
    <t>Panaderia oxxo 16  /  irma 60 / Reyes 100</t>
  </si>
  <si>
    <t>"6 bolillos,- "1/4 oaxaca, frijoles vallos refritos-, 1/4 jamon, pepsi 3l, chokis rojas, chetos flamen hot</t>
  </si>
  <si>
    <t>Irvin</t>
  </si>
  <si>
    <t xml:space="preserve">Reyes </t>
  </si>
  <si>
    <t>14 b 302</t>
  </si>
  <si>
    <t xml:space="preserve">2 rollos de papel </t>
  </si>
  <si>
    <t>pan chino $37/ reyes $17</t>
  </si>
  <si>
    <t>aquiles 844 c 102</t>
  </si>
  <si>
    <t>4 bolillos 1 choux 2 budin y unas chips fuego</t>
  </si>
  <si>
    <t>TC</t>
  </si>
  <si>
    <t>Esme</t>
  </si>
  <si>
    <t>Irma</t>
  </si>
  <si>
    <t>19 b 403</t>
  </si>
  <si>
    <t>1/2 de oaxaca 1/4 de huevo 15 pesos de jamon, runers y juego del valle</t>
  </si>
  <si>
    <t xml:space="preserve">SE LE EBE AL REYES </t>
  </si>
  <si>
    <t xml:space="preserve">Deposto en tarjeta </t>
  </si>
  <si>
    <t xml:space="preserve">Yayo </t>
  </si>
  <si>
    <t xml:space="preserve">Recauderìa </t>
  </si>
  <si>
    <t xml:space="preserve">Edificio 33 B </t>
  </si>
  <si>
    <t xml:space="preserve">$20 DE LIMON </t>
  </si>
  <si>
    <t xml:space="preserve">14 A depto 202 </t>
  </si>
  <si>
    <t xml:space="preserve">1 pechuga mediana con piel, medio k de tortillas,$20 queso blanco </t>
  </si>
  <si>
    <t xml:space="preserve">Ester </t>
  </si>
  <si>
    <t>Olivar del conde 43</t>
  </si>
  <si>
    <t xml:space="preserve">1/4 jamon, 5 rebanadas manchego, 1 kg huevo, 2 doritos rojos, 2 fritos </t>
  </si>
  <si>
    <t xml:space="preserve">Eliseo </t>
  </si>
  <si>
    <t>av parque vía 844 edificio C departamento 102</t>
  </si>
  <si>
    <t xml:space="preserve">2 garrafones bonafont </t>
  </si>
  <si>
    <t>Tacos vecino</t>
  </si>
  <si>
    <t>reyes $207/ irma $30</t>
  </si>
  <si>
    <t xml:space="preserve">15 refrescos, un encendedor / 30 de cilantro </t>
  </si>
  <si>
    <t xml:space="preserve">irma </t>
  </si>
  <si>
    <t xml:space="preserve">farmacia </t>
  </si>
  <si>
    <t>hacienda varvarte 160</t>
  </si>
  <si>
    <t>losartan tabletas de 50 ml. carvamazetina 200 ml tabletas, tamloditino 5ml tabletas</t>
  </si>
  <si>
    <t xml:space="preserve">America Bolaños </t>
  </si>
  <si>
    <t xml:space="preserve">44 A </t>
  </si>
  <si>
    <t xml:space="preserve">1 hall de miel, 6 cocas de 600, chokis, chips y sabritas </t>
  </si>
  <si>
    <t>Ahuatz</t>
  </si>
  <si>
    <t xml:space="preserve">jaula </t>
  </si>
  <si>
    <t>4 now mix</t>
  </si>
  <si>
    <t>Kmpe</t>
  </si>
  <si>
    <t>Oxxo</t>
  </si>
  <si>
    <t xml:space="preserve">san ignacio y castañeda </t>
  </si>
  <si>
    <t xml:space="preserve">Pepto 4 pastillas </t>
  </si>
  <si>
    <t xml:space="preserve"> </t>
  </si>
  <si>
    <t xml:space="preserve">Jessica </t>
  </si>
  <si>
    <t xml:space="preserve">Hacienda de los portales 29 </t>
  </si>
  <si>
    <t>garrafonde 10l, 1 coca de 600, 1 bolsa de jabon, 1 paquete de canelitas, cigarro de pepino</t>
  </si>
  <si>
    <t>Carlos galindo</t>
  </si>
  <si>
    <t>edi 6a 504</t>
  </si>
  <si>
    <t xml:space="preserve">1 de leche deslactosada, bimbuñuos, cochas tia rosa, 1 coca de 600, garrafon bonafont, </t>
  </si>
  <si>
    <t>Purificadora</t>
  </si>
  <si>
    <t>Tortilleria</t>
  </si>
  <si>
    <t>liconsa</t>
  </si>
  <si>
    <t>ganancias x producto</t>
  </si>
  <si>
    <t>Costo Final del Producto</t>
  </si>
  <si>
    <t xml:space="preserve">Dia </t>
  </si>
  <si>
    <t>monedas de 10</t>
  </si>
  <si>
    <t>monedas de a 1</t>
  </si>
  <si>
    <t>monedas de 5</t>
  </si>
  <si>
    <t>Billete 200</t>
  </si>
  <si>
    <t>Billeye 100</t>
  </si>
  <si>
    <t>billetes 50</t>
  </si>
  <si>
    <t xml:space="preserve">Billetes de 20 </t>
  </si>
  <si>
    <t>Billetes de 1000</t>
  </si>
  <si>
    <t xml:space="preserve">Total </t>
  </si>
  <si>
    <t>Noche</t>
  </si>
  <si>
    <t>Billetes de 500</t>
  </si>
  <si>
    <t>Deposito en tarjeta</t>
  </si>
  <si>
    <t>Deposito</t>
  </si>
  <si>
    <t>Retiro</t>
  </si>
  <si>
    <t xml:space="preserve">Bachoco y recaudería </t>
  </si>
  <si>
    <t xml:space="preserve">1 Pechuga, 2 budines, 2 choux, 4 bolillos, unas zanahorias, unas chips fuego </t>
  </si>
  <si>
    <t xml:space="preserve">1 kg de jitomate y 1/4 de chle cuaresmeño </t>
  </si>
  <si>
    <t xml:space="preserve">Edificio 24 B </t>
  </si>
  <si>
    <t xml:space="preserve">6 pañales etapa 6 </t>
  </si>
  <si>
    <t>Retes</t>
  </si>
  <si>
    <t>Rancho san ignaco 74</t>
  </si>
  <si>
    <t xml:space="preserve">2 cocas pequeñas, 1 sabritas </t>
  </si>
  <si>
    <t xml:space="preserve">27 A </t>
  </si>
  <si>
    <t xml:space="preserve">1KG Tortillas, 1 coca de 3L </t>
  </si>
  <si>
    <t>este ya se pago</t>
  </si>
  <si>
    <t>Dani</t>
  </si>
  <si>
    <t>30 A</t>
  </si>
  <si>
    <t xml:space="preserve">2 kg de tortillas, 2 tang de limon, 1/2 queso oaxaca </t>
  </si>
  <si>
    <t xml:space="preserve">Reyes  </t>
  </si>
  <si>
    <t xml:space="preserve">Hacienda varvarte, Conjunto tampico </t>
  </si>
  <si>
    <t xml:space="preserve">Jabond e trastes 1/2 1/4 jamon, 20 de oaxaca </t>
  </si>
  <si>
    <t>6A 504</t>
  </si>
  <si>
    <t>Unos marlboro azules 14 con una sola capsula y una coca de 600 y 2 tang de horchata y una leche clavel</t>
  </si>
  <si>
    <t xml:space="preserve">  </t>
  </si>
  <si>
    <t>tacos el vecino</t>
  </si>
  <si>
    <t>10 refrescos 600 un paqt servilleta</t>
  </si>
  <si>
    <t>papeleria</t>
  </si>
  <si>
    <t>5b 103</t>
  </si>
  <si>
    <t xml:space="preserve">Un pliego de cartulina blanco, </t>
  </si>
  <si>
    <t>29b 103</t>
  </si>
  <si>
    <t xml:space="preserve">wonder blanco, y panque de pasas </t>
  </si>
  <si>
    <t>3 latas de atun grande y 2 latas de elotes</t>
  </si>
  <si>
    <t xml:space="preserve">Norma </t>
  </si>
  <si>
    <t xml:space="preserve">Polleria bachoco </t>
  </si>
  <si>
    <t>14 A depto 102</t>
  </si>
  <si>
    <t xml:space="preserve">1 pechuga partida en 2 sin piel, crema alpura de medio, 7 bolillos </t>
  </si>
  <si>
    <t>Edificio 7 a</t>
  </si>
  <si>
    <t xml:space="preserve">6 papas, 1/2 de limon, 2 bonafont de 1.5 de limon, 2 Levite de piña, runners, rufles verdes, mantecadas tia rosa, doraditas de nuez, 1/2 de jamon de pierna en rebanadas delgas </t>
  </si>
  <si>
    <t xml:space="preserve">Tienda mamitas rikas </t>
  </si>
  <si>
    <t xml:space="preserve">12 B </t>
  </si>
  <si>
    <t>50 de queso oaxaca de la tienda  peque´ña mamitas rikas , 1.5 de masa, 1 aguacate, 2 takis verdes</t>
  </si>
  <si>
    <t>34b 503</t>
  </si>
  <si>
    <t xml:space="preserve">Pedidito </t>
  </si>
  <si>
    <t>1 garr</t>
  </si>
  <si>
    <t>Se compra en 17</t>
  </si>
  <si>
    <t xml:space="preserve">Tortillería </t>
  </si>
  <si>
    <t xml:space="preserve">1 bolsa de totopos </t>
  </si>
  <si>
    <t xml:space="preserve">1 kawama </t>
  </si>
  <si>
    <t>joaquin</t>
  </si>
  <si>
    <t>cuervo</t>
  </si>
  <si>
    <t>5 caguamas 3 cigarros</t>
  </si>
  <si>
    <t xml:space="preserve">Carla </t>
  </si>
  <si>
    <t>ciggaros sandia</t>
  </si>
  <si>
    <t>volt</t>
  </si>
  <si>
    <t>Yair</t>
  </si>
  <si>
    <t>1 caguma, chester 25</t>
  </si>
  <si>
    <t>4 caguamas</t>
  </si>
  <si>
    <t xml:space="preserve">tacos el vecino </t>
  </si>
  <si>
    <t xml:space="preserve">10 de cilantro y 6 cocas de 500 ml </t>
  </si>
  <si>
    <t>Hector</t>
  </si>
  <si>
    <t>2b 201</t>
  </si>
  <si>
    <t>1 bodka, 6 latas de agua tonica, 6 vasos, 1 hielo, 4 jugos</t>
  </si>
  <si>
    <t>3 caguamas 1 cigarros camel</t>
  </si>
  <si>
    <t xml:space="preserve">58 castañeda </t>
  </si>
  <si>
    <t>10 laminas de mosquitos, 1 jalapeño grandes, 2 bolsas de panditas,1 mundet de 3l1 mineral de 2l</t>
  </si>
  <si>
    <t>judith y tortilleria</t>
  </si>
  <si>
    <t>olivar del conde 33</t>
  </si>
  <si>
    <t>1kde tortilla, 14 de panela y 4 bolillos</t>
  </si>
  <si>
    <t xml:space="preserve">Veronica </t>
  </si>
  <si>
    <t xml:space="preserve">36 A depto 302  </t>
  </si>
  <si>
    <t xml:space="preserve">2 garrafones de bonafont y sidrl grande </t>
  </si>
  <si>
    <t>Mamitas rikas</t>
  </si>
  <si>
    <t xml:space="preserve">Hacienda de sotelo 17 </t>
  </si>
  <si>
    <t>Champiñones $30 
Chile morrón  3 piezas
1 cebolla 
3 jitomates
1 coca de 3L reformable</t>
  </si>
  <si>
    <t>Nacia</t>
  </si>
  <si>
    <t>14B 202</t>
  </si>
  <si>
    <t>3 sobres pedigri, 1.5 L cocacola</t>
  </si>
  <si>
    <t>Hacienda Portales 29</t>
  </si>
  <si>
    <t>40 de jamon y 30 de queso manchego</t>
  </si>
  <si>
    <t>5 cigarros sueltos</t>
  </si>
  <si>
    <t xml:space="preserve">2 garrafones de bonafont y 2 cidral 600 y 1 manzana 600 </t>
  </si>
  <si>
    <t xml:space="preserve">Irvin </t>
  </si>
  <si>
    <t>14A 302</t>
  </si>
  <si>
    <t xml:space="preserve">20 queso oaxaca, 20 jmaon, tortillinas, 30 e croquetas gato, yogurth natarual, principe, recarga de 30 </t>
  </si>
  <si>
    <t xml:space="preserve">Braulio </t>
  </si>
  <si>
    <t xml:space="preserve">27 A 202 </t>
  </si>
  <si>
    <t xml:space="preserve">Coca de 3L </t>
  </si>
  <si>
    <t>hacienda de los portales n7</t>
  </si>
  <si>
    <t>salchicha fud, queso oaxaca 1/2, tortillinas de 20, refresco peñafiel de 600, cigarro pepino</t>
  </si>
  <si>
    <t>Angeles</t>
  </si>
  <si>
    <t xml:space="preserve">5 tangs, pasta de dientes para niño, 2 paquetes emperador, 1 kg de azucar </t>
  </si>
  <si>
    <t xml:space="preserve">oxxo </t>
  </si>
  <si>
    <t>Av. Aquiles Cerdan N834</t>
  </si>
  <si>
    <t>2 latones de tecate roja, coca cola 600,</t>
  </si>
  <si>
    <t>Tacos el vecino, reyes</t>
  </si>
  <si>
    <t xml:space="preserve">3 campechanos,1 de tripa,1 de costilla 1 suadero </t>
  </si>
  <si>
    <t>Jaula</t>
  </si>
  <si>
    <t>2 victorias y 4 vasos</t>
  </si>
  <si>
    <t xml:space="preserve">Jaula </t>
  </si>
  <si>
    <t xml:space="preserve">maruchan, 8$ cacahuates, runners </t>
  </si>
  <si>
    <t xml:space="preserve">1l de leche deslactosada, 1 paquete de rollo de 4, garaffon de bonafon </t>
  </si>
  <si>
    <t xml:space="preserve">Edificio 2B </t>
  </si>
  <si>
    <t xml:space="preserve">1 jarrito y rufles </t>
  </si>
  <si>
    <t>America Bolaños</t>
  </si>
  <si>
    <t>44b 504</t>
  </si>
  <si>
    <t>COCA600, TORTILLAS,,QUESO MANCHEGO 1/2,CREMA 1/2</t>
  </si>
  <si>
    <t>claudia</t>
  </si>
  <si>
    <t>papeleria,</t>
  </si>
  <si>
    <t>hacienda claveria 43</t>
  </si>
  <si>
    <t>1  pliego para enmicar, 10 barritas de piña 2 colchones bimbo y sabritas amarillas,</t>
  </si>
  <si>
    <t>Total</t>
  </si>
  <si>
    <t xml:space="preserve">Abarrotes irma </t>
  </si>
  <si>
    <t>Edificio 6A</t>
  </si>
  <si>
    <t xml:space="preserve">1/4 de jamon, 1/2 queso oaxaca, 1 lata de chipotles chica, 1 barra de mantequilla </t>
  </si>
  <si>
    <t>Edificio 14 A</t>
  </si>
  <si>
    <t xml:space="preserve">Totopos para chilaquiles, $5 epazote, alpura mediana, 4 bolillos </t>
  </si>
  <si>
    <t xml:space="preserve">Azul </t>
  </si>
  <si>
    <t xml:space="preserve">Messenger </t>
  </si>
  <si>
    <t xml:space="preserve">Tamales </t>
  </si>
  <si>
    <t>Catañeda 58</t>
  </si>
  <si>
    <t xml:space="preserve">2 tamales y 1 atole </t>
  </si>
  <si>
    <t>Edifico 30 A</t>
  </si>
  <si>
    <t xml:space="preserve">2 barras de mantequilla, aceite </t>
  </si>
  <si>
    <t xml:space="preserve">Oscar </t>
  </si>
  <si>
    <t xml:space="preserve">Farmacia </t>
  </si>
  <si>
    <t xml:space="preserve">27a 202 </t>
  </si>
  <si>
    <t xml:space="preserve">Diclofenaco </t>
  </si>
  <si>
    <t xml:space="preserve">America </t>
  </si>
  <si>
    <t>Edificio 42 A</t>
  </si>
  <si>
    <t xml:space="preserve">1 kg jitomate, 1 coca de $600, chokis, cigarros benson violet </t>
  </si>
  <si>
    <t xml:space="preserve">Condesa 80 </t>
  </si>
  <si>
    <t xml:space="preserve">1 KG DE TORTILLAS Y 1/4 PANELA </t>
  </si>
  <si>
    <t xml:space="preserve">2 garrafones bonafont, agua ineral de 2L, manzanita 3L </t>
  </si>
  <si>
    <t xml:space="preserve">INE </t>
  </si>
  <si>
    <t>17 A</t>
  </si>
  <si>
    <t xml:space="preserve">COCA DE 3L Y BOMBOLLOS </t>
  </si>
  <si>
    <t>KMPE</t>
  </si>
  <si>
    <t>OXXO</t>
  </si>
  <si>
    <t>29 B</t>
  </si>
  <si>
    <t>3 CAJAS DE CIGARROS</t>
  </si>
  <si>
    <t xml:space="preserve">El triunfo </t>
  </si>
  <si>
    <t xml:space="preserve">Las espuelas </t>
  </si>
  <si>
    <t xml:space="preserve">VIÑA 2 VINO TINTO 3 </t>
  </si>
  <si>
    <t>Pan chino</t>
  </si>
  <si>
    <t xml:space="preserve">Parque via 844 edificio c </t>
  </si>
  <si>
    <t xml:space="preserve">Peñafiel natural y manzanita de 600, leche de almendra, 4 pan chino </t>
  </si>
  <si>
    <t xml:space="preserve">Portales 29 </t>
  </si>
  <si>
    <t xml:space="preserve">$20 de jamon, de queso manchego y de panela, un tubo de galletas </t>
  </si>
  <si>
    <t>irvin</t>
  </si>
  <si>
    <t>14B 203</t>
  </si>
  <si>
    <t xml:space="preserve">2 caguamas, una marucha y 6 vasos </t>
  </si>
  <si>
    <t>Ncia ureña</t>
  </si>
  <si>
    <t>Edificio 14 a 202</t>
  </si>
  <si>
    <t xml:space="preserve">2 SOBRES DE COMIDA PARA PERRO Y 1 COCA DE 400 </t>
  </si>
  <si>
    <t xml:space="preserve">Mauricio Bravo </t>
  </si>
  <si>
    <t xml:space="preserve">14 A </t>
  </si>
  <si>
    <t>$50 de longaniza</t>
  </si>
  <si>
    <t>Hacienda San Isidro 890</t>
  </si>
  <si>
    <t xml:space="preserve">2 paquetes de galleta oreo, 1 coca de 1.75, 1 bolsa de sabritas </t>
  </si>
  <si>
    <t>Brawlio</t>
  </si>
  <si>
    <t>Edificio 27 A  depto 202</t>
  </si>
  <si>
    <t>1 bolsa de maiz para pozole, coA DE 3 L Y PAQUETE DE TOSTADA</t>
  </si>
  <si>
    <t xml:space="preserve">Edificio 13 b </t>
  </si>
  <si>
    <t>2 Kawas victoria y 1 boing L</t>
  </si>
  <si>
    <t>46 b 501</t>
  </si>
  <si>
    <t xml:space="preserve">PAN  GRITAR SEÑORA ALMA </t>
  </si>
  <si>
    <t>Hacienda Portales 7</t>
  </si>
  <si>
    <t>2 Victorias cag.,1 Cigarro Pepino, 1 Sabr. Originales</t>
  </si>
  <si>
    <t>OXXO0</t>
  </si>
  <si>
    <t>Av parque via 4</t>
  </si>
  <si>
    <t>Bacardi Mango, 4 modelo espe</t>
  </si>
  <si>
    <t>Panditas, Cag. Corona, 300grs de jamon, 1 jarritos,</t>
  </si>
  <si>
    <t>Bacardi Mango, Chetos torcidos grandes, Paketaxo</t>
  </si>
  <si>
    <t>Monica</t>
  </si>
  <si>
    <t xml:space="preserve">Edif 23 B   </t>
  </si>
  <si>
    <t>1 Cigarros Marlboro</t>
  </si>
  <si>
    <t>Reyes y anto Mario</t>
  </si>
  <si>
    <t>9b 501</t>
  </si>
  <si>
    <t>1 lata de frijoles refritos bayos 1 Pan tostado del normal 1 litro de leche deslactosada alpura 1 frasco de nescafe chiquito 1 torta de tamal de mole 1 atole chico</t>
  </si>
  <si>
    <t>Laara</t>
  </si>
  <si>
    <t>9b101</t>
  </si>
  <si>
    <t>1 cigarros shots de 24pzas 1/2 queso oaxaca 1/4 jamon 2 yogurt con cereal (de esos que vienen juntos pero separados) 2 lt santa clara entera 1/2 kg huevo, 8 coccas chicas y 2 galletas principe</t>
  </si>
  <si>
    <t>MIke, oxxo</t>
  </si>
  <si>
    <t xml:space="preserve">Carnicerìa angel </t>
  </si>
  <si>
    <t>ac del rosario n161</t>
  </si>
  <si>
    <t>1 k molida bien limpiecita, recauderia 1 champiñones</t>
  </si>
  <si>
    <t xml:space="preserve">5 cocas de 500 ml de vidrio y 1kg tortillas </t>
  </si>
  <si>
    <t xml:space="preserve">$50 queso oaxaca, 1/4 liòn, 2 latas de cerveza </t>
  </si>
  <si>
    <t>unos malboro de guayaba de la tienda de reyes quiero un una coca de 3 retornable un sidral de 3 litros 4 cocas de lata pero Zero o sin azúcar por fa y 1 Kg de tortillas</t>
  </si>
  <si>
    <t xml:space="preserve">ES 147 MAS </t>
  </si>
  <si>
    <t>tacos betos,reyes, pozoleria</t>
  </si>
  <si>
    <t>Edificio 2 B 201</t>
  </si>
  <si>
    <t xml:space="preserve">17 lengua y 12 pastor y 2 pozoles grandes 1 coca retornable, delvalle de 3l, marlboro rojos </t>
  </si>
  <si>
    <t xml:space="preserve">Ana maria </t>
  </si>
  <si>
    <t xml:space="preserve">El vecino </t>
  </si>
  <si>
    <t>13-a 104</t>
  </si>
  <si>
    <t xml:space="preserve">10 de cabeza </t>
  </si>
  <si>
    <t>Edgar</t>
  </si>
  <si>
    <t>Tacos parque t</t>
  </si>
  <si>
    <t>papeleria jose</t>
  </si>
  <si>
    <t xml:space="preserve">5 tacos parque </t>
  </si>
  <si>
    <t xml:space="preserve">REYES </t>
  </si>
  <si>
    <t>14A-104</t>
  </si>
  <si>
    <t>coca 600,papas hot, palomitas</t>
  </si>
  <si>
    <t>CRONCH</t>
  </si>
  <si>
    <t>14-4 204</t>
  </si>
  <si>
    <t xml:space="preserve">30 ALAS </t>
  </si>
  <si>
    <t>zona c</t>
  </si>
  <si>
    <t>2 caguamas</t>
  </si>
  <si>
    <t>1 cajetillla e cigarros</t>
  </si>
  <si>
    <t xml:space="preserve">Melisa </t>
  </si>
  <si>
    <t xml:space="preserve">Hacienda narvarte 6b </t>
  </si>
  <si>
    <t>40 queso y 37 jamon</t>
  </si>
  <si>
    <t>1 caguama</t>
  </si>
  <si>
    <t>zona cuervo</t>
  </si>
  <si>
    <t>papeleria,reyes</t>
  </si>
  <si>
    <t>Cliente 11</t>
  </si>
  <si>
    <t>Portales 7</t>
  </si>
  <si>
    <t>Kaguasaki 1</t>
  </si>
  <si>
    <t xml:space="preserve">Mauricio </t>
  </si>
  <si>
    <t xml:space="preserve">Coca retornable </t>
  </si>
  <si>
    <t>Edificio 8 b</t>
  </si>
  <si>
    <t xml:space="preserve">1/4 queso alpura, queso doblle crema </t>
  </si>
  <si>
    <t xml:space="preserve">Oxxo </t>
  </si>
  <si>
    <t xml:space="preserve">Aquiles serdan 844 C102 </t>
  </si>
  <si>
    <t xml:space="preserve">5 cocas de vidrio, 3 modelos especial de 1 L Y 3 budin  mantequilla chica </t>
  </si>
  <si>
    <t xml:space="preserve">jessica </t>
  </si>
  <si>
    <t xml:space="preserve">Hacienda de los portaes 29 </t>
  </si>
  <si>
    <t xml:space="preserve">40 de jamon, 1/4 de queso manchego, 1 pan bimbo grande </t>
  </si>
  <si>
    <t>14 a</t>
  </si>
  <si>
    <t xml:space="preserve">1 bolsa de harina 2l de leche, 1/2 croquetas </t>
  </si>
  <si>
    <t xml:space="preserve">3 KAWAS </t>
  </si>
  <si>
    <t xml:space="preserve">Edgar </t>
  </si>
  <si>
    <t xml:space="preserve">Tortas </t>
  </si>
  <si>
    <t xml:space="preserve">Papeleria edgar </t>
  </si>
  <si>
    <t xml:space="preserve">2 Tortas y una de 600 ml </t>
  </si>
  <si>
    <t xml:space="preserve">      </t>
  </si>
  <si>
    <t xml:space="preserve">Judith </t>
  </si>
  <si>
    <t xml:space="preserve">Edificio 30 A </t>
  </si>
  <si>
    <t xml:space="preserve">2 kg de pierna pollo, 1 bolsa de arroz, 1 pechuga entera sin partir, una crema lala de 1/2, 1/2 queso oaxaca, 1/4 queso canasto, 1/4 queso rallado, 1 caja marlboro  </t>
  </si>
  <si>
    <t xml:space="preserve">2 Cremas alpura de 1/2, 2 quesos philadelphia </t>
  </si>
  <si>
    <t xml:space="preserve">3 paletas magnum de chocolate y 1 paleta payaso </t>
  </si>
  <si>
    <t xml:space="preserve">Carniceria </t>
  </si>
  <si>
    <t>Edificio 34 B</t>
  </si>
  <si>
    <t xml:space="preserve">1 kg de costilla </t>
  </si>
  <si>
    <t xml:space="preserve">Brawlio </t>
  </si>
  <si>
    <t xml:space="preserve">$100 queso manchego, 1 coca de 3L </t>
  </si>
  <si>
    <t xml:space="preserve">Panaderìa </t>
  </si>
  <si>
    <t xml:space="preserve">10 bolillos </t>
  </si>
  <si>
    <t xml:space="preserve">Palmarr alaska </t>
  </si>
  <si>
    <t>Teresa</t>
  </si>
  <si>
    <t xml:space="preserve">1 kd torillas y coca de 3l </t>
  </si>
  <si>
    <t>aqua bonafont</t>
  </si>
  <si>
    <t>33b 101</t>
  </si>
  <si>
    <t xml:space="preserve">garrafon purificdora </t>
  </si>
  <si>
    <t>44 A 504</t>
  </si>
  <si>
    <t>Cigarros benson, 3 cocas de 600,2 ltros de leche santa clara deslac, pan bimbo grande,chokis, chips,pawered grande</t>
  </si>
  <si>
    <t>hacienda olivar del conde n33</t>
  </si>
  <si>
    <t>50 jamon pierna, medio kilo de huvo,</t>
  </si>
  <si>
    <t>AGUA AQUA</t>
  </si>
  <si>
    <t>31B 303</t>
  </si>
  <si>
    <t xml:space="preserve">2 GARRAFONES </t>
  </si>
  <si>
    <t xml:space="preserve">tamales </t>
  </si>
  <si>
    <t>hacienda narvarte 160</t>
  </si>
  <si>
    <t xml:space="preserve">1mole,1 verde, atole chico </t>
  </si>
  <si>
    <t xml:space="preserve">Abarrotes judith </t>
  </si>
  <si>
    <t>Edificio 34 b</t>
  </si>
  <si>
    <t xml:space="preserve">1 pechuga  y  1 kg de huevo, </t>
  </si>
  <si>
    <t xml:space="preserve">1 crema chica lala, 2 garrafones, medio k molida, 4 bisteces </t>
  </si>
  <si>
    <t>Oliva del conde 43</t>
  </si>
  <si>
    <t xml:space="preserve">1/4 jamon, 4 rebanadas queso manchego, 1kg tortillas, pan bimbo integral, 2 chokis, 2 doritos, 1kg huevo </t>
  </si>
  <si>
    <t xml:space="preserve">eDIFICIO 17 a </t>
  </si>
  <si>
    <t>1 six modelo, 1 coca de 2.5, 1 rancheritos, 1 flan art</t>
  </si>
  <si>
    <t>tortilleria oxxo</t>
  </si>
  <si>
    <t>6b 201</t>
  </si>
  <si>
    <t xml:space="preserve">1/2 tortillas, arroz </t>
  </si>
  <si>
    <t>Luisa</t>
  </si>
  <si>
    <t>14 a 204</t>
  </si>
  <si>
    <t xml:space="preserve">2k totillas, 30 de queso fresco, y crema de 1/20, 2 garrafones </t>
  </si>
  <si>
    <t>Sandra</t>
  </si>
  <si>
    <t xml:space="preserve">reyes </t>
  </si>
  <si>
    <t xml:space="preserve">14b 203 </t>
  </si>
  <si>
    <t>1 kilo de arroz, 1// de lecge chocolate, magdalenas bimbo,</t>
  </si>
  <si>
    <t>44A 504</t>
  </si>
  <si>
    <t>1 kilode huvos, 2 barras de mantequilla, bote de vainalla, 2 cocas de 600, 1 sabritas, 1 chips</t>
  </si>
  <si>
    <t>francisco</t>
  </si>
  <si>
    <t>9a 104</t>
  </si>
  <si>
    <t>queso oxa 1/4</t>
  </si>
  <si>
    <t>garrafon equly</t>
  </si>
  <si>
    <t xml:space="preserve">1l de leche deslactosada,cocnchas bimbo, 3 cigarro, 1 rastrillo </t>
  </si>
  <si>
    <t xml:space="preserve">Angel, oxxo </t>
  </si>
  <si>
    <t xml:space="preserve">Hacienda castañeda 54 </t>
  </si>
  <si>
    <t xml:space="preserve">1 VODKA ABSOLUT, fILETE 3, jUGO CITRICOS DEL VALLE FRUT, </t>
  </si>
  <si>
    <t xml:space="preserve">4 cocas lata zero, coca 200 ml, coca 3 l </t>
  </si>
  <si>
    <t xml:space="preserve">Edificio NUMERO 18 </t>
  </si>
  <si>
    <t xml:space="preserve">Albondigas y espagueti </t>
  </si>
  <si>
    <t xml:space="preserve">2 cremas medio alpura, 1/4 canasto, coca 3 l, 1.5 tortillas </t>
  </si>
  <si>
    <t xml:space="preserve">Señora </t>
  </si>
  <si>
    <t xml:space="preserve">Reeyes mike </t>
  </si>
  <si>
    <t>Edificio 17 a</t>
  </si>
  <si>
    <t xml:space="preserve">4 Piezas de pollo </t>
  </si>
  <si>
    <t xml:space="preserve">Pan Bimbo Grande, 1 manzana y 2 plàtanos </t>
  </si>
  <si>
    <t>Oscar</t>
  </si>
  <si>
    <t>14 a 202</t>
  </si>
  <si>
    <t>2 mineral 1l 2 de l, 2 cocas 1,7 2 sobres de pedigri adulto reyes/ irma 1 mineral de 2l y 1 de 1l</t>
  </si>
  <si>
    <t>14 a 402</t>
  </si>
  <si>
    <t>PALL MALL DE 20 ALASKA</t>
  </si>
  <si>
    <t>edgar</t>
  </si>
  <si>
    <t xml:space="preserve">10 fichas bibliograficas rayadas, 2 mapas mexicana, y eropa  </t>
  </si>
  <si>
    <t>jaula buba</t>
  </si>
  <si>
    <t>Devil</t>
  </si>
  <si>
    <t>6a 504</t>
  </si>
  <si>
    <t>biyik</t>
  </si>
  <si>
    <t>2 nwo mix</t>
  </si>
  <si>
    <t xml:space="preserve">Antojitos mario </t>
  </si>
  <si>
    <t xml:space="preserve">2 gorditas de salsa </t>
  </si>
  <si>
    <t xml:space="preserve">1-1/2 pierna con muslo, 1 chayote, 2 papas, 2 zanahorias, 2 calabazas  $2 de epasote </t>
  </si>
  <si>
    <t xml:space="preserve">17 a </t>
  </si>
  <si>
    <t xml:space="preserve">Six frio, coca 2.5 </t>
  </si>
  <si>
    <t>1 PECGUGA PARTIDA SIN PIEL Y SIN HUESO, 1 K CEBOLLA Y 1 LATA CHILE CHIPOTLE</t>
  </si>
  <si>
    <t xml:space="preserve">15 A 302 </t>
  </si>
  <si>
    <t xml:space="preserve">Coca de 3L, Manzanita frio, chile rajas mediana </t>
  </si>
  <si>
    <t>4 Cocas de lata zero, 1 Coca pequeña de 200 ml, 1 zensao de 600 ml, sabritas grandes amarillas</t>
  </si>
  <si>
    <t>2 paquetes de tostadas, 1/2 queso fresco, 1 coca de 3 l</t>
  </si>
  <si>
    <t xml:space="preserve">1 Coca de 1 L, 2 cigarros de pepino, 1 bolsa palomitas 1 cacahuates  y 1 galon de 10 l agua </t>
  </si>
  <si>
    <t xml:space="preserve">Ruth </t>
  </si>
  <si>
    <t xml:space="preserve">Antojitos anita </t>
  </si>
  <si>
    <t xml:space="preserve">Hacienda de santiago 76 </t>
  </si>
  <si>
    <t xml:space="preserve">Marlboro 100 </t>
  </si>
  <si>
    <t xml:space="preserve">hacuenda </t>
  </si>
  <si>
    <t xml:space="preserve">5 bisquets, 2 bolillos, 2 tacos de piña 1 cubiletye y concha </t>
  </si>
  <si>
    <t xml:space="preserve">Liconsa </t>
  </si>
  <si>
    <t>edf 33a 304</t>
  </si>
  <si>
    <t xml:space="preserve">2 golsas de liconsa </t>
  </si>
  <si>
    <t>Hacienda narvarte 160</t>
  </si>
  <si>
    <t xml:space="preserve">2 golsas de liconsa , 1 kilo de platanos </t>
  </si>
  <si>
    <t xml:space="preserve">irma y eqalay </t>
  </si>
  <si>
    <t>garrafon y 1 k de limon</t>
  </si>
  <si>
    <t>recarga bbva nosotros</t>
  </si>
  <si>
    <t>recarga 30</t>
  </si>
  <si>
    <t>23 a</t>
  </si>
  <si>
    <t>2 modelos especiial, 1 coca 600, 1 sabritas,1 rancheritos</t>
  </si>
  <si>
    <t>Se debe a reyes</t>
  </si>
  <si>
    <t>15 b 503</t>
  </si>
  <si>
    <t>3 cocas reto, 1 tostadas,charras 1 crem de 1/2</t>
  </si>
  <si>
    <t>Si</t>
  </si>
  <si>
    <t xml:space="preserve">irma  </t>
  </si>
  <si>
    <t>28 a 404</t>
  </si>
  <si>
    <t xml:space="preserve">1,30 cocas 5  cocas chiquitas  </t>
  </si>
  <si>
    <t xml:space="preserve">Azahalea </t>
  </si>
  <si>
    <t xml:space="preserve">Oxxo  y reyes </t>
  </si>
  <si>
    <t xml:space="preserve">Hacienda castañeda 58 </t>
  </si>
  <si>
    <t>Dos garrafones bonafont, 1 agua mineral de 2 l, tarjeta de xbox de $300</t>
  </si>
  <si>
    <t xml:space="preserve">Zona cuervo </t>
  </si>
  <si>
    <t>4 CAWASAKI</t>
  </si>
  <si>
    <t xml:space="preserve">4 Kawasakis </t>
  </si>
  <si>
    <t>Una crema de medio alpura, 1 kg de huevos, 2 l de leche deslactosada  y 2 cocas de 600ml</t>
  </si>
  <si>
    <t xml:space="preserve">Reeyes </t>
  </si>
  <si>
    <t>3 kawas</t>
  </si>
  <si>
    <t xml:space="preserve">Hacienda de sotelo 13 A EDIFICIO 14 B depto 3203 </t>
  </si>
  <si>
    <t xml:space="preserve">$30 De oaxaca, tortilla mais1 k, sabritas de limon, takis fuego, fritos de choriso, saritas de crema y especies, jugo de arandano, vitaloe, sobre de sopa instantanea de munision </t>
  </si>
  <si>
    <t>Pedido 7</t>
  </si>
  <si>
    <t xml:space="preserve">Narvarte 161 edif 28 a </t>
  </si>
  <si>
    <t>Chips moradas, chetos naranjas, saritas amarilas, taquis morados, palomitas de queso, 2 cigarros sueltos, chetos azules,40 de jamon</t>
  </si>
  <si>
    <t xml:space="preserve">Pedido 8  </t>
  </si>
  <si>
    <t xml:space="preserve">4 caguamas </t>
  </si>
  <si>
    <t>Pedido 9</t>
  </si>
  <si>
    <t xml:space="preserve">Reyes  y carniceria </t>
  </si>
  <si>
    <t>6b</t>
  </si>
  <si>
    <t>1/2 de costilla,1/2 de chorizo, 1 sopesitos y 1/4 de queso rayado</t>
  </si>
  <si>
    <t>Pedido 10</t>
  </si>
  <si>
    <t>Claudia</t>
  </si>
  <si>
    <t>24b 401</t>
  </si>
  <si>
    <t xml:space="preserve">4 pañales etapa 6, 1 garrafon de 10, 1 kilo de huvo </t>
  </si>
  <si>
    <t>Pedido 11</t>
  </si>
  <si>
    <t>tacos beto</t>
  </si>
  <si>
    <t xml:space="preserve">12 de lengua 3 de tripa, 2 campechanos, 3 suadero, 1 de maciza 4 de pastor </t>
  </si>
  <si>
    <t xml:space="preserve">Jarrito </t>
  </si>
  <si>
    <t>Hacienda San Isidro 89</t>
  </si>
  <si>
    <t>1 coca de 3l, 3 papas sabritas.</t>
  </si>
  <si>
    <t>pedodo 13</t>
  </si>
  <si>
    <t xml:space="preserve">Pan chino y Don dany </t>
  </si>
  <si>
    <t>Aquiles serdan 844 C 102</t>
  </si>
  <si>
    <t xml:space="preserve">1 chouse, 1 concha vainilla, 2 tehuacane de 600 ml, 6 venado, 6 dieteticos y 4 de suadero </t>
  </si>
  <si>
    <t>Pedodp 17</t>
  </si>
  <si>
    <t xml:space="preserve">2 cocas de lata, unos panquecitos de chocolate, 1 huevo kinder, pall mall alaska, mantecadas, 1 panque marmol </t>
  </si>
  <si>
    <t xml:space="preserve">Laara </t>
  </si>
  <si>
    <t xml:space="preserve">Edificio 9 b </t>
  </si>
  <si>
    <t xml:space="preserve">10 cocas de 250 ml, 1 coca de 1.700 ml, 2 boing de 1L , sidral </t>
  </si>
  <si>
    <t xml:space="preserve">Joaquin </t>
  </si>
  <si>
    <t xml:space="preserve">4 viñas </t>
  </si>
  <si>
    <t>2 cahuamas ç</t>
  </si>
  <si>
    <t>4 tehuacanes 2l</t>
  </si>
  <si>
    <t>total</t>
  </si>
  <si>
    <t xml:space="preserve">Recarga telcel </t>
  </si>
  <si>
    <t>S</t>
  </si>
  <si>
    <t xml:space="preserve">3 cocas zero </t>
  </si>
  <si>
    <t>N</t>
  </si>
  <si>
    <t xml:space="preserve">30 A </t>
  </si>
  <si>
    <t xml:space="preserve">1 PAPAS PRINGLES, PAN WONDER INTEGRAL, 1/2 DE JAMON 1 BOLSA DE FRIJOLES REFRITOS </t>
  </si>
  <si>
    <t xml:space="preserve">Tacos el vecino </t>
  </si>
  <si>
    <t xml:space="preserve">24 b </t>
  </si>
  <si>
    <t xml:space="preserve">4 Pañales </t>
  </si>
  <si>
    <t>si</t>
  </si>
  <si>
    <t>+</t>
  </si>
  <si>
    <t>9 B</t>
  </si>
  <si>
    <t>23A</t>
  </si>
  <si>
    <t>1 bonafont,1/2 jamon,1/2huevo, 20 queso, tortillas de 12</t>
  </si>
  <si>
    <t xml:space="preserve"> /</t>
  </si>
  <si>
    <t>Oxoo</t>
  </si>
  <si>
    <t>4 caguamas 1 canas</t>
  </si>
  <si>
    <t>hACIENDA DE CONDESA 42</t>
  </si>
  <si>
    <t xml:space="preserve">Edificio 6 b depto 201 </t>
  </si>
  <si>
    <t xml:space="preserve">EMPERADOR CHOCOLATE, CHOKIS TUbO, 1/2 JAMON, 1/2 OAXACA, 5 BOLILLOS, medio de uva verdes </t>
  </si>
  <si>
    <t>Edificio 19B depto 503</t>
  </si>
  <si>
    <t xml:space="preserve">1/4 jamon, 1/4 tocino </t>
  </si>
  <si>
    <t xml:space="preserve">Hielos, pan tia rosa, cuernitos, takis morados , sabritas adobadas grandes, conchas tia rosa </t>
  </si>
  <si>
    <t>reyes y irma</t>
  </si>
  <si>
    <t>4 minerales 600, 7up 3l, chips moradas,doritos negros</t>
  </si>
  <si>
    <t>se le debe 99+ 40 de cambio</t>
  </si>
  <si>
    <t>1 KAWA corona, 1 Coca de litro, sobres para perro 2</t>
  </si>
  <si>
    <t xml:space="preserve">14 A depto 201 </t>
  </si>
  <si>
    <t xml:space="preserve">Mario </t>
  </si>
  <si>
    <t>Hamburguesas</t>
  </si>
  <si>
    <t xml:space="preserve">6 doble queso, 2 con pura catsup y 4 con todo, 1 doble queso con piña con todo, 1 mundet de 3L </t>
  </si>
  <si>
    <t xml:space="preserve">1 six de victoria, unas sabritas adobadas grandes, dos gansitos , un agua mineral d elitro </t>
  </si>
  <si>
    <t xml:space="preserve">Portales 7 </t>
  </si>
  <si>
    <t xml:space="preserve">1 garrafon de agua e pura, triki trakets, habas con chile </t>
  </si>
  <si>
    <t>20 de cilantro, 1 volt de mora, 6 pepsi de varios sabores, paquete de servilletas, 6 cocas de vidrio</t>
  </si>
  <si>
    <t>2 Pozoles grandes de pollo,  1 coca desechable de 1/4</t>
  </si>
  <si>
    <t xml:space="preserve">Edificio 16 A DEPTO 102 </t>
  </si>
  <si>
    <t>Pozoles</t>
  </si>
  <si>
    <t xml:space="preserve">Hielos, dos peñafiel, 1 kg de limon, un bacardí blanco, sabritas de limon, chips jalapeño grandes, panditas, chips moradas grandes, 1 sprite de 600,carlos 5 </t>
  </si>
  <si>
    <t xml:space="preserve">2 kg de cebollla y 8 cocas de 600 ml, </t>
  </si>
  <si>
    <t>Osmar debe 520 de un pedido y 100 del trabajador</t>
  </si>
  <si>
    <t>joaquin debe 131</t>
  </si>
  <si>
    <t>Osmar regresa $500</t>
  </si>
  <si>
    <t xml:space="preserve">Martina </t>
  </si>
  <si>
    <t xml:space="preserve">Medio  de carne molida, $50 de tocino </t>
  </si>
  <si>
    <t xml:space="preserve">Edificio 9 A depto 404 </t>
  </si>
  <si>
    <t xml:space="preserve">Carnicería angel </t>
  </si>
  <si>
    <t xml:space="preserve">3 gerber de etapa de 1 año, 3 de frutas, 5 coca de 2.5 sin azucar </t>
  </si>
  <si>
    <t>Hacienda de santiago 76</t>
  </si>
  <si>
    <t>Supercito</t>
  </si>
  <si>
    <t xml:space="preserve">Leche evaporada y 1kg de huevo </t>
  </si>
  <si>
    <t xml:space="preserve">1 kg y 1 coca 3l </t>
  </si>
  <si>
    <t>27 A</t>
  </si>
  <si>
    <t>Esmeralda</t>
  </si>
  <si>
    <t>dana</t>
  </si>
  <si>
    <t>san isidro 89</t>
  </si>
  <si>
    <t>1 oreo, 2 sabritas,</t>
  </si>
  <si>
    <t xml:space="preserve">hamburgesas </t>
  </si>
  <si>
    <t xml:space="preserve">Portales </t>
  </si>
  <si>
    <t>2 hamburgesas ahuaiana</t>
  </si>
  <si>
    <t>castañeda 58</t>
  </si>
  <si>
    <t>2 garrafones,1 mineral 2l, 2 kilos de huevo, 2 doritos n,1/4 de jamon4 quesos amarillos, 1 coca de 600 1/4 queso panela 1/4 queso crema</t>
  </si>
  <si>
    <t>Alejandra</t>
  </si>
  <si>
    <t>9b 101</t>
  </si>
  <si>
    <t>1k huevo, 1/4 jamon 1/4 panela 1 alaska 2 lts alpura entera</t>
  </si>
  <si>
    <t xml:space="preserve">linconsa </t>
  </si>
  <si>
    <t>narvarte 160</t>
  </si>
  <si>
    <t xml:space="preserve">2 garrafones </t>
  </si>
  <si>
    <t xml:space="preserve">24 aq </t>
  </si>
  <si>
    <t>Mauricio</t>
  </si>
  <si>
    <t>Morales</t>
  </si>
  <si>
    <t>Se le da a reyes 932</t>
  </si>
  <si>
    <t xml:space="preserve">SE QUEDA EN CAJA </t>
  </si>
  <si>
    <t>2 garrafones bones bonafont 20 L de la tienda</t>
  </si>
  <si>
    <t xml:space="preserve">36 A depto 302 </t>
  </si>
  <si>
    <t xml:space="preserve">Para bici </t>
  </si>
  <si>
    <t xml:space="preserve">Mandrake </t>
  </si>
  <si>
    <t xml:space="preserve">Edificio 13 b depto 101 </t>
  </si>
  <si>
    <t xml:space="preserve">1kg de tortillas, 1kg de jitomate, 1/4 de queso de puerco </t>
  </si>
  <si>
    <t xml:space="preserve">Reeyes y Judith </t>
  </si>
  <si>
    <t xml:space="preserve">Edificio 7 a </t>
  </si>
  <si>
    <t xml:space="preserve">2 trikitrakets, 2 mantecadas de vainilla, 7 jitomates, 6 limones, 1/4 de panela </t>
  </si>
  <si>
    <t xml:space="preserve">1 Arizona y 2 cigarros </t>
  </si>
  <si>
    <t xml:space="preserve">Edificio 23 B </t>
  </si>
  <si>
    <t>Marlboros rojos de 20, una coca de 3L</t>
  </si>
  <si>
    <t xml:space="preserve">Elia </t>
  </si>
  <si>
    <t>2 garrafones</t>
  </si>
  <si>
    <t xml:space="preserve">Garrafones aqua aquí </t>
  </si>
  <si>
    <t xml:space="preserve">Edificio 34 B </t>
  </si>
  <si>
    <t xml:space="preserve">Leche de magnezio melox </t>
  </si>
  <si>
    <t>Edi 6b 503</t>
  </si>
  <si>
    <t>farmacia</t>
  </si>
  <si>
    <t>Bici 160</t>
  </si>
  <si>
    <t xml:space="preserve">bici 20 </t>
  </si>
  <si>
    <t xml:space="preserve">rancheritos,churrumais </t>
  </si>
  <si>
    <t>5b 201</t>
  </si>
  <si>
    <t>r</t>
  </si>
  <si>
    <t>9b 401</t>
  </si>
  <si>
    <t>3a 404</t>
  </si>
  <si>
    <t>pape</t>
  </si>
  <si>
    <t>160 narvarte</t>
  </si>
  <si>
    <t>canas14</t>
  </si>
  <si>
    <t>1 garrafon</t>
  </si>
  <si>
    <t>1 pliego de cartulina, 1 de papel cascaron</t>
  </si>
  <si>
    <t>Pagado</t>
  </si>
  <si>
    <t>Deuda</t>
  </si>
  <si>
    <t>Gauadalupe</t>
  </si>
  <si>
    <t>hamburgesas</t>
  </si>
  <si>
    <t>cigarros</t>
  </si>
  <si>
    <t>hamburgesa</t>
  </si>
  <si>
    <t>14A 204</t>
  </si>
  <si>
    <t xml:space="preserve">1K DE tortilla, 1 jarro mandarina </t>
  </si>
  <si>
    <t>4 caguamas 1 papas grandes</t>
  </si>
  <si>
    <t>Hacienda de los portales 7</t>
  </si>
  <si>
    <t>1/$ oxaca 1 caguama 1tortillinas</t>
  </si>
  <si>
    <t xml:space="preserve">4 velas </t>
  </si>
  <si>
    <t>GANANCIA TOTAL PEDIDITO</t>
  </si>
  <si>
    <t>Edifico 20 A</t>
  </si>
  <si>
    <t>1 madalenas,  1 canelitas, 1/4 queso oaxaca</t>
  </si>
  <si>
    <t>(tarifa y propinas)</t>
  </si>
  <si>
    <t xml:space="preserve">Inicio </t>
  </si>
  <si>
    <t xml:space="preserve">Primer turno </t>
  </si>
  <si>
    <t xml:space="preserve">Segundo turno </t>
  </si>
  <si>
    <t xml:space="preserve">Hora de llamda </t>
  </si>
  <si>
    <t xml:space="preserve">Supercito </t>
  </si>
  <si>
    <t xml:space="preserve">Osmar entr}o $100 </t>
  </si>
  <si>
    <t xml:space="preserve">Depóosito en tarjeta </t>
  </si>
  <si>
    <t>4 sobres de pedigre, 2 quesadillas, 1 taco de bisteck, 1 coca de 600</t>
  </si>
  <si>
    <t xml:space="preserve">Judith, antojitos mario </t>
  </si>
  <si>
    <t xml:space="preserve">1 agua de l, 2 cigarros </t>
  </si>
  <si>
    <t>tiga de p</t>
  </si>
  <si>
    <t>Olivar 33</t>
  </si>
  <si>
    <t xml:space="preserve">2 gorditas, 2 quesadillas </t>
  </si>
  <si>
    <t xml:space="preserve">Turno </t>
  </si>
  <si>
    <t xml:space="preserve">Extremo </t>
  </si>
  <si>
    <t xml:space="preserve">Bellako </t>
  </si>
  <si>
    <t xml:space="preserve">Hamburguesas </t>
  </si>
  <si>
    <t>Papelería Edgar</t>
  </si>
  <si>
    <t xml:space="preserve">4 Hamburguesas </t>
  </si>
  <si>
    <t xml:space="preserve">Carnicería señor rodolfo </t>
  </si>
  <si>
    <t xml:space="preserve">Palma  </t>
  </si>
  <si>
    <t xml:space="preserve">5 Piernas con muslo separado, 2 alas completas, 1/4 de mole almendrado, 1/2 partida a la mitas con piel, </t>
  </si>
  <si>
    <t>Pedidito (ir por un arículo)</t>
  </si>
  <si>
    <t>Lata piña, cilantro, cebolla, 1 coca de 1l 1/4</t>
  </si>
  <si>
    <t>Edificio 14 b 201</t>
  </si>
  <si>
    <t xml:space="preserve">Tortillería y tienda </t>
  </si>
  <si>
    <t>Edificio 30 A</t>
  </si>
  <si>
    <t xml:space="preserve">2 kg tortillas, coca 2 L </t>
  </si>
  <si>
    <t xml:space="preserve">Señora anita </t>
  </si>
  <si>
    <t xml:space="preserve">4 pamabazos, malboro 100 y polmormentolado, refrescos retornables e coca sin azucar de 2L 1/2 RETORNABLE </t>
  </si>
  <si>
    <t>Norma Lopez</t>
  </si>
  <si>
    <t>18b 403</t>
  </si>
  <si>
    <t>04:17:00 p.m</t>
  </si>
  <si>
    <t>Dana</t>
  </si>
  <si>
    <t xml:space="preserve">1 hamburgesa </t>
  </si>
  <si>
    <t xml:space="preserve">160 narvarte </t>
  </si>
  <si>
    <t>Guadalupe</t>
  </si>
  <si>
    <t>1 pan bimbo blanco grande, 300g de jamon, 300g de manchego, mayonesa mediana mcornic, 1 alpura leche</t>
  </si>
  <si>
    <t>modelo especial2, 2 nwo mix azul,</t>
  </si>
  <si>
    <t>14a 201</t>
  </si>
  <si>
    <t xml:space="preserve">cebolla 28 </t>
  </si>
  <si>
    <t>65 lim</t>
  </si>
  <si>
    <t>4 kilos de cebolla,1 volt,</t>
  </si>
  <si>
    <t>reyes 130/ irma cilantro 30</t>
  </si>
  <si>
    <t>33b</t>
  </si>
  <si>
    <t xml:space="preserve">3 garrafones  </t>
  </si>
  <si>
    <t>5:22pm</t>
  </si>
  <si>
    <t>05:26:00 p.m</t>
  </si>
  <si>
    <t>5:37pm</t>
  </si>
  <si>
    <t>1 malboro 100 rojos</t>
  </si>
  <si>
    <t>av 834</t>
  </si>
  <si>
    <t>8:52pm</t>
  </si>
  <si>
    <t>2 caguamas 1 camel caja</t>
  </si>
  <si>
    <t xml:space="preserve">1 garrafon purificadora/ 1/2 oaxaca 30 de jamon  </t>
  </si>
  <si>
    <t xml:space="preserve">Tamales,1 torta tamal verde, 3 de dulce y 2 verdes sin torta </t>
  </si>
  <si>
    <t xml:space="preserve">Edificio 19 b </t>
  </si>
  <si>
    <t xml:space="preserve">Johana </t>
  </si>
  <si>
    <t xml:space="preserve">Pollería </t>
  </si>
  <si>
    <t>1 kg de pechuga en milanesa</t>
  </si>
  <si>
    <t xml:space="preserve">Edificio 1 A </t>
  </si>
  <si>
    <t xml:space="preserve">Olivar del conde 43 </t>
  </si>
  <si>
    <t xml:space="preserve">1 aguacate, 1/4 de jamon, 6 ebanadas manchego, </t>
  </si>
  <si>
    <t xml:space="preserve">1 kg tortillas, coca de 3 l </t>
  </si>
  <si>
    <t xml:space="preserve">Edificio 27 A 202 </t>
  </si>
  <si>
    <t>Tortillas</t>
  </si>
  <si>
    <t xml:space="preserve">1 kg tortillas y arroz </t>
  </si>
  <si>
    <t xml:space="preserve">Edificio 6 b </t>
  </si>
  <si>
    <t>reyes 94/ Dna</t>
  </si>
  <si>
    <t>Hermana osmar</t>
  </si>
  <si>
    <t>1 kinder deliz, un paquete de baritas grande, tubo de emperador, doritos incognitas, 1 doraditas, metro de liston color fiusha.</t>
  </si>
  <si>
    <t xml:space="preserve">2 caguamas </t>
  </si>
  <si>
    <t>Pelon</t>
  </si>
  <si>
    <t>4 jack daniel</t>
  </si>
  <si>
    <t>Azenet</t>
  </si>
  <si>
    <t xml:space="preserve">1/2 aroz, 2 zanahorias, 2 chayotes, 1 calabaza,  2 atunes de dolores, </t>
  </si>
  <si>
    <t>portales 7</t>
  </si>
  <si>
    <t>8:00pm,</t>
  </si>
  <si>
    <t>8:07pm</t>
  </si>
  <si>
    <t>8:12pm</t>
  </si>
  <si>
    <t>8:20pm</t>
  </si>
  <si>
    <t>alejandra</t>
  </si>
  <si>
    <t xml:space="preserve">1/2 huevo, pan bimbo grande, 3 veladoras chichas </t>
  </si>
  <si>
    <t>elvia</t>
  </si>
  <si>
    <t xml:space="preserve">5 caguamas </t>
  </si>
  <si>
    <t>donas / irma</t>
  </si>
  <si>
    <t xml:space="preserve">8 dieteticos 6 de venado, 5 especiales de suadero,, 4 donas, 2 tehuacanes 600ml, 1 magnum almendra, 1 crema lala 1 hershys blanco 10 limones </t>
  </si>
  <si>
    <t>30 de jamon, 30 de oaxaca</t>
  </si>
  <si>
    <t>20 a 204</t>
  </si>
  <si>
    <t>23a</t>
  </si>
  <si>
    <t xml:space="preserve">magdalena </t>
  </si>
  <si>
    <t>reyes 2 panes 38</t>
  </si>
  <si>
    <t xml:space="preserve">yougurt fresa de 1/2, 1 jarrito de limon, papas de sol adobadas, 2 panes dulces, 1trikitrake </t>
  </si>
  <si>
    <t>30 a 301</t>
  </si>
  <si>
    <t>no ha de positado</t>
  </si>
  <si>
    <t xml:space="preserve">total </t>
  </si>
  <si>
    <t xml:space="preserve">1 tanak de mole y un atole </t>
  </si>
  <si>
    <t xml:space="preserve">2 1/5 pechugas, 1 juego de alas, 3 cebollas </t>
  </si>
  <si>
    <t xml:space="preserve">Edificio 14 A </t>
  </si>
  <si>
    <t xml:space="preserve">Una crema de alpura de medio y 1kg de huevo </t>
  </si>
  <si>
    <t xml:space="preserve">Eva </t>
  </si>
  <si>
    <t xml:space="preserve">Edifuio |4 A </t>
  </si>
  <si>
    <t xml:space="preserve">1/2 LONGANIZA </t>
  </si>
  <si>
    <t xml:space="preserve">Telcel </t>
  </si>
  <si>
    <t xml:space="preserve">Angel </t>
  </si>
  <si>
    <t xml:space="preserve">Bolsa de pan, 1 kg huevo, 1/2 jamon, 8 yakult, 1//4 queso oaxaca, 1/4 panela </t>
  </si>
  <si>
    <t xml:space="preserve">Edificio 18 a depto 402 </t>
  </si>
  <si>
    <t xml:space="preserve">Se le gana a 1 orden de tortillas 2 pesos </t>
  </si>
  <si>
    <t xml:space="preserve">1 KG DE PECHUGA PARA BISTECK, 1/4 DE QUESO CREEMA, 1KG TOMATE VERDE, 3 DE CILANTRO, MEDIO DE JITOMATE, 1/4 DE PAPAS, CREMA DE MEDIO L DE ALPURA, 3/4 DE BISTEC ARRACHERA, $50 DE LONGANIZA, CHOCOLATE ABUELITA </t>
  </si>
  <si>
    <t>Condesa 15</t>
  </si>
  <si>
    <t>1 kg tomate verde, 250 chicharron , 2 chiles de arbol secos, 650 gr de elote, epazote, queso panela, chile piquin, 3l leche aalpura deslactosada</t>
  </si>
  <si>
    <t xml:space="preserve">Sntiago 76 </t>
  </si>
  <si>
    <t xml:space="preserve">1 kg tortillas, jumex de 1l mango o uva </t>
  </si>
  <si>
    <t xml:space="preserve">5 panes chinos, 3 bolillos, 1 fabuloso lavanda </t>
  </si>
  <si>
    <t xml:space="preserve">Panes chino </t>
  </si>
  <si>
    <t>Comida</t>
  </si>
  <si>
    <t>5 latas de frijoles enteros vallos de la costeña</t>
  </si>
  <si>
    <t xml:space="preserve">Edificio 2b depto 201 </t>
  </si>
  <si>
    <t xml:space="preserve">14 a cuarto piso </t>
  </si>
  <si>
    <t xml:space="preserve">1 garrafon de 19, Paquetaxo </t>
  </si>
  <si>
    <t xml:space="preserve">El pto del buba se llevó $300 </t>
  </si>
  <si>
    <t xml:space="preserve">6 cubos denork suica , 2 cocas de 1.600 , sabritas, </t>
  </si>
  <si>
    <t xml:space="preserve">33 a 402 </t>
  </si>
  <si>
    <t xml:space="preserve">Tienda del chino </t>
  </si>
  <si>
    <t xml:space="preserve">1 volt </t>
  </si>
  <si>
    <t xml:space="preserve">el vecino </t>
  </si>
  <si>
    <t xml:space="preserve">costo </t>
  </si>
  <si>
    <t>regresa</t>
  </si>
  <si>
    <t>1 kg jitomate, 10 refrescos pepsi, 1 coca de 600</t>
  </si>
  <si>
    <t xml:space="preserve">3 de camaron </t>
  </si>
  <si>
    <t xml:space="preserve">6a 504 </t>
  </si>
  <si>
    <t>Carlos Galindo</t>
  </si>
  <si>
    <t xml:space="preserve">1 kilo de tortillas </t>
  </si>
  <si>
    <t xml:space="preserve">Reyes 166/ 17 dana </t>
  </si>
  <si>
    <t>portales 29</t>
  </si>
  <si>
    <t xml:space="preserve">1 crema medio,1 cigarro reyes 55/ dana 1 queso philadelfia chico </t>
  </si>
  <si>
    <t xml:space="preserve">1 pozole chico surtido, una tostada de pata, </t>
  </si>
  <si>
    <t>javier pozole</t>
  </si>
  <si>
    <t>jose</t>
  </si>
  <si>
    <t>monserrat</t>
  </si>
  <si>
    <t>21a404</t>
  </si>
  <si>
    <t xml:space="preserve">1 lata dulce de leche de la lechera, hielo, chetos torcidos </t>
  </si>
  <si>
    <t>4 metros de liston</t>
  </si>
  <si>
    <t>hacienda 160</t>
  </si>
  <si>
    <t xml:space="preserve">Reyes / irma </t>
  </si>
  <si>
    <t>Jair</t>
  </si>
  <si>
    <t>1 mordisko</t>
  </si>
  <si>
    <t>condesa 37</t>
  </si>
  <si>
    <t>six de ultra, 1 clamato almeja dana / reyes 1 coca de 3l</t>
  </si>
  <si>
    <t>1 ccoca 1,600 2 mineral 2l 5 sobres.</t>
  </si>
  <si>
    <t>1 hielos, 3 volts 1 manzana de 3 y coca 3</t>
  </si>
  <si>
    <t>14a 404</t>
  </si>
  <si>
    <t>pall alaska</t>
  </si>
  <si>
    <t>7a</t>
  </si>
  <si>
    <t>1 magnum, 1 rufles, 1 doritos, 2 carlos k</t>
  </si>
  <si>
    <t>Miriam</t>
  </si>
  <si>
    <t>5a</t>
  </si>
  <si>
    <t>3 boots, 1 cacaguates, 12  modelo, 1 coca 3</t>
  </si>
  <si>
    <t xml:space="preserve">Gemelo </t>
  </si>
  <si>
    <t xml:space="preserve">2 caguamas 1 kilo de huevo </t>
  </si>
  <si>
    <t>1 sprite 3, 1 coca 2l, doritos</t>
  </si>
  <si>
    <t>2 nitos 2 l de leche y un satrillo</t>
  </si>
  <si>
    <t>melisa</t>
  </si>
  <si>
    <t>reyes 38/ irma</t>
  </si>
  <si>
    <t>13b 101</t>
  </si>
  <si>
    <t xml:space="preserve">reyes  </t>
  </si>
  <si>
    <t>44a 504</t>
  </si>
  <si>
    <t>frjoles chips salada, sabritas, lord</t>
  </si>
  <si>
    <t>peñafiel de naranja 2l, piña y limon 600</t>
  </si>
  <si>
    <t>11b 401</t>
  </si>
  <si>
    <t>2 geringas de 5ml</t>
  </si>
  <si>
    <t>24b</t>
  </si>
  <si>
    <t>3 magnum almendras, rufles verde, 2 gansitos, 1 kilo de azurar, 2 mundet rojo, 1 sabritas amarillas1 doritos nacho,1 runers,</t>
  </si>
  <si>
    <t xml:space="preserve">2 six de vitoria (2) gerber de momida </t>
  </si>
  <si>
    <t xml:space="preserve">4 caguamas, marlboro 100 </t>
  </si>
  <si>
    <t>reyes312/ irma gerber 11</t>
  </si>
  <si>
    <t>oscar</t>
  </si>
  <si>
    <t>GANACIAS</t>
  </si>
  <si>
    <t>10 refrescos de 600 ml, 1 volt</t>
  </si>
  <si>
    <t xml:space="preserve">1 coca de 1.5 sin azucar, 1 squirt de 2l </t>
  </si>
  <si>
    <t xml:space="preserve">18 b 501 </t>
  </si>
  <si>
    <t xml:space="preserve">Edificio 6 a </t>
  </si>
  <si>
    <t xml:space="preserve">1 garrafon bonafont </t>
  </si>
  <si>
    <t xml:space="preserve">2 aguas minerales peñafiel, 1 squirt de 3 L, 1 bolsa de hielos,1 botella de jose cuevo especial, 1 cajetilla de cigarros shots de 38 </t>
  </si>
  <si>
    <t xml:space="preserve">Carlos </t>
  </si>
  <si>
    <t xml:space="preserve">29 b </t>
  </si>
  <si>
    <t xml:space="preserve">35 b depto 103 </t>
  </si>
  <si>
    <t xml:space="preserve">1 PAQUETE DE TOSTADAS rancheras, 1 jugo de valle frut naranja de 3l, </t>
  </si>
  <si>
    <t xml:space="preserve">Cliente 17 </t>
  </si>
  <si>
    <t xml:space="preserve">2 kawamas </t>
  </si>
  <si>
    <t xml:space="preserve">1 peñafiel, 1 bolsa de hielos, 1/2 limon </t>
  </si>
  <si>
    <t>Edificio 20 a</t>
  </si>
  <si>
    <t xml:space="preserve">Leche deslactosada ligth </t>
  </si>
  <si>
    <t xml:space="preserve">Edificio 23 b </t>
  </si>
  <si>
    <t xml:space="preserve">1 doritos </t>
  </si>
  <si>
    <t xml:space="preserve">Se le debe a reyes </t>
  </si>
  <si>
    <t>me regresa 43 pesos de 160</t>
  </si>
  <si>
    <t xml:space="preserve">le di 30 extra para comprar peñafiel </t>
  </si>
  <si>
    <t>21 a 402</t>
  </si>
  <si>
    <t xml:space="preserve">10 k huevo, 1 mantequilla gloria sin sal, </t>
  </si>
  <si>
    <t xml:space="preserve">papas del sol picantes , cuernitos de tia rosa, 1 sabritas adobadasl, </t>
  </si>
  <si>
    <t xml:space="preserve"> 30 de queso oaxaca</t>
  </si>
  <si>
    <t xml:space="preserve">yayo se queda con los marlboro </t>
  </si>
  <si>
    <t xml:space="preserve">zona </t>
  </si>
  <si>
    <t>tierno</t>
  </si>
  <si>
    <t>1 tostadas, 1 crena de 1/4, coca 600 1 agua 1l</t>
  </si>
  <si>
    <t>1 kilo de huevo, 1 lata de frijoles 2 leches deslacosadas, 1 paquete de salchichas</t>
  </si>
  <si>
    <t>22 a 304</t>
  </si>
  <si>
    <t>purificadora</t>
  </si>
  <si>
    <t xml:space="preserve">purificadora </t>
  </si>
  <si>
    <t>4a</t>
  </si>
  <si>
    <t>3 garrafones</t>
  </si>
  <si>
    <t>6 papas,4 gansitos, 2 mantecadas tia rosa,1 doraditas, 2 rufles de queso, dos runers1/2 limon, 1 sidral de 1l / 1 aguacate IRMA</t>
  </si>
  <si>
    <t>Reye s</t>
  </si>
  <si>
    <t>Hacienda condesa 5</t>
  </si>
  <si>
    <t xml:space="preserve">1 kg  de huevo, 1 tortillas, $30 de jamon </t>
  </si>
  <si>
    <t xml:space="preserve">1 kg tortillas, y 2 l de leche, y 1 coca de 2 l </t>
  </si>
  <si>
    <t xml:space="preserve">1 coca grande 3 1 doritos 1 sol papas </t>
  </si>
  <si>
    <t>tortilleria</t>
  </si>
  <si>
    <t>29b</t>
  </si>
  <si>
    <t>1 k tortilla</t>
  </si>
  <si>
    <t>30a 301</t>
  </si>
  <si>
    <t>micha</t>
  </si>
  <si>
    <t>1 tostadas, 1,600.</t>
  </si>
  <si>
    <t>12b 101</t>
  </si>
  <si>
    <t>1 nacho, papas saladas 1 kilo de tortillas</t>
  </si>
  <si>
    <t>May</t>
  </si>
  <si>
    <t>9a</t>
  </si>
  <si>
    <t>squert 2l</t>
  </si>
  <si>
    <t xml:space="preserve">Nacia </t>
  </si>
  <si>
    <t xml:space="preserve">1 kg pierna de pollo, con piel completa, 1 agua epura de 1.5 </t>
  </si>
  <si>
    <t xml:space="preserve">Recaudería </t>
  </si>
  <si>
    <t xml:space="preserve">Jorge </t>
  </si>
  <si>
    <t xml:space="preserve">Tienda iirma </t>
  </si>
  <si>
    <t xml:space="preserve">Las armas </t>
  </si>
  <si>
    <t>1 coca de 600, agua bonafont de jamaica de 1.5</t>
  </si>
  <si>
    <t>Emelia</t>
  </si>
  <si>
    <t>Braulio</t>
  </si>
  <si>
    <t>Bachoco</t>
  </si>
  <si>
    <t>Judith</t>
  </si>
  <si>
    <t>Ryes y oxxo</t>
  </si>
  <si>
    <t>reyes / irma</t>
  </si>
  <si>
    <t>edificio 33b</t>
  </si>
  <si>
    <t>edificio 31 a</t>
  </si>
  <si>
    <t>19b</t>
  </si>
  <si>
    <t>Micha</t>
  </si>
  <si>
    <t>12b  101</t>
  </si>
  <si>
    <t>3 l de leche desla, 3 lucaz panzones, 4 huevos kinder</t>
  </si>
  <si>
    <t>3 cajas de pall</t>
  </si>
  <si>
    <t>Biyik</t>
  </si>
  <si>
    <t>844 c 102</t>
  </si>
  <si>
    <t>1 pac de donas de 6, 1 bolsa de dog chow, 2 tehuacanes 600, 1 suero de sandia</t>
  </si>
  <si>
    <t>40 de queso, 1 tang</t>
  </si>
  <si>
    <t xml:space="preserve">1 leche deslactoasada, 1 kilo de huevo, </t>
  </si>
  <si>
    <t>14a 401</t>
  </si>
  <si>
    <t>pall mall Alaska</t>
  </si>
  <si>
    <t>2b</t>
  </si>
  <si>
    <t>2 dobles queso, 1 doble con piña</t>
  </si>
  <si>
    <t>1k de huevo, 8 bolilloa</t>
  </si>
  <si>
    <t xml:space="preserve">23 a </t>
  </si>
  <si>
    <t>toortillas,1/4 de jamon de oaxaca 1/4</t>
  </si>
  <si>
    <t>GANANCIA TOTAL</t>
  </si>
  <si>
    <t>CORTE Y TC</t>
  </si>
  <si>
    <t>Efectivo</t>
  </si>
  <si>
    <t xml:space="preserve">Tarjeta </t>
  </si>
  <si>
    <t>TOTAL</t>
  </si>
  <si>
    <t>GANANCIAS</t>
  </si>
  <si>
    <t>Inicio Corte</t>
  </si>
  <si>
    <t>REYES</t>
  </si>
  <si>
    <t>SE paga el salario de yair</t>
  </si>
  <si>
    <t xml:space="preserve">2 garrafones, </t>
  </si>
  <si>
    <t xml:space="preserve">Edificio 8a , depto 304 frente al puesto de periodico </t>
  </si>
  <si>
    <t>100 gr de zanahoria, 100 gr de papa, 100 gr de calabacita, 1 pechuga de pollo sin piel cortada a la mitad</t>
  </si>
  <si>
    <t>Jenifer</t>
  </si>
  <si>
    <t>1 lata de piña en almibal, 1 pan para hamburguesas</t>
  </si>
  <si>
    <t xml:space="preserve">Edufucui 20 a depto 402 </t>
  </si>
  <si>
    <t xml:space="preserve">2 don julio 70 </t>
  </si>
  <si>
    <t xml:space="preserve">1090 efectivo </t>
  </si>
  <si>
    <t>600 tarjeta</t>
  </si>
  <si>
    <t>1 agua levite, 1 coca zero y 1 coca de 600</t>
  </si>
  <si>
    <t xml:space="preserve">Canas </t>
  </si>
  <si>
    <t xml:space="preserve">1/2 queso oaxaca, 1 arroz, 2 danoninos, y 3 yakult </t>
  </si>
  <si>
    <t>Edificio 30 a</t>
  </si>
  <si>
    <t xml:space="preserve">Calzada las armas </t>
  </si>
  <si>
    <t>polleria</t>
  </si>
  <si>
    <t>4 cocas de 600,2 papas saladas,, chokis,2 de pures de tomate, 4 mazapanes</t>
  </si>
  <si>
    <t>1/2 nuggets de pollo</t>
  </si>
  <si>
    <t xml:space="preserve">25Aa </t>
  </si>
  <si>
    <t>3 monografias y 1 prit</t>
  </si>
  <si>
    <t>1 coca 600, 4 cigarros s</t>
  </si>
  <si>
    <t>6 bolillos, 1 pepsi 2l 1 runers</t>
  </si>
  <si>
    <t>ahuatz</t>
  </si>
  <si>
    <t>5 caguamas, 2 cacahuates, 1 takis</t>
  </si>
  <si>
    <t>18 A</t>
  </si>
  <si>
    <t>1 leche, pastisetas, krankis, danup, jarrito rojo</t>
  </si>
  <si>
    <t>1/4 de jamon, 1 auacate, 2 limones</t>
  </si>
  <si>
    <t xml:space="preserve">Carnicería </t>
  </si>
  <si>
    <t xml:space="preserve"> Condesa  15</t>
  </si>
  <si>
    <t>2 kg chambarete y 4 piezas de maíz</t>
  </si>
  <si>
    <t xml:space="preserve">600 gr de jitomate, 1 kg pechuga, $30 queso panela </t>
  </si>
  <si>
    <t xml:space="preserve">1 kg tortillas, 1 kg tomate verde, 1| kg huevo, </t>
  </si>
  <si>
    <t xml:space="preserve">1 kg cebollas  y $3 de cilantro </t>
  </si>
  <si>
    <t>1 kg de tortillas, jamaica $15</t>
  </si>
  <si>
    <t>1 coca 1.75, 1 jarrito manda</t>
  </si>
  <si>
    <t xml:space="preserve">9b </t>
  </si>
  <si>
    <t xml:space="preserve">6 b </t>
  </si>
  <si>
    <t>karla</t>
  </si>
  <si>
    <t>46b 501</t>
  </si>
  <si>
    <t>panaderia</t>
  </si>
  <si>
    <t xml:space="preserve">paquete pan </t>
  </si>
  <si>
    <t>14b</t>
  </si>
  <si>
    <t>tortillas jamon manchego, runers 2, agua etc</t>
  </si>
  <si>
    <t>santiago 23</t>
  </si>
  <si>
    <t>1 coca 3l}</t>
  </si>
  <si>
    <t>10 refresco</t>
  </si>
  <si>
    <t>tacos</t>
  </si>
  <si>
    <t>600 eli</t>
  </si>
  <si>
    <t>240 yair</t>
  </si>
  <si>
    <t>se paga</t>
  </si>
  <si>
    <t xml:space="preserve">Elvia </t>
  </si>
  <si>
    <t>Olivar del conde 33</t>
  </si>
  <si>
    <t>5 gorditas</t>
  </si>
  <si>
    <t>2 boing de 1l, 1 coca de 600 y 1 coca sin azucar de 600</t>
  </si>
  <si>
    <t>$30 de huevo, 1 paquete de doraditas</t>
  </si>
  <si>
    <t xml:space="preserve">1 garrafon </t>
  </si>
  <si>
    <t xml:space="preserve">4 cocas de 600, 1 powered , 1 chips , 1 sabritas, una mantequilla , unos bimbollos y 4 mazapanes </t>
  </si>
  <si>
    <t xml:space="preserve">44 A int504 </t>
  </si>
  <si>
    <t>1 kg jitomate, 1 kg pechuga</t>
  </si>
  <si>
    <t xml:space="preserve">De eli </t>
  </si>
  <si>
    <t xml:space="preserve">1 kg tortillas y 1 coca de 3l, </t>
  </si>
  <si>
    <t>Cliente 17</t>
  </si>
  <si>
    <t>4 victor, 3 palomitas,1 lata de frijoles, 1 cacahiuates</t>
  </si>
  <si>
    <t>1 refresco naranjada 1 viki</t>
  </si>
  <si>
    <t>azhalaea</t>
  </si>
  <si>
    <t>5 ge</t>
  </si>
  <si>
    <t>jumex, absolut,,mineral 2l 2, hielos, 7 vasos, 1|malboro, 1 patona bacardi</t>
  </si>
  <si>
    <t xml:space="preserve">1 cajaj de cigarros, 1 caguama </t>
  </si>
  <si>
    <t xml:space="preserve">25 de jamon, 25 de manchego,8 bolillos, 1 crema de cuarto,1 pan dulce, 1 sobre de café, 1l de leche </t>
  </si>
  <si>
    <t>rereyes</t>
  </si>
  <si>
    <t>10 sky cosmopolitan</t>
  </si>
  <si>
    <t>300g tocino. 1 harinan hot</t>
  </si>
  <si>
    <t>25a</t>
  </si>
  <si>
    <t>100g queso doble crema, 1 caguama,1 paquete salchicha food</t>
  </si>
  <si>
    <t>aspirinas protec 1 coca 300</t>
  </si>
  <si>
    <t>monica</t>
  </si>
  <si>
    <t xml:space="preserve">2 manzanas, 2 platanos, </t>
  </si>
  <si>
    <t>1 pechuga sin piel, 2 piernas con muslo, 1/2 k de papas</t>
  </si>
  <si>
    <t xml:space="preserve">Edificio 15 B </t>
  </si>
  <si>
    <t>Cliente 13</t>
  </si>
  <si>
    <t xml:space="preserve">Jorge cli </t>
  </si>
  <si>
    <t xml:space="preserve">Tienda de dani </t>
  </si>
  <si>
    <t>coca sin azucar</t>
  </si>
  <si>
    <t>1 coca normal de 1.600</t>
  </si>
  <si>
    <t xml:space="preserve">1 jugo de 1l de manzana </t>
  </si>
  <si>
    <t>1 bolsa de doritos normales</t>
  </si>
  <si>
    <t xml:space="preserve">1 sabritas </t>
  </si>
  <si>
    <t xml:space="preserve">dificio 33 a depto 402 </t>
  </si>
  <si>
    <t xml:space="preserve">1 Impresión </t>
  </si>
  <si>
    <t>Cliente 16</t>
  </si>
  <si>
    <t xml:space="preserve">ana maria </t>
  </si>
  <si>
    <t xml:space="preserve">1 palomitas de manequilla, </t>
  </si>
  <si>
    <t xml:space="preserve">2 galones de agua de 10 l ciel , </t>
  </si>
  <si>
    <t xml:space="preserve">4 latones victoria </t>
  </si>
  <si>
    <t>2 galones de agua ciel, 1 plomitas, 1coca de 1.6, 1 jugo de 1l , 1 bolsa de doritos, 1 sabritas</t>
  </si>
  <si>
    <t xml:space="preserve">1 paquete de media luna </t>
  </si>
  <si>
    <t xml:space="preserve">1 paquete de salchichas </t>
  </si>
  <si>
    <t xml:space="preserve">Pan, salchichas y 2 kawas </t>
  </si>
  <si>
    <t>1 kg de huevo, 1 tortilla, 2 cocas</t>
  </si>
  <si>
    <t xml:space="preserve">3 kawas </t>
  </si>
  <si>
    <t xml:space="preserve">Zona </t>
  </si>
  <si>
    <t>100 de longaniza, 100 de molida, 1/4 bisteck</t>
  </si>
  <si>
    <t xml:space="preserve">1 platanos, 1kg manzana, 1/2 guayaba </t>
  </si>
  <si>
    <t xml:space="preserve">Edificio 18 a </t>
  </si>
  <si>
    <t>1 aspirinas</t>
  </si>
  <si>
    <t>Mosco</t>
  </si>
  <si>
    <t>camel</t>
  </si>
  <si>
    <t>3 caguamas 1 igarros</t>
  </si>
  <si>
    <t>eliseo</t>
  </si>
  <si>
    <t xml:space="preserve">1 pam bimbo mediano, 1 coca 1l, </t>
  </si>
  <si>
    <t>14b 201</t>
  </si>
  <si>
    <t xml:space="preserve">3 cocas 2 sidral, 2 peñafiel 600, 11 tacos </t>
  </si>
  <si>
    <t>Elma</t>
  </si>
  <si>
    <t xml:space="preserve">Santigo 23 </t>
  </si>
  <si>
    <t xml:space="preserve">1l aceite </t>
  </si>
  <si>
    <t xml:space="preserve">2 garrafones de agua, 2 kg de huevo </t>
  </si>
  <si>
    <t xml:space="preserve">Hacienda de tsantiago 76 </t>
  </si>
  <si>
    <t xml:space="preserve">2 latas de lechera grandees, 1 l de leche alpura entera, 1 cajetilla larboro 100 </t>
  </si>
  <si>
    <t xml:space="preserve">14 a 302  </t>
  </si>
  <si>
    <t xml:space="preserve">e pura </t>
  </si>
  <si>
    <t xml:space="preserve">2 tamales dulces, 1 chilaquiles con bistec </t>
  </si>
  <si>
    <t xml:space="preserve">1 kg de jitomate, tomillo fresco mejorana fresca , 1 bolsa demaiz pozolero, 1 y medio de carne de cerdo, oregano, lechuga orejona, 1 pure de tomate, 1 kg tomate, 1 kg pechuga, 1 kg tortillas </t>
  </si>
  <si>
    <t xml:space="preserve">1 volt, y doritos </t>
  </si>
  <si>
    <t xml:space="preserve">1 coca 2l, 1 doritos nacho, 1 fritos naranja,1 twnki de chocolate </t>
  </si>
  <si>
    <t>30a</t>
  </si>
  <si>
    <t>norma</t>
  </si>
  <si>
    <t>carnicria</t>
  </si>
  <si>
    <t>14b 101</t>
  </si>
  <si>
    <t xml:space="preserve">1/2 chuleta de puerco aplanado </t>
  </si>
  <si>
    <t>carniceria,tinda irma</t>
  </si>
  <si>
    <t>12 pack corona, 2 cacahuatres marca karate</t>
  </si>
  <si>
    <t>REYES,QUESADILLASA,</t>
  </si>
  <si>
    <t>paq de qesadillasa 308,1 agua mineral 2l, manzana 3l15laminas para mosquitos</t>
  </si>
  <si>
    <t xml:space="preserve">Edificio 20 a depto 204 </t>
  </si>
  <si>
    <t>edi 32b 201</t>
  </si>
  <si>
    <t>equalay</t>
  </si>
  <si>
    <t>32b 201</t>
  </si>
  <si>
    <t>kardis</t>
  </si>
  <si>
    <t>castañeda 20</t>
  </si>
  <si>
    <t>5 po</t>
  </si>
  <si>
    <t>9b 301</t>
  </si>
  <si>
    <t>4 magnum almendra, 3 cornetos,2 cocas 1 sin azucar, 1 pan de nuez 1 squert 3l</t>
  </si>
  <si>
    <t>ivan</t>
  </si>
  <si>
    <t>1 chips, coca de 2l</t>
  </si>
  <si>
    <t>3 cabeza de maciza bachoca, 1 jarrito limon2l 1 doritos pitzerola,pinguinos extrac, 1 caja malboro 20</t>
  </si>
  <si>
    <t>portale 7</t>
  </si>
  <si>
    <t>pingüino 21</t>
  </si>
  <si>
    <t xml:space="preserve">jarrito </t>
  </si>
  <si>
    <t xml:space="preserve">doritos 17 </t>
  </si>
  <si>
    <t>marlboro 75</t>
  </si>
  <si>
    <t>tacos 36</t>
  </si>
  <si>
    <t xml:space="preserve">Pedido </t>
  </si>
  <si>
    <t xml:space="preserve">2 garrafones de agua, 2 aguas minerales de 600. 3 cocas de vidrio , 2 sidral, 1 kg de huevo </t>
  </si>
  <si>
    <t>Hacienda olivar del conde 33</t>
  </si>
  <si>
    <t>14 a depto 202</t>
  </si>
  <si>
    <t xml:space="preserve">Aquiles serdan 844 c 102 </t>
  </si>
  <si>
    <t xml:space="preserve">faltan cocas </t>
  </si>
  <si>
    <t xml:space="preserve">fakta sensao </t>
  </si>
  <si>
    <t>Medio k de limones, 1 agua mineral y una coca de 1l</t>
  </si>
  <si>
    <t xml:space="preserve">1 kg pierna con muslo sin grasa, 1 BOLSA DE VERDURA, </t>
  </si>
  <si>
    <t>14 b</t>
  </si>
  <si>
    <t xml:space="preserve">1 pechuga de pollo y 4 mazapanes </t>
  </si>
  <si>
    <t xml:space="preserve">Edificio 44a 502 </t>
  </si>
  <si>
    <t xml:space="preserve">Edificio 38 a </t>
  </si>
  <si>
    <t xml:space="preserve">Tacos </t>
  </si>
  <si>
    <t xml:space="preserve">2 cocas de 1.5, 1.5 kg de tortillas, palillos, 1 kg huevo </t>
  </si>
  <si>
    <t xml:space="preserve">Fransisco </t>
  </si>
  <si>
    <t xml:space="preserve">2 red cola de 3l </t>
  </si>
  <si>
    <t>Edificio 9a deptp 104</t>
  </si>
  <si>
    <t xml:space="preserve">Hacie nda de narvarte 160 </t>
  </si>
  <si>
    <t xml:space="preserve">1 kg jitomate duro, 1kg cebolla, $10 chile serrano, $5 de cilantro, </t>
  </si>
  <si>
    <t xml:space="preserve">Melissa </t>
  </si>
  <si>
    <t xml:space="preserve">salsa valentina chica amarilla, 1 mayonesa chipotle ch </t>
  </si>
  <si>
    <t xml:space="preserve">1 crema de medio </t>
  </si>
  <si>
    <t>2 garrafones 1 killo tortilla</t>
  </si>
  <si>
    <t>Aalejandra</t>
  </si>
  <si>
    <t>1 aguacate, 1 garrafon bonafot, polvorones tia rosa, 1/4 de jamon, 2 yakult, 150g de manchego, 2 gansitos, 1 chetos,1 ruffles de queso,1 panquecito de nata y 1 carlos k</t>
  </si>
  <si>
    <t xml:space="preserve">5 jeringas </t>
  </si>
  <si>
    <t>1k huevo, 8 bolillos, 10 pesos de habanero,</t>
  </si>
  <si>
    <t>olivar del conde 34</t>
  </si>
  <si>
    <t>Agua cliva</t>
  </si>
  <si>
    <t xml:space="preserve">3 pedidos </t>
  </si>
  <si>
    <t>oscar papas 17</t>
  </si>
  <si>
    <t xml:space="preserve">3 bolsas de leche </t>
  </si>
  <si>
    <t>3 mineral 600, 1l leche alpura</t>
  </si>
  <si>
    <t>20 garrafones</t>
  </si>
  <si>
    <t>2 biñas</t>
  </si>
  <si>
    <t xml:space="preserve">Se inicia con  </t>
  </si>
  <si>
    <t xml:space="preserve">1 paquete de salchichas viena, 1 juego de alas con huacal, 1 chayote, 1 calabaza, 1 poro, </t>
  </si>
  <si>
    <t xml:space="preserve">2 cawas victorias </t>
  </si>
  <si>
    <t>Eva</t>
  </si>
  <si>
    <t xml:space="preserve">Condesa 15 </t>
  </si>
  <si>
    <t xml:space="preserve">1 kg mole, 1 kg pechuga, 1 kg tortillas </t>
  </si>
  <si>
    <t>Condesa 5</t>
  </si>
  <si>
    <t>Recauderoi</t>
  </si>
  <si>
    <t xml:space="preserve">Edificio 14 a </t>
  </si>
  <si>
    <t xml:space="preserve">Edificio 1 b </t>
  </si>
  <si>
    <t xml:space="preserve">1 pechuga, 2 brocolis, 1 kg de limon, 2 chayotes, </t>
  </si>
  <si>
    <t xml:space="preserve">Purificadora </t>
  </si>
  <si>
    <t xml:space="preserve">32 B </t>
  </si>
  <si>
    <t xml:space="preserve">1 Garrafon bonafont </t>
  </si>
  <si>
    <t xml:space="preserve">Carniceria y tortillewria </t>
  </si>
  <si>
    <t xml:space="preserve">medio kg bisteck de res, 1 bote e arroz </t>
  </si>
  <si>
    <t xml:space="preserve">4 PEDIDOS DE AGUA entrega $20 </t>
  </si>
  <si>
    <t xml:space="preserve">2 cocas de 1.5 y 1kg de tortilla </t>
  </si>
  <si>
    <t xml:space="preserve">Tienda  tortilleria </t>
  </si>
  <si>
    <t>1 malboro</t>
  </si>
  <si>
    <t>tartinas,50 oaxaca,1 kilo tortillas</t>
  </si>
  <si>
    <t xml:space="preserve">6a </t>
  </si>
  <si>
    <t xml:space="preserve">1/4 jamon doritos negro y nacho </t>
  </si>
  <si>
    <t>2 jugos del valle naranja 600, pan binbo grande, jugo del valle del litro de mango, 1 power azul 1l, 4 boing surtido 1/2 menos de guayaba mix</t>
  </si>
  <si>
    <t>hacienda portales 32</t>
  </si>
  <si>
    <t>nacia</t>
  </si>
  <si>
    <t>1 cigarroz azules</t>
  </si>
  <si>
    <t>1 bacardi 2l xl3 extra 2 caguamas 1 agua 1l</t>
  </si>
  <si>
    <t>14a204</t>
  </si>
  <si>
    <t>1 panque de nata, 2 paq de polvorones,1 ruffles de queso, 1chetos n, 1 valentina, 1 marucha de res,2 gansitos 1 mayonesa chica</t>
  </si>
  <si>
    <t xml:space="preserve">Se inicia con </t>
  </si>
  <si>
    <t xml:space="preserve">1 kg de huevo, 1 kg platano, 1 kg tortillas, 2kg croquetas, 1 caja de maizena </t>
  </si>
  <si>
    <t xml:space="preserve">Se hicieron 4 pedidos para aqua cliva </t>
  </si>
  <si>
    <t>Propinas</t>
  </si>
  <si>
    <t xml:space="preserve">se quitan -$22 para el reyes </t>
  </si>
  <si>
    <t>Despues de reyes</t>
  </si>
  <si>
    <t>8a 304</t>
  </si>
  <si>
    <t>1 colaloa 1 papas amarillas</t>
  </si>
  <si>
    <t>luisa</t>
  </si>
  <si>
    <t>1 donas, 1 jugo, 1 chettos</t>
  </si>
  <si>
    <t>osmar</t>
  </si>
  <si>
    <t>tintoreria</t>
  </si>
  <si>
    <t>prendas de ropa</t>
  </si>
  <si>
    <t>6caguamas 4 cigarros sueltos, chips grandes</t>
  </si>
  <si>
    <t>2  chips,1l agua,3 de naranja, 2 tamarindo</t>
  </si>
  <si>
    <t xml:space="preserve">50 de jamon, 50 de queso, 1o bolillos </t>
  </si>
  <si>
    <t xml:space="preserve">Se ocupan 47 para ncloro y pino </t>
  </si>
  <si>
    <t>Se inicia con 720.50</t>
  </si>
  <si>
    <t>Se inicia tarjeta 452.60</t>
  </si>
  <si>
    <t xml:space="preserve">6 bolillos </t>
  </si>
  <si>
    <t xml:space="preserve">Panaderia </t>
  </si>
  <si>
    <t xml:space="preserve">canas, 3 huevos, $5 de tortillas </t>
  </si>
  <si>
    <t>Hacienda de marvarte 63</t>
  </si>
  <si>
    <t xml:space="preserve">4 besos, 4 tleeras, 2 panes de elote, 1/2 jamoin y 2 l de leche entera </t>
  </si>
  <si>
    <t>Jorge</t>
  </si>
  <si>
    <t xml:space="preserve">1 coca de 600 y un boing de manfo de 1 y 1 cloralex de 1l </t>
  </si>
  <si>
    <t xml:space="preserve">1 bonafont </t>
  </si>
  <si>
    <t xml:space="preserve">Edificio 19  b </t>
  </si>
  <si>
    <t xml:space="preserve">Hacienda narvarte </t>
  </si>
  <si>
    <t xml:space="preserve">Edificio 33 b </t>
  </si>
  <si>
    <t xml:space="preserve">2 pechugas, 1 paquete de queso manchego, 2 cebollas, 1 lata de chicharos, 2 cremas lupita, 1 kg limones </t>
  </si>
  <si>
    <t>3 vinagres de manzana de 1l barril, 3 harinas de hot kacke marca pronto, 8 kosacos de 600 ml mora</t>
  </si>
  <si>
    <t xml:space="preserve">a un lado del cetis laq cerranita </t>
  </si>
  <si>
    <t xml:space="preserve">Hcienda de narvarte 144 f </t>
  </si>
  <si>
    <t xml:space="preserve">1 epura, 2 sobre normal </t>
  </si>
  <si>
    <t xml:space="preserve">Edificio 9 b 401 </t>
  </si>
  <si>
    <t xml:space="preserve">medio kilo de queso fresco, 1.5 de tortillas, </t>
  </si>
  <si>
    <t xml:space="preserve">Se agarran </t>
  </si>
  <si>
    <t>27 para canas</t>
  </si>
  <si>
    <t xml:space="preserve">Edificio 2b </t>
  </si>
  <si>
    <t xml:space="preserve">1/4 de pierna, 1 /4 queso blanc, 2 garrafones bonafont </t>
  </si>
  <si>
    <t>Zaragoza</t>
  </si>
  <si>
    <t xml:space="preserve">Biyik </t>
  </si>
  <si>
    <t xml:space="preserve">Banderillas el roy </t>
  </si>
  <si>
    <t xml:space="preserve">Banderillas </t>
  </si>
  <si>
    <t>caja de c</t>
  </si>
  <si>
    <t xml:space="preserve">    </t>
  </si>
  <si>
    <t>4 sobres pedidri, 1 perro nacia picado</t>
  </si>
  <si>
    <t>Tostadas chcarras, 3 cocas de vidrio, 2 peñafiel natural, 2 sidral, 2 donas de chocolate,  2 cremas pasr</t>
  </si>
  <si>
    <t xml:space="preserve">3 Kasakis </t>
  </si>
  <si>
    <t>refrescos 52</t>
  </si>
  <si>
    <t xml:space="preserve">1 SUBMARINOS DE CHOCOLATE, UNAS SABRITAS, 2 boing de medio, 3 cocas chiquitas cero , 3 cocas chicas </t>
  </si>
  <si>
    <t xml:space="preserve">28 a </t>
  </si>
  <si>
    <t xml:space="preserve">edificio 4 a </t>
  </si>
  <si>
    <t xml:space="preserve">30 de queso oaxaca, 25 de jamon, 1 tortillinas, 2 danoninos apachurrables, 1 chetos, 1 l de mango, 1 lde leche santa clara, 2 maruchan de habanero con limon </t>
  </si>
  <si>
    <t>1/ 4 de limon, 2 kawas corona, 1  sopa maruchan de res, 1 jarrito de 2l de mandarina</t>
  </si>
  <si>
    <t xml:space="preserve">Hacienda de los portales 7 </t>
  </si>
  <si>
    <t xml:space="preserve">Edificio 6b </t>
  </si>
  <si>
    <t>$30 de queso oaxaca</t>
  </si>
  <si>
    <t>8 bolsas de hielo</t>
  </si>
  <si>
    <t xml:space="preserve">Fbrica de hielo </t>
  </si>
  <si>
    <t xml:space="preserve">8 bolsas de hielo </t>
  </si>
  <si>
    <t xml:space="preserve">3 huevos, 5 de tortilla y 1 leche entera, </t>
  </si>
  <si>
    <t>2 mayonesas chicas de 115 y 2 medianas de190, 5 latas chipotle de 215, 5 paquetes de tortillinas de 12 piezas, 1 caja de chocolate abuelita con 7 tablillas de 90 g, 3 sopas de fideo, 3 de muicion, 2 de esagueti de 200g, 2 latas de champiñones de 380</t>
  </si>
  <si>
    <t xml:space="preserve">3 cocas cero </t>
  </si>
  <si>
    <t xml:space="preserve">1 coca de 2 l, 1 sidral de litro y medio </t>
  </si>
  <si>
    <t xml:space="preserve">Se hacen 4 pedidos de aqua cliva </t>
  </si>
  <si>
    <t xml:space="preserve">Pagdo </t>
  </si>
  <si>
    <t>jessica</t>
  </si>
  <si>
    <t xml:space="preserve">25 de doble crema, reyes 5 de chile cerrano 15 de tomate 22 </t>
  </si>
  <si>
    <t>6 aguas bonafont 1l, 4 de narajna 2 tmarindo, 1 refresco103 / REYES2 refrescos 600ml, 3 veladoras ecologicas medianas 103</t>
  </si>
  <si>
    <t>tacos vecino</t>
  </si>
  <si>
    <t>facebock</t>
  </si>
  <si>
    <t>6a102</t>
  </si>
  <si>
    <t>1/2 de jamon</t>
  </si>
  <si>
    <t>dani</t>
  </si>
  <si>
    <t>27a 202</t>
  </si>
  <si>
    <t>braulio</t>
  </si>
  <si>
    <t>1 crema 1/4 alpura, 1/4 queso blanco, coca 2 75</t>
  </si>
  <si>
    <t>tacos don dani,oxxo</t>
  </si>
  <si>
    <t>5 modelos, 47 tacos, malboro 20</t>
  </si>
  <si>
    <t>se debe 245</t>
  </si>
  <si>
    <t>tacos don dani</t>
  </si>
  <si>
    <t>purificadira</t>
  </si>
  <si>
    <t>27a 302</t>
  </si>
  <si>
    <t>25a 204</t>
  </si>
  <si>
    <t>15 b301</t>
  </si>
  <si>
    <t>18a 402</t>
  </si>
  <si>
    <t>irma y judith</t>
  </si>
  <si>
    <t>2 ciel</t>
  </si>
  <si>
    <t>2 electropura</t>
  </si>
  <si>
    <t>1/4 tocino 1/4 de queso, 2 k de naranja 1 kilo de ppaas 1 jarrito 2l</t>
  </si>
  <si>
    <t>3 cremas 1/2 alpura, liquido de trastes axcion chico 1 lata de chipotle medina 2 700 l</t>
  </si>
  <si>
    <t>carniceria</t>
  </si>
  <si>
    <t>1 kilo de carne, 1/2 de tortilla, 1 frijoles</t>
  </si>
  <si>
    <t>22a</t>
  </si>
  <si>
    <t>2Garrafones</t>
  </si>
  <si>
    <t>2 caguamas, 3 cocas zero</t>
  </si>
  <si>
    <t>Adonqueli</t>
  </si>
  <si>
    <t>polleria tortilleria</t>
  </si>
  <si>
    <t>5b</t>
  </si>
  <si>
    <t>1/2 de tortillas, 1k de masa, 1 pierna de pollo</t>
  </si>
  <si>
    <t>27a</t>
  </si>
  <si>
    <t>jaula 3</t>
  </si>
  <si>
    <t>olivar del conde 43</t>
  </si>
  <si>
    <t>1/4 de jamon y 1 fabuloso</t>
  </si>
  <si>
    <t>burgerking</t>
  </si>
  <si>
    <t>16a 401</t>
  </si>
  <si>
    <t>1 paq woper</t>
  </si>
  <si>
    <t>tia wacho</t>
  </si>
  <si>
    <t xml:space="preserve">14a 301 </t>
  </si>
  <si>
    <t>May rodriguez</t>
  </si>
  <si>
    <t>1 paquete</t>
  </si>
  <si>
    <t>jafet</t>
  </si>
  <si>
    <t>reyes 54/ irma</t>
  </si>
  <si>
    <t xml:space="preserve">portales </t>
  </si>
  <si>
    <t>1 jugo del valle 600,1 power 1l, coca de 175</t>
  </si>
  <si>
    <t>1k de croqueta para gato, 1 chocorroles, 1 chetos de naranja</t>
  </si>
  <si>
    <t>jaulax</t>
  </si>
  <si>
    <t>1 now mix</t>
  </si>
  <si>
    <t>camaron con piquin 2 1 coca 1 zenzao</t>
  </si>
  <si>
    <t>sami</t>
  </si>
  <si>
    <t>34a</t>
  </si>
  <si>
    <t xml:space="preserve">7a </t>
  </si>
  <si>
    <t>2 chetps 1 durazno 1 mantecadas,1 polvorones, 1 carlos v 1 marucha, 1 rufles</t>
  </si>
  <si>
    <t xml:space="preserve">Pozoleria y tacos </t>
  </si>
  <si>
    <t>844 Las armas</t>
  </si>
  <si>
    <t>1 pozole jumbo, 14 tacos</t>
  </si>
  <si>
    <t>2l leche</t>
  </si>
  <si>
    <t>200g jamon 1 papas sol adobas, takis fuego, 1 coca 1,75</t>
  </si>
  <si>
    <t>hacienda de los portales 7</t>
  </si>
  <si>
    <t>14a</t>
  </si>
  <si>
    <t>3 kaguanas</t>
  </si>
  <si>
    <t>Se le dieron 100 a recluta 2</t>
  </si>
  <si>
    <t>link, y encendendor</t>
  </si>
  <si>
    <t>garrafon</t>
  </si>
  <si>
    <t>marcos</t>
  </si>
  <si>
    <t>elem</t>
  </si>
  <si>
    <t>mata</t>
  </si>
  <si>
    <t>2 caguamas, 1 jarrito</t>
  </si>
  <si>
    <t xml:space="preserve">1 k tortillas, 1 coca 3l, 1 pechuga partida en 4 sin quitarle nada </t>
  </si>
  <si>
    <t>hector</t>
  </si>
  <si>
    <t>15a</t>
  </si>
  <si>
    <t>2 hamburgesas cortecia cagua de el para nosotros</t>
  </si>
  <si>
    <t>7A</t>
  </si>
  <si>
    <t xml:space="preserve">4 sobres de gato, </t>
  </si>
  <si>
    <t>1 cloro 1 sidral 1l</t>
  </si>
  <si>
    <t>20A</t>
  </si>
  <si>
    <t xml:space="preserve">1 sprite 3 </t>
  </si>
  <si>
    <t>tia wuacho</t>
  </si>
  <si>
    <t>14A</t>
  </si>
  <si>
    <t>1 paq de salchicha 1 paq de pan</t>
  </si>
  <si>
    <t>1 manzana 2l 1paque  vaso 8, 1 paq servilllita</t>
  </si>
  <si>
    <t>laura</t>
  </si>
  <si>
    <t>azahalea</t>
  </si>
  <si>
    <t>1 scuert 3l mineral 2l 1 coca 2l</t>
  </si>
  <si>
    <t>1 chips 1 jugo de mango</t>
  </si>
  <si>
    <t>fernanda</t>
  </si>
  <si>
    <t>14 a 201</t>
  </si>
  <si>
    <t>papelerisa portales</t>
  </si>
  <si>
    <t>16a</t>
  </si>
  <si>
    <t>zona</t>
  </si>
  <si>
    <t>15A</t>
  </si>
  <si>
    <t>2 hamburgesas 1 jarrito</t>
  </si>
  <si>
    <t>40 de jamon 30 de oaxaca, tortillas de 12</t>
  </si>
  <si>
    <t>emms</t>
  </si>
  <si>
    <t>nos debe garrafones pedidos</t>
  </si>
  <si>
    <t>tavo</t>
  </si>
  <si>
    <t>1 caguama 1 toreadas , 2 cigarros</t>
  </si>
  <si>
    <t>4 victorias de lata y 1 agua minral de 600, agua mineral de naranja</t>
  </si>
  <si>
    <t>moy</t>
  </si>
  <si>
    <t>yair</t>
  </si>
  <si>
    <t xml:space="preserve">daniel san </t>
  </si>
  <si>
    <t xml:space="preserve">condesa 15 </t>
  </si>
  <si>
    <t xml:space="preserve">1 kg tortillas, $5 de cilantro, mole en pasta 1/2  almendrado, 1 kg platano </t>
  </si>
  <si>
    <t xml:space="preserve">Recarga de $150 telcel </t>
  </si>
  <si>
    <t>1 kg piern</t>
  </si>
  <si>
    <t>Edificio 9 a</t>
  </si>
  <si>
    <t xml:space="preserve">3/4 de croqueta ganador, 1 cloro chico </t>
  </si>
  <si>
    <t xml:space="preserve">AQUILES SERDAN 844 </t>
  </si>
  <si>
    <t>Edificio 14 a</t>
  </si>
  <si>
    <t xml:space="preserve">Edificio 20 a </t>
  </si>
  <si>
    <t xml:space="preserve">1 l de leche, 6 kyakult, 1/4 chorizo sin embutir </t>
  </si>
  <si>
    <t xml:space="preserve">Pan, 1/4 jamon, 2 fuze tea, 1 sidral , 1 chetos, ruffles, doritos  nacho, 2 crunch </t>
  </si>
  <si>
    <t xml:space="preserve">Emms </t>
  </si>
  <si>
    <t xml:space="preserve">Edificio 23 a depto 102 </t>
  </si>
  <si>
    <t xml:space="preserve">1 suavitel, 1 kg jitomate, 1 kg tortillas, $20 chile guajillo </t>
  </si>
  <si>
    <t xml:space="preserve">Edificio 30a </t>
  </si>
  <si>
    <t xml:space="preserve">2 kg tortillas, 1 kg queso oaxaca </t>
  </si>
  <si>
    <t xml:space="preserve">Cocina </t>
  </si>
  <si>
    <t xml:space="preserve">25 para jarrito </t>
  </si>
  <si>
    <t xml:space="preserve">1 porcion de arroz , 1/4 jamon,1 garrafon </t>
  </si>
  <si>
    <t xml:space="preserve">Buba pone 500  </t>
  </si>
  <si>
    <t xml:space="preserve">$35 de propinas de entrega de garrafones </t>
  </si>
  <si>
    <t xml:space="preserve">1 bolsa de totopos de irma crema 1/4 15 de queso rallado, </t>
  </si>
  <si>
    <t>reyes e irma</t>
  </si>
  <si>
    <t>9b</t>
  </si>
  <si>
    <t>1 sqert 3l</t>
  </si>
  <si>
    <t>1 coca 135, 1 uyukis, 1 paquete de salchicas 1 malboro 20</t>
  </si>
  <si>
    <t xml:space="preserve">Casa yayo </t>
  </si>
  <si>
    <t xml:space="preserve">Pagar recibo CFE </t>
  </si>
  <si>
    <t xml:space="preserve">Polleria </t>
  </si>
  <si>
    <t xml:space="preserve">5 muslos sin piel y sin  grasa, 2 cocas de 600 y unas mantecadas tia rosa </t>
  </si>
  <si>
    <t xml:space="preserve">Reyes nos presta 500 pa sguir pedidito </t>
  </si>
  <si>
    <t xml:space="preserve">Se agrra 1 garrafon para agua </t>
  </si>
  <si>
    <t xml:space="preserve">Reyes y tortilleria </t>
  </si>
  <si>
    <t>Edificio 5 b</t>
  </si>
  <si>
    <t xml:space="preserve">1 jarrito de manzana de 2 l y 10 de arroz, 1/2 de tortillas y 1 pierna sin piel </t>
  </si>
  <si>
    <t>4 piernas y 4 muslos, 3 cebollas, una crema para batir</t>
  </si>
  <si>
    <t xml:space="preserve">Hacienda condesa 15 </t>
  </si>
  <si>
    <t xml:space="preserve">Edificio 25 a </t>
  </si>
  <si>
    <t xml:space="preserve">Corneto, 1 mordisco, 1 paquetaxo verde, 1 amarillo. 1 ramo de espinaca </t>
  </si>
  <si>
    <t>1 pechuga mediana en bistecces no tan delgados 6, 1 pepino</t>
  </si>
  <si>
    <t xml:space="preserve">Edificio 14 a depto 206 </t>
  </si>
  <si>
    <t xml:space="preserve">Poyeria </t>
  </si>
  <si>
    <t xml:space="preserve">Hacienda castañeda 18 </t>
  </si>
  <si>
    <t>Pasar por pedido, 1 jugo y medio de tortillas</t>
  </si>
  <si>
    <t xml:space="preserve">Ana </t>
  </si>
  <si>
    <t xml:space="preserve">Edificio 30 a </t>
  </si>
  <si>
    <t xml:space="preserve">1 garrafin, 1 takis morados, 1 coca sin azucar </t>
  </si>
  <si>
    <t>reyes pagado</t>
  </si>
  <si>
    <t xml:space="preserve">olivr del conde 33 </t>
  </si>
  <si>
    <t>1 banderilla poblana</t>
  </si>
  <si>
    <t>la jaulita</t>
  </si>
  <si>
    <t>1 esquites chicos, 1 chetos torcidos, 1 habas enchiladas</t>
  </si>
  <si>
    <t xml:space="preserve">50 de jamon 1k de huvo, 1/4 queso panela </t>
  </si>
  <si>
    <t>elotes</t>
  </si>
  <si>
    <t xml:space="preserve">Edificio 15 a 101 </t>
  </si>
  <si>
    <t xml:space="preserve">1 kg de patitas y 1 cajetilla de cigarros link </t>
  </si>
  <si>
    <t xml:space="preserve">polleria </t>
  </si>
  <si>
    <t xml:space="preserve">1 cajetilla pall mall </t>
  </si>
  <si>
    <t xml:space="preserve">1 dondas espoolvoreadas y unos rufles </t>
  </si>
  <si>
    <t xml:space="preserve">Angelica </t>
  </si>
  <si>
    <t xml:space="preserve">1 kg tortillas </t>
  </si>
  <si>
    <t xml:space="preserve">Edificio 20 depto 403 </t>
  </si>
  <si>
    <t xml:space="preserve">2 cocas de 600 ml , 1 oca zero </t>
  </si>
  <si>
    <t xml:space="preserve">1 coca de 3l </t>
  </si>
  <si>
    <t xml:space="preserve">27 a depto 202 </t>
  </si>
  <si>
    <t xml:space="preserve">1 volt, 1 sabritas habanero </t>
  </si>
  <si>
    <t>1 Crema alphura de 1/2</t>
  </si>
  <si>
    <t xml:space="preserve">8 cocas de vidrio1 carlos v, impresión </t>
  </si>
  <si>
    <t>1 coca 1700, 1 crujitos, 1 chips amarillas</t>
  </si>
  <si>
    <t>Gerardo</t>
  </si>
  <si>
    <t>castañeda 52</t>
  </si>
  <si>
    <t>1 coca 3l reto, 1 sprite de 2</t>
  </si>
  <si>
    <t>25queso manchego 30 jamon 12 tortillinas 1 yogur bebible 1 sobre de café nescafe 1 pepsi 1.5l 1 frijoles bayos refritos 1 lata chipotle chica 1 deliciosas con chips de chocolate 1rollo de papel 1 desodorante barra chico 1 jabon de barra</t>
  </si>
  <si>
    <t xml:space="preserve">40 de jamon de pierna 1 pan bimbo integral grande naranjada 600 3 piezas pan dulce, </t>
  </si>
  <si>
    <t>purisina 11</t>
  </si>
  <si>
    <t>coca 3l</t>
  </si>
  <si>
    <t>santiago 24</t>
  </si>
  <si>
    <t>50 de oaxaca 40 de jamon 1 k de tortillas</t>
  </si>
  <si>
    <t xml:space="preserve">1 garrafon bonafont, 1 cloro y 1 fabuloso </t>
  </si>
  <si>
    <t xml:space="preserve">2 gorditas y 4 quesadillas </t>
  </si>
  <si>
    <t xml:space="preserve">Olivar 33 </t>
  </si>
  <si>
    <t xml:space="preserve">Antojitos </t>
  </si>
  <si>
    <t xml:space="preserve">1 paquete de pilas aaa  de 6 piezas individuales 2 latas de frijol bayo entero de la sierra 2frijol bayo refrito 2 frijol negro refrito 3 latas de duraznos en almibar clemente jack 3 latas de elote clemente jacks 3 latas de ensalada de verdura 2 valentinas amarillas 370g 1 paquete de knort tomate 50pz </t>
  </si>
  <si>
    <t xml:space="preserve">Ranitas </t>
  </si>
  <si>
    <t xml:space="preserve">El zorro </t>
  </si>
  <si>
    <t xml:space="preserve">1 coca de 600 ml, 1 cabeza de ajos, 1 kg de costillas </t>
  </si>
  <si>
    <t xml:space="preserve">Reyes nos presta 500 </t>
  </si>
  <si>
    <t>Ediacio 9 a depto 104</t>
  </si>
  <si>
    <t>2  aguacates para hoy</t>
  </si>
  <si>
    <t xml:space="preserve">panaderia y </t>
  </si>
  <si>
    <t xml:space="preserve">7 bolillos con ajonjoli, 2 cuernos 2 ojaldras 1k de jitomate 1k de cebolla, </t>
  </si>
  <si>
    <t>panadero</t>
  </si>
  <si>
    <t>pastes kikos</t>
  </si>
  <si>
    <t>2 atun. 2 hawuaiano,2 de zanahoria 2 de molo verde</t>
  </si>
  <si>
    <t>reyes y purificadora</t>
  </si>
  <si>
    <t>1 takis, 1 habanero 2 volts 1 garrafon purificadora</t>
  </si>
  <si>
    <t>Chato</t>
  </si>
  <si>
    <t xml:space="preserve">33b </t>
  </si>
  <si>
    <t xml:space="preserve">malboro de sandia 20 1 danonino de freesa </t>
  </si>
  <si>
    <t>oxxoo</t>
  </si>
  <si>
    <t xml:space="preserve">3 cajas de ciggaro 1 santa clara 1 sopa de estrellas </t>
  </si>
  <si>
    <t>porrtales 7</t>
  </si>
  <si>
    <t>1 caguama, 1 jarrito 2l</t>
  </si>
  <si>
    <t>1 coca de 3l</t>
  </si>
  <si>
    <t>chesterfil 1 CAGUAMA</t>
  </si>
  <si>
    <t>irma y donas</t>
  </si>
  <si>
    <t>1paq de donas, 2  minerales</t>
  </si>
  <si>
    <t>azhalae</t>
  </si>
  <si>
    <t>vanderilas</t>
  </si>
  <si>
    <t xml:space="preserve">3 banderillas 2 paq de alitas </t>
  </si>
  <si>
    <t xml:space="preserve">6 caguamas </t>
  </si>
  <si>
    <t>checar</t>
  </si>
  <si>
    <t>Antojitos mario y judith }</t>
  </si>
  <si>
    <t xml:space="preserve">Edificio 7 b </t>
  </si>
  <si>
    <t xml:space="preserve">1 cerveza mega, 1 gordita de carne </t>
  </si>
  <si>
    <t xml:space="preserve">Yayo paga lo que debe </t>
  </si>
  <si>
    <t xml:space="preserve">Edifijcio 15 a depto 404 </t>
  </si>
  <si>
    <t xml:space="preserve">2 caguamas corona, 1 clamato de medio litro cubano y 3 vasos </t>
  </si>
  <si>
    <t xml:space="preserve">$30 de tortillas </t>
  </si>
  <si>
    <t xml:space="preserve">judith </t>
  </si>
  <si>
    <t xml:space="preserve">medio k de cebolla, 1 kg de chile y pan molido </t>
  </si>
  <si>
    <t>1/2 limon 2 aguacates para hoy</t>
  </si>
  <si>
    <t xml:space="preserve">3 kawamas del oxxo corona </t>
  </si>
  <si>
    <t xml:space="preserve">Edificio 9 a depto 104 </t>
  </si>
  <si>
    <t xml:space="preserve">2 cocas 1700 1kg tortillas </t>
  </si>
  <si>
    <t xml:space="preserve">10 bolillos,malboro rojos 20, </t>
  </si>
  <si>
    <t>tacos el vevico</t>
  </si>
  <si>
    <t>3 kilos de cebolla, 5 cocas 600 2 rollo de aluminio</t>
  </si>
  <si>
    <t>2 hamburguesas de q piña y 1 papas a la francesa 2 red cola 600 1 lata d cerveza</t>
  </si>
  <si>
    <t>1 coca de 1 1/4</t>
  </si>
  <si>
    <t>josue</t>
  </si>
  <si>
    <t>2 runers, 1 paquetaxo jack daniels</t>
  </si>
  <si>
    <t>2 caguamas 2 vasos</t>
  </si>
  <si>
    <t xml:space="preserve">8 tacos, </t>
  </si>
  <si>
    <t>2 runers 1 paq 1 jack</t>
  </si>
  <si>
    <t xml:space="preserve">Fernando </t>
  </si>
  <si>
    <t>27 SE LE DEBENM</t>
  </si>
  <si>
    <t xml:space="preserve">Edificio 9 a </t>
  </si>
  <si>
    <t>1 VALLE FRUT, 1/2 HUEVO Y 1 KG AZUCAR</t>
  </si>
  <si>
    <t>4 harinas de trigo 3 estrellas de 1 kg 4 pz, 4 pz de harina d4e arroz 3 estallas de 500 gr, 1 paquete de red cola de 600 ml de 24 pz, 3 atun en agua dolores de 133 g</t>
  </si>
  <si>
    <t xml:space="preserve">Serranita </t>
  </si>
  <si>
    <t xml:space="preserve">Zorro </t>
  </si>
  <si>
    <t xml:space="preserve">barriga, costilla y surtida </t>
  </si>
  <si>
    <t xml:space="preserve">3/4  de carnitas </t>
  </si>
  <si>
    <t>aylin</t>
  </si>
  <si>
    <t>Mar</t>
  </si>
  <si>
    <t>America</t>
  </si>
  <si>
    <t>tlapaleria y reyes</t>
  </si>
  <si>
    <t>condesa 15</t>
  </si>
  <si>
    <t>1 jalador, 5l de leche, 1 ray, 1 donas expolvoredas</t>
  </si>
  <si>
    <t>20a</t>
  </si>
  <si>
    <t xml:space="preserve">1 chips, 5 pesos de cilantro, 1 tostadas charras, 2 sidrales </t>
  </si>
  <si>
    <t>200 de bisteck partido, 1/2 de tortillas 1 paq de tortillinas 12, 1 paq de sopa, 1 coca 1l,</t>
  </si>
  <si>
    <t>20b 403</t>
  </si>
  <si>
    <t>carniceria y reyes</t>
  </si>
  <si>
    <t>4 tangs 5 muslos , 1/4 de bistek</t>
  </si>
  <si>
    <t>2 muslos de pollo</t>
  </si>
  <si>
    <t>Ailyn</t>
  </si>
  <si>
    <t>4 refrescos de vidrio, 2 peñafieles n 600</t>
  </si>
  <si>
    <t>1 par de 2a pilas</t>
  </si>
  <si>
    <t>844 c102</t>
  </si>
  <si>
    <t>9A 104</t>
  </si>
  <si>
    <t>44A</t>
  </si>
  <si>
    <t>CONDESA 11</t>
  </si>
  <si>
    <t xml:space="preserve">2 kilos de toritillas, 2 jarritos, 1 nito, 30 de queso panela </t>
  </si>
  <si>
    <t>14b 304</t>
  </si>
  <si>
    <t xml:space="preserve">1 jarrito, 1 lord, </t>
  </si>
  <si>
    <t>2 bolsas de carbon</t>
  </si>
  <si>
    <t xml:space="preserve">12 b 401 </t>
  </si>
  <si>
    <t xml:space="preserve">1 cacahuates karate y 1 papas adobadas, 1 doritos nacho, 1 coca de 3 l retornachle </t>
  </si>
  <si>
    <t xml:space="preserve">2 SIX </t>
  </si>
  <si>
    <t xml:space="preserve">2 cocas de 3l </t>
  </si>
  <si>
    <t xml:space="preserve">Hacienda sotelo 9a </t>
  </si>
  <si>
    <t xml:space="preserve">1 viña 2l </t>
  </si>
  <si>
    <t xml:space="preserve">1kg limon, 6 aguacates, 6 chiloes habaneros, 2 kg tortillas, 100 de queso manchego,  1 kawa corona </t>
  </si>
  <si>
    <t>joaco</t>
  </si>
  <si>
    <t>4 aguas kina</t>
  </si>
  <si>
    <t xml:space="preserve">1 six dee victoria </t>
  </si>
  <si>
    <t xml:space="preserve">Cuervo </t>
  </si>
  <si>
    <t>1 coca, 2 maruchan, 1 doritos, 2 gansitos,1 mantecadas,1k tortillas</t>
  </si>
  <si>
    <t xml:space="preserve">1 smirnoff tamarindo, 2 sky </t>
  </si>
  <si>
    <t>3 platos de 3 tacos de quesabirria, y 1 plato de 2 y 4 cinsome</t>
  </si>
  <si>
    <t xml:space="preserve">1 kit kat, 2 papas aobadas, 1 coca de 3, 2 kg tortills, </t>
  </si>
  <si>
    <t>barbacoa</t>
  </si>
  <si>
    <t>purisima 11</t>
  </si>
  <si>
    <t>1k de huvo, 2 cajas de cigarro,4 lechitas, 2 cocas 250, 1 coca 1.300, 1 jarrito</t>
  </si>
  <si>
    <t>1 monster, 1 pall alaska</t>
  </si>
  <si>
    <t>14 a 401</t>
  </si>
  <si>
    <t xml:space="preserve">Edificio 6 a depto 504 </t>
  </si>
  <si>
    <t>3 paquetes de palomitas, 2 marucha, 1 jarrito</t>
  </si>
  <si>
    <t>6a 501</t>
  </si>
  <si>
    <t>1 garrafon de agua 4 da n</t>
  </si>
  <si>
    <t xml:space="preserve">3 kawamas victoria </t>
  </si>
  <si>
    <t xml:space="preserve">2 paquetaxo </t>
  </si>
  <si>
    <t xml:space="preserve">recoger pedido </t>
  </si>
  <si>
    <t>joaco debe 332</t>
  </si>
  <si>
    <t>ahuatz debe 300</t>
  </si>
  <si>
    <t>1|323.40</t>
  </si>
  <si>
    <t xml:space="preserve">AV  aquiles serdan 844 edificio e depto 101 </t>
  </si>
  <si>
    <t xml:space="preserve">Edificio 44a </t>
  </si>
  <si>
    <t>4 mazapanes, 1 puré de tomate condimentado, 2 kg de pierna con muslo, pan molido bimbo, 1/4 de carne, 2 cocas de 600</t>
  </si>
  <si>
    <t xml:space="preserve">Se debe 100 a eli </t>
  </si>
  <si>
    <t xml:space="preserve">EVA </t>
  </si>
  <si>
    <t xml:space="preserve">14 b </t>
  </si>
  <si>
    <t xml:space="preserve">1/4 bistek, 1 pechuga bisteces, 1kg tomate, 1/2 cebolla y 2 calabazas, 1 col chica </t>
  </si>
  <si>
    <t xml:space="preserve">edificio 20 a </t>
  </si>
  <si>
    <t xml:space="preserve">2 cocas de 600, 1 fabuloso, 1 cloro </t>
  </si>
  <si>
    <t xml:space="preserve">1/2 frijol negro, 1 lata de elote chica, 1 chile poblano, 1/2 tortillas </t>
  </si>
  <si>
    <t xml:space="preserve">Edificio 20 b  depto 403 </t>
  </si>
  <si>
    <t xml:space="preserve">1 l de sidral , 1 rufles, 1 paquete  chicles </t>
  </si>
  <si>
    <t xml:space="preserve">Cliente puri </t>
  </si>
  <si>
    <t xml:space="preserve">La purisima 11 </t>
  </si>
  <si>
    <t xml:space="preserve">3 de birria con longaniza, 2 de suadero con longaniza, 2 consome y 2 cocas de 600 ml </t>
  </si>
  <si>
    <t xml:space="preserve">Barbacoa </t>
  </si>
  <si>
    <t xml:space="preserve">2 cocas 1.700, 1kg tortillas, 1/4 queso oaxaca, papel capri (de un lado es blanco y el otro caqui </t>
  </si>
  <si>
    <t>alyn</t>
  </si>
  <si>
    <t>tlapaleria</t>
  </si>
  <si>
    <t>5 tornillos, 1 recarga</t>
  </si>
  <si>
    <t>cliente 17</t>
  </si>
  <si>
    <t>portales29</t>
  </si>
  <si>
    <t>100 recarga 1pepsi 2l, 1 shampoo, 1 agua</t>
  </si>
  <si>
    <t>1 kilo de huevo, 1 ´paq de salchichas,2 sueros elec, 1 leche de cho</t>
  </si>
  <si>
    <t>14a 301</t>
  </si>
  <si>
    <t>20 de jamon,20 de oaxaca,</t>
  </si>
  <si>
    <t>2 boing de mango. 2 lechitas de chocolate, 1 coca de 600</t>
  </si>
  <si>
    <t>cliente 9b101</t>
  </si>
  <si>
    <t>1 caja de alaska 11 ca de winston, 2 l de sanra clara</t>
  </si>
  <si>
    <t xml:space="preserve">Tia wacho </t>
  </si>
  <si>
    <t xml:space="preserve">Edificio 14 a depto 302 </t>
  </si>
  <si>
    <t xml:space="preserve">1 tamal de mole y un atole </t>
  </si>
  <si>
    <t xml:space="preserve">1 torta verde y 1 atole chico </t>
  </si>
  <si>
    <t xml:space="preserve">Isabel </t>
  </si>
  <si>
    <t xml:space="preserve">Fabrica de hielo armas </t>
  </si>
  <si>
    <t xml:space="preserve">Se lleva $50 para arreglar la bici </t>
  </si>
  <si>
    <t>&lt;</t>
  </si>
  <si>
    <t>3/4 suadero  en cuadritos medianos , 3 papas</t>
  </si>
  <si>
    <t>1 elote partido en 4</t>
  </si>
  <si>
    <t xml:space="preserve">Ediici0 20 b 403 </t>
  </si>
  <si>
    <t xml:space="preserve">LLANTA, CAMARA Y ASIENTO </t>
  </si>
  <si>
    <t xml:space="preserve">2 garrafones  aqua cliva </t>
  </si>
  <si>
    <t>1 kg de arrachera marinada, una sopa instantanea, 2 aguacates, 1 kg tortillas</t>
  </si>
  <si>
    <t>cuarto y medio queso panela en 1 bloque, pasar por pedido a la carniceria angel sr eli, 1 kg huevo</t>
  </si>
  <si>
    <t xml:space="preserve">1 cigarros </t>
  </si>
  <si>
    <t xml:space="preserve">Medicinas pa la abue </t>
  </si>
  <si>
    <t xml:space="preserve">Soriana </t>
  </si>
  <si>
    <t xml:space="preserve">1 chester de 14 y 3 huevos </t>
  </si>
  <si>
    <t xml:space="preserve">Guada mocte </t>
  </si>
  <si>
    <t xml:space="preserve">Hacienda narvarte 66 </t>
  </si>
  <si>
    <t>1 elote, 3 calabacas, 3 zanahoorias, 3 papas, 2 de cilantro</t>
  </si>
  <si>
    <t>Joaquin paga 340</t>
  </si>
  <si>
    <t>tio biyi</t>
  </si>
  <si>
    <t xml:space="preserve">2 b de mango,1 de manzana 1 huvo kinder, 3 panzones </t>
  </si>
  <si>
    <t>3 suadero , 2 suaderoqueso, 2 suadero</t>
  </si>
  <si>
    <t>4 maruchas, 1 jarrito, 1 coca 600, 2 tanngs</t>
  </si>
  <si>
    <t>6A</t>
  </si>
  <si>
    <t>tio biyo</t>
  </si>
  <si>
    <t xml:space="preserve">3 kaguama 1 jack verde 1 viña 2 cigarros, 1 papas , </t>
  </si>
  <si>
    <t>rea</t>
  </si>
  <si>
    <t>20a 101</t>
  </si>
  <si>
    <t>Andrea valeriano</t>
  </si>
  <si>
    <t>2 tripa 1 suadero, 2 campeca 1 activia, 1 electrolito, 1 1 doritos</t>
  </si>
  <si>
    <t>crema de 1/4,3 chiles, 3 jitomates, 1/4 de azucar, medio de panela</t>
  </si>
  <si>
    <t>biyi debes 249</t>
  </si>
  <si>
    <t xml:space="preserve">Dany </t>
  </si>
  <si>
    <t xml:space="preserve">3 paquetes de madalenas </t>
  </si>
  <si>
    <t xml:space="preserve">Purisima </t>
  </si>
  <si>
    <t xml:space="preserve">Birria </t>
  </si>
  <si>
    <t xml:space="preserve">Purisima 11 </t>
  </si>
  <si>
    <t xml:space="preserve">5 tacos, 1 consome, 2 vinagres </t>
  </si>
  <si>
    <t xml:space="preserve">3/4 carne molida de ambas, $15 de tortilla </t>
  </si>
  <si>
    <t xml:space="preserve">Edificio 20 b </t>
  </si>
  <si>
    <t xml:space="preserve">17 B </t>
  </si>
  <si>
    <t xml:space="preserve">1 brocoli y 1 kg pepino </t>
  </si>
  <si>
    <t>juan carlos</t>
  </si>
  <si>
    <t xml:space="preserve">roles de canela chicos, 1l leche santa clara deslactosada,florentina galletas </t>
  </si>
  <si>
    <t>castañeda 34</t>
  </si>
  <si>
    <t xml:space="preserve">aylin </t>
  </si>
  <si>
    <t>deposito  oxxo  2,000</t>
  </si>
  <si>
    <t>tacos v</t>
  </si>
  <si>
    <t>tacos el vecino n</t>
  </si>
  <si>
    <t>6  pañales etapa 6</t>
  </si>
  <si>
    <t>narvrte 160</t>
  </si>
  <si>
    <t xml:space="preserve">1 pechuga, 4 zanahorias, 4 calabazas </t>
  </si>
  <si>
    <t>azeet</t>
  </si>
  <si>
    <t>llanta</t>
  </si>
  <si>
    <t>1k ochoa 2  1.700l, 1 sabritas adobadas</t>
  </si>
  <si>
    <t>carlos galindo</t>
  </si>
  <si>
    <t>6a</t>
  </si>
  <si>
    <t>1 1/4 vidrio</t>
  </si>
  <si>
    <t>1a</t>
  </si>
  <si>
    <t>1 l de leche  1 coca 1,700 conchas bimbo  1 donas bimbo, 3 yoguth de fresa</t>
  </si>
  <si>
    <t>1 caja de noaSDan</t>
  </si>
  <si>
    <t>1/4 de queso blanco, 1/2 medio lala crema</t>
  </si>
  <si>
    <t>12b 401</t>
  </si>
  <si>
    <t>2 bonafont</t>
  </si>
  <si>
    <t>36b 201</t>
  </si>
  <si>
    <t>cliente 11</t>
  </si>
  <si>
    <t xml:space="preserve">27a </t>
  </si>
  <si>
    <t xml:space="preserve">1/4 de jamon, 1/4 oaxaca </t>
  </si>
  <si>
    <t xml:space="preserve">portales 7 </t>
  </si>
  <si>
    <t xml:space="preserve">1 caguama 1 rufles </t>
  </si>
  <si>
    <t>3 magnum almendra mega, 2 cocas de vidrio 1 sidral, pulparin</t>
  </si>
  <si>
    <t xml:space="preserve">Edificio 23 a </t>
  </si>
  <si>
    <t xml:space="preserve">2 charolas de  maruhan y 1 caja de azucar </t>
  </si>
  <si>
    <t xml:space="preserve">6 tamales, 100 gr de chile, 1/2 papas, 2 cebollas </t>
  </si>
  <si>
    <t xml:space="preserve">1 tamal verde y 2 atoles </t>
  </si>
  <si>
    <t xml:space="preserve">Catañeda 58 </t>
  </si>
  <si>
    <t xml:space="preserve">1/2 q  blanco, 2 cocas 1.75, 1 agua 1.5 l, $5 de epazote </t>
  </si>
  <si>
    <t xml:space="preserve">Edificio 27 a </t>
  </si>
  <si>
    <t xml:space="preserve">Edificioo 9 a </t>
  </si>
  <si>
    <t xml:space="preserve">1/2 bistek, 1/2 espaldilla, 1/2 ,molida </t>
  </si>
  <si>
    <t xml:space="preserve">2 cocas, 1 doritos, 1 botella de valentina </t>
  </si>
  <si>
    <t xml:space="preserve">Edificio 20 b depto 403 </t>
  </si>
  <si>
    <t>3 bistecs, 1 pepino, 3 zanahorias, nopale s</t>
  </si>
  <si>
    <t xml:space="preserve">norma </t>
  </si>
  <si>
    <t>3/4 tortillas</t>
  </si>
  <si>
    <t>1 ciggaros 14</t>
  </si>
  <si>
    <t>esposa gemelo</t>
  </si>
  <si>
    <t>13b 103</t>
  </si>
  <si>
    <t>2 paletas de hielo, 10l de agua</t>
  </si>
  <si>
    <t>1 crujitos, 3 mentolados, 6 sprite</t>
  </si>
  <si>
    <t xml:space="preserve">tacos veino </t>
  </si>
  <si>
    <t xml:space="preserve">Bikiy </t>
  </si>
  <si>
    <t xml:space="preserve">3 kawas y 4 cigarros </t>
  </si>
  <si>
    <t>7A 404</t>
  </si>
  <si>
    <t>Roles de canela, valentina, fuze te, 4 gansitos</t>
  </si>
  <si>
    <t>3 cervezas y 7 vasos</t>
  </si>
  <si>
    <t xml:space="preserve">2 Madalenas </t>
  </si>
  <si>
    <t>1/4 jamon, 1/4 panela, 6 rebanadas de queso</t>
  </si>
  <si>
    <t xml:space="preserve">         </t>
  </si>
  <si>
    <t xml:space="preserve">Adoqueli </t>
  </si>
  <si>
    <t xml:space="preserve">Edificio 5 b </t>
  </si>
  <si>
    <t xml:space="preserve">1/2 jitomate, 1 cabeza de ajo, $15 de queso canasto , 1 coca de 1.75 </t>
  </si>
  <si>
    <t xml:space="preserve">1 kg tortillas, 1/2 longaniza </t>
  </si>
  <si>
    <t>1 garrafon epura, 1 l de leche alpura, 1| cloro de 1l, 1 suavitel</t>
  </si>
  <si>
    <t xml:space="preserve">3 bisteces y 1 chips </t>
  </si>
  <si>
    <t xml:space="preserve">1.5 de tortillas, 2 cocas de 1.700, 1 l aceite 123, 1 sabritas </t>
  </si>
  <si>
    <t>2 kawas</t>
  </si>
  <si>
    <t>Mel tacos v</t>
  </si>
  <si>
    <t>1 paq de salchichas 1 garrafon</t>
  </si>
  <si>
    <t xml:space="preserve">2 pan dulce, 1l de leche, 1 nescafe </t>
  </si>
  <si>
    <t xml:space="preserve">14b </t>
  </si>
  <si>
    <t xml:space="preserve">panaderia </t>
  </si>
  <si>
    <t>2 nconchas,4 bolillos,3 cemitas</t>
  </si>
  <si>
    <t xml:space="preserve">1 chicharron, 1 de pollo 1 de pancita  1 tostada de pata, 1 pambaso con  POCA lechuga </t>
  </si>
  <si>
    <t>4 CAGUAMAS 2 JACK VERDES</t>
  </si>
  <si>
    <t>CUERVO</t>
  </si>
  <si>
    <t>JOACO</t>
  </si>
  <si>
    <t>ELI ABUE</t>
  </si>
  <si>
    <t>johana</t>
  </si>
  <si>
    <t>19b 201</t>
  </si>
  <si>
    <t>coca 3l 1jarrito 2l</t>
  </si>
  <si>
    <t xml:space="preserve">3 de venado, 5 dietetico, 3 especiales suadero, 2 sesadillas </t>
  </si>
  <si>
    <t>mauricio</t>
  </si>
  <si>
    <t>america</t>
  </si>
  <si>
    <t xml:space="preserve">20a </t>
  </si>
  <si>
    <t>Aana maria</t>
  </si>
  <si>
    <t>18A</t>
  </si>
  <si>
    <t xml:space="preserve">Aangelica </t>
  </si>
  <si>
    <t>Laraa</t>
  </si>
  <si>
    <t>4 jugos  1 queso panela, 1 coca de 1.700, 2 cajas de cigarro 1 pan bimbo</t>
  </si>
  <si>
    <t>1k de tortillas, 1/4 de oaxaca y 1 coca 1.700</t>
  </si>
  <si>
    <t xml:space="preserve">3v vikis y 2 coronAS Y 1 BOLSA DE HIELOLOS </t>
  </si>
  <si>
    <t>Tere</t>
  </si>
  <si>
    <t>eli</t>
  </si>
  <si>
    <t>34b 102</t>
  </si>
  <si>
    <t xml:space="preserve">2k de cebolla, 1k de chayote, 2k zanahora, 1/2 de limon,  1 carton de huevo, 1/4 ajos, 2k papa, 1k de jitomate, 2 muslos de pierna, 2 alas de pollo1 bo9losa de basura negra 2k de platano dominicano 1k manzana  </t>
  </si>
  <si>
    <t>1 waith mineral , 6 vasos 1 papas de limon ,</t>
  </si>
  <si>
    <t xml:space="preserve">May </t>
  </si>
  <si>
    <t xml:space="preserve">1 jack daniels, 1 chips moradas, 1 sabritas, 1 benson </t>
  </si>
  <si>
    <t xml:space="preserve">Cretas para gato, 1 chelada, 2 litro de leche, 1 kawama victoria </t>
  </si>
  <si>
    <t xml:space="preserve">awb </t>
  </si>
  <si>
    <t xml:space="preserve">de ganancia </t>
  </si>
  <si>
    <t>si se pudo  ganamsoa</t>
  </si>
  <si>
    <t>Es lo que hay en tikects (gastado)</t>
  </si>
  <si>
    <t>Prestamo de 350</t>
  </si>
  <si>
    <t>jaula 15b</t>
  </si>
  <si>
    <t>2 cagumas 6 vasos</t>
  </si>
  <si>
    <t>Duadalupe</t>
  </si>
  <si>
    <t>carnitas</t>
  </si>
  <si>
    <t>5 de surtida</t>
  </si>
  <si>
    <t>2 kawamas</t>
  </si>
  <si>
    <t xml:space="preserve">Irving </t>
  </si>
  <si>
    <t>jaula cuervo</t>
  </si>
  <si>
    <t>1 coca red</t>
  </si>
  <si>
    <t>td</t>
  </si>
  <si>
    <t>6h</t>
  </si>
  <si>
    <t>2 jamaica, pam bimbo grande, 1 doritos rojos</t>
  </si>
  <si>
    <t>Fer navarro</t>
  </si>
  <si>
    <t>purisima 49</t>
  </si>
  <si>
    <t>2 cocas sin zaucar 1 coca de 500, 1/4 de oaxaca  me dio de tortillas,, 5 limones</t>
  </si>
  <si>
    <t xml:space="preserve">Edificio 7a </t>
  </si>
  <si>
    <t xml:space="preserve">3 garrafones,  limones y aguacate  y jamon </t>
  </si>
  <si>
    <t xml:space="preserve">Max </t>
  </si>
  <si>
    <t xml:space="preserve">Edificio 8a </t>
  </si>
  <si>
    <t xml:space="preserve">Papeleria,  1 coca de 3l </t>
  </si>
  <si>
    <t xml:space="preserve">Papeleria y tiends </t>
  </si>
  <si>
    <t xml:space="preserve">1 coca1 tkis </t>
  </si>
  <si>
    <t xml:space="preserve">yayo </t>
  </si>
  <si>
    <t xml:space="preserve">1/2 croquetas de perrro </t>
  </si>
  <si>
    <t xml:space="preserve">Mauricio bravo </t>
  </si>
  <si>
    <t>Pall mall alaska</t>
  </si>
  <si>
    <t xml:space="preserve">Edificio 14a </t>
  </si>
  <si>
    <t>Purisima 11</t>
  </si>
  <si>
    <t xml:space="preserve">10 bolillos, 2 l de leche alphura </t>
  </si>
  <si>
    <t xml:space="preserve">Carolina </t>
  </si>
  <si>
    <t>Edificio 9b depto 303</t>
  </si>
  <si>
    <t>Edificio14 a</t>
  </si>
  <si>
    <t xml:space="preserve">1 Chambarete, 1 elote, 1 charola de garbanzo, 1 blanqueador, 2 zanaqhorias, 1 rama de hiervabuena </t>
  </si>
  <si>
    <t xml:space="preserve">1kg, tortillas, 1 ajax, 4 cabazas ajo, 1/2 longaniza, 1/2 de rosbil, chicharron $30, </t>
  </si>
  <si>
    <t>1/2 pechuga, 1/2 kg de bisteck, 3 calabazas, 1 cebolla, 5 limone s</t>
  </si>
  <si>
    <t xml:space="preserve">3 cremas de alpura 1/2, 2 latas de chipotle, 1 bolsa de arrz </t>
  </si>
  <si>
    <t xml:space="preserve">Rea </t>
  </si>
  <si>
    <t xml:space="preserve">2 maruchan de res y 1 doritos negros </t>
  </si>
  <si>
    <t xml:space="preserve">Fabrica de hielos </t>
  </si>
  <si>
    <t xml:space="preserve">Bachoco y recauderia </t>
  </si>
  <si>
    <t>Angel y judith</t>
  </si>
  <si>
    <t xml:space="preserve">canas </t>
  </si>
  <si>
    <t xml:space="preserve">2 cocas, 1 g tortillas </t>
  </si>
  <si>
    <t>Edificio 38 a</t>
  </si>
  <si>
    <t xml:space="preserve">Fernando cli </t>
  </si>
  <si>
    <t xml:space="preserve">1 valle frut, 1/2 de azúcar </t>
  </si>
  <si>
    <t>1 ruffles verde, 1 garrafon de puri, 3 fuze tea, 2 carlos v 2 gansitos1 fritos chipotle</t>
  </si>
  <si>
    <t>7a 404</t>
  </si>
  <si>
    <t xml:space="preserve">4l de santa clara entera, 1 panque de nuez1 crema tapa roja de 1/4 , 30 de queso panela </t>
  </si>
  <si>
    <t>iv 8a 304</t>
  </si>
  <si>
    <t>hambuergesas</t>
  </si>
  <si>
    <t>20A 104</t>
  </si>
  <si>
    <t xml:space="preserve">1 lapiz, 1 hoja opalina,  1 paq de galletas, 1 donas de 4pz, 1.5l de leche </t>
  </si>
  <si>
    <t xml:space="preserve">2 hamburgesas con doble queso, 1 sencilla </t>
  </si>
  <si>
    <t>josue tienda</t>
  </si>
  <si>
    <t>1k de huvo 50 de jamon</t>
  </si>
  <si>
    <t>aqualy</t>
  </si>
  <si>
    <t>34b</t>
  </si>
  <si>
    <t xml:space="preserve">3 kawamas 4 vasos </t>
  </si>
  <si>
    <t xml:space="preserve">$30 de tocino, nescafe, 1/2 tortillas,$30 canasto, 1/2 guayaba </t>
  </si>
  <si>
    <t xml:space="preserve">1/2 molida de res </t>
  </si>
  <si>
    <t xml:space="preserve">Esposa gemelo </t>
  </si>
  <si>
    <t xml:space="preserve">1 melon, 4 papas grandes, 1/2 carne molida, 100 gr tocino </t>
  </si>
  <si>
    <t xml:space="preserve">Tia eacho </t>
  </si>
  <si>
    <t xml:space="preserve">1 monografia del maíz y una carulina blanca </t>
  </si>
  <si>
    <t xml:space="preserve">Papeleria </t>
  </si>
  <si>
    <t xml:space="preserve">Edificio 17 a </t>
  </si>
  <si>
    <t xml:space="preserve">Tortilleria, reyes y srerranita </t>
  </si>
  <si>
    <t xml:space="preserve">1.5 tortillas, 2 cocas de 1.7 , 1 crema alpura de 1/2, 1queso fresco, media lechuga </t>
  </si>
  <si>
    <t xml:space="preserve">1 kg de costilla de puerco </t>
  </si>
  <si>
    <t xml:space="preserve">Edificio 34 bb depto 103 </t>
  </si>
  <si>
    <t xml:space="preserve">1 cartulina, 1 bander de bolivia, 3 papel crepe, 1 resistol ch, 1/2 tortillas </t>
  </si>
  <si>
    <t xml:space="preserve">Edgar y reyes </t>
  </si>
  <si>
    <t>equal</t>
  </si>
  <si>
    <t>7 hambuergesas</t>
  </si>
  <si>
    <t>1 bolsa de sal</t>
  </si>
  <si>
    <t>50 oaxaca 2 takis</t>
  </si>
  <si>
    <t>2 leche 1 garrafon epura</t>
  </si>
  <si>
    <t>May rodrigez</t>
  </si>
  <si>
    <t>panaderia,  reyes</t>
  </si>
  <si>
    <t>9A</t>
  </si>
  <si>
    <t>4 bolillos, 2 cuernitos 2 pan dulce 1 l leche</t>
  </si>
  <si>
    <t>3 papas, 2 gansos, 2 carls v</t>
  </si>
  <si>
    <t>3 hambuerGEAS CON Q</t>
  </si>
  <si>
    <t>ANGEL CARNICERIA</t>
  </si>
  <si>
    <t>1 t amal de rajas y 1 mineral de l</t>
  </si>
  <si>
    <t xml:space="preserve">Se agarran $35 para bolsas de basura y vasos </t>
  </si>
  <si>
    <t>Serranita</t>
  </si>
  <si>
    <t xml:space="preserve">2 latas de nestle, 5 latas de leche vapoada, 1 salsa botanera, 1caja de sobres nescafe, 1 caja de capuchino, 1 harola de maruchan </t>
  </si>
  <si>
    <t xml:space="preserve">Abuela yayo </t>
  </si>
  <si>
    <t xml:space="preserve">Hacienda narvarte 160 </t>
  </si>
  <si>
    <t xml:space="preserve">1 sopa instantanea </t>
  </si>
  <si>
    <t xml:space="preserve">Mariposa </t>
  </si>
  <si>
    <t xml:space="preserve">8444 dep 102 </t>
  </si>
  <si>
    <t xml:space="preserve">2 garrafones y una leche clavel </t>
  </si>
  <si>
    <t xml:space="preserve">2 piernas con muslo </t>
  </si>
  <si>
    <t xml:space="preserve">Edificio 36b depto 302 </t>
  </si>
  <si>
    <t xml:space="preserve">2 garrafones y 2 fabuloso </t>
  </si>
  <si>
    <t xml:space="preserve">Jessica cli </t>
  </si>
  <si>
    <t xml:space="preserve">1 Torta de milarguesa , 1 peñafiel tuis, 1 jarrito de toronja </t>
  </si>
  <si>
    <t xml:space="preserve">1 kg tortillas, 1 papa, 1 lechuga, $10 de guayabas, 1/2 limon </t>
  </si>
  <si>
    <t xml:space="preserve">Tortilleria y jusith </t>
  </si>
  <si>
    <t xml:space="preserve">1/2 pechuga y pan molido </t>
  </si>
  <si>
    <t xml:space="preserve">Fer </t>
  </si>
  <si>
    <t xml:space="preserve">Edificio 49 a depto 302 </t>
  </si>
  <si>
    <t xml:space="preserve">1 bolsa de arena, 1 garrafon, 1 coca de l,, 1 hula, 10 m de liston azul y 10 de verde, una pistolasilicon, 5 barras de silicon, 5 m de resorte </t>
  </si>
  <si>
    <t>1 chester 14</t>
  </si>
  <si>
    <t>cli purisima 11</t>
  </si>
  <si>
    <t xml:space="preserve">2 pan molido azul, </t>
  </si>
  <si>
    <t>6Aa</t>
  </si>
  <si>
    <t>1 cigarros de 14</t>
  </si>
  <si>
    <t xml:space="preserve">Ana pau </t>
  </si>
  <si>
    <t>Habas enchiladas, garbanzos enchilados</t>
  </si>
  <si>
    <t>ema</t>
  </si>
  <si>
    <t>cli 6a 102</t>
  </si>
  <si>
    <t>messenger</t>
  </si>
  <si>
    <t>6 bolillos</t>
  </si>
  <si>
    <t>Aale</t>
  </si>
  <si>
    <t>Cuervo</t>
  </si>
  <si>
    <t>6A102</t>
  </si>
  <si>
    <t xml:space="preserve">2 banderillas </t>
  </si>
  <si>
    <t>4 refrescos de vidrio 2 minerales de 600</t>
  </si>
  <si>
    <t>1 k de huvos, 40 de jamon 1 cebolla, 4 jitomates, 4 chiles, 1 lata frijoles 1k de tortillas</t>
  </si>
  <si>
    <t>4 gatoraides, 4 electrolitos</t>
  </si>
  <si>
    <t xml:space="preserve">irvin </t>
  </si>
  <si>
    <t xml:space="preserve">hambuergesa reyes </t>
  </si>
  <si>
    <t>14b 301</t>
  </si>
  <si>
    <t>2 hambuergesas con queso piña, 1 red de 2l, 1 halls</t>
  </si>
  <si>
    <t xml:space="preserve">Fábrica de hielo </t>
  </si>
  <si>
    <t xml:space="preserve">Mario y panaderia </t>
  </si>
  <si>
    <t>4 quesadillas, 10 panes, 1 kg tortillas y 1 arroz valle</t>
  </si>
  <si>
    <t xml:space="preserve">Carnicería y recauderia </t>
  </si>
  <si>
    <t xml:space="preserve">Edificio 13  b </t>
  </si>
  <si>
    <t xml:space="preserve">$150 de arrachera, 1 brocoli, 2 zanahorias, $3 cilantro </t>
  </si>
  <si>
    <t xml:space="preserve">Abuelita eli </t>
  </si>
  <si>
    <t xml:space="preserve">1 garrafon, 5 piernas c/n muslo, alas enteras, rabadilla. 1 achote, y 10 naranjas </t>
  </si>
  <si>
    <t xml:space="preserve">1 pall mall alaska, 5 zanahorias, 1 coca retornable </t>
  </si>
  <si>
    <t>Edificio 20 a dep 204</t>
  </si>
  <si>
    <t xml:space="preserve">2 pimientos, 1 l de mineral, 1 hips fuego </t>
  </si>
  <si>
    <t xml:space="preserve">Edificio 34 b depto 103 </t>
  </si>
  <si>
    <t xml:space="preserve">1 corona, 2 aspirinas </t>
  </si>
  <si>
    <t xml:space="preserve">2 kawasakis </t>
  </si>
  <si>
    <t xml:space="preserve">1 kg tortillas y 2 cocas de 1.700 </t>
  </si>
  <si>
    <t>eqalay jaula</t>
  </si>
  <si>
    <t>mañana</t>
  </si>
  <si>
    <t>tarde</t>
  </si>
  <si>
    <t>tortilleria y dani</t>
  </si>
  <si>
    <t>May Rodriguez</t>
  </si>
  <si>
    <t>reyes y pape</t>
  </si>
  <si>
    <t>1 cartulina, 1 papel crepe negro, y 1 blanco, la bandera en egipto, 4 bolillos2 cuernitos 1 oreja</t>
  </si>
  <si>
    <t>2 garrafones de 1ol y 30 de jamon</t>
  </si>
  <si>
    <t>33b 402</t>
  </si>
  <si>
    <t xml:space="preserve">8 tacos y 2 gringas, 1 leche, 1 caje </t>
  </si>
  <si>
    <t>tacos beto y reyes</t>
  </si>
  <si>
    <t>Clinte 18</t>
  </si>
  <si>
    <t>1 marucha 1 principe</t>
  </si>
  <si>
    <t>3 kawamas</t>
  </si>
  <si>
    <t>18a 504</t>
  </si>
  <si>
    <t xml:space="preserve">4 tacos de birria con gordito, 2 de suadero, 1 consome </t>
  </si>
  <si>
    <t>Edificio 19 b 201</t>
  </si>
  <si>
    <t xml:space="preserve">Joahana </t>
  </si>
  <si>
    <t xml:space="preserve">1.5 de pierna y muslo, 1/2 de mole </t>
  </si>
  <si>
    <t xml:space="preserve">Edificio 9 a depto 404 </t>
  </si>
  <si>
    <t xml:space="preserve">1 pechuga en 6 bisteces </t>
  </si>
  <si>
    <t xml:space="preserve">Propina </t>
  </si>
  <si>
    <t xml:space="preserve">Casa toño </t>
  </si>
  <si>
    <t xml:space="preserve">Edificio 14 b </t>
  </si>
  <si>
    <t xml:space="preserve">2 orden de flautas, 4 quesadillas, 1 sope sencillo y 1 agua de horchata </t>
  </si>
  <si>
    <t xml:space="preserve">1 agua levite, 1 chicles trident, 1 coca de 600 ml, 1 doritos </t>
  </si>
  <si>
    <t xml:space="preserve">2 kg cebolla, 5 pañales, $30 de cilantro 1 garrafon </t>
  </si>
  <si>
    <t xml:space="preserve">Reyes y aqua cliva </t>
  </si>
  <si>
    <t xml:space="preserve">Gerardo </t>
  </si>
  <si>
    <t xml:space="preserve">castañeda 52 </t>
  </si>
  <si>
    <t>2 refrescos de 2l, manzana mineral de 2l</t>
  </si>
  <si>
    <t>erika</t>
  </si>
  <si>
    <t xml:space="preserve">1 panaderia a nombre de karla </t>
  </si>
  <si>
    <t>46b501</t>
  </si>
  <si>
    <t xml:space="preserve">elma </t>
  </si>
  <si>
    <t>1 crema 1/2, 1 chetos, 1 chips, 2 kinder mx</t>
  </si>
  <si>
    <t>6 cocas 2 kilos de limon 2k de cebolla</t>
  </si>
  <si>
    <t>cli purisima</t>
  </si>
  <si>
    <t>1  garrafon, 2 papas,  2 jugos</t>
  </si>
  <si>
    <t>Clienta 23</t>
  </si>
  <si>
    <t xml:space="preserve">Acua cliva jaula </t>
  </si>
  <si>
    <t xml:space="preserve">Edificio 43 b depto 503 </t>
  </si>
  <si>
    <t xml:space="preserve">2 kawamas, 1 mineral de 600, sobre de comida para perro </t>
  </si>
  <si>
    <t>2 sobres de comida</t>
  </si>
  <si>
    <t xml:space="preserve">5 vasos y 4 cawamas </t>
  </si>
  <si>
    <t>Tío biyik</t>
  </si>
  <si>
    <t>18a 403</t>
  </si>
  <si>
    <t xml:space="preserve">3 garrafones </t>
  </si>
  <si>
    <t xml:space="preserve">2 minerales de 2 1 coca de 1l, 1 camel </t>
  </si>
  <si>
    <t>7a404</t>
  </si>
  <si>
    <t>Joaco</t>
  </si>
  <si>
    <t>20b 504</t>
  </si>
  <si>
    <t>2 kawuamas 1 paq de conas 3 be ligth 1 kilo de limon 1 clamato de 1/2, 4 yogutr 1 paqquete de baño</t>
  </si>
  <si>
    <t xml:space="preserve">ñirvin </t>
  </si>
  <si>
    <t xml:space="preserve">3 latas de cantarito, papas sol, 1 red cola </t>
  </si>
  <si>
    <t xml:space="preserve">1 kola loka </t>
  </si>
  <si>
    <t xml:space="preserve">1 Kg tortillas, 1 kg huevo, 2 jarritod de tamarindo </t>
  </si>
  <si>
    <t xml:space="preserve">Edificio 4a depto 302 </t>
  </si>
  <si>
    <t xml:space="preserve">Clienta 36 </t>
  </si>
  <si>
    <t xml:space="preserve">Edificio 34 b depto 104 </t>
  </si>
  <si>
    <t>12 pack corona, 1 bolsa de hielos, 1 gatorade, papas grandes, cacahuates japoneses</t>
  </si>
  <si>
    <t>Gera</t>
  </si>
  <si>
    <t xml:space="preserve">50 DE JAMON, 40 DE QUESO MANCHEGO, 2 GELATINAS ROJAS, 4 PAQUETES DE CHOCORROLES, PAN BIMBO, 1 SUEROX, 1 L SANTA CLARA </t>
  </si>
  <si>
    <t xml:space="preserve">Tacos alex </t>
  </si>
  <si>
    <t xml:space="preserve">6 tacos de arrachera </t>
  </si>
  <si>
    <t xml:space="preserve">joaco paga 312 </t>
  </si>
  <si>
    <t>Se le debe 200 al biba</t>
  </si>
  <si>
    <t xml:space="preserve">2mineral 2l, coca 2l hielos malboro blancos 20 </t>
  </si>
  <si>
    <t>reyes, soriana hamburgesas</t>
  </si>
  <si>
    <t>3 hambuergesas, 1 don julio, 2 papas habanero</t>
  </si>
  <si>
    <t>1 leche de vainilla grande 2 rufles  1 jugo grande 1 boing de mango 1 concha bimbo, 4 cigarros mentolados azulez</t>
  </si>
  <si>
    <t xml:space="preserve">1 triki de tubo, 1l de lehce </t>
  </si>
  <si>
    <t xml:space="preserve">Ale </t>
  </si>
  <si>
    <t xml:space="preserve">5 zanahorias, 1 cebolla, 1/4 queso oaxaca </t>
  </si>
  <si>
    <t>e</t>
  </si>
  <si>
    <t>menos 50 de gas</t>
  </si>
  <si>
    <t>,,,,,,,,,,,,,,,,,,,,,,,,</t>
  </si>
  <si>
    <t>Ale</t>
  </si>
  <si>
    <t>20 A 204</t>
  </si>
  <si>
    <t>1 crema de 1/4 y 3 platanos</t>
  </si>
  <si>
    <t>cli17</t>
  </si>
  <si>
    <t>reyes/irma</t>
  </si>
  <si>
    <t>recauderia</t>
  </si>
  <si>
    <t>1/4 de manchego entrozo</t>
  </si>
  <si>
    <t>9A104</t>
  </si>
  <si>
    <t xml:space="preserve">Francisco </t>
  </si>
  <si>
    <t>9b502</t>
  </si>
  <si>
    <t>2 sopas 1 garrafon 10l</t>
  </si>
  <si>
    <t xml:space="preserve">$50 queso oaxaca, 1 kg tortillas, 1 coca de 3l </t>
  </si>
  <si>
    <t>Joahana</t>
  </si>
  <si>
    <t>19B</t>
  </si>
  <si>
    <t>1 bonafont 20l, 1 coca de 3l reto, 1/8 papel ilustración</t>
  </si>
  <si>
    <t>clienta messinger</t>
  </si>
  <si>
    <t>messinger</t>
  </si>
  <si>
    <t>6a 102</t>
  </si>
  <si>
    <t>1/2 jamon</t>
  </si>
  <si>
    <t xml:space="preserve">50 de jamon 50 de queso panela, 1 kilo de huvo, 1 paq de tiortillas tia rosa de 20pz, </t>
  </si>
  <si>
    <t>3 yogurt yoplai para beber, 5 bolillos, 1/4 de salchipapas, una coca de 1.7, 4 cigarros sueltos, , 1 paquete de papel, 1 agua de 2l, 1 jarrito rojo</t>
  </si>
  <si>
    <t>3 kawasakis</t>
  </si>
  <si>
    <t xml:space="preserve">Edificio 6a </t>
  </si>
  <si>
    <t>Angel</t>
  </si>
  <si>
    <t xml:space="preserve">Edificio 19 a </t>
  </si>
  <si>
    <t>2 l de leche , 1 tubo de trikitrakets, 1 emperador de chocolate</t>
  </si>
  <si>
    <t xml:space="preserve">Mi niño </t>
  </si>
  <si>
    <t xml:space="preserve">1 l de leche, 1 tubo de galletas principe </t>
  </si>
  <si>
    <t xml:space="preserve">Babo </t>
  </si>
  <si>
    <t xml:space="preserve">Edificio 20 a depto 302 </t>
  </si>
  <si>
    <t xml:space="preserve">1 kg de pierna, 3 zanahorias y 2 chayotes </t>
  </si>
  <si>
    <t xml:space="preserve">1 garrafon, 1 kg de huevo y 1 aceite </t>
  </si>
  <si>
    <t xml:space="preserve">1 kg de huevo, pan molido azul, 1 kg de papa, 1 l de leche, </t>
  </si>
  <si>
    <t xml:space="preserve">Zorrro </t>
  </si>
  <si>
    <t xml:space="preserve">Oscarr </t>
  </si>
  <si>
    <t xml:space="preserve">2 cocas de 1.7, 1 kg tortillas </t>
  </si>
  <si>
    <t>2 kg  jitomate, 1/2 crema lala, 2 kg tortillas</t>
  </si>
  <si>
    <t xml:space="preserve">Carnitas </t>
  </si>
  <si>
    <t xml:space="preserve">JUDITH </t>
  </si>
  <si>
    <t xml:space="preserve">Zoroo </t>
  </si>
  <si>
    <t xml:space="preserve">tortilleria </t>
  </si>
  <si>
    <t>ems morales</t>
  </si>
  <si>
    <t>panaderia,banderillas,reyes</t>
  </si>
  <si>
    <t>23a 101</t>
  </si>
  <si>
    <t>1k de azucar, 1 frijoles 1 de tortillas</t>
  </si>
  <si>
    <t>2 magnum alm, 1 valetina, 2 maruchas, 1 coca 600, pan dulce 6 2 bolillos,1 manderilla luiyi</t>
  </si>
  <si>
    <t xml:space="preserve">1o de cilantro, 10 de perejil, 10 de ajo, 20 de papa </t>
  </si>
  <si>
    <t>gerardo</t>
  </si>
  <si>
    <t xml:space="preserve">1k arroz, 2 leche 1 naranja 1 varita de canela </t>
  </si>
  <si>
    <t>1 garrafon 2 cigarros</t>
  </si>
  <si>
    <t>purificadora jaula</t>
  </si>
  <si>
    <t>kato</t>
  </si>
  <si>
    <t>dna</t>
  </si>
  <si>
    <t>1b 201</t>
  </si>
  <si>
    <t>1 mezcal 1l</t>
  </si>
  <si>
    <t xml:space="preserve">1 galletas, 1l de lehce </t>
  </si>
  <si>
    <t xml:space="preserve">Fabrica de hielo </t>
  </si>
  <si>
    <t xml:space="preserve">1  frasco de tustsi, rejillas de monster, caja coca </t>
  </si>
  <si>
    <t>Zorro</t>
  </si>
  <si>
    <t xml:space="preserve">1 Chokis, 1 coca de 600 ml, 1 sabritas rojas, 1/2 huevo,1 sabritas blancas </t>
  </si>
  <si>
    <t xml:space="preserve">Se ocupan 15 para papel </t>
  </si>
  <si>
    <t xml:space="preserve">1 coca de 600 y 2 cigarros </t>
  </si>
  <si>
    <t xml:space="preserve">30 De jamon, q panela, 10 de limon, 4 platannosa, 1/2 paaya,  2 kg naranja, 1/2 manzana, 1/2 guayaba, 1/2 pechuga, 10 de zanahoria, $10 de brocoli, $10 de ejotes, $20 nopales, $3 perejil </t>
  </si>
  <si>
    <t xml:space="preserve">Ryes </t>
  </si>
  <si>
    <t xml:space="preserve">Edificio 13 a </t>
  </si>
  <si>
    <t>4 latas de atún, 1 paquete de tostadas, 1 aquete de galletas, 1 sopa de munision, 1 manojo de cilantro, 1kg jitomate, 1 aguacate, 2 cocas de 1.7</t>
  </si>
  <si>
    <t xml:space="preserve">Mamitas rikas </t>
  </si>
  <si>
    <t>2 comidas, 26</t>
  </si>
  <si>
    <t xml:space="preserve">Oxxo, comida corrida </t>
  </si>
  <si>
    <t>Rea</t>
  </si>
  <si>
    <t>1/2 tortillas, 1 salsa verde</t>
  </si>
  <si>
    <t xml:space="preserve">Edificio 20 a 204 </t>
  </si>
  <si>
    <t>1 pan azul, 1 pan integral, 1 k de tortillas, 5 limones, 1 boing de 1/4 mango</t>
  </si>
  <si>
    <t>8 cocas de vidrio 1 mineral de 600</t>
  </si>
  <si>
    <t>1B</t>
  </si>
  <si>
    <t>1 leche 1 harina, 1 corneto</t>
  </si>
  <si>
    <t>cli 17B</t>
  </si>
  <si>
    <t xml:space="preserve">dana </t>
  </si>
  <si>
    <t>20a 204</t>
  </si>
  <si>
    <t>1 vela 1 leche</t>
  </si>
  <si>
    <t>1 jack honney hielos, 2 minerlaes 5 vasos</t>
  </si>
  <si>
    <t xml:space="preserve">oxxo  </t>
  </si>
  <si>
    <t xml:space="preserve">4 latones de chela </t>
  </si>
  <si>
    <t xml:space="preserve">2 hamburguesas, red cola, galletas principe, sobre de café, yogurt </t>
  </si>
  <si>
    <t xml:space="preserve">squirt de 3, 1/4 de jamon, garrafon bonafont </t>
  </si>
  <si>
    <t>cliente 18</t>
  </si>
  <si>
    <t xml:space="preserve">18a </t>
  </si>
  <si>
    <t xml:space="preserve">1 principe 1 marucha </t>
  </si>
  <si>
    <t xml:space="preserve">barber </t>
  </si>
  <si>
    <t>20a101</t>
  </si>
  <si>
    <t>1 coca 3l</t>
  </si>
  <si>
    <t xml:space="preserve">Cinthia cli </t>
  </si>
  <si>
    <t xml:space="preserve">Parque tezo </t>
  </si>
  <si>
    <t xml:space="preserve">1 Cchilaquiles, </t>
  </si>
  <si>
    <t xml:space="preserve">1 khg cebolla, $3 cilantro, </t>
  </si>
  <si>
    <t xml:space="preserve">4 impresiones blanco y negro </t>
  </si>
  <si>
    <t xml:space="preserve">1 kg de ´pierna  muslo. 2 charolas de garbanzo, $3 de hiierba buena, q cabeza de ajo </t>
  </si>
  <si>
    <t>1/2 molida, 2 bolsas de puré</t>
  </si>
  <si>
    <t xml:space="preserve">3 garrafones, </t>
  </si>
  <si>
    <t>Edggar debe 2</t>
  </si>
  <si>
    <t xml:space="preserve">Sr. Juarez </t>
  </si>
  <si>
    <t>1 kg tortilllas, 1 coca de 3l, 1 orden de spagueti</t>
  </si>
  <si>
    <t>Edificio 8a</t>
  </si>
  <si>
    <t xml:space="preserve">Gfa eli </t>
  </si>
  <si>
    <t>2 bolsas para l basura, 1 paquetaxo, 6 pañales</t>
  </si>
  <si>
    <t>Aqua cliva</t>
  </si>
  <si>
    <t>Ester</t>
  </si>
  <si>
    <t xml:space="preserve">Se usan 102 para pagar los 9 garrafones </t>
  </si>
  <si>
    <t xml:space="preserve">Unas omeprasol, 1 suerox, 1 sobre para perro </t>
  </si>
  <si>
    <t>1 mantequilla hiberia w</t>
  </si>
  <si>
    <t>nose</t>
  </si>
  <si>
    <t>20A 204</t>
  </si>
  <si>
    <t xml:space="preserve">1/2 pechuga </t>
  </si>
  <si>
    <t xml:space="preserve">Reyes   y farmacia </t>
  </si>
  <si>
    <t>2 marucha 1 doritos, 2 fueze, 1kg de jamon, 1/4 de panela,1/4 de queso, 1 paq de salchicha</t>
  </si>
  <si>
    <t xml:space="preserve">1 sanclara ndeslactosada 2 tablilas de chocolate abuelita, 1 paq conchas tia rosa, </t>
  </si>
  <si>
    <t>17b</t>
  </si>
  <si>
    <t>vianey</t>
  </si>
  <si>
    <t>4 cocas 600 pag servilletas</t>
  </si>
  <si>
    <t>barber</t>
  </si>
  <si>
    <t>jaula 14b</t>
  </si>
  <si>
    <t>tacos vecino , reyes</t>
  </si>
  <si>
    <t xml:space="preserve">1 leche </t>
  </si>
  <si>
    <t>1 pall mall</t>
  </si>
  <si>
    <t>Cliente 18</t>
  </si>
  <si>
    <t xml:space="preserve">2 jitomates, 1 paq de queso, 1 chokis 1 tang </t>
  </si>
  <si>
    <t>presencial</t>
  </si>
  <si>
    <t xml:space="preserve">Carniceria y judith </t>
  </si>
  <si>
    <t xml:space="preserve">4 bisteces para azar y 2 zanahorias </t>
  </si>
  <si>
    <t>Birria</t>
  </si>
  <si>
    <t xml:space="preserve">2 consomé y 8 quesabirrias </t>
  </si>
  <si>
    <t>Licuados</t>
  </si>
  <si>
    <t>Edificio 20 b depto 104</t>
  </si>
  <si>
    <t xml:space="preserve">Edificio 20 a depto 104 </t>
  </si>
  <si>
    <t xml:space="preserve">2 licuados </t>
  </si>
  <si>
    <t xml:space="preserve">Edificio 14 a depto 102 </t>
  </si>
  <si>
    <t xml:space="preserve">1 kg platano, 1/2 tortillas, 1 l de leche </t>
  </si>
  <si>
    <t xml:space="preserve">Emma </t>
  </si>
  <si>
    <t>Olivar del conde 76</t>
  </si>
  <si>
    <t>1 coca y 1kg tortillas</t>
  </si>
  <si>
    <t>walmart</t>
  </si>
  <si>
    <t>13 panes, 2 cremas iyncott, 1 azucar glass, 1 philadelfia,1 fuze tea de 2l, 1 doritos medianos, 1 cronct</t>
  </si>
  <si>
    <t>8 cocas 600 1 volt</t>
  </si>
  <si>
    <t>Jeesica</t>
  </si>
  <si>
    <t>40 de jamon, 40 de queso, 1 pan bombo, 1 frijoles, 1 crema 1 agucayae, 1 crema 1/4 recarga 50</t>
  </si>
  <si>
    <t>medio de huvo, 2 galletas de barra</t>
  </si>
  <si>
    <t xml:space="preserve">1 pan de hamburgesa, 1/4 de oaxaca, 4 rebanadas de jamon </t>
  </si>
  <si>
    <t>banderillas luijy</t>
  </si>
  <si>
    <t>7 banderillas, 1 hambuergesa, 1 platanos, 12 modelo paq, 1 camel caja</t>
  </si>
  <si>
    <t>18a</t>
  </si>
  <si>
    <t>2 marucha 1 princie</t>
  </si>
  <si>
    <t xml:space="preserve">1.5 Kg de chambarete </t>
  </si>
  <si>
    <t xml:space="preserve">Walmart </t>
  </si>
  <si>
    <t xml:space="preserve">Edificio 7a depto 404 </t>
  </si>
  <si>
    <t xml:space="preserve">1 paquete de fresas, 1 lata de duraznos, 1 tostito verde gr, 2 dio queso con jalapeño, 1 lata de jalapeños picados una crema pons </t>
  </si>
  <si>
    <t>20 a depto 204</t>
  </si>
  <si>
    <t>4 bisteces y 1 pechuga, zanahirua, calabaza y chayote</t>
  </si>
  <si>
    <t xml:space="preserve">Tortilleriay reyes </t>
  </si>
  <si>
    <t>1.5 tortillas, 1 coca de 2l</t>
  </si>
  <si>
    <t xml:space="preserve">1 kg tortillas, 1 coca de 3 l </t>
  </si>
  <si>
    <t xml:space="preserve">2 latones vic </t>
  </si>
  <si>
    <t xml:space="preserve">1 chips verde 1 mantecadas, 1 polvorones,3 marucha de res 1/2 de limon </t>
  </si>
  <si>
    <t>Azahale</t>
  </si>
  <si>
    <t xml:space="preserve">2 garrafones bonafont, 1/4 de jamon, 5 de quesos, 2l de leche, 1 lata de rajas </t>
  </si>
  <si>
    <t>1 pall mall alaska</t>
  </si>
  <si>
    <t>3 caguamas</t>
  </si>
  <si>
    <t>3 papas sabritas</t>
  </si>
  <si>
    <t>1 frusto</t>
  </si>
  <si>
    <t>jaula 3s</t>
  </si>
  <si>
    <t>1 luckas m, chips fuego, 1 runers</t>
  </si>
  <si>
    <t xml:space="preserve">Balbelo </t>
  </si>
  <si>
    <t xml:space="preserve">1 cistrus </t>
  </si>
  <si>
    <t xml:space="preserve">10 bolsas de hielo </t>
  </si>
  <si>
    <t xml:space="preserve">Azeneth </t>
  </si>
  <si>
    <t xml:space="preserve">Barbacha </t>
  </si>
  <si>
    <t xml:space="preserve">1 sidral de 2 l, 3 consomé, 4 tacos de espaldilla, 2 de espaldillacn panza, 1 normal </t>
  </si>
  <si>
    <t>1 cuarto de canasto 3 red cola, 1 kilo</t>
  </si>
  <si>
    <t>Francisco</t>
  </si>
  <si>
    <t>juala 3s</t>
  </si>
  <si>
    <t>6six nwmix 1 papas</t>
  </si>
  <si>
    <t>2 caguamas 1 clamato 6 vasos</t>
  </si>
  <si>
    <t>Fernanda navarro</t>
  </si>
  <si>
    <t>carniceria y judith</t>
  </si>
  <si>
    <t>2 de pastor, 5 de cilantro, 5 de chiles, 1 sangri 600</t>
  </si>
  <si>
    <t xml:space="preserve">2 Kg de pastor, 20 de queso oaxaca, 1 crema de 1/4, Pepsi 3l, 1 kg tortillas y frijoles isa </t>
  </si>
  <si>
    <t xml:space="preserve">$60 de nuggets, $20 de oaxaca, 1 crema de 1/4, 1 pepso de 2l, 1 frijoles isadoa </t>
  </si>
  <si>
    <t xml:space="preserve">Hamburguesas, q papas a la fancesa , 1 pay de limon, 1 coca de 1l, 1 valent9ina, 1/2 limon y 2 aguacates </t>
  </si>
  <si>
    <t xml:space="preserve">Hamburguesas y reyes </t>
  </si>
  <si>
    <t xml:space="preserve">$20 de cilantro  y 1 kg limon </t>
  </si>
  <si>
    <t xml:space="preserve">Cliente 18 </t>
  </si>
  <si>
    <t>Cliente 19</t>
  </si>
  <si>
    <t>2 mantequilla, 1 coca 3l</t>
  </si>
  <si>
    <t>santiago 55</t>
  </si>
  <si>
    <t>1 rusa, 1 boing de mango</t>
  </si>
  <si>
    <t xml:space="preserve">may rodriges </t>
  </si>
  <si>
    <t>6 tacos</t>
  </si>
  <si>
    <t>2 pan de leche 1l leche</t>
  </si>
  <si>
    <t>1 marucha, 1/2 de limon</t>
  </si>
  <si>
    <t>9A 504</t>
  </si>
  <si>
    <t>3 caguamas 1 malboro blancos y 1 chicharones oyuky</t>
  </si>
  <si>
    <t>oxxo y irma</t>
  </si>
  <si>
    <t>pelon</t>
  </si>
  <si>
    <t>1/4 de anis, 1 litro de leche, 2 tehuacanas de 600, 1 frijoles  1 kilo de tortillas</t>
  </si>
  <si>
    <t>Barbero</t>
  </si>
  <si>
    <t xml:space="preserve">2 papas </t>
  </si>
  <si>
    <t>30 de huevo, 20 de jamon, 1 tang, 1o de tortillas, 1 chokis 1 frijoles</t>
  </si>
  <si>
    <t>18 A 504</t>
  </si>
  <si>
    <t>reyes/tortileria</t>
  </si>
  <si>
    <t>3 quesadillas barbacoa</t>
  </si>
  <si>
    <t xml:space="preserve">barbacoa </t>
  </si>
  <si>
    <t>1/2 de jamon, 1/2 de manchego, mayonesa de 228, tubo de galletas maria doras, 3 jitomates, 10 bolilloa</t>
  </si>
  <si>
    <t>barbacoa, tienda</t>
  </si>
  <si>
    <t>Norma padron</t>
  </si>
  <si>
    <t>49b</t>
  </si>
  <si>
    <t>1k tortillas, 1 frrijoles</t>
  </si>
  <si>
    <t>2k de tortillas, sidral3l, 1k huevo, 2l lehce, 1 nito, 1 papas, 2 cocas 600, 1/2 limon</t>
  </si>
  <si>
    <t xml:space="preserve">Cinthya </t>
  </si>
  <si>
    <t xml:space="preserve">Gasera </t>
  </si>
  <si>
    <t xml:space="preserve">Orden de barbacoa </t>
  </si>
  <si>
    <t xml:space="preserve">1 sidral, 2 doritos </t>
  </si>
  <si>
    <t xml:space="preserve">16 tacos </t>
  </si>
  <si>
    <t xml:space="preserve">carlos </t>
  </si>
  <si>
    <t xml:space="preserve">Mar </t>
  </si>
  <si>
    <t xml:space="preserve">1 servilletas y 3 cigarros y 1 paquete de rollos de papel de baño </t>
  </si>
  <si>
    <t xml:space="preserve">$40 de jamon, 1 paqute de queso amarillo, 2 jitomates, 1 cebolla, 1 aguacate, 20 de queso, </t>
  </si>
  <si>
    <t xml:space="preserve">2 cajetillas marlboro y 1 panque de nuez </t>
  </si>
  <si>
    <t xml:space="preserve"> Balbelo </t>
  </si>
  <si>
    <t xml:space="preserve">1 viña de 2l, 1 viki </t>
  </si>
  <si>
    <t>2 kawamas, 2 boing 1/4 sabor manzana, 2 fritos amarillas</t>
  </si>
  <si>
    <t xml:space="preserve">Balbelia </t>
  </si>
  <si>
    <t xml:space="preserve">Edificio 29 b </t>
  </si>
  <si>
    <t xml:space="preserve">Edufucio 6 a epto 504 </t>
  </si>
  <si>
    <t xml:space="preserve">12 Tacos </t>
  </si>
  <si>
    <t xml:space="preserve">4 cerveza especial, unas gomitas, arizona de sandia, chips moradas, 1 magnum, 5 bolillos </t>
  </si>
  <si>
    <t xml:space="preserve">Pago charls </t>
  </si>
  <si>
    <t>IV</t>
  </si>
  <si>
    <t xml:space="preserve">Edificio 8 a depto 304 </t>
  </si>
  <si>
    <t xml:space="preserve">Brirria </t>
  </si>
  <si>
    <t xml:space="preserve">Clienta 48 </t>
  </si>
  <si>
    <t xml:space="preserve">2 TACOS CAMPECHANOS, 2 TACOS DORADOS DE BIRRIA, 2 OCNSOMES, 3 COCA RETORNABLE </t>
  </si>
  <si>
    <t xml:space="preserve">Polleria, recauderia carniceria </t>
  </si>
  <si>
    <t xml:space="preserve">Edificio 33b depto 103 </t>
  </si>
  <si>
    <t xml:space="preserve">1 PECHUGA, 1/2 JITOMATE, $5 DE CILANTRO, 1/4 DE TOCINO, 1 CEBOLLA, $5 CHILE VERDE </t>
  </si>
  <si>
    <t xml:space="preserve">844 depto 102 </t>
  </si>
  <si>
    <t>2 GARRAFONES</t>
  </si>
  <si>
    <t xml:space="preserve">5 latas de atún, 1 caja de sobres, 5 paquetes clietes, 10 yakuklt , 6 mayonesas, 4 vinagres </t>
  </si>
  <si>
    <t xml:space="preserve">Edificio 46 a </t>
  </si>
  <si>
    <t xml:space="preserve">14 boing </t>
  </si>
  <si>
    <t xml:space="preserve">1 KG BISTECK, RECARGA, 2 CEBOLLAS, 1 PIÑA$2 CILANTRO </t>
  </si>
  <si>
    <t xml:space="preserve">1 leche santa clara deslactpsada y  1 jumex de mango litro </t>
  </si>
  <si>
    <t>german</t>
  </si>
  <si>
    <t xml:space="preserve">purisimsa 10 </t>
  </si>
  <si>
    <t xml:space="preserve">1k tortilla </t>
  </si>
  <si>
    <t>30 de jamon, 30 de manchego, 2 l de leche, 5 bolillos</t>
  </si>
  <si>
    <t>18A 402</t>
  </si>
  <si>
    <t>reyes y panaderia</t>
  </si>
  <si>
    <t xml:space="preserve">2 mordiscos </t>
  </si>
  <si>
    <t>Aguaqliva</t>
  </si>
  <si>
    <t>29A204</t>
  </si>
  <si>
    <t>Purisima 17</t>
  </si>
  <si>
    <t>Mary rodriguez</t>
  </si>
  <si>
    <t>9a 504</t>
  </si>
  <si>
    <t>kelly velez</t>
  </si>
  <si>
    <t>hacienda #xajay20</t>
  </si>
  <si>
    <t>1k de huvo, 1/4 de panela, 1 panintegral, 1 aguacate,</t>
  </si>
  <si>
    <t xml:space="preserve">2 minerales de 600, 2 cocas y 2 sidrales de vidrio, 1 jabon panmolive de tocador, 10 limones </t>
  </si>
  <si>
    <t>2 papeles picado</t>
  </si>
  <si>
    <t>2 papel crepe verde 1 tostadas</t>
  </si>
  <si>
    <t xml:space="preserve">Se lleva 500 </t>
  </si>
  <si>
    <t>angelica</t>
  </si>
  <si>
    <t>2 magnum, 4 gansitos 2 2 cheetos colmillos</t>
  </si>
  <si>
    <t>hielera</t>
  </si>
  <si>
    <t>tienda marcos</t>
  </si>
  <si>
    <t>recauderia y tortilleria</t>
  </si>
  <si>
    <t>4 pz de costilla con falda, 1/2 de tortillas, 1/2 de tomate 3 jitomate 3 pesos de cilantro 1 cebolla</t>
  </si>
  <si>
    <t>1k de pierna con muslo, 1 piña, 1/2 de tomate,</t>
  </si>
  <si>
    <t>2 paq de malboro</t>
  </si>
  <si>
    <t>zorro</t>
  </si>
  <si>
    <t>14A 102</t>
  </si>
  <si>
    <t>adonqueli</t>
  </si>
  <si>
    <t>1 sabritas, 1 cocca chica, 1 carlos v, cigarro camel, 1 alcalzezer, 1 sabritas,1 jarrito</t>
  </si>
  <si>
    <t>14b304</t>
  </si>
  <si>
    <t xml:space="preserve">3 bolillos, 1 gotas, 1 frijoles isa, 1 sobre de café </t>
  </si>
  <si>
    <t>14 malboro, 1 l de leche, 1 coca 1.700, 2 cruijios</t>
  </si>
  <si>
    <t>oxxo y reyes</t>
  </si>
  <si>
    <t>20a 504</t>
  </si>
  <si>
    <t xml:space="preserve">2 cajas de 12, 1 caja de cigarros, 1 caguama </t>
  </si>
  <si>
    <t>azenet</t>
  </si>
  <si>
    <t>1 danop, 1 galletas, 1 power 1l, sidral 600</t>
  </si>
  <si>
    <t>6 tiras de tocino</t>
  </si>
  <si>
    <t xml:space="preserve">Cliente 4 </t>
  </si>
  <si>
    <t xml:space="preserve">Hacienda olivar del conde </t>
  </si>
  <si>
    <t xml:space="preserve">4 tacos campechanos </t>
  </si>
  <si>
    <t xml:space="preserve">Tortilleria y reyes </t>
  </si>
  <si>
    <t>Aangelica</t>
  </si>
  <si>
    <t>844 102</t>
  </si>
  <si>
    <t>1/2 costilla de puerco, 1 tomate 1 de cebolla, 1 de totopos milpa, 1 crema 1/4, 3 de epazote, 1 k de pierna de muslo</t>
  </si>
  <si>
    <t>cambarete 3/4 en huso, 1 tamal verde, 1 de dulce 5 chiles</t>
  </si>
  <si>
    <t>20Aa 204</t>
  </si>
  <si>
    <t>carniceria, mario</t>
  </si>
  <si>
    <t xml:space="preserve">francisco </t>
  </si>
  <si>
    <t>4 muslos sin piel</t>
  </si>
  <si>
    <t xml:space="preserve">1 garrafon epura </t>
  </si>
  <si>
    <t>equalay jaula</t>
  </si>
  <si>
    <t xml:space="preserve">carlos galindo </t>
  </si>
  <si>
    <t>Milsen</t>
  </si>
  <si>
    <t>2 litros de leche, 2 cocas de 1.700, 1 tablilla de chocolate abiue</t>
  </si>
  <si>
    <t>3 maruchas, 2 atunes, 1 mayonesa mediana, 1 saladias medianas</t>
  </si>
  <si>
    <t>50 de oaxaca 1 paquete de tortillas24</t>
  </si>
  <si>
    <t>4a 202</t>
  </si>
  <si>
    <t>3 latones de sol modelo</t>
  </si>
  <si>
    <t>Oscare</t>
  </si>
  <si>
    <t>1 coca 1.700,1/4 de jamon</t>
  </si>
  <si>
    <t>1 jarrito de limon y 1 jarrito de piña</t>
  </si>
  <si>
    <t xml:space="preserve">Mitzi </t>
  </si>
  <si>
    <t xml:space="preserve">1 L de leche alpura y unas galletas principe </t>
  </si>
  <si>
    <t xml:space="preserve">$5 de epazote y totopos </t>
  </si>
  <si>
    <t xml:space="preserve">Fernanda </t>
  </si>
  <si>
    <t xml:space="preserve">medio kilo de tortillas, una salsa y 1 valle frut </t>
  </si>
  <si>
    <t xml:space="preserve">Cliente 8 </t>
  </si>
  <si>
    <t>Hacienda Santiago 76</t>
  </si>
  <si>
    <t xml:space="preserve">5 cocas de 2.5 sin azucar, 2 cajetillas </t>
  </si>
  <si>
    <t xml:space="preserve">Sr juarez </t>
  </si>
  <si>
    <t xml:space="preserve">1 kg pierna y muslo y $10 calabaza </t>
  </si>
  <si>
    <t xml:space="preserve">2 electrolit, 1 leche santa clara deslaactosada </t>
  </si>
  <si>
    <t>Edificio 34 b depto 303</t>
  </si>
  <si>
    <t xml:space="preserve">1 garrafon ciel </t>
  </si>
  <si>
    <t xml:space="preserve">brenda </t>
  </si>
  <si>
    <t xml:space="preserve">Milsen </t>
  </si>
  <si>
    <t xml:space="preserve">Juan carlos </t>
  </si>
  <si>
    <t>5 bolsas negras  3 agucates, 1/4 de panela, 1 sobre de oregano</t>
  </si>
  <si>
    <t>4A</t>
  </si>
  <si>
    <t>4 cajas malboro 2 cocas de 2l, 2 galones de 19l</t>
  </si>
  <si>
    <t>israrel</t>
  </si>
  <si>
    <t>israel</t>
  </si>
  <si>
    <t xml:space="preserve">1 jack 1 victoria </t>
  </si>
  <si>
    <t>400 paga daniel san</t>
  </si>
  <si>
    <t>irvin bici</t>
  </si>
  <si>
    <t>4 hambugesas, doble queso piña, 1 boing de 1/2 mango, 1 coca de 600</t>
  </si>
  <si>
    <t>angel carne</t>
  </si>
  <si>
    <t>yayo matina debe pepsi</t>
  </si>
  <si>
    <t>ahuatz y matas deben 100 cada 1</t>
  </si>
  <si>
    <t>Jessica</t>
  </si>
  <si>
    <t>1  B</t>
  </si>
  <si>
    <t>4 cerveceas de clamato, 3 latas de viki, 1 palomas extra, 1 chemis piña coco, 1 papas adobadas, 1 mundet rija 600, 1 zensau, 1 boing 1/2 de mango</t>
  </si>
  <si>
    <t xml:space="preserve">1/2 medio de huevo, 30 de jamon, 1 torillas de 24 tia rosa, 1 frijoles tia rosa, 1 sobre de café 1 bariitas de fresa </t>
  </si>
  <si>
    <t xml:space="preserve">1 caguama </t>
  </si>
  <si>
    <t>1 garrafonbonafot</t>
  </si>
  <si>
    <t>chato</t>
  </si>
  <si>
    <t xml:space="preserve">4 caguamas 1 camel, </t>
  </si>
  <si>
    <t>1 bonafot</t>
  </si>
  <si>
    <t>equalayf jaula</t>
  </si>
  <si>
    <t>7a 304</t>
  </si>
  <si>
    <t>1 ruffles, 1 runers, 2 colmilos de chetosw, 1 paquete de mantecadas, 2 maruchas,  1 paquete de polvorones, 1 magnum almendra</t>
  </si>
  <si>
    <t xml:space="preserve">Adonqueli </t>
  </si>
  <si>
    <t xml:space="preserve">Edificio  5b </t>
  </si>
  <si>
    <t xml:space="preserve">1.5 masa, .5 tortillas, 1 alita, .5 tomate, .5 huevo, 1 jarrito de manzana, mantecadas bimbo, panque de nata, conchas bimbo, $15 de q blanco </t>
  </si>
  <si>
    <t xml:space="preserve">Veces que han pedido mis ñeros </t>
  </si>
  <si>
    <t xml:space="preserve">Jessica 1b </t>
  </si>
  <si>
    <t xml:space="preserve">Brenda </t>
  </si>
  <si>
    <t xml:space="preserve">20 a 204 </t>
  </si>
  <si>
    <t xml:space="preserve">Santiago 76 </t>
  </si>
  <si>
    <t xml:space="preserve">Angelica 20 b </t>
  </si>
  <si>
    <t xml:space="preserve">Carlos galindo </t>
  </si>
  <si>
    <t xml:space="preserve">Olivar 92 </t>
  </si>
  <si>
    <t xml:space="preserve">Alejandra 7a </t>
  </si>
  <si>
    <t xml:space="preserve">Alma </t>
  </si>
  <si>
    <t xml:space="preserve">Xajai </t>
  </si>
  <si>
    <t xml:space="preserve">Cliente 69 </t>
  </si>
  <si>
    <t xml:space="preserve">Moon </t>
  </si>
  <si>
    <t>Alyn</t>
  </si>
  <si>
    <t xml:space="preserve">Kelly velez </t>
  </si>
  <si>
    <t>Gerardo castañeda 52</t>
  </si>
  <si>
    <t xml:space="preserve">Aqua cliva </t>
  </si>
  <si>
    <t xml:space="preserve">Cliente 48 </t>
  </si>
  <si>
    <t xml:space="preserve">Iv 8a depto 304 </t>
  </si>
  <si>
    <t xml:space="preserve">Mar 6 b </t>
  </si>
  <si>
    <t xml:space="preserve">Fernando navarro Purisima </t>
  </si>
  <si>
    <t xml:space="preserve">Luisa moy </t>
  </si>
  <si>
    <t xml:space="preserve">Jair </t>
  </si>
  <si>
    <t>Babo 20 a depto 201</t>
  </si>
  <si>
    <t xml:space="preserve">Cliente 23 </t>
  </si>
  <si>
    <t xml:space="preserve">Dana 12 b 401 </t>
  </si>
  <si>
    <t xml:space="preserve">9 B 101 </t>
  </si>
  <si>
    <t xml:space="preserve">Contacto 13 </t>
  </si>
  <si>
    <t>Luis rojas san isidro 89</t>
  </si>
  <si>
    <t xml:space="preserve">Mauricio cli </t>
  </si>
  <si>
    <t xml:space="preserve">Male 16 a </t>
  </si>
  <si>
    <t xml:space="preserve">Sra catañeda </t>
  </si>
  <si>
    <t xml:space="preserve">Cliente 31 </t>
  </si>
  <si>
    <t xml:space="preserve">Monic </t>
  </si>
  <si>
    <t xml:space="preserve">Verónica </t>
  </si>
  <si>
    <t xml:space="preserve">Gricel </t>
  </si>
  <si>
    <t xml:space="preserve">Analila </t>
  </si>
  <si>
    <t xml:space="preserve">Gabriela cli </t>
  </si>
  <si>
    <t xml:space="preserve">Alisia  cli </t>
  </si>
  <si>
    <t xml:space="preserve">Cinthia </t>
  </si>
  <si>
    <t>Guada mocte</t>
  </si>
  <si>
    <t xml:space="preserve">Cli 12 </t>
  </si>
  <si>
    <t xml:space="preserve">1/2 zanahorita, 1/2 peregil, 1/2 levhuga </t>
  </si>
  <si>
    <t>Recaudería</t>
  </si>
  <si>
    <t>2 l de leche santa clara, 1kg huevo, 1/4 jamon , 1 lata de frijol3es, 1/4 queso 1 coca 700</t>
  </si>
  <si>
    <t xml:space="preserve">2 electrolit y 1 garrafon </t>
  </si>
  <si>
    <t xml:space="preserve">Extrem </t>
  </si>
  <si>
    <t xml:space="preserve">1  l de leche lala </t>
  </si>
  <si>
    <t xml:space="preserve">Hacienda santiago 76 </t>
  </si>
  <si>
    <t xml:space="preserve">2 guerber de 8 m </t>
  </si>
  <si>
    <t xml:space="preserve">Cliente 18 a </t>
  </si>
  <si>
    <t xml:space="preserve">$3o queso, 1 jarrito rojo, 1 chkis </t>
  </si>
  <si>
    <t>l,lo</t>
  </si>
  <si>
    <t>}}</t>
  </si>
  <si>
    <t xml:space="preserve">Carniceria, tortilleria, reyes </t>
  </si>
  <si>
    <t xml:space="preserve">2 kg tortillas, $30 de jamon, 2 jarritos de 2 l , $80 chicharrron </t>
  </si>
  <si>
    <t>1 Sabritas chicas original, 1 Volt, 1 Ritz</t>
  </si>
  <si>
    <t>rita</t>
  </si>
  <si>
    <t>5 litros de santa clara entera, 2 sopas maru cha piquin o res 1 panque de nuez tia rosa</t>
  </si>
  <si>
    <t>juaco</t>
  </si>
  <si>
    <t>ellie</t>
  </si>
  <si>
    <t>tienda por la farmacia</t>
  </si>
  <si>
    <t>70 pesos de sañchica, 2 paquete de media noche, 1 mayonesa chica 3 jitomates 1 cebolla, 1 pepsi 1700</t>
  </si>
  <si>
    <t>portales 55</t>
  </si>
  <si>
    <t>1 litro de leche santa clara deslactosada</t>
  </si>
  <si>
    <t>1 bacatrdi 2l 1 coca 2l  2 minerales 2l vasos 1 chips verdes grsandes 1 bistec  tripa 1 bolsa hielo</t>
  </si>
  <si>
    <t>2 cajas de cigarros</t>
  </si>
  <si>
    <t>1 cigarros</t>
  </si>
  <si>
    <t xml:space="preserve">1 bacatrdi 2l 1 coca 2l  2 minerales 2l </t>
  </si>
  <si>
    <t>don dani</t>
  </si>
  <si>
    <t xml:space="preserve">8 tacos </t>
  </si>
  <si>
    <t xml:space="preserve">mauricio </t>
  </si>
  <si>
    <t>14A 304</t>
  </si>
  <si>
    <t>3 vikis</t>
  </si>
  <si>
    <t>1 caguama 1 runners 1 malboro blanco</t>
  </si>
  <si>
    <t xml:space="preserve">1 Marlboro azules </t>
  </si>
  <si>
    <t xml:space="preserve">Quesadillas </t>
  </si>
  <si>
    <t xml:space="preserve">Edificio 29 a depto 204 </t>
  </si>
  <si>
    <t xml:space="preserve">2 quesadillas </t>
  </si>
  <si>
    <t xml:space="preserve">Edificio 9 b depto 101 </t>
  </si>
  <si>
    <t>2 l de leche, 1 kg huevo, 1 paq salchicas, 1/2 jamon 1 bimbo grande, 1 kg tortillas, 2 boing d de medio , 1 sobre frijoles, 1 coca de 1.300</t>
  </si>
  <si>
    <t xml:space="preserve">Socorro </t>
  </si>
  <si>
    <t>8 cocas de 600 ml, 1 paquetaxoamarillo</t>
  </si>
  <si>
    <t xml:space="preserve">2 gorditas  de chamorrro, 4 tacos de costilla con cuero s/n hueso, 3 tacos de chamorro con  cuerito, 1 quesadilla de quespo   1 flan </t>
  </si>
  <si>
    <t>6b 503</t>
  </si>
  <si>
    <t>herradura</t>
  </si>
  <si>
    <t>2 viñas desandia 2 viñas de mora viña 2l</t>
  </si>
  <si>
    <t xml:space="preserve">Chato </t>
  </si>
  <si>
    <t xml:space="preserve">joaco </t>
  </si>
  <si>
    <t xml:space="preserve">torteria </t>
  </si>
  <si>
    <t xml:space="preserve">2 tortas cubanas </t>
  </si>
  <si>
    <t xml:space="preserve">Clauida </t>
  </si>
  <si>
    <t>claveria 43</t>
  </si>
  <si>
    <t>1 salsa verde costeña, frijoles aguados, barritas de piña 2, 1  colchones bimbo, 1 canelitas</t>
  </si>
  <si>
    <t xml:space="preserve">3 viñas 1 canas </t>
  </si>
  <si>
    <t xml:space="preserve">Joaco </t>
  </si>
  <si>
    <t>4 caguamas  1 montona de 14</t>
  </si>
  <si>
    <t>clamato</t>
  </si>
  <si>
    <t xml:space="preserve">1 viña de 2l </t>
  </si>
  <si>
    <t xml:space="preserve">Bacacho </t>
  </si>
  <si>
    <t xml:space="preserve"> Cliente 11 </t>
  </si>
  <si>
    <t xml:space="preserve">10 tacos </t>
  </si>
  <si>
    <t xml:space="preserve">Edificio 7a depto </t>
  </si>
  <si>
    <t xml:space="preserve">1 coca de 1.700 </t>
  </si>
  <si>
    <t xml:space="preserve">2 viñas de 2 l </t>
  </si>
  <si>
    <t xml:space="preserve">2 cigarros </t>
  </si>
  <si>
    <t xml:space="preserve">Pan </t>
  </si>
  <si>
    <t>tacos vecinos</t>
  </si>
  <si>
    <t xml:space="preserve">1/2 me dio de limon, 6 cocaas </t>
  </si>
  <si>
    <t xml:space="preserve">1 orden tacos dorados de barbacoa mucha crema, todo a parte </t>
  </si>
  <si>
    <t>33a</t>
  </si>
  <si>
    <t xml:space="preserve">1 JARRITO, 1/4 de tosino, 1/2 de tortillas, 1/2 de jamon, 30 de canasto, 1/2 guayaba </t>
  </si>
  <si>
    <t>1 kilo de huvo, 1/2 de jamon, 1/4 crema, 1 coca de litro</t>
  </si>
  <si>
    <t xml:space="preserve">Edificio 27 a 202 </t>
  </si>
  <si>
    <t xml:space="preserve">1 six modelo </t>
  </si>
  <si>
    <t>Portales 29</t>
  </si>
  <si>
    <t>1 kg tortillas, $50 salchichas, 1 jugo de manzana de 2l</t>
  </si>
  <si>
    <t xml:space="preserve">Jafet </t>
  </si>
  <si>
    <t xml:space="preserve">Portals 32 </t>
  </si>
  <si>
    <t>2 cocas de 1.75</t>
  </si>
  <si>
    <t xml:space="preserve">Mauricio reyes </t>
  </si>
  <si>
    <t xml:space="preserve">Edifcio 27 a 304 </t>
  </si>
  <si>
    <t xml:space="preserve">2 bolsas d pepitas </t>
  </si>
  <si>
    <t xml:space="preserve">1 red pompi y 1 bolsa de papas </t>
  </si>
  <si>
    <t xml:space="preserve">4 quesadillas y 2 gorditas </t>
  </si>
  <si>
    <t>3 piña qiueso contokio</t>
  </si>
  <si>
    <t>20b 503</t>
  </si>
  <si>
    <t xml:space="preserve">6 revanadas de tocino 1 jugo de manzana </t>
  </si>
  <si>
    <t xml:space="preserve">Edificio 9b </t>
  </si>
  <si>
    <t xml:space="preserve">4 atunes, 2 latas de verdura, 1 mayonesa, 1 paquete de galletas, 1 coca de 600 </t>
  </si>
  <si>
    <t xml:space="preserve">1 pieza de jamón </t>
  </si>
  <si>
    <t>1/4 JAMON, 1/4 Q OAXACA</t>
  </si>
  <si>
    <t>Pollería y recaudería</t>
  </si>
  <si>
    <t>Edificio 14 b</t>
  </si>
  <si>
    <t xml:space="preserve">1 retazo pollo, chambarete 1/2 hueso, 1 elote, 1 rama de epzote, 1 sin tuna </t>
  </si>
  <si>
    <t xml:space="preserve">Recauderia y bachoco </t>
  </si>
  <si>
    <t xml:space="preserve">$15 de jitomate, $3 cilantro, 3 l de leche, 1/2 tortillas, 1/2 huevo </t>
  </si>
  <si>
    <t>Electrolit, 1 chicles hierba buena</t>
  </si>
  <si>
    <t>20 s depto 204</t>
  </si>
  <si>
    <t>Edificio 18 a</t>
  </si>
  <si>
    <t>Tortas</t>
  </si>
  <si>
    <t xml:space="preserve">Edificio 14 a depto 402 </t>
  </si>
  <si>
    <t xml:space="preserve">1 torta </t>
  </si>
  <si>
    <t xml:space="preserve">Medio kg croquetas </t>
  </si>
  <si>
    <t>juan c</t>
  </si>
  <si>
    <t>1k manzana 1/2 aguacate</t>
  </si>
  <si>
    <t>1/2 oaxacaq hot nugs 3 bolillos</t>
  </si>
  <si>
    <t>pan e irma</t>
  </si>
  <si>
    <t>may rodriguez</t>
  </si>
  <si>
    <t>9A504</t>
  </si>
  <si>
    <t>laara</t>
  </si>
  <si>
    <t>9b1101</t>
  </si>
  <si>
    <t>20 de uvas, 5 platanos, 1 garrafon de 10l</t>
  </si>
  <si>
    <t>1 coca</t>
  </si>
  <si>
    <t>1 doritos 1chetos 1 delaguer</t>
  </si>
  <si>
    <t xml:space="preserve">2 bolsas de basura, medio chicharos </t>
  </si>
  <si>
    <t xml:space="preserve">Semana 1 </t>
  </si>
  <si>
    <t xml:space="preserve">Semana 2 </t>
  </si>
  <si>
    <t xml:space="preserve">Semana 3 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</si>
  <si>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</si>
  <si>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</si>
  <si>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</si>
  <si>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</si>
  <si>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</si>
  <si>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</si>
  <si>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</si>
  <si>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</si>
  <si>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</si>
  <si>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Yayo</t>
  </si>
  <si>
    <t>Mauricio Bravo</t>
  </si>
  <si>
    <t>Jessica-Portales</t>
  </si>
  <si>
    <t>Alejandra-Portales7</t>
  </si>
  <si>
    <t xml:space="preserve">Victoria </t>
  </si>
  <si>
    <t>Victoria</t>
  </si>
  <si>
    <t>Kamilaa</t>
  </si>
  <si>
    <t>Kamila</t>
  </si>
  <si>
    <t>America-Bolaños</t>
  </si>
  <si>
    <t>Ricardo-Martinez</t>
  </si>
  <si>
    <t>Jose-Rojas</t>
  </si>
  <si>
    <t>Arely</t>
  </si>
  <si>
    <t>Perla</t>
  </si>
  <si>
    <t>Xtrem</t>
  </si>
  <si>
    <t>Extrem</t>
  </si>
  <si>
    <t>Amelia</t>
  </si>
  <si>
    <t xml:space="preserve">Total mensual </t>
  </si>
  <si>
    <t xml:space="preserve">Total Semanal </t>
  </si>
  <si>
    <t>Andre-Valeriano</t>
  </si>
  <si>
    <t>Ivan</t>
  </si>
  <si>
    <t>Alonso</t>
  </si>
  <si>
    <t>Joaquin</t>
  </si>
  <si>
    <t>Cliente-11</t>
  </si>
  <si>
    <t>Jonathan</t>
  </si>
  <si>
    <t>Mauricio-Bravo</t>
  </si>
  <si>
    <t>Ruth</t>
  </si>
  <si>
    <t>Margarita</t>
  </si>
  <si>
    <t>Ricardo</t>
  </si>
  <si>
    <t>Dias</t>
  </si>
  <si>
    <t>Espinoza</t>
  </si>
  <si>
    <t>Julio-Servantes</t>
  </si>
  <si>
    <t>Elia-Aguilar</t>
  </si>
  <si>
    <t>Irma-Gutierez</t>
  </si>
  <si>
    <t xml:space="preserve">Alicia </t>
  </si>
  <si>
    <t>Elli</t>
  </si>
  <si>
    <t>Portales 55</t>
  </si>
  <si>
    <t xml:space="preserve">3 cocas de 3l </t>
  </si>
  <si>
    <t xml:space="preserve">4 alas, 1/2 tortilla,  1 jarito, 1 cubo de norck suiza </t>
  </si>
  <si>
    <t>ale</t>
  </si>
  <si>
    <t>panaderia reyes</t>
  </si>
  <si>
    <t>luiji vande</t>
  </si>
  <si>
    <t>2 banderillas</t>
  </si>
  <si>
    <t xml:space="preserve">10 panes, 1/4 de queso panela 2 papas </t>
  </si>
  <si>
    <t>edith</t>
  </si>
  <si>
    <t>3 cocas chiquitas</t>
  </si>
  <si>
    <t>San isidro</t>
  </si>
  <si>
    <t>8 cocas 600ml</t>
  </si>
  <si>
    <t xml:space="preserve">tacos, tienda </t>
  </si>
  <si>
    <t xml:space="preserve">9 tacos, 1 coca, 1 sobre de café, 1 litro de leche </t>
  </si>
  <si>
    <t>biyi</t>
  </si>
  <si>
    <t>2 cajas de corona, 1 malboro de 24, 1 fritos, 1 l de agua</t>
  </si>
  <si>
    <t xml:space="preserve">Panadería y tienda y mario </t>
  </si>
  <si>
    <t xml:space="preserve">4 bolillos, 2 panes d dulce, 1 nescafé, 2 tamales </t>
  </si>
  <si>
    <t xml:space="preserve">1 FABULOSO Y 1 CLORO </t>
  </si>
  <si>
    <t>Las armas</t>
  </si>
  <si>
    <t xml:space="preserve">Cliente 16 </t>
  </si>
  <si>
    <t xml:space="preserve">Edifiio 36 a depto 302 </t>
  </si>
  <si>
    <t xml:space="preserve">1 kg huevo, 1 papaya, 1 vel rosa y 4 manzanas </t>
  </si>
  <si>
    <t xml:space="preserve">1 cloro y 1 jabon roma </t>
  </si>
  <si>
    <t xml:space="preserve">4 tacos y 1 consomé </t>
  </si>
  <si>
    <t xml:space="preserve">2 jabones roma liquidos </t>
  </si>
  <si>
    <t xml:space="preserve"> Mauricio-Bravo</t>
  </si>
  <si>
    <t>Fernanflow</t>
  </si>
  <si>
    <t>Maria-Luisa</t>
  </si>
  <si>
    <t xml:space="preserve">Alonso </t>
  </si>
  <si>
    <t>Angi</t>
  </si>
  <si>
    <t xml:space="preserve">Edificio 9 A depto 104 </t>
  </si>
  <si>
    <t>1 Paquete de tostadas, 1 red pompi, 1/4 queso canasto</t>
  </si>
  <si>
    <t>Edificio 20B403</t>
  </si>
  <si>
    <t>10 pesos de huevo, 1/2 tomate, 2 de cilantro, 10 nopales</t>
  </si>
  <si>
    <t>6:28p.m</t>
  </si>
  <si>
    <t>Mario</t>
  </si>
  <si>
    <t>edificio 35b 103</t>
  </si>
  <si>
    <t xml:space="preserve">12 pack tecate </t>
  </si>
  <si>
    <t>berber</t>
  </si>
  <si>
    <t>delaguer</t>
  </si>
  <si>
    <t>Edificio 20a504</t>
  </si>
  <si>
    <t>Edificio 6a504</t>
  </si>
  <si>
    <t>Edificio 7A404</t>
  </si>
  <si>
    <t>1 copia, 1 doritos 1 l de leche</t>
  </si>
  <si>
    <t>1/2 de jamon, 1 manzana 3 guacatas</t>
  </si>
  <si>
    <t>2 paquestes espaweti 1 caja jitomate concentrado, 1/2 zanahoraria, 1/2 calabaza, 1/2 chayote</t>
  </si>
  <si>
    <t xml:space="preserve">6a404 </t>
  </si>
  <si>
    <t xml:space="preserve">2 cakuamas 1 galletas anaranjadas maria, oiokos de fresa </t>
  </si>
  <si>
    <t>09:36: 00p.m</t>
  </si>
  <si>
    <t xml:space="preserve">cliente  </t>
  </si>
  <si>
    <t>9:45:00p.m</t>
  </si>
  <si>
    <t>10:04:00p.m</t>
  </si>
  <si>
    <t>1K DE JITOMATE, 2 DE CEBOLLA, 1 AJO, 1 CREMA DE 1/2, 1 LATA CHIPOTLE, 1 MANOJO CILANTRO, 1/2 DE CHILES, 1K DE LIMON, 2 MARUCHAS DE RES, 1/2 MANCHEGO, 2 REBANADASA DE JAMON</t>
  </si>
  <si>
    <t>1 CAJA DE ZUCARITAS, 1L DE LECHE, 1/2 DE HUEVO</t>
  </si>
  <si>
    <t xml:space="preserve">Diferencia al dia anterior </t>
  </si>
  <si>
    <t xml:space="preserve">Diferencia del día anterior </t>
  </si>
  <si>
    <t>Ale-20-A</t>
  </si>
  <si>
    <t xml:space="preserve">Edificio 6a depto 404 </t>
  </si>
  <si>
    <t>Edificio 20 a depto 204</t>
  </si>
  <si>
    <t xml:space="preserve">4 gorditas de suadero </t>
  </si>
  <si>
    <t xml:space="preserve">2 bisteces para asar </t>
  </si>
  <si>
    <t xml:space="preserve">1 kola loka, 1 squirt de 600 </t>
  </si>
  <si>
    <t>iV-8a-304</t>
  </si>
  <si>
    <t>Quesadillas, angel y recaudería</t>
  </si>
  <si>
    <t xml:space="preserve">Edificio 8a depto 304 </t>
  </si>
  <si>
    <t xml:space="preserve">4 quesadillas, 2 tacos, $10 calabazas, 1 montana shot </t>
  </si>
  <si>
    <t xml:space="preserve">Edith </t>
  </si>
  <si>
    <t>Martina</t>
  </si>
  <si>
    <t xml:space="preserve">Edificio 19 b depto 201 </t>
  </si>
  <si>
    <t xml:space="preserve">1 kg pechuga </t>
  </si>
  <si>
    <t xml:space="preserve">San isidro </t>
  </si>
  <si>
    <t xml:space="preserve">2 cocas </t>
  </si>
  <si>
    <t xml:space="preserve">Edificio 9a depto 404 </t>
  </si>
  <si>
    <t>1/4 Carne molida de res, 1/4 de chuleta ahumada</t>
  </si>
  <si>
    <t xml:space="preserve">2 l leche alpura, 1 coca de 1.5, 1/2 limón </t>
  </si>
  <si>
    <t xml:space="preserve">Hacienda portales 32 </t>
  </si>
  <si>
    <t xml:space="preserve">2 gatorade </t>
  </si>
  <si>
    <t>Cliente-16</t>
  </si>
  <si>
    <t>Ana</t>
  </si>
  <si>
    <t>Edificio 30A 202</t>
  </si>
  <si>
    <t>1 garrafon bonafont y 1 lata de frijoles</t>
  </si>
  <si>
    <t>IRMA Y OXXO</t>
  </si>
  <si>
    <t>1 PHILADELFIA, 1/4 DE JAMON, 2 CAJAS DE CIGARRO</t>
  </si>
  <si>
    <t>1/4 de jamon y 10 de queso añejo</t>
  </si>
  <si>
    <t>negocio de hot dog</t>
  </si>
  <si>
    <t>2 caguamas 1 carive</t>
  </si>
  <si>
    <t>1l leche, 1 red 2l, 1 rajas,7 bolillos, 1 agua litro y medio, 1 frijoles</t>
  </si>
  <si>
    <t>2 caguamas 1 caja roja malboro</t>
  </si>
  <si>
    <t>Cliente-18</t>
  </si>
  <si>
    <t>1 pan bimbo c,20 jamon,20queso,1chokis</t>
  </si>
  <si>
    <t>Edificio 14b 303</t>
  </si>
  <si>
    <t>Edificio 18A 504</t>
  </si>
  <si>
    <t>se debe R</t>
  </si>
  <si>
    <t>Verificar total</t>
  </si>
  <si>
    <t xml:space="preserve">8 panes de la panaderia </t>
  </si>
  <si>
    <t xml:space="preserve">Edificio 7A 404 </t>
  </si>
  <si>
    <t>Marcos tienda</t>
  </si>
  <si>
    <t xml:space="preserve">Tienda marcos </t>
  </si>
  <si>
    <t>Mellisa Aguilar</t>
  </si>
  <si>
    <t>reyes y carniceria</t>
  </si>
  <si>
    <t>Edificio 6A 202</t>
  </si>
  <si>
    <t xml:space="preserve">30 de huevo, 20 de jamon, 1 tang,  10 pesos de tortilas </t>
  </si>
  <si>
    <t>Aamerica Bolaños</t>
  </si>
  <si>
    <t>Edificio 44A 504</t>
  </si>
  <si>
    <t>1k huevo, 2 muslos 2 piernas</t>
  </si>
  <si>
    <t>Quesadillas</t>
  </si>
  <si>
    <t xml:space="preserve">6 quesadillas y 1 peñafiel </t>
  </si>
  <si>
    <t xml:space="preserve">1/2 Chicharron </t>
  </si>
  <si>
    <t xml:space="preserve">1 Jarrito de tamarindo </t>
  </si>
  <si>
    <t xml:space="preserve">Paga 20 el balbelo </t>
  </si>
  <si>
    <t xml:space="preserve">Cliente m </t>
  </si>
  <si>
    <t xml:space="preserve">Hacienda castañeda 20 </t>
  </si>
  <si>
    <t xml:space="preserve">1 donas espolvoreadas, 1 boing d emanzana, 1 l de leche, 1 electrolite, 1 coca de 1l </t>
  </si>
  <si>
    <t xml:space="preserve">Edificio 7 a depto 404 </t>
  </si>
  <si>
    <t xml:space="preserve">1 fabuloso, 1 pino, 1/2 jamon, 1 coca </t>
  </si>
  <si>
    <t>Jasleg</t>
  </si>
  <si>
    <t xml:space="preserve">Pollo </t>
  </si>
  <si>
    <t xml:space="preserve">1 kg tomate verde, 1 pechuga y 1/2 carne molida </t>
  </si>
  <si>
    <t>Hacienda del rosario 111</t>
  </si>
  <si>
    <t>Edididcio 7A404</t>
  </si>
  <si>
    <t>zorr</t>
  </si>
  <si>
    <t>Edificio 14A-204</t>
  </si>
  <si>
    <t>1 mi neral 2l</t>
  </si>
  <si>
    <t xml:space="preserve">1k jamon, 1k oaxaca,,3 jabones, 3 cremas, 3 jabones, caja de huevo doble, </t>
  </si>
  <si>
    <t>03:45:00 a.P.</t>
  </si>
  <si>
    <t>Matas</t>
  </si>
  <si>
    <t>Edificio 15A</t>
  </si>
  <si>
    <t>1 bonafot 1 runers</t>
  </si>
  <si>
    <t xml:space="preserve">Gerardo-Portales </t>
  </si>
  <si>
    <t xml:space="preserve">5 kawamas </t>
  </si>
  <si>
    <t xml:space="preserve">1 garrafón y 1 l de leche </t>
  </si>
  <si>
    <t>cliente-18</t>
  </si>
  <si>
    <t>1 coca  de 2.5 1 paquete food de salchichas</t>
  </si>
  <si>
    <t>2 maruchan de res, 2 gansitos, 1 manchate, 1 moritas, 1 crujitos, 1 valentina</t>
  </si>
  <si>
    <t>1 roles de canela, 1 chokis, 1 leche apura deslactosada y 1 unos runers</t>
  </si>
  <si>
    <t xml:space="preserve">2 jugos de  vetabel </t>
  </si>
  <si>
    <t xml:space="preserve">Jugos </t>
  </si>
  <si>
    <t>Tacos-vecino</t>
  </si>
  <si>
    <t>Emma</t>
  </si>
  <si>
    <t>Carlos-Galindo</t>
  </si>
  <si>
    <t>Olga</t>
  </si>
  <si>
    <t>Carla</t>
  </si>
  <si>
    <t xml:space="preserve">Tacos-vecino </t>
  </si>
  <si>
    <t>Fernando</t>
  </si>
  <si>
    <t>Alejandra-7a</t>
  </si>
  <si>
    <t xml:space="preserve">Edificio 4 a </t>
  </si>
  <si>
    <t xml:space="preserve">1/2 Jamon, 1/4 q doble crema, 1/4 manchego </t>
  </si>
  <si>
    <t>Tiunfo y tortillas</t>
  </si>
  <si>
    <t>1/4 carne molida y $15 de tortillas</t>
  </si>
  <si>
    <t>Alejandra-33a</t>
  </si>
  <si>
    <t>Eli</t>
  </si>
  <si>
    <t>2 kawasakis</t>
  </si>
  <si>
    <t xml:space="preserve">3 Garrafones, 1 pepino y 1 tomate </t>
  </si>
  <si>
    <t>Edificio 23 a</t>
  </si>
  <si>
    <t xml:space="preserve">Cristal </t>
  </si>
  <si>
    <t xml:space="preserve">Cris  </t>
  </si>
  <si>
    <t>panaderia tezo</t>
  </si>
  <si>
    <t>Condesa 80</t>
  </si>
  <si>
    <t xml:space="preserve">10 teleras </t>
  </si>
  <si>
    <t>Eificio 23A 102</t>
  </si>
  <si>
    <t xml:space="preserve">2k tortillas, 1 pasas </t>
  </si>
  <si>
    <t>Hacienda del conde 33</t>
  </si>
  <si>
    <t xml:space="preserve">3 veladoras 1kg de huevo1/2 tomate verde 3 pezote </t>
  </si>
  <si>
    <t>Clienta-17</t>
  </si>
  <si>
    <t>Resyes</t>
  </si>
  <si>
    <t>Edificio 17b</t>
  </si>
  <si>
    <t>1 ritz, 30 de jamon, 1 jugo de mango</t>
  </si>
  <si>
    <t>Edificio 9b 101</t>
  </si>
  <si>
    <t>1K DE HUEVO., 1/4 DE HUVA, 3 LECHES SANTA CLARA, 2 PANQUECITOS</t>
  </si>
  <si>
    <t>Barber</t>
  </si>
  <si>
    <t>Edificio 20A</t>
  </si>
  <si>
    <t>1 frutal 1l, 1 danup, 1 nito de 2, 1 barras fresa</t>
  </si>
  <si>
    <t>Norma</t>
  </si>
  <si>
    <t>Cliente-edificio11a</t>
  </si>
  <si>
    <t xml:space="preserve">Recauderia da $10 comision </t>
  </si>
  <si>
    <t>Irma y angel</t>
  </si>
  <si>
    <t xml:space="preserve">Edificio 11a </t>
  </si>
  <si>
    <t xml:space="preserve">1/2 LONGANIZA, 3 PAPAS GRANDES, 1/2 JITOMATE, 1 piña, 2 muslos, 2 cajas de pure </t>
  </si>
  <si>
    <t xml:space="preserve">1 pan bimbo,1/2 huevo, 1 jugo de piña </t>
  </si>
  <si>
    <t xml:space="preserve">Cliente 11 oaga $20 que debia </t>
  </si>
  <si>
    <t>Cliente-torta</t>
  </si>
  <si>
    <t>1 Torta</t>
  </si>
  <si>
    <t xml:space="preserve">2 Aguacates, 1 sidral, 1 runners, suavitel, jabon, manchate, kit kat </t>
  </si>
  <si>
    <t xml:space="preserve">Hacienda san isidro 23 </t>
  </si>
  <si>
    <t xml:space="preserve">2 bolas de queso y 1 orange </t>
  </si>
  <si>
    <t>Cliente-67</t>
  </si>
  <si>
    <t>Cliente-Torta</t>
  </si>
  <si>
    <t>Serranita,hamburgesas</t>
  </si>
  <si>
    <t>san isidro 23</t>
  </si>
  <si>
    <t>2 hamburegsas, 2 madalenas</t>
  </si>
  <si>
    <t>Tienda,papeleria</t>
  </si>
  <si>
    <t>Edificio 9A 504</t>
  </si>
  <si>
    <t>4 papel crepe, 8 bolillos, 1/2 de huevo, 1 frijoles refritos</t>
  </si>
  <si>
    <t>Hamburgesas,reyes</t>
  </si>
  <si>
    <t>Edificio 14B 304</t>
  </si>
  <si>
    <t>Edificio 6A504</t>
  </si>
  <si>
    <t>Edificio 20B 504</t>
  </si>
  <si>
    <t xml:space="preserve">1 RED 2L, 1LLECHE, 2 HAMBURGESAS, 1 SOBRE DE CAFÉ, 1 GALLETAS </t>
  </si>
  <si>
    <t>1  COCA DE 600, 1 COCA DE 1300 1L LECHE</t>
  </si>
  <si>
    <t>1 VIÑA 2L</t>
  </si>
  <si>
    <t xml:space="preserve">Edificio 33 depto 101 </t>
  </si>
  <si>
    <t xml:space="preserve">1 KG de pollo, 1/4 pepitas, 1 pepino, 1/2 tomatey bolsa de arroz </t>
  </si>
  <si>
    <t>1/2 tomate, 2 de cikantro 1.5 de pierna</t>
  </si>
  <si>
    <t xml:space="preserve">Pastrano </t>
  </si>
  <si>
    <t xml:space="preserve">1 pechuga grande </t>
  </si>
  <si>
    <t>Hacienda de narvarte 111</t>
  </si>
  <si>
    <t xml:space="preserve">Bachoco </t>
  </si>
  <si>
    <t>Recauderia</t>
  </si>
  <si>
    <t xml:space="preserve">2 Garrafón bonafont </t>
  </si>
  <si>
    <t xml:space="preserve">1 Garrafón </t>
  </si>
  <si>
    <t xml:space="preserve">Edificio 36 a </t>
  </si>
  <si>
    <t xml:space="preserve">Serranita  </t>
  </si>
  <si>
    <t xml:space="preserve">media pechuga, 1 kg de tortillas, pan molido </t>
  </si>
  <si>
    <t>Tortillería</t>
  </si>
  <si>
    <t>2 de leche ligth alpura, 1k de huvo, 4 bolillos, 2 roscas apasteladas, 1 pan piña 1 concha chocolate</t>
  </si>
  <si>
    <t>18Aa402</t>
  </si>
  <si>
    <t>Panaderia, irma</t>
  </si>
  <si>
    <t xml:space="preserve">Ana Maria </t>
  </si>
  <si>
    <t>18A504</t>
  </si>
  <si>
    <t>1 chokis,1 coca 2l 1 tang de jamaica</t>
  </si>
  <si>
    <t>Edificio 14b</t>
  </si>
  <si>
    <t>barbero</t>
  </si>
  <si>
    <t>azeneth</t>
  </si>
  <si>
    <t>Eificio 14A201</t>
  </si>
  <si>
    <t>Edificio 20B 501</t>
  </si>
  <si>
    <t xml:space="preserve">1 red cola, 3o de jamon 30 de manchego, sobre de café, 3 maruchas, 1 deliciosas, </t>
  </si>
  <si>
    <t xml:space="preserve">1 jarrito 2l, 1 epura, 1/4 de panela </t>
  </si>
  <si>
    <t>1 donas expolvoreaddas, 1 panque de nuez</t>
  </si>
  <si>
    <t>2 caguamas,1l leche, 1 principe, 1 caja de 20 de camel</t>
  </si>
  <si>
    <t>Biyik 119</t>
  </si>
  <si>
    <t>barbero 11</t>
  </si>
  <si>
    <t>joaco 120</t>
  </si>
  <si>
    <t>deben 15/11/23</t>
  </si>
  <si>
    <t>SE DEJA EN CAJA</t>
  </si>
  <si>
    <t>total ganancia</t>
  </si>
  <si>
    <t xml:space="preserve">Zoe </t>
  </si>
  <si>
    <t xml:space="preserve">11 bolsas de hielo </t>
  </si>
  <si>
    <t xml:space="preserve">1 kawama corona </t>
  </si>
  <si>
    <t xml:space="preserve">1 kg de huevo, 2 atún, 1 l de leche, 1/4 jamon </t>
  </si>
  <si>
    <t>Paola-San-Isidro</t>
  </si>
  <si>
    <t xml:space="preserve">Recarga de $150 </t>
  </si>
  <si>
    <t xml:space="preserve">2 electrolit </t>
  </si>
  <si>
    <t xml:space="preserve">1 kg de jitomate </t>
  </si>
  <si>
    <t xml:space="preserve">Q doble crema, 1 crepa alpura, 1 aguacate, 3 tomates </t>
  </si>
  <si>
    <t xml:space="preserve">1/2 Queso panela </t>
  </si>
  <si>
    <t xml:space="preserve">Reyes y recaudería </t>
  </si>
  <si>
    <t>1/2 PECHUGA EN BISTECK, 1/2 JITOMATE, 1 PENCADE PLATANO</t>
  </si>
  <si>
    <t xml:space="preserve">Jula </t>
  </si>
  <si>
    <t>San isidro 115</t>
  </si>
  <si>
    <t xml:space="preserve">Edificio 20 b depto 101 </t>
  </si>
  <si>
    <t xml:space="preserve">Hacienda purisima 11 </t>
  </si>
  <si>
    <t xml:space="preserve">10 tacos y 2 consome </t>
  </si>
  <si>
    <t xml:space="preserve">Olivar del conde 25 </t>
  </si>
  <si>
    <t>Ale-20a</t>
  </si>
  <si>
    <t>Panaderia,reyes</t>
  </si>
  <si>
    <t>reyes tacos</t>
  </si>
  <si>
    <t>reyes y israel</t>
  </si>
  <si>
    <t>Edificio 7A402</t>
  </si>
  <si>
    <t>12 PANES,1/2 DE JAMON, 2 AGUACATES</t>
  </si>
  <si>
    <t>Edificio 14b 304</t>
  </si>
  <si>
    <t xml:space="preserve">15 tacos,1 red de 2l, 1 deliciosas </t>
  </si>
  <si>
    <t xml:space="preserve">4 caguamas 1 principe 1 leche </t>
  </si>
  <si>
    <t xml:space="preserve">2 hamburgesas </t>
  </si>
  <si>
    <t xml:space="preserve">Joaco debe </t>
  </si>
  <si>
    <t>120+88+5</t>
  </si>
  <si>
    <t xml:space="preserve">Edificio 33 a </t>
  </si>
  <si>
    <t>Seranita</t>
  </si>
  <si>
    <t xml:space="preserve">4 papeles vogue </t>
  </si>
  <si>
    <t xml:space="preserve">1 kg tortillas y medio de frijol </t>
  </si>
  <si>
    <t>1 kg de platano, 1 santa clara, 2 chocorroles</t>
  </si>
  <si>
    <t xml:space="preserve">2 aguacates, 1 jjarrito y 2 red cola </t>
  </si>
  <si>
    <t>Edificio 9 a depto 104</t>
  </si>
  <si>
    <t xml:space="preserve">Edificio 20 a depto 101 </t>
  </si>
  <si>
    <t xml:space="preserve">Recauderia y tortilleria </t>
  </si>
  <si>
    <t xml:space="preserve">Purisima 10 </t>
  </si>
  <si>
    <t xml:space="preserve">Tortilleria y oxxo </t>
  </si>
  <si>
    <t xml:space="preserve">2 kg tortillas y 1 coca de 3 </t>
  </si>
  <si>
    <t>1/2 Tortillas</t>
  </si>
  <si>
    <t xml:space="preserve">1 caguama 1 cosaco </t>
  </si>
  <si>
    <t>Rockz</t>
  </si>
  <si>
    <t>Castañeda 52</t>
  </si>
  <si>
    <t>1 chipotles, tostachos, takis amarillos, 1 jarrito de mandarina</t>
  </si>
  <si>
    <t>1 garrafon epura</t>
  </si>
  <si>
    <t xml:space="preserve">Balbelo 130 </t>
  </si>
  <si>
    <t>Ingrid</t>
  </si>
  <si>
    <t>olivar del conde 76</t>
  </si>
  <si>
    <t>1 barras, 1 benegastro</t>
  </si>
  <si>
    <t xml:space="preserve">1/2 crema lala, 1 coca retornable </t>
  </si>
  <si>
    <t>Hacienda castañeda 20</t>
  </si>
  <si>
    <t>1 tajin</t>
  </si>
  <si>
    <t>Carnitas, mamitas rikas</t>
  </si>
  <si>
    <t>Edificio 20 a depto 104</t>
  </si>
  <si>
    <t xml:space="preserve">5 tacos, 2 jugos de mango </t>
  </si>
  <si>
    <t>844 edificio c depto 101</t>
  </si>
  <si>
    <t>1 kawama y 1 clamato</t>
  </si>
  <si>
    <t xml:space="preserve">25 queso, 25 jamon,crema cuarto pan bimbo, 3 maruchan red de 3l </t>
  </si>
  <si>
    <t>Hamburguesas town etson</t>
  </si>
  <si>
    <t>1 hamburguesa hawallana</t>
  </si>
  <si>
    <t>3 boing, 4 papas</t>
  </si>
  <si>
    <t>Edificio 28A</t>
  </si>
  <si>
    <t>2 bolsas de hot nutd</t>
  </si>
  <si>
    <t>1 caja de cigarros</t>
  </si>
  <si>
    <t>camion</t>
  </si>
  <si>
    <t>1 jugo, 1/2 jamon,2 papas</t>
  </si>
  <si>
    <t>Angel carniceria</t>
  </si>
  <si>
    <t>30 de jamon, 30 de manchego, 30 de panlea, 1 mayonesa mediana, 1 pan integral 1l leche deslactosada, 1 aguacate, 1 lata pequeña de chipotle</t>
  </si>
  <si>
    <t>Cristina</t>
  </si>
  <si>
    <t>Melissa galindo</t>
  </si>
  <si>
    <t>mercado</t>
  </si>
  <si>
    <t xml:space="preserve">1 pan bimbo grande 30 de oaxaca </t>
  </si>
  <si>
    <t>1 conchas, 1 mantecadas, 1 leche 2l</t>
  </si>
  <si>
    <t>3 tabacos, 2 papas, 1 coca 600</t>
  </si>
  <si>
    <t>1 caja de coronas, 1 coca 2,45, 1 hielos</t>
  </si>
  <si>
    <t>1k nde naranja, 1k de manzana,1k de pollo, 1/2 de uva, 1k jitomate,  4 pepinos</t>
  </si>
  <si>
    <t>Puesto pansita</t>
  </si>
  <si>
    <t>Purisima-11</t>
  </si>
  <si>
    <t>reyes y tortilleria</t>
  </si>
  <si>
    <t>1 kilo de huvevo, 1 y mdio de tortilla, 50 de jamon</t>
  </si>
  <si>
    <t xml:space="preserve">1 torres 5 1 mineral </t>
  </si>
  <si>
    <t xml:space="preserve">Ale  </t>
  </si>
  <si>
    <t>1 tostadas charras</t>
  </si>
  <si>
    <t>1 jugo de 3 citrys, 1 kinder bueno</t>
  </si>
  <si>
    <t>1 coca de 1l, 2 chetos colmilloos, 4 balones, 4 panditas de chocolate, 1 doritoz pitzzerola, 1 kilo de limon, 1 manchate</t>
  </si>
  <si>
    <t>1 garrafon 2 jarritos de piña</t>
  </si>
  <si>
    <t>Edificioa 6B 202</t>
  </si>
  <si>
    <t>Edificioa 14A 202</t>
  </si>
  <si>
    <t>Edificio 6A 504</t>
  </si>
  <si>
    <t>Edificio 27A</t>
  </si>
  <si>
    <t>Edificio 20A 202</t>
  </si>
  <si>
    <t>Condesa 37</t>
  </si>
  <si>
    <t>Edificio 7A 404</t>
  </si>
  <si>
    <t>Santiago 23</t>
  </si>
  <si>
    <t>7 tacos</t>
  </si>
  <si>
    <t>cronch</t>
  </si>
  <si>
    <t>Edificio 14a204</t>
  </si>
  <si>
    <t>30 alas</t>
  </si>
  <si>
    <t>Edificio 20A 501</t>
  </si>
  <si>
    <t>1 coca, 1 paquete de salchica, 1 coca de 2,75, 2 bilaith</t>
  </si>
  <si>
    <t xml:space="preserve">1/2 Tortillas, 6 tomates </t>
  </si>
  <si>
    <t xml:space="preserve">Ale cli </t>
  </si>
  <si>
    <t>6 tomates, 1/2 tortillas</t>
  </si>
  <si>
    <t xml:space="preserve">Edificio 20 a depto 201 </t>
  </si>
  <si>
    <t xml:space="preserve">2 jugos de mango </t>
  </si>
  <si>
    <t xml:space="preserve">1 KAWAMA Y UNAS DONAS BLANCAS </t>
  </si>
  <si>
    <t xml:space="preserve">2 garrafones, 3 peñafiel, 2 cocas, 1 sidral,1 jabon </t>
  </si>
  <si>
    <t>Ana maria</t>
  </si>
  <si>
    <t>Polleria</t>
  </si>
  <si>
    <t>Edificio 14A 201</t>
  </si>
  <si>
    <t>1k de huevo media pechuga de medio</t>
  </si>
  <si>
    <t>1 tuist 1 palomitas 1k de tortitillas</t>
  </si>
  <si>
    <t>Oxxo y pape</t>
  </si>
  <si>
    <t xml:space="preserve">1 malboro 14 y 1 plumon </t>
  </si>
  <si>
    <t>Edificio 7A 403</t>
  </si>
  <si>
    <t>1 aguacate, 1/2 de jamon, 1/4 de oaxaca, 2 pay, 2 gansitos</t>
  </si>
  <si>
    <t>Panaderia</t>
  </si>
  <si>
    <t>4 bolillos</t>
  </si>
  <si>
    <t>irma y papeleria</t>
  </si>
  <si>
    <t>Edificio 9A504</t>
  </si>
  <si>
    <t>2 leches deslactosadas, 1 cartulina, 1 plumon azul</t>
  </si>
  <si>
    <t>San isidro 23</t>
  </si>
  <si>
    <t>2 pozoles grandes 1 flautas yt 1 crema de 1/2</t>
  </si>
  <si>
    <t>casa toño y reyes</t>
  </si>
  <si>
    <t>Cli-San-Isidro69</t>
  </si>
  <si>
    <t xml:space="preserve">San isidro 69 </t>
  </si>
  <si>
    <t xml:space="preserve">1 kg chambarete </t>
  </si>
  <si>
    <t xml:space="preserve">2 cocas y 4 sobres de perro </t>
  </si>
  <si>
    <t>3 ROSCAS A PASTELADAS 1 PAN DE GALLETA 3 BOLILLOS 3 TABLETAS DE PEPTOBISMOOL</t>
  </si>
  <si>
    <t>Edificio 18A 402</t>
  </si>
  <si>
    <t>!/4 de jamon 1 pan bambibo blanco chico, 1 mantecadas de chocolate</t>
  </si>
  <si>
    <t xml:space="preserve">1k de huevo, pan marmoleado, pan linaza, </t>
  </si>
  <si>
    <t>Edificio 29B 103</t>
  </si>
  <si>
    <t>KPME</t>
  </si>
  <si>
    <t xml:space="preserve">50 DE HUVA 3 YAKUL, 2 MANZANAS AMArillas 5 GUAYAS VERDES1/2 DE PLATANO SIDRAL MANZANA 600 </t>
  </si>
  <si>
    <t xml:space="preserve">1K DE HUEVO, 1 RED 3 L,1/4 DE JAMON </t>
  </si>
  <si>
    <t>1 GOTAS</t>
  </si>
  <si>
    <t>JAULA</t>
  </si>
  <si>
    <t>Edificio14B 303</t>
  </si>
  <si>
    <t>LO QUE SE DEJA EN CAJA</t>
  </si>
  <si>
    <t xml:space="preserve">Edificio 7a 404 </t>
  </si>
  <si>
    <t xml:space="preserve">1 pino, 1 cloro, 1 fabuloso, 1 fuze tea </t>
  </si>
  <si>
    <t xml:space="preserve">Jassleg </t>
  </si>
  <si>
    <t>05:20:00 ap.m.</t>
  </si>
  <si>
    <t xml:space="preserve">Carniceria, recauderia </t>
  </si>
  <si>
    <t xml:space="preserve">Verdura, 1 pechuga, 1/2 arrachera </t>
  </si>
  <si>
    <t>1 kg huevo y 1 kg tortillas</t>
  </si>
  <si>
    <t xml:space="preserve">2 chetos, 1 fuze tea y 1 coca </t>
  </si>
  <si>
    <t>Ana-maria</t>
  </si>
  <si>
    <t xml:space="preserve">Carniceria  reyes </t>
  </si>
  <si>
    <t>1 kg de bisteck, 1 papaya</t>
  </si>
  <si>
    <t>1 kg naranja, media papaya, 3 platanos, 6 bolillitos</t>
  </si>
  <si>
    <t>Joaco paga 500</t>
  </si>
  <si>
    <t>2 mazapanes,2 calorsv, 3 fuztea,1 panda chocolate 1 ctsup</t>
  </si>
  <si>
    <t>Edificio 20A Depto 202</t>
  </si>
  <si>
    <t>5 bolillos</t>
  </si>
  <si>
    <t>dondani, y tienda</t>
  </si>
  <si>
    <t>Edificio 9A depto 504</t>
  </si>
  <si>
    <t xml:space="preserve">9 tacos 1 lulu 3l, 3 bolsas </t>
  </si>
  <si>
    <t>Azeneth</t>
  </si>
  <si>
    <t>tacos don dani y reyes</t>
  </si>
  <si>
    <t>16 tacos y 1 mantecadas marmoledas</t>
  </si>
  <si>
    <t>Ana pau</t>
  </si>
  <si>
    <t>834 quiles cerdan</t>
  </si>
  <si>
    <t>20 pesos de habas</t>
  </si>
  <si>
    <t>se tomo 50 para gas</t>
  </si>
  <si>
    <t>Ale-7a</t>
  </si>
  <si>
    <t xml:space="preserve">1 coca de 600 ml, 1 mantecadas, 2 polvorones tia rosa </t>
  </si>
  <si>
    <t xml:space="preserve">Olivar del conde 33 </t>
  </si>
  <si>
    <t xml:space="preserve">$100 de queso, $50 de jamon, 1 guacate,$3 de epazote, 1 lata de chiles, 1kg de frijol, 1/2 de huevo </t>
  </si>
  <si>
    <t>10 bolsas de azucar, 3 paquetes de saladitas</t>
  </si>
  <si>
    <t xml:space="preserve">Jassel </t>
  </si>
  <si>
    <t xml:space="preserve">1/2 kg de arrachera </t>
  </si>
  <si>
    <t xml:space="preserve">4 muslos, 4 zanahorias, 3 papas, </t>
  </si>
  <si>
    <t xml:space="preserve">Recauderia y veterubaria </t>
  </si>
  <si>
    <t xml:space="preserve">Edificio 49 a  depto 302 </t>
  </si>
  <si>
    <t>2B 401</t>
  </si>
  <si>
    <t>LUSIA SARAGOZA</t>
  </si>
  <si>
    <t>1/2 JAMON, 1 CHIPS VERDES 4 CAJAS DE CIGARROS MALBORO ICE 20, 1/4 DE OAXACA, 1 COCOLA 1L</t>
  </si>
  <si>
    <t>America bolaños</t>
  </si>
  <si>
    <t>Edificio 44A depto 504</t>
  </si>
  <si>
    <t>2 mantecadas, 2 cocas de 600 y 1 coca chiquita</t>
  </si>
  <si>
    <t>Hamburgesas</t>
  </si>
  <si>
    <t>Edificio 33b depto 103</t>
  </si>
  <si>
    <t xml:space="preserve">3 hamburgesas </t>
  </si>
  <si>
    <t xml:space="preserve">1/4 oaxaca 1/4 panela 1 kilo de huvo, 30 de longanoiza 1k,20 de jamon de pavo </t>
  </si>
  <si>
    <t>13A</t>
  </si>
  <si>
    <t>adriana</t>
  </si>
  <si>
    <t>tienda lupita</t>
  </si>
  <si>
    <t>Edificio 6A depto 504</t>
  </si>
  <si>
    <t>Edificio 36B 303</t>
  </si>
  <si>
    <t>Edificio 6B depto 504</t>
  </si>
  <si>
    <t>1 narucha, 1 tira de aspirinas, 3 cigarros m</t>
  </si>
  <si>
    <t>1 garrafon 2 polvorenes</t>
  </si>
  <si>
    <t>DEBE 36</t>
  </si>
  <si>
    <t xml:space="preserve">Abuelito yayo </t>
  </si>
  <si>
    <t>2 hamburguesas</t>
  </si>
  <si>
    <t xml:space="preserve">1 pan bimbo blanco, 1/2 huevo, 1 mayonesa, 1/2 jamon </t>
  </si>
  <si>
    <t xml:space="preserve">1 Garrafon, 1 paquete de salchichas food, 1  kg pierna y muslo </t>
  </si>
  <si>
    <t xml:space="preserve">1 pastillas </t>
  </si>
  <si>
    <t>2 papas sabritas, 1 chetos, 2 nitos, 2 lechitas, $50 de chicharron, 1.5 kg de tortillas</t>
  </si>
  <si>
    <t>Farmacia</t>
  </si>
  <si>
    <t xml:space="preserve">Reyes, Tortilleria, agel </t>
  </si>
  <si>
    <t xml:space="preserve">Edificio 33b </t>
  </si>
  <si>
    <t>Hacienda de narvarte 161</t>
  </si>
  <si>
    <t xml:space="preserve">Reyes nos resta 100 </t>
  </si>
  <si>
    <t>Debemos reyes</t>
  </si>
  <si>
    <t xml:space="preserve">Osmar agarra 20 </t>
  </si>
  <si>
    <t xml:space="preserve">1 Jarrito, 1 squirt de 600, </t>
  </si>
  <si>
    <t xml:space="preserve">Marcos </t>
  </si>
  <si>
    <t xml:space="preserve">Rosario </t>
  </si>
  <si>
    <t xml:space="preserve">1/2 Tortillas </t>
  </si>
  <si>
    <t>Mauricio debe 36</t>
  </si>
  <si>
    <t>1 mineral 2l</t>
  </si>
  <si>
    <t>Edificio 9b Depto 504</t>
  </si>
  <si>
    <t>1 agua 10l, 2 palomas</t>
  </si>
  <si>
    <t>edificio 34b depto 103</t>
  </si>
  <si>
    <t>Srt. Elia</t>
  </si>
  <si>
    <t>tienda alado carniceria</t>
  </si>
  <si>
    <t>1 doritos nacho, 1 chips amarillas, 1 runners, 1 chetos colmillos, 4 fuz tea, 2 mazapan, 1 manchate, 2 kit kat</t>
  </si>
  <si>
    <t>1 six, 2 cjas de cigarro</t>
  </si>
  <si>
    <t>debe 54</t>
  </si>
  <si>
    <t>Edificio 7a DEPTO 404</t>
  </si>
  <si>
    <t>Edificio 1B depto 201</t>
  </si>
  <si>
    <t>Joaco 54</t>
  </si>
  <si>
    <t>Irma 8</t>
  </si>
  <si>
    <t>A lado del 0xxo 20</t>
  </si>
  <si>
    <t>serranita 10</t>
  </si>
  <si>
    <t>Edificio 30A depto 301</t>
  </si>
  <si>
    <t>CliSanisidro</t>
  </si>
  <si>
    <t>San isidro 69</t>
  </si>
  <si>
    <t>1k de tortillas</t>
  </si>
  <si>
    <t>Edificio 14A Depto 404</t>
  </si>
  <si>
    <t>1 clamato chico, 1 crema de 1/4, 1/4 de panela</t>
  </si>
  <si>
    <t>Edificio 6A depto 506</t>
  </si>
  <si>
    <t>1 caja de cigarros 14 azules, 1 bonafont naranja</t>
  </si>
  <si>
    <t>Cliente-17</t>
  </si>
  <si>
    <t>Edificio 9B Depto 504</t>
  </si>
  <si>
    <t>2 cereales 1 cacahuates</t>
  </si>
  <si>
    <t>Ana Maria</t>
  </si>
  <si>
    <t>Edificio 18A Depto 404</t>
  </si>
  <si>
    <t>1 k de3 huevo</t>
  </si>
  <si>
    <t>ultima tienda</t>
  </si>
  <si>
    <t>Edificio 14B Depto 303</t>
  </si>
  <si>
    <t xml:space="preserve">2 HONNEY </t>
  </si>
  <si>
    <t>Alejandra7a</t>
  </si>
  <si>
    <t>Edificio 7a depto 404</t>
  </si>
  <si>
    <t xml:space="preserve">1 papas a la francesa, 2 hamburguesas, 1 sidral de 600, 1 pai de limon </t>
  </si>
  <si>
    <t>1 Cigarros marlboro rojos</t>
  </si>
  <si>
    <t>1k de huvo 1/2 de guayaba, 7 bolillos</t>
  </si>
  <si>
    <t xml:space="preserve">5 cigarros, 1 leche </t>
  </si>
  <si>
    <t>1 papas amarillas, chicharrones,</t>
  </si>
  <si>
    <t>DEBEN</t>
  </si>
  <si>
    <t>carlos galindo 80</t>
  </si>
  <si>
    <t xml:space="preserve">1 garrafonm </t>
  </si>
  <si>
    <t>Karla</t>
  </si>
  <si>
    <t>Mama yayo</t>
  </si>
  <si>
    <t>Edificio 33B depto 404</t>
  </si>
  <si>
    <t>Edificio 36b depto 204</t>
  </si>
  <si>
    <t>Edificio 20A depto 501</t>
  </si>
  <si>
    <t>3 hamburgesas 2 refrescos</t>
  </si>
  <si>
    <t>1 alpura 1/2 de huevo</t>
  </si>
  <si>
    <t xml:space="preserve">Recauderia, angel, tortilleria </t>
  </si>
  <si>
    <t>1/2 pechuga, 3 chuletas, 1 crema ch, 1 totopos</t>
  </si>
  <si>
    <t xml:space="preserve">1 kg tortillas, 1 kg de huevo, 1 crema de medio </t>
  </si>
  <si>
    <t>Blanca</t>
  </si>
  <si>
    <t xml:space="preserve">Edificio 20 a depto 404 </t>
  </si>
  <si>
    <t>1/2 Oaxaca, paqueter tortillas harina, 1 puré de papa</t>
  </si>
  <si>
    <t>Pursima 11</t>
  </si>
  <si>
    <t xml:space="preserve">$40 De jamon , 1 pan bimbo ch, 1 pan tostado </t>
  </si>
  <si>
    <t xml:space="preserve">2 cocas 600 1 coca chica, 1 power azul 4 mazapanes </t>
  </si>
  <si>
    <t>Cli-Portales39</t>
  </si>
  <si>
    <t>Portales 39</t>
  </si>
  <si>
    <t>1 tortillas 12, 1 cema de 1/4</t>
  </si>
  <si>
    <t>1chips moradas doritos negro, 1 del valle 3l, 1 expolvoreadas</t>
  </si>
  <si>
    <t>Cliente18</t>
  </si>
  <si>
    <t>1k de croquetas, 1 lata de frijoles 2 delawer</t>
  </si>
  <si>
    <t>1 paquete de salchicha,1 paquete de pan salchicha, 1 jitomate 1 cebolla</t>
  </si>
  <si>
    <t>2 monkipapas</t>
  </si>
  <si>
    <t>Edificio 7A depto 404</t>
  </si>
  <si>
    <t>Edificio 20A Depto 501</t>
  </si>
  <si>
    <t>Edificio 9A Depto 504</t>
  </si>
  <si>
    <t>monkypapas</t>
  </si>
  <si>
    <t>Biyik paga su 264</t>
  </si>
  <si>
    <t xml:space="preserve">1 garrafon de la purificadora </t>
  </si>
  <si>
    <t xml:space="preserve">33 b </t>
  </si>
  <si>
    <t xml:space="preserve">1/2 molida de res, 2 cajas de puré de tomate, 3 chayote, 2 calabazas, 2 azanahorias  </t>
  </si>
  <si>
    <t xml:space="preserve">1/2 carne molida </t>
  </si>
  <si>
    <t>1 Coca de 1.7, 1 crema alpura de medio, 1/4 queso blanco, 1/2 tortillas</t>
  </si>
  <si>
    <t xml:space="preserve">1 pechuga sin piel, 1 kg tortillas </t>
  </si>
  <si>
    <t xml:space="preserve">Edificio 44 a depto 504 </t>
  </si>
  <si>
    <t xml:space="preserve">1 coca de 600, manchate, mundet rojo, kit kat </t>
  </si>
  <si>
    <t xml:space="preserve">Dejo </t>
  </si>
  <si>
    <t>Veronica</t>
  </si>
  <si>
    <t xml:space="preserve">1/2 kg bisteces para azar, </t>
  </si>
  <si>
    <t>Cliente-13</t>
  </si>
  <si>
    <t>Clienta-6A</t>
  </si>
  <si>
    <t>Edificio 14A Depto 201</t>
  </si>
  <si>
    <t>Aquiles 844 c101</t>
  </si>
  <si>
    <t>Edificio 6B Depto 503</t>
  </si>
  <si>
    <t>Edificio 14B Depto 301</t>
  </si>
  <si>
    <t>Edificio 44A Depto 503</t>
  </si>
  <si>
    <t>Edificio 6A Depto 404</t>
  </si>
  <si>
    <t>1 garrafon purificadora</t>
  </si>
  <si>
    <t xml:space="preserve">1 pan chico, 1/4 de oaxaca y de jamon, 1 rancheritos, 2l de leche deslactosada </t>
  </si>
  <si>
    <t xml:space="preserve">1 barras de fresa, 1 jarrito de uva, 1 pan de canela, 1 aguacate </t>
  </si>
  <si>
    <t>1 pan grande, 1 crema de 1/4, 1 sobre de café, 1 honney, 1/4 de jamon, 20 de panela, 1 pepsi de 2l 1 deliciosas</t>
  </si>
  <si>
    <t>1 madalenmas, 1 panque 1 cigarros benson</t>
  </si>
  <si>
    <t>1 garrafon de 6l</t>
  </si>
  <si>
    <t>1/24 de jamon 1 doritos, 1 pan chico</t>
  </si>
  <si>
    <t>debe 5 braulio</t>
  </si>
  <si>
    <t xml:space="preserve">4 sobres </t>
  </si>
  <si>
    <t xml:space="preserve">marcos </t>
  </si>
  <si>
    <t>Edificio 9a depto 104</t>
  </si>
  <si>
    <t xml:space="preserve">2 kawas </t>
  </si>
  <si>
    <t xml:space="preserve">1 cigarros link </t>
  </si>
  <si>
    <t xml:space="preserve">Carniceria y edgar </t>
  </si>
  <si>
    <t xml:space="preserve">ana  </t>
  </si>
  <si>
    <t>fonda 236</t>
  </si>
  <si>
    <t>edga</t>
  </si>
  <si>
    <t>1 takis, 2 coccas, 1 agua bonafont</t>
  </si>
  <si>
    <t>2 cartas navideñas, 1 vicolor</t>
  </si>
  <si>
    <t>Edificio 30A Depto 201</t>
  </si>
  <si>
    <t>Edificio 20B Depto 504</t>
  </si>
  <si>
    <t>Se saca 200 de caja de efe</t>
  </si>
  <si>
    <t>1 pepsi, 2 principes, 1soibre de café, 1l de leche</t>
  </si>
  <si>
    <t>oxxo reyes</t>
  </si>
  <si>
    <t>Edificio 6b  depto 304</t>
  </si>
  <si>
    <t>2 electrolitos, 3 gerber</t>
  </si>
  <si>
    <t xml:space="preserve">1 lata de carneishon, 1 lata media crema, 4 lecheras, 5 jabones palmolive, 5 mayonesas ch, 5 atun en aceite y 5 en agua </t>
  </si>
  <si>
    <t>2 l de leche santa clara deslactosada</t>
  </si>
  <si>
    <t>Edifcio 20 a depto 101</t>
  </si>
  <si>
    <t>1 pechiga sin piel partida en 2 y 2 piernas medianas, 1 piña limpia ch</t>
  </si>
  <si>
    <t>Edificio 14 a depto 101</t>
  </si>
  <si>
    <t>Restaurante</t>
  </si>
  <si>
    <t xml:space="preserve">1 crema semi descremada color morada alpura grande  </t>
  </si>
  <si>
    <t xml:space="preserve">Edificio 36 a depto 302 </t>
  </si>
  <si>
    <t>$10 de tortillas</t>
  </si>
  <si>
    <t>Tacos</t>
  </si>
  <si>
    <t>12 Tacos</t>
  </si>
  <si>
    <t xml:space="preserve">1 LATA DE JACK </t>
  </si>
  <si>
    <t xml:space="preserve">$50 jamon </t>
  </si>
  <si>
    <t xml:space="preserve">1 aforita bacacho, 1 marboro de sandia y 1 coca ch sin azucar </t>
  </si>
  <si>
    <t>5 bolillos 2 esquites con todo</t>
  </si>
  <si>
    <t>portales 36</t>
  </si>
  <si>
    <t>paoloa</t>
  </si>
  <si>
    <t>Edificio 33B Depto 404</t>
  </si>
  <si>
    <t xml:space="preserve">2 tacos </t>
  </si>
  <si>
    <t>7 bolillos, 1 ed, 25 de jamon y 25 de mancego, 1 cremax de fresa</t>
  </si>
  <si>
    <t>panaderia y eletos</t>
  </si>
  <si>
    <t>Edificio 6a depto 404</t>
  </si>
  <si>
    <t xml:space="preserve">Seranita </t>
  </si>
  <si>
    <t>4 sobres norck suiza, arroz rojo, chcocolate abuelita</t>
  </si>
  <si>
    <t>Fabrica de hielos</t>
  </si>
  <si>
    <t>34b-503</t>
  </si>
  <si>
    <t>Local-Uñas</t>
  </si>
  <si>
    <t xml:space="preserve"> Edificio 19 B </t>
  </si>
  <si>
    <t>Johana-19b</t>
  </si>
  <si>
    <t>Clienta 48</t>
  </si>
  <si>
    <t>1 garrafon bonafont, 1 achiote</t>
  </si>
  <si>
    <t>1 cajetilla marlboro, 1 encendedor</t>
  </si>
  <si>
    <t>Frida</t>
  </si>
  <si>
    <t>Tierno</t>
  </si>
  <si>
    <t>Alejandra-20a</t>
  </si>
  <si>
    <t>Lorena</t>
  </si>
  <si>
    <t>Reina</t>
  </si>
  <si>
    <t>Gemelo</t>
  </si>
  <si>
    <t>Anita-Duran</t>
  </si>
  <si>
    <t>Maria-Garcia</t>
  </si>
  <si>
    <t>Marcela</t>
  </si>
  <si>
    <t>Andrea-Valeriano</t>
  </si>
  <si>
    <t>Moi</t>
  </si>
  <si>
    <t>Sra-Gloria</t>
  </si>
  <si>
    <t>Ana-paola</t>
  </si>
  <si>
    <t>Norma-Lopez</t>
  </si>
  <si>
    <t>Betzabe</t>
  </si>
  <si>
    <t>Manita</t>
  </si>
  <si>
    <t>Elivia</t>
  </si>
  <si>
    <t>Erika</t>
  </si>
  <si>
    <t>Rocio-Martinez</t>
  </si>
  <si>
    <t xml:space="preserve">Monica </t>
  </si>
  <si>
    <t>Juanita</t>
  </si>
  <si>
    <t>Azaahalea</t>
  </si>
  <si>
    <t>Alejandra-844</t>
  </si>
  <si>
    <t>portales-39</t>
  </si>
  <si>
    <t>ems</t>
  </si>
  <si>
    <t>Fernanda Navarro</t>
  </si>
  <si>
    <t>Marcos</t>
  </si>
  <si>
    <t>Edificio 23A Depto 102</t>
  </si>
  <si>
    <t>Purisima 39</t>
  </si>
  <si>
    <t>1 caja medicia</t>
  </si>
  <si>
    <t>1k tortillas 1/2 de limon 1 salsa taqueraq</t>
  </si>
  <si>
    <t>Edifico m14A depto 201</t>
  </si>
  <si>
    <t>donas,reyes,pozoles</t>
  </si>
  <si>
    <t>2 pozoles, 4 donas, 1 leche 1 gerber</t>
  </si>
  <si>
    <t>Azalahea</t>
  </si>
  <si>
    <t>Castañeda 38</t>
  </si>
  <si>
    <t>2 garrafones, 1/4 de jamon, 4 maruchas, 1 mineral de 2l</t>
  </si>
  <si>
    <t>1 cremax, 1 sobre de caafe 1 leche de 1l</t>
  </si>
  <si>
    <t>Edificio 13b Depto 101</t>
  </si>
  <si>
    <t>medio de huevo, 2 cahuamas, 1 chicletes</t>
  </si>
  <si>
    <t xml:space="preserve">ale </t>
  </si>
  <si>
    <t xml:space="preserve">Rcauderia, tortilleria </t>
  </si>
  <si>
    <t>4 alas y 8 muslos, 2 g de vinagre, 2 cebollas moradas</t>
  </si>
  <si>
    <t>navarrete</t>
  </si>
  <si>
    <t>1 bacardi1l, 2 minerales 2l, 4 vasos, 1 hielos</t>
  </si>
  <si>
    <t>2 now mix, 1l de agua</t>
  </si>
  <si>
    <t xml:space="preserve">2 papas y 5 vasos </t>
  </si>
  <si>
    <t xml:space="preserve">1 bacacho y 1 coca de 3 l </t>
  </si>
  <si>
    <t>Zona</t>
  </si>
  <si>
    <t xml:space="preserve">Zonaa </t>
  </si>
  <si>
    <t>2 papas 1 jarrito</t>
  </si>
  <si>
    <t>reyesw</t>
  </si>
  <si>
    <t>Marboro craft</t>
  </si>
  <si>
    <t>1 manzanita de 3 l</t>
  </si>
  <si>
    <t>3 Kawasakis</t>
  </si>
  <si>
    <t xml:space="preserve">2 polosoles 1 tostada de pata </t>
  </si>
  <si>
    <t>Juala</t>
  </si>
  <si>
    <t>Gfa sami</t>
  </si>
  <si>
    <t xml:space="preserve">1 six, 4 caguamas, 2 skay, 1 jugo, 1 papas, </t>
  </si>
  <si>
    <t>1 mineral 1 paquetaxo 1 manza de 1l 1 coca cola 1l</t>
  </si>
  <si>
    <t xml:space="preserve">6 tacos y 2 consomé, 2 sol clamato, 2 vickis </t>
  </si>
  <si>
    <t>azalahea</t>
  </si>
  <si>
    <t>irma y barbacoa</t>
  </si>
  <si>
    <t>20B 504</t>
  </si>
  <si>
    <t xml:space="preserve">1/2 de jamon, 1/2 de oaxaca, </t>
  </si>
  <si>
    <t>VT</t>
  </si>
  <si>
    <t>Aquiles 834</t>
  </si>
  <si>
    <t>20 de habas</t>
  </si>
  <si>
    <t>Edificio 30Aa dep301</t>
  </si>
  <si>
    <t>Edificio 18A dep 504</t>
  </si>
  <si>
    <t>30 de oaxaca, 1 tortillas de 12</t>
  </si>
  <si>
    <t>3 kaguamas</t>
  </si>
  <si>
    <t>Edificio 34B Depto 101</t>
  </si>
  <si>
    <t>pape,esquites</t>
  </si>
  <si>
    <t>2 gaduams, 2 leches, 5 chiclets</t>
  </si>
  <si>
    <t>1/4 oaxaca 1 roles de canela</t>
  </si>
  <si>
    <t>sueldo</t>
  </si>
  <si>
    <t xml:space="preserve">se dejan </t>
  </si>
  <si>
    <t>1/2 Costilla y 14 de nopales</t>
  </si>
  <si>
    <t xml:space="preserve">1 bolillo </t>
  </si>
  <si>
    <t xml:space="preserve">Edifiio 20 a </t>
  </si>
  <si>
    <t xml:space="preserve">Angel y recauderia </t>
  </si>
  <si>
    <t>Hacienda santiago 106</t>
  </si>
  <si>
    <t>1 kg jitomate y 3/4 carne molida</t>
  </si>
  <si>
    <t>Soraida</t>
  </si>
  <si>
    <t>America Bolañoz</t>
  </si>
  <si>
    <t xml:space="preserve">Jabon ace y 4 mazapanes </t>
  </si>
  <si>
    <t xml:space="preserve">4 piezas de pollo y 4 cocas y 1 agaua de 1l </t>
  </si>
  <si>
    <t xml:space="preserve">Franciasco </t>
  </si>
  <si>
    <t>Recauderia y mamitas rikas</t>
  </si>
  <si>
    <t>Edificio 9a deptpo 104</t>
  </si>
  <si>
    <t>Edificio 44a depto 504</t>
  </si>
  <si>
    <t>Osmar agarra 19</t>
  </si>
  <si>
    <t>Cliente_Sanisidro</t>
  </si>
  <si>
    <t>Angelica</t>
  </si>
  <si>
    <t>Edificio 18A Depto 403</t>
  </si>
  <si>
    <t>Cristal</t>
  </si>
  <si>
    <t>Edificio 23A Depto 101</t>
  </si>
  <si>
    <t>Irma y oxxo</t>
  </si>
  <si>
    <t>6 jitomates, 1/2 masa</t>
  </si>
  <si>
    <t>1/4 de jamon, 200g de manchego, 1 marias doradas</t>
  </si>
  <si>
    <t>13a</t>
  </si>
  <si>
    <t xml:space="preserve"> 1/4 de panela,jamon </t>
  </si>
  <si>
    <t xml:space="preserve">Iglesia </t>
  </si>
  <si>
    <t>26 cafés, 1 jugo del valle, 2 cocas de lata, 1 agua de l bonafont, jarrito, 2 cajetillas</t>
  </si>
  <si>
    <t xml:space="preserve">1 sal y 1/4 queso manchego </t>
  </si>
  <si>
    <t xml:space="preserve">Pastor </t>
  </si>
  <si>
    <t>1/2 longanisa, 1/2 costilla de res</t>
  </si>
  <si>
    <t>Melissa Aguilar</t>
  </si>
  <si>
    <t>Edificio 6A Depto 202</t>
  </si>
  <si>
    <t>1/2 de. Cebolla,limon,tomate, 1k de tortilla</t>
  </si>
  <si>
    <t>2 gorditas y 2 quesadillas</t>
  </si>
  <si>
    <t>Mel-vecino</t>
  </si>
  <si>
    <t xml:space="preserve">Hacienda santiago </t>
  </si>
  <si>
    <t xml:space="preserve">5 pañales jumbo </t>
  </si>
  <si>
    <t xml:space="preserve">2 zanahoria y 1 chayote, 1/2 papa y 1/2 zanahoria, </t>
  </si>
  <si>
    <t>Clienta-48</t>
  </si>
  <si>
    <t>Sr. Jarez</t>
  </si>
  <si>
    <t>An-maria</t>
  </si>
  <si>
    <t xml:space="preserve">Pedidito, 1 jarrito </t>
  </si>
  <si>
    <t>1.5 Pollo, 1/2 pechuga</t>
  </si>
  <si>
    <t xml:space="preserve">Edificio 14b </t>
  </si>
  <si>
    <t>Edificio 9a</t>
  </si>
  <si>
    <t xml:space="preserve">Edificio 8 a </t>
  </si>
  <si>
    <t>3 VINAGRES, 8 PAQUETES DE ALUMINIO 2 PAQUETES TOSTADO</t>
  </si>
  <si>
    <t>1/2 PECHUG, 3 MUSLOS CORTADOS</t>
  </si>
  <si>
    <t>2 Anis y 2 peñafiel</t>
  </si>
  <si>
    <t>IRMA</t>
  </si>
  <si>
    <t>Edificio 7A Depto 704</t>
  </si>
  <si>
    <t>2 refrescos,2 papas</t>
  </si>
  <si>
    <t>Aquiles cerdan 844</t>
  </si>
  <si>
    <t xml:space="preserve">3 refrescos,2 papas </t>
  </si>
  <si>
    <t>3 kawuasaki</t>
  </si>
  <si>
    <t>1k de croquetas, 1 ruffles</t>
  </si>
  <si>
    <t>Edificio 14A Depto 202</t>
  </si>
  <si>
    <t>10 bolillos</t>
  </si>
  <si>
    <t>1  kg azucar, 1 kg sal y 1 leche almendrada</t>
  </si>
  <si>
    <t>1kg de calabaza, 1 kg chayote, 1 k zanahoria</t>
  </si>
  <si>
    <t>Bub</t>
  </si>
  <si>
    <t xml:space="preserve">Edificio 4a </t>
  </si>
  <si>
    <t xml:space="preserve">1/4 queso doble crema, 1/4 queso mnchefo, 2 l de leche, 1 squirt 1.3 </t>
  </si>
  <si>
    <t>Fonda narvarte 268</t>
  </si>
  <si>
    <t>Edificio 7A Depto 404</t>
  </si>
  <si>
    <t>3 comidas corridas</t>
  </si>
  <si>
    <t>Edificio 27A Depto 201</t>
  </si>
  <si>
    <t>1 coca 1,35, 1k de tortillas</t>
  </si>
  <si>
    <t>Edificio 14A Depto 101</t>
  </si>
  <si>
    <t>1k de tomate., 1k de tortilla</t>
  </si>
  <si>
    <t>copiaqs</t>
  </si>
  <si>
    <t>luoita abarrotes</t>
  </si>
  <si>
    <t>irma,panaderia,reyes</t>
  </si>
  <si>
    <t>Edificio 20 Depto 201</t>
  </si>
  <si>
    <t>4 bolillos,1/4 de oaxaca, 1 hot nuts</t>
  </si>
  <si>
    <t>2 manzanas, 2 platanos</t>
  </si>
  <si>
    <t>3 kawamas 1 vaso</t>
  </si>
  <si>
    <t>jaula 2</t>
  </si>
  <si>
    <t xml:space="preserve">30 chorizo, 1/4 de jamon, 1 sobre de café, 1l de leche, 1 cremx </t>
  </si>
  <si>
    <t>Edificio 14B</t>
  </si>
  <si>
    <t>DEUDORES</t>
  </si>
  <si>
    <t>JOCAO</t>
  </si>
  <si>
    <t>BIYIK</t>
  </si>
  <si>
    <t>YAYO</t>
  </si>
  <si>
    <t>AZENET</t>
  </si>
  <si>
    <t>OSMAR</t>
  </si>
  <si>
    <t>IRVIN</t>
  </si>
  <si>
    <t>SUELDO</t>
  </si>
  <si>
    <t>PROPINAS</t>
  </si>
  <si>
    <t>4 HRS X 80</t>
  </si>
  <si>
    <t xml:space="preserve">2 gelatinas dany y 2 leches de 1/4 </t>
  </si>
  <si>
    <t xml:space="preserve">2 cocas de 600 ml </t>
  </si>
  <si>
    <t xml:space="preserve">1 jugo, 1 coctel de frutas </t>
  </si>
  <si>
    <t>1 Kawasaki</t>
  </si>
  <si>
    <t xml:space="preserve">Portales 39 </t>
  </si>
  <si>
    <t>1 Pilas</t>
  </si>
  <si>
    <t>2 cjas de clips, 2 l alpura, 1 paquete de salchichas, 1 pan medias noche y 1 polvo para hacer gelatina</t>
  </si>
  <si>
    <t>Soriana</t>
  </si>
  <si>
    <t>irma y panaderia</t>
  </si>
  <si>
    <t>Edifico 9A Depto 504</t>
  </si>
  <si>
    <t>1/2 de jamon y de azur, y 6 bolillos</t>
  </si>
  <si>
    <t xml:space="preserve">2 pozoles surtidos, 3 tostadas de tinga de carne y 1 de pata </t>
  </si>
  <si>
    <t>Olicar del conde 33</t>
  </si>
  <si>
    <t>Pozoles sami</t>
  </si>
  <si>
    <t>Portales 42</t>
  </si>
  <si>
    <t>15 tacos2 refrescos, 1 jugo</t>
  </si>
  <si>
    <t>ClientaP42</t>
  </si>
  <si>
    <t>5 caguamas 1 camel, 2 k corquetas</t>
  </si>
  <si>
    <t>1 agua mineral 1/2  n1 naranjada</t>
  </si>
  <si>
    <t>Clienta.17</t>
  </si>
  <si>
    <t>1 garrafon bonafont</t>
  </si>
  <si>
    <t>Clienta-6a404</t>
  </si>
  <si>
    <t>1 paquete de papel de bsño, 1 coca de 600, 20 de bicarbonato</t>
  </si>
  <si>
    <t>pozoles javi</t>
  </si>
  <si>
    <t>Edificio 2B Depto 202</t>
  </si>
  <si>
    <t xml:space="preserve">3 caguamas, 2k </t>
  </si>
  <si>
    <t>PROPA</t>
  </si>
  <si>
    <t xml:space="preserve">BIKI </t>
  </si>
  <si>
    <t>Ediicio 20A Depto 204</t>
  </si>
  <si>
    <t>Clienta16</t>
  </si>
  <si>
    <t>serranita</t>
  </si>
  <si>
    <t>Edificio 36A Depto 502</t>
  </si>
  <si>
    <t>2 garrafones bonafont</t>
  </si>
  <si>
    <t>se gastan</t>
  </si>
  <si>
    <t>50 para plumon y corrector</t>
  </si>
  <si>
    <t>1 aceite y 1/2 cebolla</t>
  </si>
  <si>
    <t xml:space="preserve">2  piernas y un muslo </t>
  </si>
  <si>
    <t xml:space="preserve">Edificio 27a </t>
  </si>
  <si>
    <t>1 Bolsa de totopos, coca, queso</t>
  </si>
  <si>
    <t>Tortilleria, reyes</t>
  </si>
  <si>
    <t>Cliente20b</t>
  </si>
  <si>
    <t>Papeleria,reyes</t>
  </si>
  <si>
    <t>Edificio 20b Depto 403</t>
  </si>
  <si>
    <t>1 caja de esferas, 2 garrfones bonafont</t>
  </si>
  <si>
    <t>1 coca de 2l, 1 de chipotle, 1k de tortilla</t>
  </si>
  <si>
    <t>Luis Rojas</t>
  </si>
  <si>
    <t>Cliente-portales42</t>
  </si>
  <si>
    <t>1 coca 1l, 1 sabritas crujientes, 1 sabritas moradas, 1 doritos nachos, 1 galletas oreo</t>
  </si>
  <si>
    <t>Edificio 27A Depto 202</t>
  </si>
  <si>
    <t>San isidro 89</t>
  </si>
  <si>
    <t>1k de tortillas, 1/2 de limon, 2 aguacates</t>
  </si>
  <si>
    <t>2 aguas de 1 l  medio, y 2 scuncles</t>
  </si>
  <si>
    <t>Rita</t>
  </si>
  <si>
    <t>quesadillas</t>
  </si>
  <si>
    <t>Edificio 33A 402</t>
  </si>
  <si>
    <t>2 quesadillas, 1 ponche</t>
  </si>
  <si>
    <t xml:space="preserve">1 croquetas adultos y 1 garrafon epura </t>
  </si>
  <si>
    <t xml:space="preserve">PANCITA VIKIS </t>
  </si>
  <si>
    <t xml:space="preserve">3 KAWAMAS  VKIS </t>
  </si>
  <si>
    <t>2 hamburgesas</t>
  </si>
  <si>
    <t>Edificio 17A</t>
  </si>
  <si>
    <t xml:space="preserve">hector </t>
  </si>
  <si>
    <t>juarez</t>
  </si>
  <si>
    <t>laraa</t>
  </si>
  <si>
    <t>Birrira</t>
  </si>
  <si>
    <t>1k huevo 1 valle frut 3l</t>
  </si>
  <si>
    <t xml:space="preserve">1 foco, 1/2 de limon, 2 caguamas, </t>
  </si>
  <si>
    <t>2 caguamas, 1 papas</t>
  </si>
  <si>
    <t>1k de zanahoria, 1k de chayote</t>
  </si>
  <si>
    <t>1k de tortilla</t>
  </si>
  <si>
    <t>1 cja de harina, 1k de huevo, medio de limon</t>
  </si>
  <si>
    <t>1 garrafon y 2 kawasakis</t>
  </si>
  <si>
    <t>Edificio 20 b</t>
  </si>
  <si>
    <t>2 hamburguesas y 2 kawas</t>
  </si>
  <si>
    <t>Platanos fritos</t>
  </si>
  <si>
    <t>Suelo</t>
  </si>
  <si>
    <t>TOTAL 1183</t>
  </si>
  <si>
    <t>Amparo</t>
  </si>
  <si>
    <t xml:space="preserve">2 GARRAFONES DE AGUA </t>
  </si>
  <si>
    <t>Hacienda castañeda 58</t>
  </si>
  <si>
    <t>2 kg pierna y muslo</t>
  </si>
  <si>
    <t>Angélica</t>
  </si>
  <si>
    <t>19 b depto 201</t>
  </si>
  <si>
    <t>4 Muslos y 3 l de coca</t>
  </si>
  <si>
    <t xml:space="preserve">20 b depto 403 </t>
  </si>
  <si>
    <t xml:space="preserve">Retazo </t>
  </si>
  <si>
    <t>1 l de jugo de naranja, 125 gr queso manchego, 4 bolilos</t>
  </si>
  <si>
    <t>3/4 carne molida, 1 paquete de bolillos, 1/2 lentejas, 1/2 pechuga, 4 plataos, 1 torta de tamal verde, 1 atoe grande, perejil y cilantro, 1 catsup</t>
  </si>
  <si>
    <t>1.5 kg tortillas y 2 coca de 1.7</t>
  </si>
  <si>
    <t>2 kawasais</t>
  </si>
  <si>
    <t>29 adepto 202</t>
  </si>
  <si>
    <t>Angel, mario, panaderia</t>
  </si>
  <si>
    <t>Serranita y tortilleria</t>
  </si>
  <si>
    <t>Clienta-portales21</t>
  </si>
  <si>
    <t>Scarlett</t>
  </si>
  <si>
    <t>Josue</t>
  </si>
  <si>
    <t>Portales 221</t>
  </si>
  <si>
    <t>Hacienda 111</t>
  </si>
  <si>
    <t>Edificio 19A depto 403</t>
  </si>
  <si>
    <t>ima</t>
  </si>
  <si>
    <t>1 agua 6l</t>
  </si>
  <si>
    <t xml:space="preserve">1/2huevo 1 cartulina </t>
  </si>
  <si>
    <t>2 magnum, 1 lemon, 1 runners</t>
  </si>
  <si>
    <t>PRESTAMO</t>
  </si>
  <si>
    <t xml:space="preserve">FER </t>
  </si>
  <si>
    <t>Azhalaea</t>
  </si>
  <si>
    <t>reyes, irma</t>
  </si>
  <si>
    <t>2l de leche 1/4 de jamon</t>
  </si>
  <si>
    <t>2 palomitas, 2 chetos, 1/4 de jamon, oacaxa, panela, 5 sobres de gato, 4 yakuls</t>
  </si>
  <si>
    <t>Elia-aguilar</t>
  </si>
  <si>
    <t>Cliente-15</t>
  </si>
  <si>
    <t>Bertha</t>
  </si>
  <si>
    <t>Anabel</t>
  </si>
  <si>
    <t>Fernanda-Lopez</t>
  </si>
  <si>
    <t>Maria-luisa</t>
  </si>
  <si>
    <t>CRISTINA</t>
  </si>
  <si>
    <t>Ana-Maria</t>
  </si>
  <si>
    <t>Cliente-31</t>
  </si>
  <si>
    <t>Andrea</t>
  </si>
  <si>
    <t>Sra-juarez</t>
  </si>
  <si>
    <t>Moon</t>
  </si>
  <si>
    <t>Alejandra-Portales</t>
  </si>
  <si>
    <t>Ramirez</t>
  </si>
  <si>
    <t>cliente-14</t>
  </si>
  <si>
    <t>Fernanda-lopez</t>
  </si>
  <si>
    <t>edificio 20 a depto 104</t>
  </si>
  <si>
    <t>Lavanderia</t>
  </si>
  <si>
    <t>Nota</t>
  </si>
  <si>
    <t xml:space="preserve">2 electrolit, 1 submarino, 1 leche de vainilla, </t>
  </si>
  <si>
    <t>1 pechuga en bisteces</t>
  </si>
  <si>
    <t>1 Papaya, 1/2 tortillas</t>
  </si>
  <si>
    <t xml:space="preserve">Tortilleria y recauderia </t>
  </si>
  <si>
    <t>12 hojas y 2 m de liston, .5 kg tortillas</t>
  </si>
  <si>
    <t>portales42</t>
  </si>
  <si>
    <t>polleria corcholata</t>
  </si>
  <si>
    <t>portales 42</t>
  </si>
  <si>
    <t>1 coca 1k de tortillas</t>
  </si>
  <si>
    <t>1 coca, 1 medio de tortillas</t>
  </si>
  <si>
    <t>Cliente torta</t>
  </si>
  <si>
    <t>casa toño</t>
  </si>
  <si>
    <t>2 pozoles, 1 flautas</t>
  </si>
  <si>
    <t>1/2 de ortillas, 1k de huevo</t>
  </si>
  <si>
    <t>2 galletas,1 runers, 10 sobre de gatos</t>
  </si>
  <si>
    <t>Roa</t>
  </si>
  <si>
    <t>Edificio 20A Depto 102</t>
  </si>
  <si>
    <t>Balbelo</t>
  </si>
  <si>
    <t>20 a</t>
  </si>
  <si>
    <t>1 leche de 1 l y 1 pan</t>
  </si>
  <si>
    <t>Cliente-48</t>
  </si>
  <si>
    <t>4 bendas y 1 cinta microport</t>
  </si>
  <si>
    <t>Ericka</t>
  </si>
  <si>
    <t>Cliente buba</t>
  </si>
  <si>
    <t xml:space="preserve">edificio 3 a depto 404 </t>
  </si>
  <si>
    <t>1/2 pechuga d epollo, 1 paquetew de tostadas, 1/2 jitomate, 1/4 queso fresco</t>
  </si>
  <si>
    <t>1/4 jamon.1/4 queso oaxaca, 1 pan bimbo integral</t>
  </si>
  <si>
    <t>Edificifio 14 a depto 202</t>
  </si>
  <si>
    <t>Edificio 6a depto 402</t>
  </si>
  <si>
    <t xml:space="preserve">1 kg tejocote, 1 kg azucar, salvo ch, 1 ariel </t>
  </si>
  <si>
    <t>Comida corrida</t>
  </si>
  <si>
    <t>1 extension, 2 cajas de ganchos, 1/4 jamon, 1/4 panela. 1/2 huevo, 2 l leche alpura deslacto, 1/2 tortillas</t>
  </si>
  <si>
    <t>Tortilleria, irma, ferreteria</t>
  </si>
  <si>
    <t>2 Jitomates, 1 aguacate, 1/2 tortillas</t>
  </si>
  <si>
    <t>Edifcicio 20 a depto 204</t>
  </si>
  <si>
    <t>Recauderia y tortilleria</t>
  </si>
  <si>
    <t>1 six de cerveza</t>
  </si>
  <si>
    <t>Edificio 20 b depto 403</t>
  </si>
  <si>
    <t>1 billete de 200 para arreglar bici</t>
  </si>
  <si>
    <t>Ceci</t>
  </si>
  <si>
    <t>oxoo</t>
  </si>
  <si>
    <t>Sindicato</t>
  </si>
  <si>
    <t>2 botelas de bacardi, 2 minerlaes, 2 volt, 1 sprit de 3l</t>
  </si>
  <si>
    <t>1 coca de 1.700</t>
  </si>
  <si>
    <t>2 kaguama 25 de oaxaca 20 de jamon 2 basos plastico</t>
  </si>
  <si>
    <t>Cliente-san isidro</t>
  </si>
  <si>
    <t>san isidro 32</t>
  </si>
  <si>
    <t>2 panes de bimbo</t>
  </si>
  <si>
    <t>Moy</t>
  </si>
  <si>
    <t>Bici/llanta</t>
  </si>
  <si>
    <t xml:space="preserve">Franciisco </t>
  </si>
  <si>
    <t xml:space="preserve">1/2 pechuga asi no muy grande </t>
  </si>
  <si>
    <t>Edificio 14 a depto 402</t>
  </si>
  <si>
    <t>1 kg de tortillas</t>
  </si>
  <si>
    <t>Jessica-1b</t>
  </si>
  <si>
    <t>Cocina</t>
  </si>
  <si>
    <t>Edificio 7a dep 404</t>
  </si>
  <si>
    <t>2 comidas</t>
  </si>
  <si>
    <t>Reyes y tortilleria</t>
  </si>
  <si>
    <t>Edificio 1 b</t>
  </si>
  <si>
    <t>5 marichan 1 jarrito, 15 queso crema, 1 kg tortilas</t>
  </si>
  <si>
    <t xml:space="preserve">1 jarrito, 1/2 huevo, 1/2 jitomate, </t>
  </si>
  <si>
    <t xml:space="preserve">Adonqueli cancela su pedido 68 </t>
  </si>
  <si>
    <t xml:space="preserve">tacos </t>
  </si>
  <si>
    <t>naci</t>
  </si>
  <si>
    <t xml:space="preserve">1k tortilla 14a </t>
  </si>
  <si>
    <t>1 volt</t>
  </si>
  <si>
    <t>2 caguamas,1 doritos, 5 vasos</t>
  </si>
  <si>
    <t xml:space="preserve">2 caguamas  </t>
  </si>
  <si>
    <t>1/2 de oaxaca, 1 tanga</t>
  </si>
  <si>
    <t xml:space="preserve">10 sobres para gato, 1/4 jamon </t>
  </si>
  <si>
    <t>2 cocteles de fruta y 1 jugo de naranja</t>
  </si>
  <si>
    <t>Edificio 20 a depto 101</t>
  </si>
  <si>
    <t>Frutas</t>
  </si>
  <si>
    <t>1 kg tortillas, 1 aguacate, 2 refrescos, $5 cilantro</t>
  </si>
  <si>
    <t>Mitt</t>
  </si>
  <si>
    <t>Kardis</t>
  </si>
  <si>
    <t xml:space="preserve">Chambarete con hueso 10 pz medianas, 1/2 kg  costilla cargada, 1 hueso con nervio, 4 papas, 4 chayotes, 3 elotes partidos, 3 zanahorias, 1 pedazo col pequeño, 1/2 kg jitomate duro, $3 cilantro, 1 coca 1.300, 1 kg tortillas, 1/2 limon </t>
  </si>
  <si>
    <t xml:space="preserve">Portales 42 </t>
  </si>
  <si>
    <t>1 salchichas de pavo, 1 paquete fud, 2 chips fuego, galletas rits, 5 bolas de zumba y palomitas</t>
  </si>
  <si>
    <t>844 torre c</t>
  </si>
  <si>
    <t xml:space="preserve">Patrano </t>
  </si>
  <si>
    <t>Mauricio-bravo</t>
  </si>
  <si>
    <t>1/2 pechuga</t>
  </si>
  <si>
    <t>Edificio 6a depto 502</t>
  </si>
  <si>
    <t>2 Maruchan y 1 coca de 1.7</t>
  </si>
  <si>
    <t>1 six ultra</t>
  </si>
  <si>
    <t xml:space="preserve">2 caguamas 1 papas </t>
  </si>
  <si>
    <t>irma, elotes</t>
  </si>
  <si>
    <t>Edoficio 44A Depto 504</t>
  </si>
  <si>
    <t>Edificio 27Aa</t>
  </si>
  <si>
    <t>1 ponche chico de alado del oxxo, sin fruta, margarina primavera chica</t>
  </si>
  <si>
    <t>Cliente-Tortas</t>
  </si>
  <si>
    <t xml:space="preserve"> Clauidia</t>
  </si>
  <si>
    <t xml:space="preserve">Ximena </t>
  </si>
  <si>
    <t>papeleri y reyes</t>
  </si>
  <si>
    <t>tacos, pozole, tienda</t>
  </si>
  <si>
    <t xml:space="preserve">CLAUDIA </t>
  </si>
  <si>
    <t>327 DEVOLVER</t>
  </si>
  <si>
    <t>COMPRAR MOÑOS</t>
  </si>
  <si>
    <t>Hacienda Claveria</t>
  </si>
  <si>
    <t>11 moños, 3 donas espolvoreadas, 2 barritas de piña, 2 canelitas</t>
  </si>
  <si>
    <t>2 papas, 1coca de 3l, 1 cigarros ice</t>
  </si>
  <si>
    <t>160 de 13 tacos, 260 de pozoles,90 de la tienda</t>
  </si>
  <si>
    <t>Aquiles 844</t>
  </si>
  <si>
    <t>Edificio 20A Depto 104</t>
  </si>
  <si>
    <t>Edificio 18A Depto 503</t>
  </si>
  <si>
    <t>1 palomitas, 1 jugo de 1l</t>
  </si>
  <si>
    <t xml:space="preserve">1l de leche, 2 aguas de 1 1/2, </t>
  </si>
  <si>
    <t>30 de jamon, 1 coca de 3l, 1 chocotorro</t>
  </si>
  <si>
    <t>gemelo</t>
  </si>
  <si>
    <t>Clauidia</t>
  </si>
  <si>
    <t>carniceria, polleria j</t>
  </si>
  <si>
    <t>Edificio 13A Depto 101</t>
  </si>
  <si>
    <t>17 moños</t>
  </si>
  <si>
    <t>3 modelos, 1 yogurth, 3 manzanas,1 leche</t>
  </si>
  <si>
    <t>1k y medio de manitas de puerco y 1/2 pechuga</t>
  </si>
  <si>
    <t>1/2 de  salchichas, 20 de jitomare, 20 de chayote, 2 bolsas de basura 1 ace</t>
  </si>
  <si>
    <t>1 kilo de pierna y muslo sin piel</t>
  </si>
  <si>
    <t>Edificio 8A Depoto 304</t>
  </si>
  <si>
    <t>Juarez</t>
  </si>
  <si>
    <t>Sr Nava</t>
  </si>
  <si>
    <t>Edificio 8Aa Depto 402</t>
  </si>
  <si>
    <t>Edificio 29B Depto 101</t>
  </si>
  <si>
    <t>Edificio 33A Depto 102</t>
  </si>
  <si>
    <t xml:space="preserve">1 bolsa de hielo </t>
  </si>
  <si>
    <t>1/, jamon, panela, 3 marucha, 1 de camaron solo 2 de camaron habanero</t>
  </si>
  <si>
    <t>Edificio 14A Depto 401</t>
  </si>
  <si>
    <t>1 tamal, 1 atole, 2 bolillos</t>
  </si>
  <si>
    <t>Cliente-20</t>
  </si>
  <si>
    <t>Acua-Cliva</t>
  </si>
  <si>
    <t>Karina</t>
  </si>
  <si>
    <t>Alejandra-castañeda</t>
  </si>
  <si>
    <t>ivi</t>
  </si>
  <si>
    <t>Osmar</t>
  </si>
  <si>
    <t>Johana</t>
  </si>
  <si>
    <t>Joaco 2</t>
  </si>
  <si>
    <t xml:space="preserve">Rancho ansaldo 9 </t>
  </si>
  <si>
    <t>agarro 20 ganancia</t>
  </si>
  <si>
    <t>2 tortas</t>
  </si>
  <si>
    <t>2 kg tortillas</t>
  </si>
  <si>
    <t>2 six, 3 jack, 5 maruchan</t>
  </si>
  <si>
    <t>1 kg de huevo y 2 jitomates</t>
  </si>
  <si>
    <t>4 piernas de pollo, 1/4 de carne, 1 lata de frijoles, 1 coca de 600 ml, 1 barra de mantequilla, 1 del valle de naranja</t>
  </si>
  <si>
    <t>Irma, recauderia, angel</t>
  </si>
  <si>
    <t>2 Cocas de 600 ml, 2 fuze te de durazno, unos runners, unos panditas</t>
  </si>
  <si>
    <t>1 paquete de salchichas food, 1 kola loka, 1 veladora, 1 kg tortillas</t>
  </si>
  <si>
    <t>1 six y 1 clamato</t>
  </si>
  <si>
    <t>Marialusa</t>
  </si>
  <si>
    <t>Ana Pau</t>
  </si>
  <si>
    <t>irsael</t>
  </si>
  <si>
    <t>Edicifio 27A Depto 202</t>
  </si>
  <si>
    <t>Purisima 42</t>
  </si>
  <si>
    <t>Edificio 13A</t>
  </si>
  <si>
    <t>Aquiles Cerdan 834</t>
  </si>
  <si>
    <t>4 paquetes de baño</t>
  </si>
  <si>
    <t>2 cocas 1,700 y 1k de tortillas</t>
  </si>
  <si>
    <t>20 de jamon, 1/ de panela, oxaca y 20 de longaniza</t>
  </si>
  <si>
    <t>1 cigarros, 1 paquete de salchichas, 1/4 de jamon, 1/4 de oaxaca, 1/4 de panela 1 sobre de sierra</t>
  </si>
  <si>
    <t xml:space="preserve">15 de habas, 1 sopa </t>
  </si>
  <si>
    <t>Me llevo $200 nacia</t>
  </si>
  <si>
    <t>Charls 100</t>
  </si>
  <si>
    <t>$114 del pollo</t>
  </si>
  <si>
    <t>Charls  se lleva 150</t>
  </si>
  <si>
    <t xml:space="preserve">pollo </t>
  </si>
  <si>
    <t>Ivanna</t>
  </si>
  <si>
    <t>3 gorditas</t>
  </si>
  <si>
    <t xml:space="preserve">1 powered rojo, 1/2 huevo, 1 boin  de l </t>
  </si>
  <si>
    <t>2 aguacates, 1/2 limon,  kg tortillas, 1 peñafiel de naranja</t>
  </si>
  <si>
    <t>1 pechuga de pollo partida</t>
  </si>
  <si>
    <t>Edificio 12  b depto 101</t>
  </si>
  <si>
    <t>2 kawas y 1/2 kg de tortillas</t>
  </si>
  <si>
    <t>1 pechug en 5 bisteces</t>
  </si>
  <si>
    <t>Edificio 15 b depto 501</t>
  </si>
  <si>
    <t>Angel y tortilleria</t>
  </si>
  <si>
    <t>1/2 CHORIZO, 1 CLORO, $20 CHICHARRON</t>
  </si>
  <si>
    <t>Edificio 2 b</t>
  </si>
  <si>
    <t xml:space="preserve">xl3 , 3 esquites 2 con todo del q pica, 1 solo limon y chile, 1 coca de 1,300, </t>
  </si>
  <si>
    <t>Irma y esquites</t>
  </si>
  <si>
    <t>Monserrat</t>
  </si>
  <si>
    <t>Edificio 21 Depto 404</t>
  </si>
  <si>
    <t>44 de manchego, 40 de jamon, 24 de bolillos</t>
  </si>
  <si>
    <t>Purisima11</t>
  </si>
  <si>
    <t>Tacos beto</t>
  </si>
  <si>
    <t>12 tacos</t>
  </si>
  <si>
    <t>Pastrano</t>
  </si>
  <si>
    <t>3 hojas 1 fomi</t>
  </si>
  <si>
    <t>Se borraron 8 pedidos, al rato llego y los paso a la compu, están en  teléfono</t>
  </si>
  <si>
    <t>1 coca de 1,700, 1 nito 1  panquecremx</t>
  </si>
  <si>
    <t>Azhalahea</t>
  </si>
  <si>
    <t xml:space="preserve">10 bolillos, 1 aguacate, 1k de salichichas </t>
  </si>
  <si>
    <t>1 takis, 1 gatoraide 1l, 1 cigarros, 1 fabuloso</t>
  </si>
  <si>
    <t>8 bolollos, 30 de jamon 1/2 de huevo, 1 tuvo de principe</t>
  </si>
  <si>
    <t>1 sensau, 1 coca de 600, 2 bubulubus, 1 riunners</t>
  </si>
  <si>
    <t>Adeli</t>
  </si>
  <si>
    <t>2 chilaquiles sin cebolla</t>
  </si>
  <si>
    <t>Cremeria</t>
  </si>
  <si>
    <t>4 garrafones</t>
  </si>
  <si>
    <t xml:space="preserve">10 kg azucar </t>
  </si>
  <si>
    <t>1 PIERNA JAMON</t>
  </si>
  <si>
    <t xml:space="preserve">4 sobres café , </t>
  </si>
  <si>
    <t>2k de corquetas</t>
  </si>
  <si>
    <t>Buba</t>
  </si>
  <si>
    <t>Tata</t>
  </si>
  <si>
    <t>1 papasw</t>
  </si>
  <si>
    <t xml:space="preserve">Edifcipo 23 a </t>
  </si>
  <si>
    <t>Jardin de niños</t>
  </si>
  <si>
    <t xml:space="preserve">2 velas grandes o medianas en color azul o blanco </t>
  </si>
  <si>
    <t>Hacienda castañeda</t>
  </si>
  <si>
    <t>1 tamal verde, 1 atole</t>
  </si>
  <si>
    <t>554190O2669</t>
  </si>
  <si>
    <t>1 garrafon y unos chester</t>
  </si>
  <si>
    <t>1/4 queso panela, 1/2 tortillas, 4 suavicremas</t>
  </si>
  <si>
    <t>1/5 LONGANIZA, 1/2 TORTILLAS</t>
  </si>
  <si>
    <t xml:space="preserve">5 Tacos de maciza y 2 manzanas </t>
  </si>
  <si>
    <t xml:space="preserve">Edificio 32 b </t>
  </si>
  <si>
    <t>Local uñas</t>
  </si>
  <si>
    <t>Acuacliva</t>
  </si>
  <si>
    <t>Carnitas</t>
  </si>
  <si>
    <t>Carniceri y tortilleria</t>
  </si>
  <si>
    <t>Edificio 44A Depto 504</t>
  </si>
  <si>
    <t>2 cocas de 600, 1 papas grandes, 2 l de leche</t>
  </si>
  <si>
    <t>Suoersito</t>
  </si>
  <si>
    <t>1Absolut, 1 mineral 2l. 6 six tonic, 1 hierlos, 6 vasos</t>
  </si>
  <si>
    <t>3 sandwich 2 caguamas</t>
  </si>
  <si>
    <t xml:space="preserve">2 six indio un cuarto de q rayado salsa roja </t>
  </si>
  <si>
    <t>Hacienda Claveria 43</t>
  </si>
  <si>
    <t>3 caguamas, 2 carives</t>
  </si>
  <si>
    <t>1 absolut, 6 aguas tonicas, 2 caguamas</t>
  </si>
  <si>
    <t>2 hamburgesas, 1 red, 1 principe</t>
  </si>
  <si>
    <t>Tacos dany, urma</t>
  </si>
  <si>
    <t>15 tacos, 1 gatoiraide,, 1 mazapan, 4  pilas</t>
  </si>
  <si>
    <t>6 a depto 404</t>
  </si>
  <si>
    <t>2 aceitunas son huso, 1 knor suiza de camaron, 1 galletas marias</t>
  </si>
  <si>
    <t>Zacarias</t>
  </si>
  <si>
    <t>1 pan bimbo grande blanco, 5 bolillos, 1 penca mediana, 1/2 huevo</t>
  </si>
  <si>
    <t>Hacienda portales 36</t>
  </si>
  <si>
    <t>1 six modelo, 1 kg tortillas, 3 cocas y 1 mundet de manzana</t>
  </si>
  <si>
    <t>1.5 kg mixiote</t>
  </si>
  <si>
    <t>Mauricio bravo</t>
  </si>
  <si>
    <t>12 pack de modelo de vidrio, chips verdes grandes</t>
  </si>
  <si>
    <t>9 Bdepto 501</t>
  </si>
  <si>
    <t xml:space="preserve">2 garrafon bonafont, 4 aguas minerales, 1 squirt 3l,  1/4 chicharron, 1 salsa tabasco, 1 salsa inglesa, 1 six modelo </t>
  </si>
  <si>
    <t>1/2 bisteck, 2 pepinos y 5 limones</t>
  </si>
  <si>
    <t>1 coca de 3l retornable, 1 kg tortillas</t>
  </si>
  <si>
    <t>chicharron $50, 1 kg tortillas</t>
  </si>
  <si>
    <t xml:space="preserve">1 coca sin azucar </t>
  </si>
  <si>
    <t>1 camaron, 2 retornables sin azucar</t>
  </si>
  <si>
    <t>1 Cigarros craft</t>
  </si>
  <si>
    <t xml:space="preserve">MI NIÑO </t>
  </si>
  <si>
    <t xml:space="preserve">YO MERO </t>
  </si>
  <si>
    <t>PRIMASO</t>
  </si>
  <si>
    <t>2 GARRAFONES BONAFONT DE 20 L</t>
  </si>
  <si>
    <t>edificio 18 b depto 501</t>
  </si>
  <si>
    <t>Lizbeth</t>
  </si>
  <si>
    <t>me dio 200</t>
  </si>
  <si>
    <t xml:space="preserve">Regresa </t>
  </si>
  <si>
    <t>Olivar del donde 49</t>
  </si>
  <si>
    <t xml:space="preserve">1 k de huevo, 1 l de leche </t>
  </si>
  <si>
    <t>Purisima 49</t>
  </si>
  <si>
    <t xml:space="preserve">1 sprit de 3l, medio de limon, medio de tortillas, 1 cebolla 1 salsa casera </t>
  </si>
  <si>
    <t>4 panditas, 1 panditas chile, 1 ruffles, 1 senzao, 1 coca 600, 1 doritos</t>
  </si>
  <si>
    <t>1/4 jamon, 1 chapiñones, victoria</t>
  </si>
  <si>
    <t>mar</t>
  </si>
  <si>
    <t>Kary</t>
  </si>
  <si>
    <t>ana</t>
  </si>
  <si>
    <t>alejandrs</t>
  </si>
  <si>
    <t>Cuñada</t>
  </si>
  <si>
    <t>1 tamal verde y 1 atole</t>
  </si>
  <si>
    <t>Edificio 14 b deto 204</t>
  </si>
  <si>
    <t>Leche lala fresca</t>
  </si>
  <si>
    <t>Deudores</t>
  </si>
  <si>
    <t xml:space="preserve">Día de pedido </t>
  </si>
  <si>
    <t xml:space="preserve">N° de pedido </t>
  </si>
  <si>
    <t>Deudor</t>
  </si>
  <si>
    <t>N° de teléfono</t>
  </si>
  <si>
    <t>Entrega</t>
  </si>
  <si>
    <t>Proveedor</t>
  </si>
  <si>
    <t>Costo</t>
  </si>
  <si>
    <t>Tarifa</t>
  </si>
  <si>
    <t xml:space="preserve">Hora de llamada </t>
  </si>
  <si>
    <t>(Inicio del dia- fin de dia)</t>
  </si>
  <si>
    <t>9 am a 4 pm</t>
  </si>
  <si>
    <t xml:space="preserve">4 pm a 10 pm </t>
  </si>
  <si>
    <t>Tarjeta</t>
  </si>
  <si>
    <t>Castañeda</t>
  </si>
  <si>
    <t xml:space="preserve">Diclofenaco  con complejo b, alucurinol de 100 ml </t>
  </si>
  <si>
    <t>}</t>
  </si>
  <si>
    <t>Juan de la chingada</t>
  </si>
  <si>
    <t xml:space="preserve">1 Pz de jamon </t>
  </si>
  <si>
    <t>Edificio 6 a</t>
  </si>
  <si>
    <t>1/2 bisteck, 1 kg tortillas, 1 frijoles, totopos</t>
  </si>
  <si>
    <t>oxxo,lupita</t>
  </si>
  <si>
    <t>Aquiles 844 c102</t>
  </si>
  <si>
    <t>2 garrafones, 2 peñafieles</t>
  </si>
  <si>
    <t xml:space="preserve">1 palomitas, 1 sumbagoma, </t>
  </si>
  <si>
    <t xml:space="preserve">5 papas, 2 panditas, 1 pan tostado,1/2 de jamon,  4 gelatinas, </t>
  </si>
  <si>
    <t>a favor 82 con reyes</t>
  </si>
  <si>
    <t>tacos don beto</t>
  </si>
  <si>
    <t>Papeleria jose</t>
  </si>
  <si>
    <t>8 tacos</t>
  </si>
  <si>
    <t>1 lata de piña, 1 lata de durazno, 1 k de manzana</t>
  </si>
  <si>
    <t>hamburgesas y reyes</t>
  </si>
  <si>
    <t xml:space="preserve">2 hamburgesas, 1 maxi tubu, 1l leche,1 pepsi 3l, 1 paracetamol, </t>
  </si>
  <si>
    <t>panaderia, recauderia</t>
  </si>
  <si>
    <t>2 latas de frijoles, 8 bolillos, 1 kg de plátano</t>
  </si>
  <si>
    <t>Reyes e irma</t>
  </si>
  <si>
    <t>1 tehuacan de 2 l, 1 mundet, 4 gelatinas, 1 harina de arroz, 2 alpura</t>
  </si>
  <si>
    <t>3 de pierna y muslo si piel y partidas, $10 de zanahorias, 1 kg tortillas</t>
  </si>
  <si>
    <t>1 kg de espaldilla y 1/2 longaniza</t>
  </si>
  <si>
    <t>1/4 De jamon d epierna y 1 paquete de medias noches, 1 sidral de 1 l, 1 kg azucar, 1/2 kg de tortillas</t>
  </si>
  <si>
    <t>Mole de oya de pollo, enmoladas, 1 pz pollo con mole, huevo con longaniza o salchicha, verdes chilaquiles verdes</t>
  </si>
  <si>
    <t xml:space="preserve">1 kg tortillas y 1 coca de 3l </t>
  </si>
  <si>
    <t>sr. Juarez</t>
  </si>
  <si>
    <t>Irma y tortillas</t>
  </si>
  <si>
    <t>1/2 de huevo</t>
  </si>
  <si>
    <t xml:space="preserve">Cristina </t>
  </si>
  <si>
    <t>Edificio 6B Depo 202</t>
  </si>
  <si>
    <t>1 crema de 1/4, medio de tortillas, 1 arroz</t>
  </si>
  <si>
    <t>1 caguama,1 jack, 2 runners</t>
  </si>
  <si>
    <t xml:space="preserve">1 trikitratekts1 tortillas de 20, 1 jitomate, 1l de leche, </t>
  </si>
  <si>
    <t>Se guardan 500</t>
  </si>
  <si>
    <t xml:space="preserve">Joaco 2 </t>
  </si>
  <si>
    <t>3 ordenes</t>
  </si>
  <si>
    <t>Kinder</t>
  </si>
  <si>
    <t>Town</t>
  </si>
  <si>
    <t>4 cocas retornables</t>
  </si>
  <si>
    <t>1kg de limon, 3 aguacates, 1 sensao, 1 coca de 1l, 1 botanera</t>
  </si>
  <si>
    <t>5  bolsas de sopa, 3 latas de carneishon, 4 papel aluminio, 3 bolsas de sal. 4 mayonesas, 4 salsas valentinas</t>
  </si>
  <si>
    <t>Edificio 7a</t>
  </si>
  <si>
    <t xml:space="preserve">1 jugo y 1 coctel </t>
  </si>
  <si>
    <t>1 tostadas charras, 2 cocas 1.75, 1/2 tomte verde, 1/2 q blanco</t>
  </si>
  <si>
    <t xml:space="preserve">2 de 600 sin azucar, </t>
  </si>
  <si>
    <t>34A 202</t>
  </si>
  <si>
    <t>2 caguamas victoria</t>
  </si>
  <si>
    <t>1 bolsa de hielos, 1 sqiirt 2l, 1  mineral de 2l, medio de limon, 1 paquete de vasos, 2 bolsas de ruffles de queso , 2 chi´ps flamin hot,,1 bolsa de cacahbuates,1 chips jalaéño</t>
  </si>
  <si>
    <t>2 garrafoenes bonafont,1/4 de jamon, 1 mineral de 2l, 2 mundet 2l, 1k de mandarina</t>
  </si>
  <si>
    <t>dany y irma</t>
  </si>
  <si>
    <t>aquiles cerdan 844 c102</t>
  </si>
  <si>
    <t>13 tacos y 2 minerales de 600, 2 cocas de vidrio</t>
  </si>
  <si>
    <t>Srtia-Torres</t>
  </si>
  <si>
    <t>:7:00</t>
  </si>
  <si>
    <t xml:space="preserve">dany   </t>
  </si>
  <si>
    <t>16 tacos, 1l de leche, 1 maxi tubo, 1 pepsi 1700</t>
  </si>
  <si>
    <t>Utilidad</t>
  </si>
  <si>
    <t>Utilidad m</t>
  </si>
  <si>
    <t>Utilidad n</t>
  </si>
  <si>
    <t xml:space="preserve">America bolaños </t>
  </si>
  <si>
    <t>Edificio 44 a depto 504</t>
  </si>
  <si>
    <t>Isabell</t>
  </si>
  <si>
    <t>tacos-vecino</t>
  </si>
  <si>
    <t>Nava</t>
  </si>
  <si>
    <t>alejandra-portales7</t>
  </si>
  <si>
    <t>alejandra-7a</t>
  </si>
  <si>
    <t>alejandra-20a</t>
  </si>
  <si>
    <t>Carlos-galindo</t>
  </si>
  <si>
    <t>Alejandra-portales7</t>
  </si>
  <si>
    <t>Fer</t>
  </si>
  <si>
    <t>Brauli</t>
  </si>
  <si>
    <t>Portales39</t>
  </si>
  <si>
    <t>1/4 Jamon, 1/4 manchego, 1 tortillas de harina, 1kg tortillas</t>
  </si>
  <si>
    <t>1 agua de 1l, 1 jugo de durazno, 1 gelatina</t>
  </si>
  <si>
    <t>2 cocas de 1.75, 1 kg tortillas, 2 aguacates</t>
  </si>
  <si>
    <t>1 kg tortillas, 2 aguacate</t>
  </si>
  <si>
    <t xml:space="preserve">1 Garrafon </t>
  </si>
  <si>
    <t>Edifcio 14 a</t>
  </si>
  <si>
    <t xml:space="preserve">Edificio 44 a </t>
  </si>
  <si>
    <t>1 kg tomate, 1 kg tortillas,</t>
  </si>
  <si>
    <t>3 bolsas de  basura, 3 cocas de 600</t>
  </si>
  <si>
    <t>Reyees</t>
  </si>
  <si>
    <t>bolo</t>
  </si>
  <si>
    <t>Edificio 23A Dpto 202</t>
  </si>
  <si>
    <t>1 coca de 600</t>
  </si>
  <si>
    <t>1 coca de 3l, 1 malboro de 20,1 doritos nacho, 1 jalapecño, 30 de oaxaca</t>
  </si>
  <si>
    <t>4 bolillos, 1 cuadro de chocolate</t>
  </si>
  <si>
    <t xml:space="preserve">Edificio 34A </t>
  </si>
  <si>
    <t>Panaderia Francisco</t>
  </si>
  <si>
    <t>4 caguamas victoria</t>
  </si>
  <si>
    <t xml:space="preserve">Edificio 29A Depto </t>
  </si>
  <si>
    <t>Cliente 2</t>
  </si>
  <si>
    <t>TARJETRA</t>
  </si>
  <si>
    <t>Dias trabajador</t>
  </si>
  <si>
    <t>Salario</t>
  </si>
  <si>
    <t>Inversion monetaria</t>
  </si>
  <si>
    <t xml:space="preserve">Inversion trabajo </t>
  </si>
  <si>
    <t>Horas trabajadas</t>
  </si>
  <si>
    <t>Trato con proveedores</t>
  </si>
  <si>
    <t>Sistema de datos</t>
  </si>
  <si>
    <t>Semana 13</t>
  </si>
  <si>
    <t>Semana 14</t>
  </si>
  <si>
    <t>Semana 15</t>
  </si>
  <si>
    <t>Semana 16</t>
  </si>
  <si>
    <t xml:space="preserve">Semana 17 </t>
  </si>
  <si>
    <t xml:space="preserve">Semana 18 </t>
  </si>
  <si>
    <t xml:space="preserve">Semana 19 </t>
  </si>
  <si>
    <t>Semana 20</t>
  </si>
  <si>
    <t>Edificio 20 b depto 404</t>
  </si>
  <si>
    <t>Angel, carniceria, ecauderia</t>
  </si>
  <si>
    <t xml:space="preserve">1/2 Tortillas, 4 bisteces de costilla, 1 kg tomate, $5 cilantro </t>
  </si>
  <si>
    <t>1 pan hot dog, 2 paquetes de salchichas, 1k de huevo, 2l de leche deslactosada</t>
  </si>
  <si>
    <t>Edificio9 Depto 504</t>
  </si>
  <si>
    <t>israel, reyes</t>
  </si>
  <si>
    <t>4 Cocas retornables sin azucar 2,500</t>
  </si>
  <si>
    <t>santiago 76</t>
  </si>
  <si>
    <t>Cliente-Santiago76</t>
  </si>
  <si>
    <t>250 de juamon y de manchego</t>
  </si>
  <si>
    <t>panela, jamon 1/4 1l deslactosada alpura, 1l lala</t>
  </si>
  <si>
    <t xml:space="preserve">1 red de 2l, 2 papas paquetaxo, 1l de leche </t>
  </si>
  <si>
    <t>3l de leche, 2 bilithg,2 mundet</t>
  </si>
  <si>
    <t>Irvin 46</t>
  </si>
  <si>
    <t>Debe</t>
  </si>
  <si>
    <t>Tranfieren 100</t>
  </si>
  <si>
    <t>Alejandra-Castañeda</t>
  </si>
  <si>
    <t>Acua-cliva</t>
  </si>
  <si>
    <t>Bellako</t>
  </si>
  <si>
    <t>Carlos-6a</t>
  </si>
  <si>
    <t>jessica-portales</t>
  </si>
  <si>
    <t>Cliente-6a102</t>
  </si>
  <si>
    <t>1 ace de 1kg, 4 cocas sin azucar, poff, doritos nacho, sabritas</t>
  </si>
  <si>
    <t>1 comida corrida, 10 sobres para garo, 1 coca de 1l, 1 fuze tea</t>
  </si>
  <si>
    <t>2 suavitel, queso oaxaca 1/4, 1kg tortillas</t>
  </si>
  <si>
    <t>Irma, cocina</t>
  </si>
  <si>
    <t>Edificio 33a depto 402</t>
  </si>
  <si>
    <t>Edificio 7a depto402</t>
  </si>
  <si>
    <t xml:space="preserve">Edificio 15 b </t>
  </si>
  <si>
    <t>2 cocas de 2 l y 1 kg tortillas</t>
  </si>
  <si>
    <t xml:space="preserve">Tortillas de harina 20 y 1 jarrito </t>
  </si>
  <si>
    <t>Tortilleria y tienda</t>
  </si>
  <si>
    <t>Edificio-15b</t>
  </si>
  <si>
    <t xml:space="preserve"> 1 kg pierna y muslo, media pechuga</t>
  </si>
  <si>
    <t xml:space="preserve">May Rodriguez </t>
  </si>
  <si>
    <t>Maria Luisa</t>
  </si>
  <si>
    <t>irma y oxxo</t>
  </si>
  <si>
    <t>don dani y irma</t>
  </si>
  <si>
    <t>Edificio 30A Depto 202</t>
  </si>
  <si>
    <t>Condesa 42</t>
  </si>
  <si>
    <t>1 caguama, 4 basos, 1 cigarros de 20</t>
  </si>
  <si>
    <t>1 frijoles, 1 crema de 1/4,1l de leche, 6 bolillos 1 cuernito</t>
  </si>
  <si>
    <t>4 paquete de baño, 1 vela, 1 gansito</t>
  </si>
  <si>
    <t>1 leche de chocolate, 1 harina para hot</t>
  </si>
  <si>
    <t>1 pepsi de 600,44 de manchego, 1 l de leche, 1 triti maxitubo, 1 jitomate, 1 agucate</t>
  </si>
  <si>
    <t>6 de suadero, 1 pasticetas, 1 principe</t>
  </si>
  <si>
    <t>6 paquetes de rollos</t>
  </si>
  <si>
    <t>1 kg pierna, 1/2 pechuga, 2 zanahorias, 2 chayotes</t>
  </si>
  <si>
    <t>Edificio 14a</t>
  </si>
  <si>
    <t>Bachoco, recauderia</t>
  </si>
  <si>
    <t>1/2 kg huuevo, 1 bolsa de frijoles y 1 aguacate</t>
  </si>
  <si>
    <t>Jafet</t>
  </si>
  <si>
    <t>Sami</t>
  </si>
  <si>
    <t>Laura</t>
  </si>
  <si>
    <t>Emms</t>
  </si>
  <si>
    <t>Tavo</t>
  </si>
  <si>
    <t>1 nitp, 1 mamut, 1 sabritas</t>
  </si>
  <si>
    <t>Claveria43</t>
  </si>
  <si>
    <t>2 donas expolvoreadas,,1/2 de huevi, 1 leche,</t>
  </si>
  <si>
    <t>1/2 de azur, 1/4 de oaxaca</t>
  </si>
  <si>
    <t xml:space="preserve">1 pepsi de 3l, 1 cremax de fresa 1/4 de crema 1/2 de huevo, 1 paqc de salchicas </t>
  </si>
  <si>
    <t>debe</t>
  </si>
  <si>
    <t>Ahuatz 150 blonth 2 caguamas</t>
  </si>
  <si>
    <t xml:space="preserve">1 atole y 1 tamal </t>
  </si>
  <si>
    <t>Fernan</t>
  </si>
  <si>
    <t>Carlos</t>
  </si>
  <si>
    <t>Muaricio-Bravo</t>
  </si>
  <si>
    <t>9b depto 101</t>
  </si>
  <si>
    <t>Ediicio 19 b 201</t>
  </si>
  <si>
    <t>Tortilleria y recauderia</t>
  </si>
  <si>
    <t>1 kg tortillas, 1 kg limones</t>
  </si>
  <si>
    <t xml:space="preserve"> May</t>
  </si>
  <si>
    <t>1 rosca rellena</t>
  </si>
  <si>
    <t>Panaderi alos chinos</t>
  </si>
  <si>
    <t>PURISIMA-11</t>
  </si>
  <si>
    <t>America-44a</t>
  </si>
  <si>
    <t>1 kg tortillas</t>
  </si>
  <si>
    <t>Santiago 76</t>
  </si>
  <si>
    <t>2 cocas de 2.5 y 3 cebollas</t>
  </si>
  <si>
    <t>Recauderia y supercito</t>
  </si>
  <si>
    <t>Portales-39</t>
  </si>
  <si>
    <t>1 carton de 12 de vidrio c</t>
  </si>
  <si>
    <t>2 12 de vidrio c</t>
  </si>
  <si>
    <t>1 mineral de 600, 1 sidarl de 2l, 1 pan tostado</t>
  </si>
  <si>
    <t xml:space="preserve">1 papas 1 caguama </t>
  </si>
  <si>
    <t>6 bolillos, 2 bolsas de frijoles, 1 sidral de 3l y 3 platanos</t>
  </si>
  <si>
    <t>Edificio 6 a depto 504</t>
  </si>
  <si>
    <t>Panaderia e irma</t>
  </si>
  <si>
    <t>Dann</t>
  </si>
  <si>
    <t>Juan Carlos</t>
  </si>
  <si>
    <t>oxxo, irma</t>
  </si>
  <si>
    <t>reyes y jose</t>
  </si>
  <si>
    <t>judith</t>
  </si>
  <si>
    <t>Serranita Tienda</t>
  </si>
  <si>
    <t>6 paq de aluminio, 1 paq de kinder delice,10 paq de sewrvilletas,1 caja de cafiaspi</t>
  </si>
  <si>
    <t>2 garrafones, 2 sobres de harina de vainilla, 2 cocas,1 mineral</t>
  </si>
  <si>
    <t>Edificio 20A depto 102</t>
  </si>
  <si>
    <t>1 submarinos, 1 danup de fresa</t>
  </si>
  <si>
    <t xml:space="preserve">4 calabazas, 4 cocas, 1/2 de pechuga y 2 muslos </t>
  </si>
  <si>
    <t>Santiago 55</t>
  </si>
  <si>
    <t>3 cajas de cigarros blancos, 2 cocas de 3l reto, 10 pilas doble a</t>
  </si>
  <si>
    <t>Edificio 14 A Depto 101</t>
  </si>
  <si>
    <t>1/2 pechuga, 2 calabaqzas 1 chayote</t>
  </si>
  <si>
    <t>Adamari</t>
  </si>
  <si>
    <t xml:space="preserve">2 paquetes de aguas </t>
  </si>
  <si>
    <t>Se le debe al buba $350</t>
  </si>
  <si>
    <t xml:space="preserve">3 granadas, 1 pepino, 2 manzanas, 1 boing chico uva o manzanas </t>
  </si>
  <si>
    <t>Edificio 36 b depto 303</t>
  </si>
  <si>
    <t>Patricia-tovar</t>
  </si>
  <si>
    <t>Papá de irvin</t>
  </si>
  <si>
    <t>14 B DEPTO 201</t>
  </si>
  <si>
    <t>8 bolillos, 4 caguamas</t>
  </si>
  <si>
    <t xml:space="preserve">4 cervezas 0.0 2 cocas sin azucar </t>
  </si>
  <si>
    <t xml:space="preserve">2 hambugesas, 1 banderilla, 1 salami, 4 caguamas 2 </t>
  </si>
  <si>
    <t>Edificio 18A Depto 504</t>
  </si>
  <si>
    <t>1 pastisetas, 1 canelitas, 1 jarrito, 1 mamut</t>
  </si>
  <si>
    <t>Edificio 7A Deto 404</t>
  </si>
  <si>
    <t>1 coca 2,700, 1 caja malboro</t>
  </si>
  <si>
    <t xml:space="preserve">1k de tortilla, 1 frijoles </t>
  </si>
  <si>
    <t>agua 5l, 2 botellas de 1l</t>
  </si>
  <si>
    <t>6 sobres de gato, 1/2 de jamon, 1/4 de manchego,4 yakul, 2 gelatinas</t>
  </si>
  <si>
    <t>Local de birria</t>
  </si>
  <si>
    <t>Muricio Bravo</t>
  </si>
  <si>
    <t>Cliente-6A404</t>
  </si>
  <si>
    <t>Reyes, Irma</t>
  </si>
  <si>
    <t>2 CAGUAMAS 1 RED DE 3L, 2 VASOS</t>
  </si>
  <si>
    <t>1K Y MEDIO</t>
  </si>
  <si>
    <t>1K DE TORTILLAS</t>
  </si>
  <si>
    <t>1 ROMA Y ARIEL DE 1/2, 1 GARRAFON DE 10L EPURA,1/2 DE JAMON</t>
  </si>
  <si>
    <t>Chuqui</t>
  </si>
  <si>
    <t>Edificio 21A</t>
  </si>
  <si>
    <t>Edificio 44a Depto 504</t>
  </si>
  <si>
    <t>1 CAJA DE CIGARROS, 1L DE LECHE, 1 JARRITO ROJO 1 SABRITAS</t>
  </si>
  <si>
    <t>1 CAGUAMA, 1/ DE JAMON Y DE OAXACA, 1 COCA DE 2,700</t>
  </si>
  <si>
    <t>2 MAGNUM DE ALMENDRA Y 1 TOSTADAS</t>
  </si>
  <si>
    <t xml:space="preserve">2 PAPAS SABRITAS 2 TANG DE NARANJA </t>
  </si>
  <si>
    <t>Babo</t>
  </si>
  <si>
    <t>1 Leche lala</t>
  </si>
  <si>
    <t>2 Sangrias</t>
  </si>
  <si>
    <t>2 pilas doble a, 1 doritos, 1 takis, 3 cuboz nork</t>
  </si>
  <si>
    <t>2 jitomates, 1 red cola de 2l, 35 de queso manchego, 1 aguacate, tortillas de harina 12</t>
  </si>
  <si>
    <t>5 Bolillos, 1 l de leche, 1 bolsa de frijoles</t>
  </si>
  <si>
    <t xml:space="preserve">1 Pan integral, mantecadas, </t>
  </si>
  <si>
    <t>Casa danielsa</t>
  </si>
  <si>
    <t>1 coca de 3 l retornable, pallmar alasa</t>
  </si>
  <si>
    <t>1 triki trakets, 1 leche alpura, 50 croquetas</t>
  </si>
  <si>
    <t>1 six modelo</t>
  </si>
  <si>
    <t>salario minimo</t>
  </si>
  <si>
    <t>xh</t>
  </si>
  <si>
    <t>mauricio-bravo</t>
  </si>
  <si>
    <t>Fransisco</t>
  </si>
  <si>
    <t>Recluta</t>
  </si>
  <si>
    <t>Alejandra-portales</t>
  </si>
  <si>
    <t>Alejandra-9b</t>
  </si>
  <si>
    <t>clienta-35</t>
  </si>
  <si>
    <t>eva</t>
  </si>
  <si>
    <t>Alejadra-20a</t>
  </si>
  <si>
    <t>alejandra-portales</t>
  </si>
  <si>
    <t>fernan</t>
  </si>
  <si>
    <t>Socorro</t>
  </si>
  <si>
    <t>Carmen</t>
  </si>
  <si>
    <t xml:space="preserve">Edificio 12 b </t>
  </si>
  <si>
    <t>Edificio 33a</t>
  </si>
  <si>
    <t>Soaida</t>
  </si>
  <si>
    <t xml:space="preserve">1 kg espaldilla, 1 bolsita de maiz </t>
  </si>
  <si>
    <t xml:space="preserve">Hacienda santiago 104 </t>
  </si>
  <si>
    <t xml:space="preserve">Edeificio 19 b </t>
  </si>
  <si>
    <t xml:space="preserve">1.5 de pechuga aplanada </t>
  </si>
  <si>
    <t>Edificio 36 a depto 302</t>
  </si>
  <si>
    <t>1/4 jamon, 1/4 queso oaxaca, 1l de alpura, Conchas bimbo, 1 suavitel</t>
  </si>
  <si>
    <t>2 Cocas de 1.700, 1 kg tortillas, 1/2 alpura, 1/4 queso blanco, 2 aguacates, 1kg frijol negro</t>
  </si>
  <si>
    <t>1 tang jamaica, 1 l de leche</t>
  </si>
  <si>
    <t xml:space="preserve">2 Cajas de cheste, 1 red de 3l, 2 cocas de 600, 125 g de jamon </t>
  </si>
  <si>
    <t xml:space="preserve">2 cocas de 3 l </t>
  </si>
  <si>
    <t>Edificio 27a</t>
  </si>
  <si>
    <t xml:space="preserve">1/2 g bisteck, 1 pefchuga d epollo </t>
  </si>
  <si>
    <t>SALCHICHA SAN RAFAEL, 1 MEDIAS NOCHES</t>
  </si>
  <si>
    <t>3B 501</t>
  </si>
  <si>
    <t>joaco 2</t>
  </si>
  <si>
    <t>panaderia y irma</t>
  </si>
  <si>
    <t>pastes quiko</t>
  </si>
  <si>
    <t>1 cable pc</t>
  </si>
  <si>
    <t>6 bolilloos, 1/4 de oaxaca</t>
  </si>
  <si>
    <t>2 bolillos, chetos naranja, 1 gansito</t>
  </si>
  <si>
    <t>6 pastes</t>
  </si>
  <si>
    <t>Fracisco</t>
  </si>
  <si>
    <t>panaderia narvarte</t>
  </si>
  <si>
    <t xml:space="preserve">8 pastes </t>
  </si>
  <si>
    <t>Contacto 13</t>
  </si>
  <si>
    <t>10:00:00pm</t>
  </si>
  <si>
    <t>Aquiles 844 c 101</t>
  </si>
  <si>
    <t>1 caja de marboro, 1 tunki, 1/4 de jamon</t>
  </si>
  <si>
    <t>1k de huevo, 1/4 de jamon, 1/2 de oaxaca</t>
  </si>
  <si>
    <t>1 kg de huevo, 1/4 jamon, 1 papaya</t>
  </si>
  <si>
    <t>1 Bolsa de totopos</t>
  </si>
  <si>
    <t>$70 carne molida, 2 zanahorias y 4 chiles</t>
  </si>
  <si>
    <t xml:space="preserve">1 jarrito </t>
  </si>
  <si>
    <t>1 coca de 1.700, 1 kg tortillas, 2 aguacates</t>
  </si>
  <si>
    <t>Tortilleria, serranita</t>
  </si>
  <si>
    <t xml:space="preserve">Edificio 1b </t>
  </si>
  <si>
    <t>Edificio 30 a depto 202</t>
  </si>
  <si>
    <t>Eificio 14 a depto 202</t>
  </si>
  <si>
    <t>Barberia</t>
  </si>
  <si>
    <t>daniel san</t>
  </si>
  <si>
    <t>tortilleria irma</t>
  </si>
  <si>
    <t>6 bolillos,1 coca 700 1 frijoles</t>
  </si>
  <si>
    <t xml:space="preserve">1/2 de jamon, 1 pan chicho </t>
  </si>
  <si>
    <t>2 pepsi 1 maxi tubo, 1l de leche, 1 papas, 1 cantqrito</t>
  </si>
  <si>
    <t xml:space="preserve">1 mayonesa, 1 paquetde salchica </t>
  </si>
  <si>
    <t>Edificio 27 A</t>
  </si>
  <si>
    <t>Transf</t>
  </si>
  <si>
    <t>SUMA TOTAL</t>
  </si>
  <si>
    <t xml:space="preserve">Karina </t>
  </si>
  <si>
    <t>Edificio 20B Depto 401</t>
  </si>
  <si>
    <t>Edificio 36B Depto 401</t>
  </si>
  <si>
    <t>Recauderia Judith</t>
  </si>
  <si>
    <t>Tamales Mario</t>
  </si>
  <si>
    <t>Polleria bachoco , israel</t>
  </si>
  <si>
    <t xml:space="preserve"> carniceria angel</t>
  </si>
  <si>
    <t xml:space="preserve">1/2 de carne molida </t>
  </si>
  <si>
    <t>olivar-43</t>
  </si>
  <si>
    <t>papeleria y tortilleria</t>
  </si>
  <si>
    <t>1 tamal verde 1 atole</t>
  </si>
  <si>
    <t xml:space="preserve">1 lata de elotes, 15 de tortillas, media pechuga en 4 </t>
  </si>
  <si>
    <t>aquiles 844 c102</t>
  </si>
  <si>
    <t>olivar de conde 43</t>
  </si>
  <si>
    <t>1 moño azul, 1k de tortillas</t>
  </si>
  <si>
    <t>Melisa</t>
  </si>
  <si>
    <t>Castañeda 20</t>
  </si>
  <si>
    <t xml:space="preserve">1 frijoles, 1 paquete de salchichas, 11 chetos </t>
  </si>
  <si>
    <t>Mónica</t>
  </si>
  <si>
    <t>Baruk</t>
  </si>
  <si>
    <t>1 pachita de bacardi blanco</t>
  </si>
  <si>
    <t>1 absout, 6 aguas tónias</t>
  </si>
  <si>
    <t>1 agua mineral, 1 coca de 1.700</t>
  </si>
  <si>
    <t>1 absout, 3 aguas tónias</t>
  </si>
  <si>
    <t xml:space="preserve">6  Bolillos, 1 bolsa de rufles de queso </t>
  </si>
  <si>
    <t>Panadero, irma</t>
  </si>
  <si>
    <t>1 CIGARROS MARLBORO ROJO</t>
  </si>
  <si>
    <t>Edificio 23b, cetis 33</t>
  </si>
  <si>
    <t>2 cocas de 600 y benson violet</t>
  </si>
  <si>
    <t>4 sabritas y 2 runers</t>
  </si>
  <si>
    <t>Hacienda  portales 32</t>
  </si>
  <si>
    <t>6 bolillos, 1 cuernito, 1.5 l leche deslactosada,1 rebanada</t>
  </si>
  <si>
    <t xml:space="preserve">Edifcio 14 a </t>
  </si>
  <si>
    <t>1 coca de lata, 14 marlboros</t>
  </si>
  <si>
    <t>20 a 201</t>
  </si>
  <si>
    <t xml:space="preserve"> judith</t>
  </si>
  <si>
    <t>6 agua tonica, 1 camel</t>
  </si>
  <si>
    <t>1 jack</t>
  </si>
  <si>
    <t>America-bolaños</t>
  </si>
  <si>
    <t>No especificado</t>
  </si>
  <si>
    <t>No espeficado</t>
  </si>
  <si>
    <t>Direc. Cli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</si>
</sst>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;[Red]\-&quot;$&quot;#,##0"/>
    <numFmt numFmtId="44" formatCode="_-&quot;$&quot;* #,##0.00_-;\-&quot;$&quot;* #,##0.00_-;_-&quot;$&quot;* &quot;-&quot;??_-;_-@_-"/>
    <numFmt numFmtId="164" formatCode="[$-F400]h:mm:ss\ AM/PM"/>
    <numFmt numFmtId="165" formatCode="_-[$$-80A]* #,##0.00_-;\-[$$-80A]* #,##0.00_-;_-[$$-80A]* &quot;-&quot;??_-;_-@_-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3300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3">
    <xf numFmtId="0" fontId="0" fillId="0" borderId="0" xfId="0"/>
    <xf numFmtId="0" fontId="0" fillId="2" borderId="1" xfId="0" applyFill="1" applyBorder="1" applyAlignment="1">
      <alignment vertical="center"/>
    </xf>
    <xf numFmtId="44" fontId="0" fillId="2" borderId="1" xfId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 wrapText="1"/>
    </xf>
    <xf numFmtId="44" fontId="0" fillId="4" borderId="2" xfId="1" applyFont="1" applyFill="1" applyBorder="1" applyAlignment="1">
      <alignment horizontal="center" vertical="center"/>
    </xf>
    <xf numFmtId="44" fontId="0" fillId="4" borderId="0" xfId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4" xfId="0" applyBorder="1"/>
    <xf numFmtId="14" fontId="0" fillId="0" borderId="4" xfId="0" applyNumberFormat="1" applyBorder="1"/>
    <xf numFmtId="44" fontId="0" fillId="0" borderId="4" xfId="1" applyFont="1" applyBorder="1"/>
    <xf numFmtId="165" fontId="0" fillId="0" borderId="5" xfId="1" applyNumberFormat="1" applyFont="1" applyBorder="1"/>
    <xf numFmtId="44" fontId="0" fillId="0" borderId="6" xfId="0" applyNumberFormat="1" applyBorder="1"/>
    <xf numFmtId="44" fontId="0" fillId="0" borderId="4" xfId="0" applyNumberFormat="1" applyBorder="1"/>
    <xf numFmtId="44" fontId="0" fillId="2" borderId="0" xfId="0" applyNumberFormat="1" applyFill="1"/>
    <xf numFmtId="164" fontId="0" fillId="0" borderId="3" xfId="0" applyNumberFormat="1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14" fontId="0" fillId="0" borderId="0" xfId="0" applyNumberFormat="1"/>
    <xf numFmtId="44" fontId="0" fillId="0" borderId="6" xfId="1" applyFont="1" applyBorder="1"/>
    <xf numFmtId="0" fontId="0" fillId="0" borderId="10" xfId="0" applyBorder="1"/>
    <xf numFmtId="0" fontId="0" fillId="0" borderId="11" xfId="0" applyBorder="1"/>
    <xf numFmtId="14" fontId="0" fillId="0" borderId="3" xfId="0" applyNumberFormat="1" applyBorder="1"/>
    <xf numFmtId="0" fontId="0" fillId="0" borderId="3" xfId="0" applyBorder="1"/>
    <xf numFmtId="44" fontId="0" fillId="0" borderId="12" xfId="1" applyFont="1" applyBorder="1"/>
    <xf numFmtId="44" fontId="0" fillId="0" borderId="13" xfId="1" applyFont="1" applyBorder="1"/>
    <xf numFmtId="44" fontId="0" fillId="0" borderId="4" xfId="1" applyFont="1" applyFill="1" applyBorder="1"/>
    <xf numFmtId="44" fontId="0" fillId="0" borderId="0" xfId="1" applyFont="1"/>
    <xf numFmtId="165" fontId="0" fillId="0" borderId="0" xfId="1" applyNumberFormat="1" applyFont="1"/>
    <xf numFmtId="44" fontId="0" fillId="0" borderId="12" xfId="1" applyFont="1" applyFill="1" applyBorder="1"/>
    <xf numFmtId="44" fontId="0" fillId="0" borderId="3" xfId="1" applyFont="1" applyBorder="1"/>
    <xf numFmtId="166" fontId="0" fillId="0" borderId="3" xfId="1" applyNumberFormat="1" applyFont="1" applyFill="1" applyBorder="1" applyAlignment="1">
      <alignment wrapText="1"/>
    </xf>
    <xf numFmtId="0" fontId="0" fillId="3" borderId="3" xfId="0" applyFill="1" applyBorder="1"/>
    <xf numFmtId="44" fontId="0" fillId="0" borderId="3" xfId="1" applyFont="1" applyFill="1" applyBorder="1"/>
    <xf numFmtId="44" fontId="0" fillId="0" borderId="3" xfId="0" applyNumberFormat="1" applyBorder="1"/>
    <xf numFmtId="0" fontId="0" fillId="0" borderId="12" xfId="0" applyBorder="1"/>
    <xf numFmtId="44" fontId="0" fillId="0" borderId="12" xfId="0" applyNumberFormat="1" applyBorder="1"/>
    <xf numFmtId="44" fontId="0" fillId="0" borderId="0" xfId="1" applyFont="1" applyFill="1" applyBorder="1"/>
    <xf numFmtId="44" fontId="0" fillId="5" borderId="0" xfId="0" applyNumberFormat="1" applyFill="1"/>
    <xf numFmtId="44" fontId="0" fillId="0" borderId="9" xfId="0" applyNumberFormat="1" applyBorder="1"/>
    <xf numFmtId="0" fontId="0" fillId="6" borderId="4" xfId="0" applyFill="1" applyBorder="1"/>
    <xf numFmtId="44" fontId="0" fillId="0" borderId="10" xfId="0" applyNumberFormat="1" applyBorder="1"/>
    <xf numFmtId="0" fontId="0" fillId="3" borderId="4" xfId="0" applyFill="1" applyBorder="1"/>
    <xf numFmtId="44" fontId="0" fillId="0" borderId="3" xfId="1" applyFont="1" applyFill="1" applyBorder="1" applyAlignment="1">
      <alignment wrapText="1"/>
    </xf>
    <xf numFmtId="14" fontId="0" fillId="2" borderId="0" xfId="0" applyNumberFormat="1" applyFill="1"/>
    <xf numFmtId="44" fontId="0" fillId="2" borderId="0" xfId="1" applyFont="1" applyFill="1"/>
    <xf numFmtId="0" fontId="0" fillId="4" borderId="5" xfId="0" applyFill="1" applyBorder="1" applyAlignment="1">
      <alignment horizontal="center" vertical="center"/>
    </xf>
    <xf numFmtId="44" fontId="0" fillId="6" borderId="5" xfId="0" applyNumberFormat="1" applyFill="1" applyBorder="1"/>
    <xf numFmtId="6" fontId="0" fillId="0" borderId="4" xfId="1" applyNumberFormat="1" applyFont="1" applyBorder="1"/>
    <xf numFmtId="44" fontId="0" fillId="0" borderId="9" xfId="1" applyFont="1" applyBorder="1"/>
    <xf numFmtId="0" fontId="0" fillId="0" borderId="5" xfId="0" applyBorder="1"/>
    <xf numFmtId="44" fontId="0" fillId="0" borderId="10" xfId="1" applyFont="1" applyBorder="1"/>
    <xf numFmtId="0" fontId="0" fillId="5" borderId="5" xfId="0" applyFill="1" applyBorder="1"/>
    <xf numFmtId="0" fontId="0" fillId="5" borderId="6" xfId="0" applyFill="1" applyBorder="1"/>
    <xf numFmtId="0" fontId="0" fillId="8" borderId="0" xfId="0" applyFill="1"/>
    <xf numFmtId="0" fontId="0" fillId="9" borderId="3" xfId="0" applyFill="1" applyBorder="1"/>
    <xf numFmtId="44" fontId="0" fillId="6" borderId="16" xfId="0" applyNumberFormat="1" applyFill="1" applyBorder="1"/>
    <xf numFmtId="44" fontId="0" fillId="6" borderId="4" xfId="0" applyNumberFormat="1" applyFill="1" applyBorder="1"/>
    <xf numFmtId="44" fontId="0" fillId="0" borderId="17" xfId="1" applyFont="1" applyBorder="1"/>
    <xf numFmtId="165" fontId="0" fillId="0" borderId="18" xfId="1" applyNumberFormat="1" applyFont="1" applyBorder="1"/>
    <xf numFmtId="0" fontId="0" fillId="0" borderId="4" xfId="0" applyBorder="1" applyAlignment="1">
      <alignment wrapText="1"/>
    </xf>
    <xf numFmtId="44" fontId="0" fillId="0" borderId="15" xfId="1" applyFont="1" applyBorder="1"/>
    <xf numFmtId="0" fontId="0" fillId="0" borderId="19" xfId="0" applyBorder="1"/>
    <xf numFmtId="44" fontId="0" fillId="0" borderId="20" xfId="1" applyFont="1" applyBorder="1"/>
    <xf numFmtId="44" fontId="0" fillId="0" borderId="19" xfId="1" applyFont="1" applyBorder="1"/>
    <xf numFmtId="44" fontId="0" fillId="2" borderId="1" xfId="0" applyNumberFormat="1" applyFill="1" applyBorder="1" applyAlignment="1">
      <alignment vertical="center"/>
    </xf>
    <xf numFmtId="14" fontId="0" fillId="4" borderId="3" xfId="0" applyNumberFormat="1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 wrapText="1"/>
    </xf>
    <xf numFmtId="44" fontId="0" fillId="4" borderId="3" xfId="1" applyFont="1" applyFill="1" applyBorder="1" applyAlignment="1">
      <alignment horizontal="center" vertical="center"/>
    </xf>
    <xf numFmtId="44" fontId="0" fillId="0" borderId="5" xfId="0" applyNumberFormat="1" applyBorder="1"/>
    <xf numFmtId="44" fontId="0" fillId="0" borderId="3" xfId="1" applyFont="1" applyBorder="1" applyAlignment="1">
      <alignment wrapText="1"/>
    </xf>
    <xf numFmtId="44" fontId="0" fillId="0" borderId="3" xfId="1" applyFont="1" applyBorder="1" applyAlignment="1">
      <alignment horizontal="left" wrapText="1"/>
    </xf>
    <xf numFmtId="44" fontId="0" fillId="0" borderId="11" xfId="1" applyFont="1" applyFill="1" applyBorder="1"/>
    <xf numFmtId="44" fontId="0" fillId="0" borderId="11" xfId="0" applyNumberFormat="1" applyBorder="1"/>
    <xf numFmtId="44" fontId="0" fillId="0" borderId="0" xfId="0" applyNumberFormat="1"/>
    <xf numFmtId="6" fontId="0" fillId="0" borderId="3" xfId="1" applyNumberFormat="1" applyFont="1" applyBorder="1"/>
    <xf numFmtId="44" fontId="0" fillId="8" borderId="0" xfId="0" applyNumberFormat="1" applyFill="1"/>
    <xf numFmtId="164" fontId="0" fillId="0" borderId="0" xfId="0" applyNumberFormat="1"/>
    <xf numFmtId="44" fontId="0" fillId="0" borderId="0" xfId="1" applyFont="1" applyBorder="1"/>
    <xf numFmtId="44" fontId="3" fillId="0" borderId="3" xfId="1" applyFont="1" applyBorder="1" applyAlignment="1">
      <alignment wrapText="1"/>
    </xf>
    <xf numFmtId="14" fontId="2" fillId="9" borderId="3" xfId="0" applyNumberFormat="1" applyFont="1" applyFill="1" applyBorder="1"/>
    <xf numFmtId="0" fontId="2" fillId="9" borderId="3" xfId="0" applyFont="1" applyFill="1" applyBorder="1"/>
    <xf numFmtId="44" fontId="2" fillId="9" borderId="3" xfId="1" applyFont="1" applyFill="1" applyBorder="1"/>
    <xf numFmtId="14" fontId="0" fillId="0" borderId="5" xfId="0" applyNumberFormat="1" applyBorder="1"/>
    <xf numFmtId="165" fontId="0" fillId="0" borderId="4" xfId="1" applyNumberFormat="1" applyFont="1" applyBorder="1"/>
    <xf numFmtId="165" fontId="0" fillId="0" borderId="4" xfId="0" applyNumberFormat="1" applyBorder="1"/>
    <xf numFmtId="165" fontId="0" fillId="0" borderId="4" xfId="1" applyNumberFormat="1" applyFont="1" applyFill="1" applyBorder="1" applyAlignment="1">
      <alignment wrapText="1"/>
    </xf>
    <xf numFmtId="14" fontId="0" fillId="0" borderId="12" xfId="0" applyNumberFormat="1" applyBorder="1"/>
    <xf numFmtId="44" fontId="0" fillId="0" borderId="21" xfId="0" applyNumberFormat="1" applyBorder="1"/>
    <xf numFmtId="14" fontId="0" fillId="0" borderId="2" xfId="0" applyNumberFormat="1" applyBorder="1"/>
    <xf numFmtId="44" fontId="0" fillId="0" borderId="8" xfId="1" applyFont="1" applyBorder="1"/>
    <xf numFmtId="44" fontId="0" fillId="0" borderId="9" xfId="1" applyFont="1" applyFill="1" applyBorder="1"/>
    <xf numFmtId="166" fontId="0" fillId="0" borderId="4" xfId="1" applyNumberFormat="1" applyFont="1" applyFill="1" applyBorder="1" applyAlignment="1">
      <alignment wrapText="1"/>
    </xf>
    <xf numFmtId="0" fontId="0" fillId="0" borderId="6" xfId="0" applyBorder="1"/>
    <xf numFmtId="14" fontId="0" fillId="0" borderId="10" xfId="0" applyNumberFormat="1" applyBorder="1"/>
    <xf numFmtId="0" fontId="0" fillId="0" borderId="2" xfId="0" applyBorder="1"/>
    <xf numFmtId="44" fontId="0" fillId="0" borderId="11" xfId="1" applyFont="1" applyBorder="1"/>
    <xf numFmtId="14" fontId="0" fillId="0" borderId="9" xfId="0" applyNumberFormat="1" applyBorder="1"/>
    <xf numFmtId="165" fontId="0" fillId="0" borderId="16" xfId="1" applyNumberFormat="1" applyFont="1" applyBorder="1"/>
    <xf numFmtId="44" fontId="0" fillId="0" borderId="20" xfId="0" applyNumberFormat="1" applyBorder="1"/>
    <xf numFmtId="3" fontId="0" fillId="0" borderId="4" xfId="0" applyNumberFormat="1" applyBorder="1"/>
    <xf numFmtId="44" fontId="0" fillId="0" borderId="17" xfId="0" applyNumberFormat="1" applyBorder="1"/>
    <xf numFmtId="0" fontId="0" fillId="8" borderId="4" xfId="0" applyFill="1" applyBorder="1"/>
    <xf numFmtId="14" fontId="0" fillId="8" borderId="4" xfId="0" applyNumberFormat="1" applyFill="1" applyBorder="1"/>
    <xf numFmtId="44" fontId="0" fillId="8" borderId="4" xfId="1" applyFont="1" applyFill="1" applyBorder="1"/>
    <xf numFmtId="14" fontId="0" fillId="8" borderId="12" xfId="0" applyNumberFormat="1" applyFill="1" applyBorder="1"/>
    <xf numFmtId="0" fontId="0" fillId="8" borderId="12" xfId="0" applyFill="1" applyBorder="1"/>
    <xf numFmtId="0" fontId="2" fillId="10" borderId="0" xfId="0" applyFont="1" applyFill="1"/>
    <xf numFmtId="44" fontId="0" fillId="0" borderId="20" xfId="1" applyFont="1" applyFill="1" applyBorder="1"/>
    <xf numFmtId="0" fontId="0" fillId="0" borderId="16" xfId="0" applyBorder="1"/>
    <xf numFmtId="0" fontId="0" fillId="0" borderId="22" xfId="0" applyBorder="1"/>
    <xf numFmtId="44" fontId="0" fillId="0" borderId="23" xfId="1" applyFont="1" applyBorder="1"/>
    <xf numFmtId="0" fontId="0" fillId="0" borderId="0" xfId="0" applyFill="1" applyBorder="1"/>
    <xf numFmtId="165" fontId="0" fillId="0" borderId="3" xfId="1" applyNumberFormat="1" applyFont="1" applyBorder="1"/>
    <xf numFmtId="0" fontId="0" fillId="0" borderId="3" xfId="0" applyFill="1" applyBorder="1"/>
    <xf numFmtId="0" fontId="0" fillId="0" borderId="11" xfId="0" applyFill="1" applyBorder="1"/>
    <xf numFmtId="0" fontId="0" fillId="3" borderId="11" xfId="0" applyFill="1" applyBorder="1"/>
    <xf numFmtId="44" fontId="0" fillId="0" borderId="0" xfId="0" applyNumberFormat="1" applyBorder="1"/>
    <xf numFmtId="14" fontId="0" fillId="6" borderId="0" xfId="0" applyNumberFormat="1" applyFill="1"/>
    <xf numFmtId="0" fontId="0" fillId="6" borderId="0" xfId="0" applyFill="1"/>
    <xf numFmtId="44" fontId="0" fillId="6" borderId="0" xfId="1" applyFont="1" applyFill="1"/>
    <xf numFmtId="44" fontId="0" fillId="0" borderId="24" xfId="0" applyNumberFormat="1" applyFill="1" applyBorder="1"/>
    <xf numFmtId="44" fontId="0" fillId="0" borderId="11" xfId="0" applyNumberFormat="1" applyFill="1" applyBorder="1"/>
    <xf numFmtId="44" fontId="0" fillId="0" borderId="8" xfId="0" applyNumberFormat="1" applyFill="1" applyBorder="1"/>
    <xf numFmtId="0" fontId="0" fillId="0" borderId="25" xfId="0" applyFill="1" applyBorder="1"/>
    <xf numFmtId="0" fontId="0" fillId="8" borderId="2" xfId="0" applyFill="1" applyBorder="1"/>
    <xf numFmtId="44" fontId="0" fillId="0" borderId="2" xfId="0" applyNumberFormat="1" applyBorder="1"/>
    <xf numFmtId="164" fontId="0" fillId="4" borderId="20" xfId="0" applyNumberFormat="1" applyFill="1" applyBorder="1" applyAlignment="1">
      <alignment horizontal="center" vertical="center"/>
    </xf>
    <xf numFmtId="164" fontId="0" fillId="0" borderId="20" xfId="0" applyNumberFormat="1" applyBorder="1"/>
    <xf numFmtId="0" fontId="0" fillId="0" borderId="20" xfId="0" applyBorder="1"/>
    <xf numFmtId="0" fontId="0" fillId="2" borderId="0" xfId="0" applyFill="1" applyBorder="1" applyAlignment="1">
      <alignment vertical="center"/>
    </xf>
    <xf numFmtId="44" fontId="0" fillId="2" borderId="0" xfId="0" applyNumberFormat="1" applyFill="1" applyBorder="1"/>
    <xf numFmtId="0" fontId="0" fillId="2" borderId="0" xfId="0" applyFill="1" applyBorder="1"/>
    <xf numFmtId="14" fontId="0" fillId="0" borderId="18" xfId="0" applyNumberFormat="1" applyBorder="1"/>
    <xf numFmtId="0" fontId="0" fillId="6" borderId="3" xfId="0" applyFill="1" applyBorder="1"/>
    <xf numFmtId="164" fontId="0" fillId="3" borderId="11" xfId="0" applyNumberFormat="1" applyFill="1" applyBorder="1" applyAlignment="1">
      <alignment vertical="center" wrapText="1"/>
    </xf>
    <xf numFmtId="164" fontId="0" fillId="3" borderId="12" xfId="0" applyNumberFormat="1" applyFill="1" applyBorder="1" applyAlignment="1">
      <alignment vertical="center" wrapText="1"/>
    </xf>
    <xf numFmtId="0" fontId="0" fillId="11" borderId="3" xfId="0" applyFill="1" applyBorder="1"/>
    <xf numFmtId="164" fontId="0" fillId="0" borderId="20" xfId="0" applyNumberFormat="1" applyBorder="1"/>
    <xf numFmtId="18" fontId="0" fillId="0" borderId="20" xfId="0" applyNumberFormat="1" applyBorder="1"/>
    <xf numFmtId="14" fontId="0" fillId="0" borderId="25" xfId="0" applyNumberFormat="1" applyFill="1" applyBorder="1"/>
    <xf numFmtId="0" fontId="0" fillId="9" borderId="0" xfId="0" applyFill="1"/>
    <xf numFmtId="16" fontId="0" fillId="0" borderId="3" xfId="0" applyNumberFormat="1" applyBorder="1"/>
    <xf numFmtId="165" fontId="0" fillId="0" borderId="3" xfId="1" applyNumberFormat="1" applyFont="1" applyBorder="1" applyAlignment="1">
      <alignment horizontal="center"/>
    </xf>
    <xf numFmtId="44" fontId="0" fillId="0" borderId="19" xfId="1" applyFont="1" applyBorder="1" applyAlignment="1"/>
    <xf numFmtId="44" fontId="0" fillId="0" borderId="20" xfId="1" applyFont="1" applyBorder="1" applyAlignment="1"/>
    <xf numFmtId="14" fontId="0" fillId="6" borderId="3" xfId="0" applyNumberFormat="1" applyFill="1" applyBorder="1"/>
    <xf numFmtId="44" fontId="0" fillId="6" borderId="3" xfId="1" applyFont="1" applyFill="1" applyBorder="1"/>
    <xf numFmtId="44" fontId="0" fillId="6" borderId="3" xfId="0" applyNumberFormat="1" applyFill="1" applyBorder="1"/>
    <xf numFmtId="44" fontId="0" fillId="6" borderId="11" xfId="0" applyNumberFormat="1" applyFill="1" applyBorder="1"/>
    <xf numFmtId="0" fontId="0" fillId="13" borderId="3" xfId="0" applyFill="1" applyBorder="1"/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26" xfId="0" applyFill="1" applyBorder="1"/>
    <xf numFmtId="0" fontId="0" fillId="14" borderId="0" xfId="0" applyFill="1"/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4" fontId="0" fillId="9" borderId="3" xfId="0" applyNumberFormat="1" applyFill="1" applyBorder="1"/>
    <xf numFmtId="165" fontId="0" fillId="9" borderId="3" xfId="1" applyNumberFormat="1" applyFont="1" applyFill="1" applyBorder="1"/>
    <xf numFmtId="44" fontId="0" fillId="9" borderId="6" xfId="0" applyNumberFormat="1" applyFill="1" applyBorder="1"/>
    <xf numFmtId="44" fontId="0" fillId="9" borderId="4" xfId="0" applyNumberFormat="1" applyFill="1" applyBorder="1"/>
    <xf numFmtId="0" fontId="0" fillId="9" borderId="4" xfId="0" applyFill="1" applyBorder="1"/>
    <xf numFmtId="44" fontId="0" fillId="9" borderId="5" xfId="0" applyNumberFormat="1" applyFill="1" applyBorder="1"/>
    <xf numFmtId="44" fontId="0" fillId="9" borderId="0" xfId="0" applyNumberFormat="1" applyFill="1" applyBorder="1"/>
    <xf numFmtId="44" fontId="0" fillId="14" borderId="4" xfId="0" applyNumberFormat="1" applyFill="1" applyBorder="1"/>
    <xf numFmtId="0" fontId="0" fillId="3" borderId="27" xfId="0" applyFill="1" applyBorder="1"/>
    <xf numFmtId="0" fontId="0" fillId="15" borderId="3" xfId="0" applyFill="1" applyBorder="1"/>
    <xf numFmtId="14" fontId="0" fillId="15" borderId="5" xfId="0" applyNumberFormat="1" applyFill="1" applyBorder="1"/>
    <xf numFmtId="14" fontId="0" fillId="15" borderId="3" xfId="0" applyNumberFormat="1" applyFill="1" applyBorder="1"/>
    <xf numFmtId="165" fontId="0" fillId="15" borderId="3" xfId="1" applyNumberFormat="1" applyFont="1" applyFill="1" applyBorder="1"/>
    <xf numFmtId="44" fontId="0" fillId="15" borderId="6" xfId="0" applyNumberFormat="1" applyFill="1" applyBorder="1"/>
    <xf numFmtId="44" fontId="0" fillId="15" borderId="4" xfId="0" applyNumberFormat="1" applyFill="1" applyBorder="1"/>
    <xf numFmtId="0" fontId="0" fillId="15" borderId="0" xfId="0" applyFill="1"/>
    <xf numFmtId="0" fontId="0" fillId="15" borderId="4" xfId="0" applyFill="1" applyBorder="1"/>
    <xf numFmtId="44" fontId="0" fillId="15" borderId="5" xfId="0" applyNumberFormat="1" applyFill="1" applyBorder="1"/>
    <xf numFmtId="44" fontId="0" fillId="15" borderId="3" xfId="1" applyFont="1" applyFill="1" applyBorder="1"/>
    <xf numFmtId="0" fontId="0" fillId="6" borderId="0" xfId="0" applyFill="1" applyBorder="1"/>
    <xf numFmtId="14" fontId="0" fillId="0" borderId="0" xfId="0" applyNumberFormat="1" applyBorder="1"/>
    <xf numFmtId="0" fontId="0" fillId="0" borderId="0" xfId="0" applyBorder="1"/>
    <xf numFmtId="6" fontId="0" fillId="0" borderId="0" xfId="0" applyNumberFormat="1"/>
    <xf numFmtId="12" fontId="0" fillId="0" borderId="3" xfId="1" applyNumberFormat="1" applyFont="1" applyBorder="1"/>
    <xf numFmtId="0" fontId="0" fillId="14" borderId="3" xfId="0" applyFill="1" applyBorder="1"/>
    <xf numFmtId="44" fontId="0" fillId="0" borderId="9" xfId="0" applyNumberFormat="1" applyBorder="1" applyAlignment="1">
      <alignment vertical="center"/>
    </xf>
    <xf numFmtId="44" fontId="0" fillId="0" borderId="10" xfId="0" applyNumberFormat="1" applyBorder="1" applyAlignment="1">
      <alignment vertical="center"/>
    </xf>
    <xf numFmtId="44" fontId="0" fillId="0" borderId="0" xfId="0" applyNumberFormat="1" applyFill="1" applyBorder="1"/>
    <xf numFmtId="14" fontId="0" fillId="0" borderId="11" xfId="0" applyNumberFormat="1" applyFill="1" applyBorder="1"/>
    <xf numFmtId="0" fontId="0" fillId="0" borderId="3" xfId="0" applyBorder="1" applyAlignment="1">
      <alignment horizontal="right"/>
    </xf>
    <xf numFmtId="1" fontId="0" fillId="0" borderId="3" xfId="0" applyNumberFormat="1" applyBorder="1"/>
    <xf numFmtId="0" fontId="4" fillId="6" borderId="3" xfId="0" applyFont="1" applyFill="1" applyBorder="1"/>
    <xf numFmtId="14" fontId="4" fillId="0" borderId="5" xfId="0" applyNumberFormat="1" applyFont="1" applyBorder="1"/>
    <xf numFmtId="14" fontId="4" fillId="0" borderId="3" xfId="0" applyNumberFormat="1" applyFont="1" applyBorder="1"/>
    <xf numFmtId="0" fontId="4" fillId="0" borderId="11" xfId="0" applyFont="1" applyFill="1" applyBorder="1"/>
    <xf numFmtId="0" fontId="4" fillId="0" borderId="3" xfId="0" applyFont="1" applyFill="1" applyBorder="1"/>
    <xf numFmtId="44" fontId="4" fillId="0" borderId="3" xfId="1" applyFont="1" applyBorder="1"/>
    <xf numFmtId="165" fontId="4" fillId="0" borderId="3" xfId="1" applyNumberFormat="1" applyFont="1" applyBorder="1"/>
    <xf numFmtId="44" fontId="4" fillId="0" borderId="3" xfId="1" applyFont="1" applyFill="1" applyBorder="1"/>
    <xf numFmtId="44" fontId="4" fillId="0" borderId="6" xfId="0" applyNumberFormat="1" applyFont="1" applyBorder="1"/>
    <xf numFmtId="44" fontId="4" fillId="0" borderId="4" xfId="0" applyNumberFormat="1" applyFont="1" applyBorder="1"/>
    <xf numFmtId="0" fontId="4" fillId="0" borderId="3" xfId="0" applyFont="1" applyBorder="1"/>
    <xf numFmtId="0" fontId="4" fillId="2" borderId="0" xfId="0" applyFont="1" applyFill="1"/>
    <xf numFmtId="0" fontId="4" fillId="0" borderId="4" xfId="0" applyFont="1" applyBorder="1"/>
    <xf numFmtId="44" fontId="4" fillId="0" borderId="5" xfId="0" applyNumberFormat="1" applyFont="1" applyBorder="1"/>
    <xf numFmtId="0" fontId="5" fillId="0" borderId="9" xfId="0" applyFont="1" applyBorder="1"/>
    <xf numFmtId="14" fontId="5" fillId="0" borderId="3" xfId="0" applyNumberFormat="1" applyFont="1" applyBorder="1"/>
    <xf numFmtId="0" fontId="5" fillId="0" borderId="3" xfId="0" applyFont="1" applyBorder="1"/>
    <xf numFmtId="44" fontId="5" fillId="0" borderId="3" xfId="1" applyFont="1" applyBorder="1"/>
    <xf numFmtId="165" fontId="5" fillId="0" borderId="3" xfId="1" applyNumberFormat="1" applyFont="1" applyBorder="1"/>
    <xf numFmtId="44" fontId="5" fillId="0" borderId="6" xfId="0" applyNumberFormat="1" applyFont="1" applyBorder="1"/>
    <xf numFmtId="44" fontId="5" fillId="0" borderId="4" xfId="0" applyNumberFormat="1" applyFont="1" applyBorder="1"/>
    <xf numFmtId="0" fontId="5" fillId="2" borderId="0" xfId="0" applyFont="1" applyFill="1"/>
    <xf numFmtId="0" fontId="5" fillId="0" borderId="4" xfId="0" applyFont="1" applyBorder="1"/>
    <xf numFmtId="44" fontId="5" fillId="2" borderId="0" xfId="0" applyNumberFormat="1" applyFont="1" applyFill="1" applyBorder="1"/>
    <xf numFmtId="44" fontId="5" fillId="6" borderId="5" xfId="0" applyNumberFormat="1" applyFont="1" applyFill="1" applyBorder="1"/>
    <xf numFmtId="0" fontId="5" fillId="6" borderId="3" xfId="0" applyFont="1" applyFill="1" applyBorder="1"/>
    <xf numFmtId="44" fontId="5" fillId="0" borderId="5" xfId="0" applyNumberFormat="1" applyFont="1" applyBorder="1"/>
    <xf numFmtId="0" fontId="0" fillId="0" borderId="0" xfId="0" applyBorder="1" applyAlignment="1">
      <alignment horizontal="center" vertical="center" wrapText="1"/>
    </xf>
    <xf numFmtId="0" fontId="0" fillId="0" borderId="8" xfId="0" applyFill="1" applyBorder="1"/>
    <xf numFmtId="14" fontId="0" fillId="0" borderId="0" xfId="0" applyNumberFormat="1" applyFill="1" applyBorder="1"/>
    <xf numFmtId="0" fontId="0" fillId="6" borderId="12" xfId="0" applyFill="1" applyBorder="1"/>
    <xf numFmtId="0" fontId="0" fillId="6" borderId="29" xfId="0" applyFill="1" applyBorder="1"/>
    <xf numFmtId="0" fontId="0" fillId="0" borderId="29" xfId="0" applyBorder="1"/>
    <xf numFmtId="0" fontId="0" fillId="6" borderId="30" xfId="0" applyFill="1" applyBorder="1"/>
    <xf numFmtId="0" fontId="0" fillId="16" borderId="20" xfId="0" applyFill="1" applyBorder="1"/>
    <xf numFmtId="0" fontId="0" fillId="6" borderId="20" xfId="0" applyFill="1" applyBorder="1"/>
    <xf numFmtId="0" fontId="0" fillId="6" borderId="28" xfId="0" applyFill="1" applyBorder="1"/>
    <xf numFmtId="0" fontId="0" fillId="6" borderId="32" xfId="0" applyFill="1" applyBorder="1"/>
    <xf numFmtId="0" fontId="0" fillId="6" borderId="31" xfId="0" applyFill="1" applyBorder="1"/>
    <xf numFmtId="0" fontId="0" fillId="16" borderId="23" xfId="0" applyFill="1" applyBorder="1"/>
    <xf numFmtId="0" fontId="0" fillId="17" borderId="34" xfId="0" applyFill="1" applyBorder="1" applyAlignment="1">
      <alignment horizontal="center" vertical="center"/>
    </xf>
    <xf numFmtId="0" fontId="0" fillId="17" borderId="35" xfId="0" applyFill="1" applyBorder="1"/>
    <xf numFmtId="0" fontId="0" fillId="17" borderId="36" xfId="0" applyFill="1" applyBorder="1"/>
    <xf numFmtId="0" fontId="0" fillId="17" borderId="33" xfId="0" applyFill="1" applyBorder="1" applyAlignment="1">
      <alignment horizontal="center" vertical="center"/>
    </xf>
    <xf numFmtId="0" fontId="0" fillId="17" borderId="37" xfId="0" applyFill="1" applyBorder="1" applyAlignment="1">
      <alignment horizontal="center" vertical="center"/>
    </xf>
    <xf numFmtId="0" fontId="0" fillId="17" borderId="38" xfId="0" applyFill="1" applyBorder="1" applyAlignment="1">
      <alignment horizontal="center" vertical="center"/>
    </xf>
    <xf numFmtId="164" fontId="0" fillId="0" borderId="20" xfId="0" applyNumberFormat="1" applyBorder="1"/>
    <xf numFmtId="0" fontId="0" fillId="0" borderId="20" xfId="0" applyNumberFormat="1" applyBorder="1"/>
    <xf numFmtId="164" fontId="0" fillId="4" borderId="20" xfId="0" applyNumberFormat="1" applyFill="1" applyBorder="1" applyAlignment="1">
      <alignment horizontal="center" vertical="center" wrapText="1"/>
    </xf>
    <xf numFmtId="0" fontId="0" fillId="6" borderId="23" xfId="0" applyFill="1" applyBorder="1"/>
    <xf numFmtId="0" fontId="0" fillId="16" borderId="3" xfId="0" applyFill="1" applyBorder="1"/>
    <xf numFmtId="14" fontId="0" fillId="6" borderId="5" xfId="0" applyNumberFormat="1" applyFill="1" applyBorder="1"/>
    <xf numFmtId="164" fontId="0" fillId="6" borderId="3" xfId="0" applyNumberFormat="1" applyFill="1" applyBorder="1"/>
    <xf numFmtId="44" fontId="0" fillId="6" borderId="20" xfId="0" applyNumberFormat="1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16" borderId="12" xfId="0" applyFill="1" applyBorder="1"/>
    <xf numFmtId="0" fontId="0" fillId="8" borderId="3" xfId="0" applyFill="1" applyBorder="1"/>
    <xf numFmtId="164" fontId="4" fillId="0" borderId="3" xfId="0" applyNumberFormat="1" applyFont="1" applyBorder="1"/>
    <xf numFmtId="6" fontId="0" fillId="0" borderId="3" xfId="0" applyNumberFormat="1" applyBorder="1"/>
    <xf numFmtId="20" fontId="0" fillId="0" borderId="3" xfId="0" applyNumberFormat="1" applyBorder="1"/>
    <xf numFmtId="14" fontId="4" fillId="0" borderId="18" xfId="0" applyNumberFormat="1" applyFont="1" applyBorder="1"/>
    <xf numFmtId="44" fontId="0" fillId="0" borderId="4" xfId="0" applyNumberFormat="1" applyFont="1" applyBorder="1"/>
    <xf numFmtId="44" fontId="0" fillId="0" borderId="5" xfId="0" applyNumberFormat="1" applyFont="1" applyBorder="1"/>
    <xf numFmtId="14" fontId="0" fillId="0" borderId="18" xfId="0" applyNumberFormat="1" applyFont="1" applyBorder="1"/>
    <xf numFmtId="164" fontId="5" fillId="0" borderId="3" xfId="0" applyNumberFormat="1" applyFont="1" applyBorder="1"/>
    <xf numFmtId="44" fontId="4" fillId="0" borderId="12" xfId="0" applyNumberFormat="1" applyFont="1" applyBorder="1"/>
    <xf numFmtId="0" fontId="4" fillId="0" borderId="12" xfId="0" applyFont="1" applyBorder="1"/>
    <xf numFmtId="44" fontId="4" fillId="18" borderId="3" xfId="1" applyFont="1" applyFill="1" applyBorder="1"/>
    <xf numFmtId="0" fontId="0" fillId="2" borderId="0" xfId="0" applyFill="1" applyAlignment="1">
      <alignment wrapText="1"/>
    </xf>
    <xf numFmtId="164" fontId="0" fillId="9" borderId="3" xfId="0" applyNumberFormat="1" applyFill="1" applyBorder="1"/>
    <xf numFmtId="0" fontId="0" fillId="9" borderId="11" xfId="0" applyFill="1" applyBorder="1"/>
    <xf numFmtId="44" fontId="0" fillId="9" borderId="3" xfId="1" applyFont="1" applyFill="1" applyBorder="1"/>
    <xf numFmtId="14" fontId="0" fillId="9" borderId="0" xfId="0" applyNumberFormat="1" applyFill="1"/>
    <xf numFmtId="44" fontId="0" fillId="9" borderId="0" xfId="1" applyFont="1" applyFill="1"/>
    <xf numFmtId="44" fontId="0" fillId="9" borderId="20" xfId="0" applyNumberFormat="1" applyFill="1" applyBorder="1"/>
    <xf numFmtId="44" fontId="0" fillId="9" borderId="3" xfId="0" applyNumberFormat="1" applyFill="1" applyBorder="1"/>
    <xf numFmtId="0" fontId="0" fillId="6" borderId="3" xfId="0" applyFill="1" applyBorder="1" applyAlignment="1">
      <alignment horizontal="center"/>
    </xf>
    <xf numFmtId="0" fontId="0" fillId="17" borderId="3" xfId="0" applyFill="1" applyBorder="1"/>
    <xf numFmtId="0" fontId="6" fillId="6" borderId="3" xfId="0" applyFont="1" applyFill="1" applyBorder="1"/>
    <xf numFmtId="14" fontId="6" fillId="0" borderId="18" xfId="0" applyNumberFormat="1" applyFont="1" applyBorder="1"/>
    <xf numFmtId="164" fontId="6" fillId="0" borderId="3" xfId="0" applyNumberFormat="1" applyFont="1" applyBorder="1"/>
    <xf numFmtId="14" fontId="6" fillId="0" borderId="3" xfId="0" applyNumberFormat="1" applyFont="1" applyBorder="1"/>
    <xf numFmtId="0" fontId="6" fillId="0" borderId="3" xfId="0" applyFont="1" applyBorder="1"/>
    <xf numFmtId="44" fontId="6" fillId="0" borderId="3" xfId="1" applyFont="1" applyBorder="1"/>
    <xf numFmtId="44" fontId="6" fillId="0" borderId="3" xfId="1" applyFont="1" applyFill="1" applyBorder="1"/>
    <xf numFmtId="44" fontId="6" fillId="0" borderId="20" xfId="0" applyNumberFormat="1" applyFont="1" applyBorder="1"/>
    <xf numFmtId="44" fontId="6" fillId="0" borderId="4" xfId="0" applyNumberFormat="1" applyFont="1" applyBorder="1"/>
    <xf numFmtId="14" fontId="0" fillId="0" borderId="16" xfId="0" applyNumberFormat="1" applyBorder="1"/>
    <xf numFmtId="14" fontId="0" fillId="0" borderId="22" xfId="0" applyNumberFormat="1" applyBorder="1"/>
    <xf numFmtId="14" fontId="0" fillId="0" borderId="39" xfId="0" applyNumberFormat="1" applyBorder="1"/>
    <xf numFmtId="14" fontId="0" fillId="0" borderId="14" xfId="0" applyNumberFormat="1" applyBorder="1"/>
    <xf numFmtId="14" fontId="0" fillId="3" borderId="3" xfId="0" applyNumberFormat="1" applyFill="1" applyBorder="1"/>
    <xf numFmtId="44" fontId="0" fillId="3" borderId="3" xfId="1" applyFont="1" applyFill="1" applyBorder="1"/>
    <xf numFmtId="165" fontId="0" fillId="3" borderId="3" xfId="1" applyNumberFormat="1" applyFont="1" applyFill="1" applyBorder="1"/>
    <xf numFmtId="0" fontId="4" fillId="3" borderId="3" xfId="0" applyFont="1" applyFill="1" applyBorder="1"/>
    <xf numFmtId="166" fontId="4" fillId="0" borderId="3" xfId="1" applyNumberFormat="1" applyFont="1" applyFill="1" applyBorder="1" applyAlignment="1">
      <alignment wrapText="1"/>
    </xf>
    <xf numFmtId="44" fontId="0" fillId="0" borderId="22" xfId="0" applyNumberFormat="1" applyBorder="1"/>
    <xf numFmtId="0" fontId="0" fillId="3" borderId="0" xfId="0" applyFill="1" applyBorder="1" applyAlignment="1">
      <alignment vertical="center" wrapText="1"/>
    </xf>
    <xf numFmtId="44" fontId="0" fillId="6" borderId="0" xfId="1" applyFont="1" applyFill="1" applyBorder="1"/>
    <xf numFmtId="44" fontId="0" fillId="6" borderId="0" xfId="0" applyNumberFormat="1" applyFill="1" applyBorder="1"/>
    <xf numFmtId="14" fontId="0" fillId="19" borderId="3" xfId="0" applyNumberFormat="1" applyFill="1" applyBorder="1"/>
    <xf numFmtId="0" fontId="0" fillId="19" borderId="3" xfId="0" applyFill="1" applyBorder="1"/>
    <xf numFmtId="0" fontId="0" fillId="20" borderId="3" xfId="0" applyFill="1" applyBorder="1"/>
    <xf numFmtId="0" fontId="0" fillId="0" borderId="41" xfId="0" applyBorder="1"/>
    <xf numFmtId="0" fontId="0" fillId="17" borderId="44" xfId="0" applyFill="1" applyBorder="1"/>
    <xf numFmtId="0" fontId="0" fillId="17" borderId="45" xfId="0" applyFill="1" applyBorder="1" applyAlignment="1">
      <alignment horizontal="center" vertical="center"/>
    </xf>
    <xf numFmtId="0" fontId="0" fillId="0" borderId="48" xfId="0" applyBorder="1"/>
    <xf numFmtId="0" fontId="0" fillId="0" borderId="49" xfId="0" applyFill="1" applyBorder="1"/>
    <xf numFmtId="0" fontId="0" fillId="0" borderId="46" xfId="0" applyFill="1" applyBorder="1"/>
    <xf numFmtId="0" fontId="0" fillId="0" borderId="47" xfId="0" applyFill="1" applyBorder="1"/>
    <xf numFmtId="0" fontId="0" fillId="17" borderId="3" xfId="0" applyFill="1" applyBorder="1" applyAlignment="1">
      <alignment horizontal="center" vertical="center"/>
    </xf>
    <xf numFmtId="0" fontId="0" fillId="0" borderId="3" xfId="0" applyNumberFormat="1" applyBorder="1"/>
    <xf numFmtId="0" fontId="0" fillId="6" borderId="2" xfId="0" applyFill="1" applyBorder="1"/>
    <xf numFmtId="0" fontId="0" fillId="16" borderId="2" xfId="0" applyFill="1" applyBorder="1"/>
    <xf numFmtId="0" fontId="0" fillId="6" borderId="11" xfId="0" applyFill="1" applyBorder="1"/>
    <xf numFmtId="0" fontId="0" fillId="16" borderId="11" xfId="0" applyFill="1" applyBorder="1"/>
    <xf numFmtId="44" fontId="4" fillId="0" borderId="22" xfId="0" applyNumberFormat="1" applyFont="1" applyBorder="1"/>
    <xf numFmtId="0" fontId="0" fillId="5" borderId="5" xfId="0" applyFill="1" applyBorder="1" applyAlignment="1"/>
    <xf numFmtId="0" fontId="0" fillId="5" borderId="6" xfId="0" applyFill="1" applyBorder="1" applyAlignment="1"/>
    <xf numFmtId="166" fontId="0" fillId="0" borderId="0" xfId="0" applyNumberFormat="1"/>
    <xf numFmtId="166" fontId="0" fillId="2" borderId="0" xfId="0" applyNumberFormat="1" applyFill="1"/>
    <xf numFmtId="20" fontId="4" fillId="0" borderId="3" xfId="0" applyNumberFormat="1" applyFont="1" applyBorder="1"/>
    <xf numFmtId="44" fontId="4" fillId="0" borderId="3" xfId="0" applyNumberFormat="1" applyFont="1" applyBorder="1"/>
    <xf numFmtId="44" fontId="4" fillId="2" borderId="0" xfId="1" applyFont="1" applyFill="1" applyBorder="1" applyAlignment="1">
      <alignment horizontal="center" vertical="center" wrapText="1"/>
    </xf>
    <xf numFmtId="14" fontId="5" fillId="0" borderId="5" xfId="0" applyNumberFormat="1" applyFont="1" applyBorder="1"/>
    <xf numFmtId="44" fontId="5" fillId="0" borderId="10" xfId="0" applyNumberFormat="1" applyFont="1" applyBorder="1"/>
    <xf numFmtId="0" fontId="5" fillId="0" borderId="10" xfId="0" applyFont="1" applyBorder="1"/>
    <xf numFmtId="44" fontId="5" fillId="0" borderId="22" xfId="0" applyNumberFormat="1" applyFont="1" applyBorder="1"/>
    <xf numFmtId="0" fontId="0" fillId="0" borderId="27" xfId="0" applyFill="1" applyBorder="1"/>
    <xf numFmtId="0" fontId="0" fillId="0" borderId="50" xfId="0" applyBorder="1"/>
    <xf numFmtId="14" fontId="4" fillId="6" borderId="0" xfId="0" applyNumberFormat="1" applyFont="1" applyFill="1"/>
    <xf numFmtId="0" fontId="4" fillId="6" borderId="0" xfId="0" applyFont="1" applyFill="1"/>
    <xf numFmtId="44" fontId="4" fillId="6" borderId="0" xfId="1" applyFont="1" applyFill="1"/>
    <xf numFmtId="44" fontId="4" fillId="0" borderId="20" xfId="0" applyNumberFormat="1" applyFont="1" applyBorder="1"/>
    <xf numFmtId="44" fontId="4" fillId="0" borderId="10" xfId="0" applyNumberFormat="1" applyFont="1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2" borderId="11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164" fontId="0" fillId="12" borderId="2" xfId="0" applyNumberFormat="1" applyFill="1" applyBorder="1" applyAlignment="1">
      <alignment horizontal="center" vertical="center" wrapText="1"/>
    </xf>
    <xf numFmtId="164" fontId="0" fillId="12" borderId="11" xfId="0" applyNumberFormat="1" applyFill="1" applyBorder="1" applyAlignment="1">
      <alignment horizontal="center" vertical="center" wrapText="1"/>
    </xf>
    <xf numFmtId="44" fontId="0" fillId="0" borderId="2" xfId="0" applyNumberFormat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12" borderId="2" xfId="0" applyNumberFormat="1" applyFill="1" applyBorder="1" applyAlignment="1">
      <alignment horizontal="center" vertical="center"/>
    </xf>
    <xf numFmtId="164" fontId="0" fillId="12" borderId="11" xfId="0" applyNumberFormat="1" applyFill="1" applyBorder="1" applyAlignment="1">
      <alignment horizontal="center" vertical="center"/>
    </xf>
    <xf numFmtId="164" fontId="0" fillId="12" borderId="12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2" borderId="0" xfId="0" applyFont="1" applyFill="1"/>
    <xf numFmtId="0" fontId="7" fillId="0" borderId="4" xfId="0" applyFont="1" applyBorder="1"/>
    <xf numFmtId="14" fontId="7" fillId="0" borderId="4" xfId="0" applyNumberFormat="1" applyFont="1" applyBorder="1"/>
    <xf numFmtId="44" fontId="7" fillId="0" borderId="4" xfId="1" applyFont="1" applyBorder="1"/>
    <xf numFmtId="165" fontId="7" fillId="0" borderId="5" xfId="1" applyNumberFormat="1" applyFont="1" applyBorder="1"/>
    <xf numFmtId="44" fontId="7" fillId="0" borderId="6" xfId="0" applyNumberFormat="1" applyFont="1" applyBorder="1"/>
    <xf numFmtId="44" fontId="7" fillId="0" borderId="4" xfId="0" applyNumberFormat="1" applyFont="1" applyBorder="1"/>
    <xf numFmtId="164" fontId="7" fillId="0" borderId="3" xfId="0" applyNumberFormat="1" applyFont="1" applyBorder="1"/>
    <xf numFmtId="0" fontId="7" fillId="0" borderId="7" xfId="0" applyFont="1" applyBorder="1" applyAlignment="1">
      <alignment horizontal="center" vertical="center" wrapText="1"/>
    </xf>
    <xf numFmtId="14" fontId="7" fillId="0" borderId="3" xfId="0" applyNumberFormat="1" applyFont="1" applyBorder="1"/>
    <xf numFmtId="0" fontId="7" fillId="0" borderId="3" xfId="0" applyFont="1" applyBorder="1"/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/>
    <xf numFmtId="14" fontId="7" fillId="0" borderId="0" xfId="0" applyNumberFormat="1" applyFont="1"/>
    <xf numFmtId="44" fontId="7" fillId="0" borderId="6" xfId="1" applyFont="1" applyBorder="1"/>
    <xf numFmtId="0" fontId="0" fillId="4" borderId="20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9">
    <dxf>
      <numFmt numFmtId="34" formatCode="_-&quot;$&quot;* #,##0.00_-;\-&quot;$&quot;* #,##0.00_-;_-&quot;$&quot;* &quot;-&quot;??_-;_-@_-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4" formatCode="_-&quot;$&quot;* #,##0.00_-;\-&quot;$&quot;* #,##0.00_-;_-&quot;$&quot;* &quot;-&quot;??_-;_-@_-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4" formatCode="_-&quot;$&quot;* #,##0.00_-;\-&quot;$&quot;* #,##0.00_-;_-&quot;$&quot;* &quot;-&quot;??_-;_-@_-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9" formatCode="dd/mm/yyyy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colors>
    <mruColors>
      <color rgb="FFFF3300"/>
      <color rgb="FFFFFF66"/>
      <color rgb="FF040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L72" totalsRowShown="0" tableBorderDxfId="8">
  <autoFilter ref="A1:L72"/>
  <tableColumns count="12">
    <tableColumn id="1" name="N° de Pedido " dataDxfId="7"/>
    <tableColumn id="2" name="Fecha " dataDxfId="6"/>
    <tableColumn id="3" name="Nombre del cliente "/>
    <tableColumn id="4" name="N° de Contacto " dataDxfId="5"/>
    <tableColumn id="5" name="Recoleccion " dataDxfId="4"/>
    <tableColumn id="6" name="Direc. Cli"/>
    <tableColumn id="7" name="Producto" dataDxfId="3" dataCellStyle="Moneda"/>
    <tableColumn id="8" name="Paga con…"/>
    <tableColumn id="9" name="Costo del pedido "/>
    <tableColumn id="10" name="Tarifa ($10)" dataDxfId="2"/>
    <tableColumn id="11" name="Dinero entregado a repartidor para compra " dataDxfId="1"/>
    <tableColumn id="12" name="Dinero entregado al repartidor para cambio 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tabSelected="1" view="pageLayout" topLeftCell="K55" zoomScaleNormal="70" workbookViewId="0">
      <selection activeCell="L55" sqref="L55"/>
    </sheetView>
  </sheetViews>
  <sheetFormatPr baseColWidth="10" defaultRowHeight="15" x14ac:dyDescent="0.25"/>
  <cols>
    <col min="1" max="1" width="14.5703125" customWidth="1"/>
    <col min="3" max="3" width="20" customWidth="1"/>
    <col min="4" max="4" width="16.28515625" customWidth="1"/>
    <col min="5" max="5" width="14.140625" customWidth="1"/>
    <col min="8" max="8" width="13.42578125" customWidth="1"/>
    <col min="9" max="9" width="19.140625" customWidth="1"/>
    <col min="10" max="10" width="17" customWidth="1"/>
    <col min="11" max="11" width="42.5703125" customWidth="1"/>
    <col min="12" max="12" width="43" customWidth="1"/>
    <col min="19" max="19" width="14" customWidth="1"/>
  </cols>
  <sheetData>
    <row r="1" spans="1:12" ht="37.5" customHeight="1" x14ac:dyDescent="0.25">
      <c r="A1" s="382" t="s">
        <v>2</v>
      </c>
      <c r="B1" s="75" t="s">
        <v>3</v>
      </c>
      <c r="C1" s="75" t="s">
        <v>4</v>
      </c>
      <c r="D1" s="15" t="s">
        <v>5</v>
      </c>
      <c r="E1" s="15" t="s">
        <v>6</v>
      </c>
      <c r="F1" s="15" t="s">
        <v>4044</v>
      </c>
      <c r="G1" s="15" t="s">
        <v>8</v>
      </c>
      <c r="H1" s="76" t="s">
        <v>9</v>
      </c>
      <c r="I1" s="77" t="s">
        <v>10</v>
      </c>
      <c r="J1" s="76" t="s">
        <v>11</v>
      </c>
      <c r="K1" s="10" t="s">
        <v>16</v>
      </c>
      <c r="L1" s="10" t="s">
        <v>17</v>
      </c>
    </row>
    <row r="2" spans="1:12" x14ac:dyDescent="0.25">
      <c r="A2" s="138">
        <v>1</v>
      </c>
      <c r="B2" s="31">
        <v>45160</v>
      </c>
      <c r="C2" s="31" t="s">
        <v>239</v>
      </c>
      <c r="D2" s="32">
        <v>5568676408</v>
      </c>
      <c r="E2" s="32" t="s">
        <v>106</v>
      </c>
      <c r="F2" s="32" t="s">
        <v>240</v>
      </c>
      <c r="G2" s="39" t="s">
        <v>241</v>
      </c>
      <c r="H2" s="43">
        <v>500</v>
      </c>
      <c r="I2" s="39">
        <v>147</v>
      </c>
      <c r="J2" s="43">
        <v>10</v>
      </c>
      <c r="K2" s="43">
        <v>150</v>
      </c>
      <c r="L2" s="43">
        <v>360</v>
      </c>
    </row>
    <row r="3" spans="1:12" ht="18.75" customHeight="1" x14ac:dyDescent="0.25">
      <c r="A3" s="138">
        <v>2</v>
      </c>
      <c r="B3" s="31">
        <v>45160</v>
      </c>
      <c r="C3" s="31" t="s">
        <v>4042</v>
      </c>
      <c r="D3" s="31" t="s">
        <v>4042</v>
      </c>
      <c r="E3" s="32" t="s">
        <v>3226</v>
      </c>
      <c r="F3" s="32" t="s">
        <v>243</v>
      </c>
      <c r="G3" s="79" t="s">
        <v>244</v>
      </c>
      <c r="H3" s="39">
        <v>120</v>
      </c>
      <c r="I3" s="39">
        <v>110</v>
      </c>
      <c r="J3" s="80">
        <v>10</v>
      </c>
      <c r="K3" s="43">
        <v>110</v>
      </c>
      <c r="L3" s="43" t="s">
        <v>4042</v>
      </c>
    </row>
    <row r="4" spans="1:12" ht="18" customHeight="1" x14ac:dyDescent="0.25">
      <c r="A4" s="138">
        <v>3</v>
      </c>
      <c r="B4" s="31">
        <v>45160</v>
      </c>
      <c r="C4" s="31" t="s">
        <v>245</v>
      </c>
      <c r="D4" s="32">
        <v>5530508709</v>
      </c>
      <c r="E4" s="32" t="s">
        <v>106</v>
      </c>
      <c r="F4" s="32" t="s">
        <v>246</v>
      </c>
      <c r="G4" s="39" t="s">
        <v>247</v>
      </c>
      <c r="H4" s="39">
        <v>500</v>
      </c>
      <c r="I4" s="39">
        <v>113</v>
      </c>
      <c r="J4" s="43">
        <v>10</v>
      </c>
      <c r="K4" s="43">
        <v>150</v>
      </c>
      <c r="L4" s="43">
        <v>377</v>
      </c>
    </row>
    <row r="5" spans="1:12" ht="19.5" customHeight="1" x14ac:dyDescent="0.25">
      <c r="A5" s="138">
        <v>4</v>
      </c>
      <c r="B5" s="31">
        <v>45160</v>
      </c>
      <c r="C5" s="27" t="s">
        <v>2466</v>
      </c>
      <c r="D5">
        <v>5532536647</v>
      </c>
      <c r="E5" s="32" t="s">
        <v>106</v>
      </c>
      <c r="F5" s="30" t="s">
        <v>248</v>
      </c>
      <c r="G5" s="36" t="s">
        <v>249</v>
      </c>
      <c r="H5" s="36">
        <v>500</v>
      </c>
      <c r="I5" s="81">
        <v>70</v>
      </c>
      <c r="J5" s="82">
        <v>10</v>
      </c>
      <c r="K5" s="43">
        <v>500</v>
      </c>
      <c r="L5" s="43" t="s">
        <v>4042</v>
      </c>
    </row>
    <row r="6" spans="1:12" ht="21.75" customHeight="1" x14ac:dyDescent="0.25">
      <c r="A6" s="138">
        <v>5</v>
      </c>
      <c r="B6" s="31">
        <v>45160</v>
      </c>
      <c r="C6" s="27" t="s">
        <v>2639</v>
      </c>
      <c r="D6">
        <v>5572135350</v>
      </c>
      <c r="E6" s="32" t="s">
        <v>106</v>
      </c>
      <c r="F6" s="30" t="s">
        <v>192</v>
      </c>
      <c r="G6" s="36" t="s">
        <v>250</v>
      </c>
      <c r="H6" s="36">
        <v>100</v>
      </c>
      <c r="I6" s="81">
        <v>30</v>
      </c>
      <c r="J6" s="82">
        <v>10</v>
      </c>
      <c r="K6" s="43" t="s">
        <v>4043</v>
      </c>
      <c r="L6" s="43">
        <v>40</v>
      </c>
    </row>
    <row r="7" spans="1:12" x14ac:dyDescent="0.25">
      <c r="A7" s="138">
        <v>6</v>
      </c>
      <c r="B7" s="31">
        <v>45160</v>
      </c>
      <c r="C7" s="27" t="s">
        <v>48</v>
      </c>
      <c r="D7">
        <v>5530181574</v>
      </c>
      <c r="E7" s="32" t="s">
        <v>106</v>
      </c>
      <c r="F7" t="s">
        <v>129</v>
      </c>
      <c r="G7" s="36" t="s">
        <v>251</v>
      </c>
      <c r="H7" s="36">
        <v>200</v>
      </c>
      <c r="I7" s="81">
        <v>143</v>
      </c>
      <c r="J7" s="82">
        <v>10</v>
      </c>
      <c r="K7" s="43">
        <v>200</v>
      </c>
      <c r="L7" s="43">
        <v>0</v>
      </c>
    </row>
    <row r="8" spans="1:12" x14ac:dyDescent="0.25">
      <c r="A8" s="138">
        <v>7</v>
      </c>
      <c r="B8" s="31">
        <v>45160</v>
      </c>
      <c r="C8" s="27" t="s">
        <v>252</v>
      </c>
      <c r="D8">
        <v>5545383189</v>
      </c>
      <c r="E8" s="32" t="s">
        <v>106</v>
      </c>
      <c r="F8" t="s">
        <v>253</v>
      </c>
      <c r="G8" s="36" t="s">
        <v>254</v>
      </c>
      <c r="H8" s="36">
        <v>200</v>
      </c>
      <c r="I8" s="81">
        <v>113</v>
      </c>
      <c r="J8" s="82">
        <v>10</v>
      </c>
      <c r="K8" s="43">
        <v>200</v>
      </c>
      <c r="L8" s="43" t="s">
        <v>4042</v>
      </c>
    </row>
    <row r="9" spans="1:12" x14ac:dyDescent="0.25">
      <c r="A9" s="138">
        <v>8</v>
      </c>
      <c r="B9" s="31">
        <v>45160</v>
      </c>
      <c r="C9" s="27" t="s">
        <v>921</v>
      </c>
      <c r="D9" t="s">
        <v>4042</v>
      </c>
      <c r="E9" s="30" t="s">
        <v>106</v>
      </c>
      <c r="F9" t="s">
        <v>256</v>
      </c>
      <c r="G9" s="36" t="s">
        <v>257</v>
      </c>
      <c r="H9" s="36">
        <v>100</v>
      </c>
      <c r="I9" s="46">
        <v>47</v>
      </c>
      <c r="J9" s="82">
        <v>10</v>
      </c>
      <c r="K9" s="43">
        <v>100</v>
      </c>
      <c r="L9" s="43" t="s">
        <v>4042</v>
      </c>
    </row>
    <row r="10" spans="1:12" x14ac:dyDescent="0.25">
      <c r="A10" s="138">
        <v>9</v>
      </c>
      <c r="B10" s="31">
        <v>45160</v>
      </c>
      <c r="C10" s="27" t="s">
        <v>2467</v>
      </c>
      <c r="D10">
        <v>5527301716</v>
      </c>
      <c r="E10" s="30" t="s">
        <v>106</v>
      </c>
      <c r="F10" t="s">
        <v>258</v>
      </c>
      <c r="G10" s="36" t="s">
        <v>259</v>
      </c>
      <c r="H10" s="36">
        <v>200</v>
      </c>
      <c r="I10" s="46">
        <v>123</v>
      </c>
      <c r="J10" s="83">
        <v>10</v>
      </c>
      <c r="K10" s="43">
        <v>200</v>
      </c>
      <c r="L10" s="43">
        <v>0</v>
      </c>
    </row>
    <row r="11" spans="1:12" x14ac:dyDescent="0.25">
      <c r="A11" s="138">
        <v>10</v>
      </c>
      <c r="B11" s="31">
        <v>45161</v>
      </c>
      <c r="C11" s="31" t="s">
        <v>260</v>
      </c>
      <c r="D11" s="32">
        <v>5586180942</v>
      </c>
      <c r="E11" s="32" t="s">
        <v>28</v>
      </c>
      <c r="F11" s="32">
        <v>0</v>
      </c>
      <c r="G11" s="39" t="s">
        <v>261</v>
      </c>
      <c r="H11" s="43">
        <v>500</v>
      </c>
      <c r="I11" s="39">
        <v>90</v>
      </c>
      <c r="J11" s="43">
        <v>10</v>
      </c>
      <c r="K11" s="43">
        <v>300</v>
      </c>
      <c r="L11" s="43">
        <v>400</v>
      </c>
    </row>
    <row r="12" spans="1:12" x14ac:dyDescent="0.25">
      <c r="A12" s="138">
        <v>11</v>
      </c>
      <c r="B12" s="31">
        <v>45161</v>
      </c>
      <c r="C12" s="31" t="s">
        <v>2469</v>
      </c>
      <c r="D12" s="32">
        <v>5543578799</v>
      </c>
      <c r="E12" s="32" t="s">
        <v>262</v>
      </c>
      <c r="F12" s="32" t="s">
        <v>263</v>
      </c>
      <c r="G12" s="39" t="s">
        <v>264</v>
      </c>
      <c r="H12" s="39">
        <v>200</v>
      </c>
      <c r="I12" s="32">
        <v>77</v>
      </c>
      <c r="J12" s="43">
        <v>10</v>
      </c>
      <c r="K12" s="43">
        <v>200</v>
      </c>
      <c r="L12" s="43">
        <v>0</v>
      </c>
    </row>
    <row r="13" spans="1:12" ht="90" x14ac:dyDescent="0.25">
      <c r="A13" s="138">
        <v>12</v>
      </c>
      <c r="B13" s="31">
        <v>45161</v>
      </c>
      <c r="C13" s="31" t="s">
        <v>2469</v>
      </c>
      <c r="D13" s="32">
        <v>5543578799</v>
      </c>
      <c r="E13" s="32" t="s">
        <v>265</v>
      </c>
      <c r="F13" s="32" t="s">
        <v>263</v>
      </c>
      <c r="G13" s="79" t="s">
        <v>266</v>
      </c>
      <c r="H13" s="39">
        <v>223</v>
      </c>
      <c r="I13" s="39">
        <v>223</v>
      </c>
      <c r="J13" s="43">
        <v>10</v>
      </c>
      <c r="K13" s="43" t="s">
        <v>4043</v>
      </c>
      <c r="L13" s="43">
        <v>0</v>
      </c>
    </row>
    <row r="14" spans="1:12" ht="21.75" customHeight="1" x14ac:dyDescent="0.25">
      <c r="A14" s="138">
        <v>13</v>
      </c>
      <c r="B14" s="31">
        <v>45161</v>
      </c>
      <c r="C14" s="31" t="s">
        <v>2464</v>
      </c>
      <c r="D14" s="32">
        <v>5610020620</v>
      </c>
      <c r="E14" s="32" t="s">
        <v>28</v>
      </c>
      <c r="F14" s="32" t="s">
        <v>267</v>
      </c>
      <c r="G14" s="39" t="s">
        <v>268</v>
      </c>
      <c r="H14" s="84">
        <v>100</v>
      </c>
      <c r="I14" s="39">
        <v>88</v>
      </c>
      <c r="J14" s="43">
        <v>10</v>
      </c>
      <c r="K14" s="43">
        <v>100</v>
      </c>
      <c r="L14" s="43">
        <v>0</v>
      </c>
    </row>
    <row r="15" spans="1:12" x14ac:dyDescent="0.25">
      <c r="A15" s="138">
        <v>14</v>
      </c>
      <c r="B15" s="31">
        <v>45161</v>
      </c>
      <c r="C15" s="31" t="s">
        <v>252</v>
      </c>
      <c r="D15">
        <v>5545383189</v>
      </c>
      <c r="E15" s="32" t="s">
        <v>28</v>
      </c>
      <c r="F15" s="32" t="s">
        <v>269</v>
      </c>
      <c r="G15" s="39" t="s">
        <v>270</v>
      </c>
      <c r="H15" s="39">
        <v>50</v>
      </c>
      <c r="I15" s="42">
        <v>47</v>
      </c>
      <c r="J15" s="43">
        <v>10</v>
      </c>
      <c r="K15" s="43">
        <v>50</v>
      </c>
      <c r="L15" s="43">
        <v>0</v>
      </c>
    </row>
    <row r="16" spans="1:12" ht="29.25" customHeight="1" x14ac:dyDescent="0.25">
      <c r="A16" s="138">
        <v>15</v>
      </c>
      <c r="B16" s="31">
        <v>45161</v>
      </c>
      <c r="C16" s="27" t="s">
        <v>2639</v>
      </c>
      <c r="D16">
        <v>5572135350</v>
      </c>
      <c r="E16" s="32" t="s">
        <v>106</v>
      </c>
      <c r="F16" s="30" t="s">
        <v>192</v>
      </c>
      <c r="G16" s="39" t="s">
        <v>271</v>
      </c>
      <c r="H16" s="39">
        <v>200</v>
      </c>
      <c r="I16" s="42">
        <v>143</v>
      </c>
      <c r="J16" s="43">
        <v>10</v>
      </c>
      <c r="K16" s="43">
        <v>200</v>
      </c>
      <c r="L16" s="43">
        <v>47</v>
      </c>
    </row>
    <row r="17" spans="1:12" x14ac:dyDescent="0.25">
      <c r="A17" s="138">
        <v>16</v>
      </c>
      <c r="B17" s="31">
        <v>45161</v>
      </c>
      <c r="C17" s="31" t="s">
        <v>2471</v>
      </c>
      <c r="D17" s="32">
        <v>5540756587</v>
      </c>
      <c r="E17" s="32" t="s">
        <v>106</v>
      </c>
      <c r="F17" s="32" t="s">
        <v>272</v>
      </c>
      <c r="G17" s="39" t="s">
        <v>273</v>
      </c>
      <c r="H17" s="39">
        <v>200</v>
      </c>
      <c r="I17" s="42">
        <v>38</v>
      </c>
      <c r="J17" s="43">
        <v>10</v>
      </c>
      <c r="K17" s="43">
        <v>152</v>
      </c>
      <c r="L17" s="43" t="s">
        <v>4042</v>
      </c>
    </row>
    <row r="18" spans="1:12" x14ac:dyDescent="0.25">
      <c r="A18" s="138">
        <v>17</v>
      </c>
      <c r="B18" s="31">
        <v>45161</v>
      </c>
      <c r="C18" s="31" t="s">
        <v>274</v>
      </c>
      <c r="D18" s="32">
        <v>5510466400</v>
      </c>
      <c r="E18" s="32" t="s">
        <v>106</v>
      </c>
      <c r="F18" s="32" t="s">
        <v>275</v>
      </c>
      <c r="G18" s="39" t="s">
        <v>276</v>
      </c>
      <c r="H18" s="39">
        <v>143</v>
      </c>
      <c r="I18" s="42">
        <v>133</v>
      </c>
      <c r="J18" s="43">
        <v>10</v>
      </c>
      <c r="K18" s="43" t="s">
        <v>4043</v>
      </c>
      <c r="L18" s="43" t="s">
        <v>4042</v>
      </c>
    </row>
    <row r="19" spans="1:12" x14ac:dyDescent="0.25">
      <c r="A19" s="138">
        <v>18</v>
      </c>
      <c r="B19" s="31">
        <v>45161</v>
      </c>
      <c r="C19" s="31" t="s">
        <v>277</v>
      </c>
      <c r="D19" s="32">
        <v>5543685576</v>
      </c>
      <c r="E19" s="32" t="s">
        <v>278</v>
      </c>
      <c r="F19" s="32" t="s">
        <v>279</v>
      </c>
      <c r="G19" s="39" t="s">
        <v>280</v>
      </c>
      <c r="H19" s="39" t="s">
        <v>4042</v>
      </c>
      <c r="I19" s="42">
        <v>100</v>
      </c>
      <c r="J19" s="43">
        <v>10</v>
      </c>
      <c r="K19" s="43" t="s">
        <v>4043</v>
      </c>
      <c r="L19" s="43" t="s">
        <v>4042</v>
      </c>
    </row>
    <row r="20" spans="1:12" x14ac:dyDescent="0.25">
      <c r="A20" s="138">
        <v>19</v>
      </c>
      <c r="B20" s="31">
        <v>45162</v>
      </c>
      <c r="C20" s="31" t="s">
        <v>82</v>
      </c>
      <c r="D20" s="32">
        <v>56248384993</v>
      </c>
      <c r="E20" s="32" t="s">
        <v>282</v>
      </c>
      <c r="F20" s="32" t="s">
        <v>283</v>
      </c>
      <c r="G20" s="39" t="s">
        <v>284</v>
      </c>
      <c r="H20" s="43">
        <v>170</v>
      </c>
      <c r="I20" s="39">
        <v>160</v>
      </c>
      <c r="J20" s="43">
        <v>10</v>
      </c>
      <c r="K20" s="43" t="s">
        <v>4043</v>
      </c>
      <c r="L20" s="43">
        <v>150</v>
      </c>
    </row>
    <row r="21" spans="1:12" x14ac:dyDescent="0.25">
      <c r="A21" s="138">
        <v>20</v>
      </c>
      <c r="B21" s="31">
        <v>45162</v>
      </c>
      <c r="C21" s="31" t="s">
        <v>2465</v>
      </c>
      <c r="D21" s="32">
        <v>5614683694</v>
      </c>
      <c r="E21" s="32" t="s">
        <v>282</v>
      </c>
      <c r="F21" s="32" t="s">
        <v>285</v>
      </c>
      <c r="G21" s="39" t="s">
        <v>286</v>
      </c>
      <c r="H21" s="39">
        <v>100</v>
      </c>
      <c r="I21" s="32">
        <v>70</v>
      </c>
      <c r="J21" s="43">
        <v>10</v>
      </c>
      <c r="K21" s="43" t="s">
        <v>4043</v>
      </c>
      <c r="L21" s="43">
        <v>150</v>
      </c>
    </row>
    <row r="22" spans="1:12" ht="30" x14ac:dyDescent="0.25">
      <c r="A22" s="138">
        <v>21</v>
      </c>
      <c r="B22" s="31">
        <v>45162</v>
      </c>
      <c r="C22" s="31" t="s">
        <v>287</v>
      </c>
      <c r="D22" s="32" t="s">
        <v>288</v>
      </c>
      <c r="E22" s="32" t="s">
        <v>289</v>
      </c>
      <c r="F22" s="32" t="s">
        <v>290</v>
      </c>
      <c r="G22" s="79" t="s">
        <v>291</v>
      </c>
      <c r="H22" s="39">
        <v>100</v>
      </c>
      <c r="I22" s="39">
        <v>65</v>
      </c>
      <c r="J22" s="43">
        <v>10</v>
      </c>
      <c r="K22" s="43" t="s">
        <v>4043</v>
      </c>
      <c r="L22" s="43">
        <v>70</v>
      </c>
    </row>
    <row r="23" spans="1:12" x14ac:dyDescent="0.25">
      <c r="A23" s="138">
        <v>22</v>
      </c>
      <c r="B23" s="31">
        <v>45162</v>
      </c>
      <c r="C23" s="31" t="s">
        <v>260</v>
      </c>
      <c r="D23" s="32">
        <v>5586180942</v>
      </c>
      <c r="E23" s="32" t="s">
        <v>28</v>
      </c>
      <c r="F23" s="32" t="s">
        <v>292</v>
      </c>
      <c r="G23" s="39" t="s">
        <v>293</v>
      </c>
      <c r="H23" s="84">
        <v>200</v>
      </c>
      <c r="I23" s="39">
        <v>85</v>
      </c>
      <c r="J23" s="43">
        <v>10</v>
      </c>
      <c r="K23" s="43" t="s">
        <v>4043</v>
      </c>
      <c r="L23" s="43">
        <v>200</v>
      </c>
    </row>
    <row r="24" spans="1:12" x14ac:dyDescent="0.25">
      <c r="A24" s="138">
        <v>23</v>
      </c>
      <c r="B24" s="31">
        <v>45162</v>
      </c>
      <c r="C24" s="31" t="s">
        <v>473</v>
      </c>
      <c r="D24" s="32">
        <v>5621699116</v>
      </c>
      <c r="E24" s="32" t="s">
        <v>295</v>
      </c>
      <c r="F24" s="32" t="s">
        <v>296</v>
      </c>
      <c r="G24" s="39" t="s">
        <v>297</v>
      </c>
      <c r="H24" s="39">
        <v>50</v>
      </c>
      <c r="I24" s="42">
        <v>49</v>
      </c>
      <c r="J24" s="43">
        <v>10</v>
      </c>
      <c r="K24" s="43" t="s">
        <v>4043</v>
      </c>
      <c r="L24" s="43">
        <v>200</v>
      </c>
    </row>
    <row r="25" spans="1:12" x14ac:dyDescent="0.25">
      <c r="A25" s="138">
        <v>24</v>
      </c>
      <c r="B25" s="31">
        <v>45162</v>
      </c>
      <c r="C25" s="31" t="s">
        <v>2472</v>
      </c>
      <c r="D25" s="32">
        <v>5510466400</v>
      </c>
      <c r="E25" s="32" t="s">
        <v>28</v>
      </c>
      <c r="F25" s="32" t="s">
        <v>299</v>
      </c>
      <c r="G25" s="39" t="s">
        <v>300</v>
      </c>
      <c r="H25" s="39">
        <v>200</v>
      </c>
      <c r="I25" s="42">
        <v>149</v>
      </c>
      <c r="J25" s="43">
        <v>10</v>
      </c>
      <c r="K25" s="43" t="s">
        <v>4043</v>
      </c>
      <c r="L25" s="43">
        <v>200</v>
      </c>
    </row>
    <row r="26" spans="1:12" x14ac:dyDescent="0.25">
      <c r="A26" s="138">
        <v>25</v>
      </c>
      <c r="B26" s="31">
        <v>45162</v>
      </c>
      <c r="C26" s="31" t="s">
        <v>2806</v>
      </c>
      <c r="D26" s="32">
        <v>5514920308</v>
      </c>
      <c r="E26" s="32" t="s">
        <v>106</v>
      </c>
      <c r="F26" s="32" t="s">
        <v>301</v>
      </c>
      <c r="G26" s="39" t="s">
        <v>302</v>
      </c>
      <c r="H26" s="39">
        <v>100</v>
      </c>
      <c r="I26" s="42">
        <v>60</v>
      </c>
      <c r="J26" s="43">
        <v>10</v>
      </c>
      <c r="K26" s="43" t="s">
        <v>4043</v>
      </c>
      <c r="L26" s="43">
        <v>100</v>
      </c>
    </row>
    <row r="27" spans="1:12" x14ac:dyDescent="0.25">
      <c r="A27" s="138">
        <v>26</v>
      </c>
      <c r="B27" s="31">
        <v>45162</v>
      </c>
      <c r="C27" s="31" t="str">
        <f>+C22</f>
        <v xml:space="preserve">Azul </v>
      </c>
      <c r="D27" s="31" t="str">
        <f>+D22</f>
        <v xml:space="preserve">Messenger </v>
      </c>
      <c r="E27" s="31" t="s">
        <v>28</v>
      </c>
      <c r="F27" s="31" t="str">
        <f>+F22</f>
        <v>Catañeda 58</v>
      </c>
      <c r="G27" s="39" t="s">
        <v>303</v>
      </c>
      <c r="H27" s="39">
        <v>500</v>
      </c>
      <c r="I27" s="42" t="s">
        <v>4042</v>
      </c>
      <c r="J27" s="43">
        <v>10</v>
      </c>
      <c r="K27" s="43" t="s">
        <v>4043</v>
      </c>
      <c r="L27" s="43">
        <v>200</v>
      </c>
    </row>
    <row r="28" spans="1:12" x14ac:dyDescent="0.25">
      <c r="A28" s="138">
        <v>27</v>
      </c>
      <c r="B28" s="31">
        <v>45162</v>
      </c>
      <c r="C28" s="31" t="s">
        <v>2465</v>
      </c>
      <c r="D28" s="32">
        <v>5614683694</v>
      </c>
      <c r="E28" s="32" t="s">
        <v>52</v>
      </c>
      <c r="F28" s="32" t="s">
        <v>285</v>
      </c>
      <c r="G28" s="36" t="s">
        <v>304</v>
      </c>
      <c r="H28" s="39">
        <v>2</v>
      </c>
      <c r="I28" s="42">
        <v>2</v>
      </c>
      <c r="J28" s="43">
        <v>10</v>
      </c>
      <c r="K28" s="43" t="s">
        <v>4043</v>
      </c>
      <c r="L28" s="43">
        <v>200</v>
      </c>
    </row>
    <row r="29" spans="1:12" x14ac:dyDescent="0.25">
      <c r="A29" s="138">
        <v>28</v>
      </c>
      <c r="B29" s="31">
        <v>45162</v>
      </c>
      <c r="C29" s="32" t="s">
        <v>2473</v>
      </c>
      <c r="D29" s="32">
        <v>5580208418</v>
      </c>
      <c r="E29" s="32" t="s">
        <v>52</v>
      </c>
      <c r="F29" s="39" t="s">
        <v>305</v>
      </c>
      <c r="G29" s="36" t="s">
        <v>306</v>
      </c>
      <c r="H29" s="39">
        <v>200</v>
      </c>
      <c r="I29" s="42">
        <v>95</v>
      </c>
      <c r="J29" s="43">
        <v>10</v>
      </c>
      <c r="K29" s="43" t="s">
        <v>4043</v>
      </c>
      <c r="L29" s="43">
        <v>250</v>
      </c>
    </row>
    <row r="30" spans="1:12" x14ac:dyDescent="0.25">
      <c r="A30" s="138">
        <v>29</v>
      </c>
      <c r="B30" s="31">
        <v>45162</v>
      </c>
      <c r="C30" s="31" t="s">
        <v>307</v>
      </c>
      <c r="D30" s="32">
        <v>5527189840</v>
      </c>
      <c r="E30" s="32" t="s">
        <v>308</v>
      </c>
      <c r="F30" s="32" t="s">
        <v>309</v>
      </c>
      <c r="G30" s="39" t="s">
        <v>310</v>
      </c>
      <c r="H30" s="39">
        <v>250</v>
      </c>
      <c r="I30" s="42">
        <v>225</v>
      </c>
      <c r="J30" s="43">
        <v>10</v>
      </c>
      <c r="K30" s="43" t="s">
        <v>4043</v>
      </c>
      <c r="L30" s="43">
        <v>250</v>
      </c>
    </row>
    <row r="31" spans="1:12" x14ac:dyDescent="0.25">
      <c r="A31" s="138">
        <v>30</v>
      </c>
      <c r="B31" s="31">
        <v>45162</v>
      </c>
      <c r="C31" s="31" t="s">
        <v>219</v>
      </c>
      <c r="D31" s="32">
        <v>5510080515</v>
      </c>
      <c r="E31" s="32" t="s">
        <v>311</v>
      </c>
      <c r="F31" s="32" t="s">
        <v>312</v>
      </c>
      <c r="G31" s="39" t="s">
        <v>313</v>
      </c>
      <c r="H31" s="39">
        <v>300</v>
      </c>
      <c r="I31" s="42">
        <v>235</v>
      </c>
      <c r="J31" s="43">
        <v>10</v>
      </c>
      <c r="K31" s="43" t="s">
        <v>4043</v>
      </c>
      <c r="L31" s="43">
        <v>220</v>
      </c>
    </row>
    <row r="32" spans="1:12" x14ac:dyDescent="0.25">
      <c r="A32" s="138">
        <v>31</v>
      </c>
      <c r="B32" s="31">
        <v>45162</v>
      </c>
      <c r="C32" s="31" t="s">
        <v>48</v>
      </c>
      <c r="D32" s="32">
        <v>5530181574</v>
      </c>
      <c r="E32" s="32" t="s">
        <v>314</v>
      </c>
      <c r="F32" s="32" t="s">
        <v>315</v>
      </c>
      <c r="G32" s="39" t="s">
        <v>316</v>
      </c>
      <c r="H32" s="39">
        <v>200</v>
      </c>
      <c r="I32" s="42">
        <v>120</v>
      </c>
      <c r="J32" s="43">
        <v>10</v>
      </c>
      <c r="K32" s="43" t="s">
        <v>4043</v>
      </c>
      <c r="L32" s="43">
        <v>220</v>
      </c>
    </row>
    <row r="33" spans="1:12" x14ac:dyDescent="0.25">
      <c r="A33" s="138">
        <v>32</v>
      </c>
      <c r="B33" s="31">
        <v>45162</v>
      </c>
      <c r="C33" s="31" t="s">
        <v>2466</v>
      </c>
      <c r="D33" s="32">
        <v>5532536647</v>
      </c>
      <c r="E33" s="32" t="s">
        <v>28</v>
      </c>
      <c r="F33" s="32" t="s">
        <v>317</v>
      </c>
      <c r="G33" s="39" t="s">
        <v>318</v>
      </c>
      <c r="H33" s="39">
        <v>101</v>
      </c>
      <c r="I33" s="42">
        <v>91</v>
      </c>
      <c r="J33" s="43">
        <v>10</v>
      </c>
      <c r="K33" s="43" t="s">
        <v>4043</v>
      </c>
      <c r="L33" s="43">
        <v>200</v>
      </c>
    </row>
    <row r="34" spans="1:12" x14ac:dyDescent="0.25">
      <c r="A34" s="138">
        <v>33</v>
      </c>
      <c r="B34" s="31">
        <v>45162</v>
      </c>
      <c r="C34" s="31" t="s">
        <v>319</v>
      </c>
      <c r="D34">
        <v>5545383189</v>
      </c>
      <c r="E34" s="32" t="s">
        <v>28</v>
      </c>
      <c r="F34" s="32" t="s">
        <v>320</v>
      </c>
      <c r="G34" s="39" t="s">
        <v>321</v>
      </c>
      <c r="H34" s="39">
        <v>127</v>
      </c>
      <c r="I34" s="42">
        <v>127</v>
      </c>
      <c r="J34" s="43">
        <v>10</v>
      </c>
      <c r="K34" s="43" t="s">
        <v>4043</v>
      </c>
      <c r="L34" s="43">
        <v>127</v>
      </c>
    </row>
    <row r="35" spans="1:12" x14ac:dyDescent="0.25">
      <c r="A35" s="138">
        <v>34</v>
      </c>
      <c r="B35" s="31">
        <v>45163</v>
      </c>
      <c r="C35" s="31" t="s">
        <v>322</v>
      </c>
      <c r="D35" s="32">
        <v>5530508709</v>
      </c>
      <c r="E35" s="32" t="s">
        <v>106</v>
      </c>
      <c r="F35" s="32" t="s">
        <v>323</v>
      </c>
      <c r="G35" s="39" t="s">
        <v>324</v>
      </c>
      <c r="H35" s="39">
        <v>70</v>
      </c>
      <c r="I35" s="39">
        <v>47</v>
      </c>
      <c r="J35" s="43">
        <v>10</v>
      </c>
      <c r="K35" s="43" t="s">
        <v>4043</v>
      </c>
      <c r="L35" s="43">
        <v>100</v>
      </c>
    </row>
    <row r="36" spans="1:12" x14ac:dyDescent="0.25">
      <c r="A36" s="138">
        <v>35</v>
      </c>
      <c r="B36" s="31">
        <v>45163</v>
      </c>
      <c r="C36" s="31" t="s">
        <v>325</v>
      </c>
      <c r="D36" s="32">
        <v>5614683694</v>
      </c>
      <c r="E36" s="32" t="s">
        <v>106</v>
      </c>
      <c r="F36" s="32" t="s">
        <v>326</v>
      </c>
      <c r="G36" s="39" t="s">
        <v>327</v>
      </c>
      <c r="H36" s="39">
        <v>70</v>
      </c>
      <c r="I36" s="32">
        <v>50</v>
      </c>
      <c r="J36" s="43">
        <v>10</v>
      </c>
      <c r="K36" s="43" t="s">
        <v>4043</v>
      </c>
      <c r="L36" s="43">
        <v>50</v>
      </c>
    </row>
    <row r="37" spans="1:12" ht="90" x14ac:dyDescent="0.25">
      <c r="A37" s="138">
        <v>36</v>
      </c>
      <c r="B37" s="31">
        <v>45163</v>
      </c>
      <c r="C37" s="31" t="s">
        <v>2474</v>
      </c>
      <c r="D37" s="32">
        <v>5514732212</v>
      </c>
      <c r="E37" s="32" t="s">
        <v>106</v>
      </c>
      <c r="F37" s="32" t="s">
        <v>328</v>
      </c>
      <c r="G37" s="79" t="s">
        <v>329</v>
      </c>
      <c r="H37" s="39">
        <v>94</v>
      </c>
      <c r="I37" s="39">
        <v>84</v>
      </c>
      <c r="J37" s="43">
        <v>10</v>
      </c>
      <c r="K37" s="43" t="s">
        <v>4043</v>
      </c>
      <c r="L37" s="43">
        <v>120</v>
      </c>
    </row>
    <row r="38" spans="1:12" x14ac:dyDescent="0.25">
      <c r="A38" s="138">
        <v>37</v>
      </c>
      <c r="B38" s="31">
        <v>45163</v>
      </c>
      <c r="C38" s="31" t="s">
        <v>921</v>
      </c>
      <c r="D38" s="32">
        <v>5625982564</v>
      </c>
      <c r="E38" s="32" t="s">
        <v>106</v>
      </c>
      <c r="F38" s="32" t="s">
        <v>331</v>
      </c>
      <c r="G38" s="39" t="s">
        <v>332</v>
      </c>
      <c r="H38" s="39">
        <v>200</v>
      </c>
      <c r="I38" s="39">
        <v>112</v>
      </c>
      <c r="J38" s="43">
        <v>10</v>
      </c>
      <c r="K38" s="43" t="s">
        <v>4043</v>
      </c>
      <c r="L38" s="43">
        <v>200</v>
      </c>
    </row>
    <row r="39" spans="1:12" x14ac:dyDescent="0.25">
      <c r="A39" s="138">
        <v>38</v>
      </c>
      <c r="B39" s="31">
        <v>45163</v>
      </c>
      <c r="C39" s="31" t="s">
        <v>2475</v>
      </c>
      <c r="D39" s="32">
        <v>5544422402</v>
      </c>
      <c r="E39" s="32" t="s">
        <v>106</v>
      </c>
      <c r="F39" s="32" t="s">
        <v>333</v>
      </c>
      <c r="G39" s="39" t="s">
        <v>334</v>
      </c>
      <c r="H39" s="39">
        <v>200</v>
      </c>
      <c r="I39" s="42">
        <v>109</v>
      </c>
      <c r="J39" s="43">
        <v>10</v>
      </c>
      <c r="K39" s="43" t="s">
        <v>4043</v>
      </c>
      <c r="L39" s="43">
        <v>200</v>
      </c>
    </row>
    <row r="40" spans="1:12" x14ac:dyDescent="0.25">
      <c r="A40" s="138">
        <v>39</v>
      </c>
      <c r="B40" s="31">
        <v>45163</v>
      </c>
      <c r="C40" s="31" t="s">
        <v>2476</v>
      </c>
      <c r="D40" s="31" t="s">
        <v>4042</v>
      </c>
      <c r="E40" s="31" t="s">
        <v>314</v>
      </c>
      <c r="F40" s="31" t="s">
        <v>335</v>
      </c>
      <c r="G40" s="39" t="s">
        <v>336</v>
      </c>
      <c r="H40" s="39">
        <v>122.5</v>
      </c>
      <c r="I40" s="42">
        <v>122.5</v>
      </c>
      <c r="J40" s="43">
        <v>10</v>
      </c>
      <c r="K40" s="43" t="s">
        <v>4043</v>
      </c>
      <c r="L40" s="43">
        <v>150</v>
      </c>
    </row>
    <row r="41" spans="1:12" x14ac:dyDescent="0.25">
      <c r="A41" s="138">
        <v>40</v>
      </c>
      <c r="B41" s="31">
        <v>45163</v>
      </c>
      <c r="C41" s="27" t="s">
        <v>2467</v>
      </c>
      <c r="D41" s="32">
        <v>5527301716</v>
      </c>
      <c r="E41" s="32" t="s">
        <v>106</v>
      </c>
      <c r="F41" s="32" t="s">
        <v>337</v>
      </c>
      <c r="G41" s="36" t="s">
        <v>338</v>
      </c>
      <c r="H41" s="39">
        <v>200</v>
      </c>
      <c r="I41" s="42">
        <v>107</v>
      </c>
      <c r="J41" s="43">
        <v>10</v>
      </c>
      <c r="K41" s="43" t="s">
        <v>4043</v>
      </c>
      <c r="L41" s="43">
        <v>200</v>
      </c>
    </row>
    <row r="42" spans="1:12" x14ac:dyDescent="0.25">
      <c r="A42" s="138">
        <v>41</v>
      </c>
      <c r="B42" s="31">
        <v>45163</v>
      </c>
      <c r="C42" s="32" t="s">
        <v>48</v>
      </c>
      <c r="D42" s="32">
        <v>5530181574</v>
      </c>
      <c r="E42" s="32" t="s">
        <v>339</v>
      </c>
      <c r="F42" s="39" t="s">
        <v>340</v>
      </c>
      <c r="G42" s="36" t="s">
        <v>341</v>
      </c>
      <c r="H42" s="39">
        <v>1200</v>
      </c>
      <c r="I42" s="42">
        <v>350</v>
      </c>
      <c r="J42" s="43">
        <v>10</v>
      </c>
      <c r="K42" s="43" t="s">
        <v>4043</v>
      </c>
      <c r="L42" s="43">
        <v>1142</v>
      </c>
    </row>
    <row r="43" spans="1:12" x14ac:dyDescent="0.25">
      <c r="A43" s="138">
        <v>42</v>
      </c>
      <c r="B43" s="31">
        <v>45163</v>
      </c>
      <c r="C43" s="27" t="s">
        <v>2467</v>
      </c>
      <c r="D43" s="32">
        <v>5527301716</v>
      </c>
      <c r="E43" s="32">
        <v>0</v>
      </c>
      <c r="F43" s="32" t="s">
        <v>337</v>
      </c>
      <c r="G43" s="39" t="s">
        <v>342</v>
      </c>
      <c r="H43" s="39">
        <v>500</v>
      </c>
      <c r="I43" s="42">
        <v>126</v>
      </c>
      <c r="J43" s="43">
        <v>10</v>
      </c>
      <c r="K43" s="43" t="s">
        <v>4043</v>
      </c>
      <c r="L43" s="43">
        <v>500</v>
      </c>
    </row>
    <row r="44" spans="1:12" ht="77.25" x14ac:dyDescent="0.25">
      <c r="A44" s="138">
        <v>43</v>
      </c>
      <c r="B44" s="31">
        <v>45163</v>
      </c>
      <c r="C44" s="32" t="s">
        <v>48</v>
      </c>
      <c r="D44" s="32">
        <v>5530181574</v>
      </c>
      <c r="E44" s="32" t="s">
        <v>339</v>
      </c>
      <c r="F44" s="39" t="s">
        <v>340</v>
      </c>
      <c r="G44" s="88" t="s">
        <v>343</v>
      </c>
      <c r="H44" s="39">
        <v>200</v>
      </c>
      <c r="I44" s="42">
        <v>56</v>
      </c>
      <c r="J44" s="43">
        <v>10</v>
      </c>
      <c r="K44" s="43" t="s">
        <v>4043</v>
      </c>
      <c r="L44" s="43">
        <v>200</v>
      </c>
    </row>
    <row r="45" spans="1:12" x14ac:dyDescent="0.25">
      <c r="A45" s="138">
        <v>44</v>
      </c>
      <c r="B45" s="31">
        <v>45163</v>
      </c>
      <c r="C45" s="31" t="s">
        <v>344</v>
      </c>
      <c r="D45" s="32">
        <v>5550760186</v>
      </c>
      <c r="E45" s="32" t="s">
        <v>106</v>
      </c>
      <c r="F45" s="32" t="s">
        <v>345</v>
      </c>
      <c r="G45" s="39" t="s">
        <v>346</v>
      </c>
      <c r="H45" s="39" t="s">
        <v>4042</v>
      </c>
      <c r="I45" s="42">
        <v>70</v>
      </c>
      <c r="J45" s="43">
        <v>10</v>
      </c>
      <c r="K45" s="43" t="s">
        <v>4043</v>
      </c>
      <c r="L45" s="21">
        <v>400</v>
      </c>
    </row>
    <row r="46" spans="1:12" x14ac:dyDescent="0.25">
      <c r="A46" s="138">
        <v>45</v>
      </c>
      <c r="B46" s="17">
        <v>45164</v>
      </c>
      <c r="C46" s="17" t="s">
        <v>2974</v>
      </c>
      <c r="D46" s="16">
        <v>5564121405</v>
      </c>
      <c r="E46" s="16" t="s">
        <v>347</v>
      </c>
      <c r="F46" s="16" t="s">
        <v>348</v>
      </c>
      <c r="G46" s="18" t="s">
        <v>349</v>
      </c>
      <c r="H46" s="19">
        <v>400</v>
      </c>
      <c r="I46" s="16">
        <v>222</v>
      </c>
      <c r="J46" s="20">
        <v>10</v>
      </c>
      <c r="K46" s="43" t="s">
        <v>4043</v>
      </c>
      <c r="L46" s="21">
        <v>500</v>
      </c>
    </row>
    <row r="47" spans="1:12" x14ac:dyDescent="0.25">
      <c r="A47" s="138">
        <v>46</v>
      </c>
      <c r="B47" s="17">
        <v>45164</v>
      </c>
      <c r="C47" s="17" t="s">
        <v>350</v>
      </c>
      <c r="D47" s="16">
        <v>5543821818</v>
      </c>
      <c r="E47" s="16" t="s">
        <v>28</v>
      </c>
      <c r="F47" s="16" t="s">
        <v>351</v>
      </c>
      <c r="G47" s="18" t="s">
        <v>352</v>
      </c>
      <c r="H47" s="19">
        <v>500</v>
      </c>
      <c r="I47" s="16">
        <v>376</v>
      </c>
      <c r="J47" s="20">
        <v>10</v>
      </c>
      <c r="K47" s="43" t="s">
        <v>4043</v>
      </c>
      <c r="L47" s="21">
        <v>0</v>
      </c>
    </row>
    <row r="48" spans="1:12" x14ac:dyDescent="0.25">
      <c r="A48" s="138">
        <v>47</v>
      </c>
      <c r="B48" s="17">
        <v>45164</v>
      </c>
      <c r="C48" s="16" t="s">
        <v>48</v>
      </c>
      <c r="D48" s="16">
        <v>5530181574</v>
      </c>
      <c r="E48" s="26" t="s">
        <v>353</v>
      </c>
      <c r="F48" s="26" t="s">
        <v>129</v>
      </c>
      <c r="G48" s="18" t="s">
        <v>4042</v>
      </c>
      <c r="H48" s="19">
        <v>135</v>
      </c>
      <c r="I48" s="16">
        <v>110</v>
      </c>
      <c r="J48" s="20">
        <v>10</v>
      </c>
      <c r="K48" s="43" t="s">
        <v>4043</v>
      </c>
      <c r="L48" s="21">
        <v>0</v>
      </c>
    </row>
    <row r="49" spans="1:12" x14ac:dyDescent="0.25">
      <c r="A49" s="138">
        <v>48</v>
      </c>
      <c r="B49" s="17">
        <v>45164</v>
      </c>
      <c r="C49" s="27" t="s">
        <v>2045</v>
      </c>
      <c r="D49" t="s">
        <v>4042</v>
      </c>
      <c r="E49" s="16" t="s">
        <v>354</v>
      </c>
      <c r="F49" s="16" t="s">
        <v>355</v>
      </c>
      <c r="G49" s="28" t="s">
        <v>356</v>
      </c>
      <c r="H49" s="19" t="s">
        <v>4042</v>
      </c>
      <c r="I49" s="16">
        <v>300</v>
      </c>
      <c r="J49" s="20">
        <v>10</v>
      </c>
      <c r="K49" s="43" t="s">
        <v>4043</v>
      </c>
      <c r="L49" s="21">
        <v>200</v>
      </c>
    </row>
    <row r="50" spans="1:12" x14ac:dyDescent="0.25">
      <c r="A50" s="138">
        <v>49</v>
      </c>
      <c r="B50" s="17">
        <v>45164</v>
      </c>
      <c r="C50" s="17" t="s">
        <v>4042</v>
      </c>
      <c r="D50" s="16" t="s">
        <v>4042</v>
      </c>
      <c r="E50" s="29" t="s">
        <v>4042</v>
      </c>
      <c r="F50" s="29" t="s">
        <v>4042</v>
      </c>
      <c r="G50" s="18" t="s">
        <v>357</v>
      </c>
      <c r="H50" s="19">
        <v>122</v>
      </c>
      <c r="I50" s="16">
        <v>112</v>
      </c>
      <c r="J50" s="20">
        <v>10</v>
      </c>
      <c r="K50" s="43" t="s">
        <v>4043</v>
      </c>
      <c r="L50" s="21" t="s">
        <v>4042</v>
      </c>
    </row>
    <row r="51" spans="1:12" x14ac:dyDescent="0.25">
      <c r="A51" s="138">
        <v>50</v>
      </c>
      <c r="B51" s="17">
        <v>45164</v>
      </c>
      <c r="C51" s="31" t="s">
        <v>2465</v>
      </c>
      <c r="D51" s="32">
        <v>5614683694</v>
      </c>
      <c r="E51" s="32" t="s">
        <v>52</v>
      </c>
      <c r="F51" s="32" t="s">
        <v>285</v>
      </c>
      <c r="G51" s="33" t="s">
        <v>359</v>
      </c>
      <c r="H51" s="34" t="s">
        <v>360</v>
      </c>
      <c r="I51" s="35" t="s">
        <v>4042</v>
      </c>
      <c r="J51" s="20">
        <v>10</v>
      </c>
      <c r="K51" s="43" t="s">
        <v>4043</v>
      </c>
      <c r="L51" s="21">
        <v>200</v>
      </c>
    </row>
    <row r="52" spans="1:12" x14ac:dyDescent="0.25">
      <c r="A52" s="138">
        <v>51</v>
      </c>
      <c r="B52" s="17">
        <v>45164</v>
      </c>
      <c r="C52" s="31" t="s">
        <v>2465</v>
      </c>
      <c r="D52" s="32">
        <v>5614683694</v>
      </c>
      <c r="E52" s="32" t="s">
        <v>52</v>
      </c>
      <c r="F52" s="32" t="s">
        <v>285</v>
      </c>
      <c r="G52" s="36" t="s">
        <v>148</v>
      </c>
      <c r="H52" s="37">
        <v>255</v>
      </c>
      <c r="I52" s="38" t="s">
        <v>4042</v>
      </c>
      <c r="J52" s="20">
        <v>10</v>
      </c>
      <c r="K52" s="43" t="s">
        <v>4043</v>
      </c>
      <c r="L52" s="21" t="s">
        <v>4042</v>
      </c>
    </row>
    <row r="53" spans="1:12" x14ac:dyDescent="0.25">
      <c r="A53" s="138">
        <v>52</v>
      </c>
      <c r="B53" s="17">
        <v>45164</v>
      </c>
      <c r="C53" s="27" t="s">
        <v>2974</v>
      </c>
      <c r="D53">
        <v>5564121405</v>
      </c>
      <c r="E53" t="s">
        <v>347</v>
      </c>
      <c r="F53" t="s">
        <v>348</v>
      </c>
      <c r="G53" s="36" t="s">
        <v>358</v>
      </c>
      <c r="H53" s="37">
        <v>123</v>
      </c>
      <c r="I53">
        <v>113</v>
      </c>
      <c r="J53" s="20">
        <v>10</v>
      </c>
      <c r="K53" s="43" t="s">
        <v>4043</v>
      </c>
      <c r="L53" s="21">
        <v>200</v>
      </c>
    </row>
    <row r="54" spans="1:12" x14ac:dyDescent="0.25">
      <c r="A54" s="138">
        <v>53</v>
      </c>
      <c r="B54" s="17">
        <v>45164</v>
      </c>
      <c r="C54" s="31" t="s">
        <v>230</v>
      </c>
      <c r="D54" s="32">
        <v>5579996920</v>
      </c>
      <c r="E54" s="32" t="s">
        <v>361</v>
      </c>
      <c r="F54" s="32" t="s">
        <v>362</v>
      </c>
      <c r="G54" s="36" t="s">
        <v>363</v>
      </c>
      <c r="H54" s="39">
        <v>1000</v>
      </c>
      <c r="I54" s="40">
        <v>835</v>
      </c>
      <c r="J54" s="20">
        <v>10</v>
      </c>
      <c r="K54" s="43" t="s">
        <v>4043</v>
      </c>
      <c r="L54" s="21">
        <v>140</v>
      </c>
    </row>
    <row r="55" spans="1:12" x14ac:dyDescent="0.25">
      <c r="A55" s="138">
        <v>54</v>
      </c>
      <c r="B55" s="17">
        <v>45164</v>
      </c>
      <c r="C55" s="32" t="s">
        <v>2886</v>
      </c>
      <c r="D55" s="32">
        <v>5540949365</v>
      </c>
      <c r="E55" s="32" t="s">
        <v>365</v>
      </c>
      <c r="F55" s="39" t="s">
        <v>366</v>
      </c>
      <c r="G55" s="36" t="s">
        <v>367</v>
      </c>
      <c r="H55" s="39">
        <v>500</v>
      </c>
      <c r="I55" s="42">
        <v>120</v>
      </c>
      <c r="J55" s="20">
        <v>0</v>
      </c>
      <c r="K55" s="43" t="s">
        <v>4043</v>
      </c>
      <c r="L55" s="21" t="s">
        <v>4042</v>
      </c>
    </row>
    <row r="56" spans="1:12" x14ac:dyDescent="0.25">
      <c r="A56" s="138">
        <v>55</v>
      </c>
      <c r="B56" s="17">
        <v>45164</v>
      </c>
      <c r="C56" s="31" t="s">
        <v>368</v>
      </c>
      <c r="D56" s="32">
        <v>5618718638</v>
      </c>
      <c r="E56" s="31" t="s">
        <v>369</v>
      </c>
      <c r="F56" s="32" t="s">
        <v>370</v>
      </c>
      <c r="G56" s="39" t="s">
        <v>371</v>
      </c>
      <c r="H56" s="39">
        <v>200</v>
      </c>
      <c r="I56" s="42">
        <v>125</v>
      </c>
      <c r="J56" s="20">
        <v>10</v>
      </c>
      <c r="K56" s="43" t="s">
        <v>4043</v>
      </c>
      <c r="L56" s="45">
        <v>500</v>
      </c>
    </row>
    <row r="57" spans="1:12" x14ac:dyDescent="0.25">
      <c r="A57" s="138">
        <v>56</v>
      </c>
      <c r="B57" s="17">
        <v>45164</v>
      </c>
      <c r="C57" s="31" t="s">
        <v>2474</v>
      </c>
      <c r="D57" s="32">
        <v>5514732212</v>
      </c>
      <c r="E57" s="32" t="s">
        <v>372</v>
      </c>
      <c r="F57" t="s">
        <v>373</v>
      </c>
      <c r="G57" s="39" t="s">
        <v>374</v>
      </c>
      <c r="H57" s="39">
        <v>100</v>
      </c>
      <c r="I57" s="42">
        <v>51</v>
      </c>
      <c r="J57" s="20">
        <v>51</v>
      </c>
      <c r="K57" s="43" t="s">
        <v>4043</v>
      </c>
      <c r="L57" s="43">
        <v>250</v>
      </c>
    </row>
    <row r="58" spans="1:12" x14ac:dyDescent="0.25">
      <c r="A58" s="138">
        <v>57</v>
      </c>
      <c r="B58" s="17">
        <v>45164</v>
      </c>
      <c r="C58" s="31" t="s">
        <v>2477</v>
      </c>
      <c r="D58" s="32">
        <v>5513650898</v>
      </c>
      <c r="E58" s="32" t="s">
        <v>375</v>
      </c>
      <c r="F58" s="32" t="s">
        <v>376</v>
      </c>
      <c r="G58" s="39" t="s">
        <v>377</v>
      </c>
      <c r="H58" s="39">
        <v>250</v>
      </c>
      <c r="I58" s="42">
        <v>250</v>
      </c>
      <c r="J58" s="43">
        <v>10</v>
      </c>
      <c r="K58" s="43" t="s">
        <v>4043</v>
      </c>
      <c r="L58" s="43">
        <v>500</v>
      </c>
    </row>
    <row r="59" spans="1:12" x14ac:dyDescent="0.25">
      <c r="A59" s="138">
        <v>58</v>
      </c>
      <c r="B59" s="17">
        <v>45164</v>
      </c>
      <c r="C59" s="31" t="s">
        <v>225</v>
      </c>
      <c r="D59" s="32">
        <v>5610020620</v>
      </c>
      <c r="E59" s="32" t="s">
        <v>52</v>
      </c>
      <c r="F59" s="32" t="s">
        <v>378</v>
      </c>
      <c r="G59" s="39" t="s">
        <v>379</v>
      </c>
      <c r="H59" s="39">
        <v>500</v>
      </c>
      <c r="I59" s="42">
        <v>84</v>
      </c>
      <c r="J59" s="43">
        <v>10</v>
      </c>
      <c r="K59" s="43" t="s">
        <v>4043</v>
      </c>
      <c r="L59" s="43" t="s">
        <v>4042</v>
      </c>
    </row>
    <row r="60" spans="1:12" x14ac:dyDescent="0.25">
      <c r="A60" s="138">
        <v>59</v>
      </c>
      <c r="B60" s="17">
        <v>45164</v>
      </c>
      <c r="C60" s="31" t="s">
        <v>225</v>
      </c>
      <c r="D60" s="32">
        <v>5610020620</v>
      </c>
      <c r="E60" s="32" t="s">
        <v>52</v>
      </c>
      <c r="F60" s="32" t="s">
        <v>378</v>
      </c>
      <c r="G60" s="39" t="s">
        <v>380</v>
      </c>
      <c r="H60" s="39" t="s">
        <v>4042</v>
      </c>
      <c r="I60" s="42" t="s">
        <v>4042</v>
      </c>
      <c r="J60" s="43" t="s">
        <v>4042</v>
      </c>
      <c r="K60" s="43" t="s">
        <v>4043</v>
      </c>
      <c r="L60" s="43" t="s">
        <v>4042</v>
      </c>
    </row>
    <row r="61" spans="1:12" x14ac:dyDescent="0.25">
      <c r="A61" s="138">
        <v>60</v>
      </c>
      <c r="B61" s="17">
        <v>45165</v>
      </c>
      <c r="C61" s="17" t="s">
        <v>381</v>
      </c>
      <c r="D61" s="16">
        <v>5624838493</v>
      </c>
      <c r="E61" s="16" t="s">
        <v>52</v>
      </c>
      <c r="F61" s="16" t="s">
        <v>382</v>
      </c>
      <c r="G61" s="18" t="s">
        <v>383</v>
      </c>
      <c r="H61" s="19">
        <v>87</v>
      </c>
      <c r="I61" s="16">
        <v>77</v>
      </c>
      <c r="J61" s="20">
        <v>10</v>
      </c>
      <c r="K61" s="43" t="s">
        <v>4043</v>
      </c>
      <c r="L61" s="21">
        <v>200</v>
      </c>
    </row>
    <row r="62" spans="1:12" x14ac:dyDescent="0.25">
      <c r="A62" s="138">
        <v>61</v>
      </c>
      <c r="B62" s="17">
        <v>45165</v>
      </c>
      <c r="C62" s="17" t="s">
        <v>4042</v>
      </c>
      <c r="D62" s="16">
        <v>5510080515</v>
      </c>
      <c r="E62" s="16" t="s">
        <v>52</v>
      </c>
      <c r="F62" s="16" t="s">
        <v>384</v>
      </c>
      <c r="G62" s="18" t="s">
        <v>385</v>
      </c>
      <c r="H62" s="19">
        <v>50</v>
      </c>
      <c r="I62" s="16">
        <v>42</v>
      </c>
      <c r="J62" s="20">
        <v>7</v>
      </c>
      <c r="K62" s="43" t="s">
        <v>4043</v>
      </c>
      <c r="L62" s="21">
        <v>200</v>
      </c>
    </row>
    <row r="63" spans="1:12" x14ac:dyDescent="0.25">
      <c r="A63" s="138">
        <v>62</v>
      </c>
      <c r="B63" s="31">
        <v>45161</v>
      </c>
      <c r="C63" s="31" t="s">
        <v>2471</v>
      </c>
      <c r="D63" s="32">
        <v>5540756587</v>
      </c>
      <c r="E63" s="32" t="s">
        <v>106</v>
      </c>
      <c r="F63" s="32" t="s">
        <v>272</v>
      </c>
      <c r="G63" s="39" t="s">
        <v>273</v>
      </c>
      <c r="H63" s="39">
        <v>200</v>
      </c>
      <c r="I63" s="42">
        <v>38</v>
      </c>
      <c r="J63" s="43">
        <v>10</v>
      </c>
      <c r="K63" s="43" t="s">
        <v>4043</v>
      </c>
      <c r="L63" s="43">
        <v>152</v>
      </c>
    </row>
    <row r="64" spans="1:12" x14ac:dyDescent="0.25">
      <c r="A64" s="138">
        <v>63</v>
      </c>
      <c r="B64" s="31">
        <v>45161</v>
      </c>
      <c r="C64" s="31" t="s">
        <v>2472</v>
      </c>
      <c r="D64" s="32">
        <v>5510466400</v>
      </c>
      <c r="E64" s="32" t="s">
        <v>106</v>
      </c>
      <c r="F64" s="32" t="s">
        <v>275</v>
      </c>
      <c r="G64" s="39" t="s">
        <v>276</v>
      </c>
      <c r="H64" s="39">
        <v>143</v>
      </c>
      <c r="I64" s="42">
        <v>133</v>
      </c>
      <c r="J64" s="43">
        <v>10</v>
      </c>
      <c r="K64" s="43" t="s">
        <v>4043</v>
      </c>
      <c r="L64" s="43" t="s">
        <v>4042</v>
      </c>
    </row>
    <row r="65" spans="1:12" x14ac:dyDescent="0.25">
      <c r="A65" s="138">
        <v>64</v>
      </c>
      <c r="B65" s="89">
        <v>45161</v>
      </c>
      <c r="C65" s="89" t="s">
        <v>277</v>
      </c>
      <c r="D65" s="90">
        <v>5543685576</v>
      </c>
      <c r="E65" s="90" t="s">
        <v>386</v>
      </c>
      <c r="F65" s="90" t="s">
        <v>279</v>
      </c>
      <c r="G65" s="91" t="s">
        <v>280</v>
      </c>
      <c r="H65" s="91">
        <v>500</v>
      </c>
      <c r="I65" s="91">
        <v>207</v>
      </c>
      <c r="J65" s="43">
        <v>10</v>
      </c>
      <c r="K65" s="43" t="s">
        <v>4043</v>
      </c>
      <c r="L65" s="43">
        <v>0</v>
      </c>
    </row>
    <row r="66" spans="1:12" x14ac:dyDescent="0.25">
      <c r="A66" s="138">
        <v>65</v>
      </c>
      <c r="B66" s="31">
        <v>45161</v>
      </c>
      <c r="C66" s="31" t="s">
        <v>2486</v>
      </c>
      <c r="D66" s="32">
        <v>5520873875</v>
      </c>
      <c r="E66" s="32" t="s">
        <v>52</v>
      </c>
      <c r="F66" s="32" t="s">
        <v>388</v>
      </c>
      <c r="G66" s="39" t="s">
        <v>389</v>
      </c>
      <c r="H66" s="39">
        <v>52</v>
      </c>
      <c r="I66" s="42">
        <v>42</v>
      </c>
      <c r="J66" s="43">
        <v>10</v>
      </c>
      <c r="K66" s="43" t="s">
        <v>4043</v>
      </c>
      <c r="L66" s="43" t="s">
        <v>4042</v>
      </c>
    </row>
    <row r="67" spans="1:12" x14ac:dyDescent="0.25">
      <c r="A67" s="138">
        <v>66</v>
      </c>
      <c r="B67" s="92">
        <v>45165</v>
      </c>
      <c r="C67" s="17" t="s">
        <v>2465</v>
      </c>
      <c r="D67" s="16">
        <v>5614683694</v>
      </c>
      <c r="E67" s="16" t="s">
        <v>28</v>
      </c>
      <c r="F67" s="32" t="s">
        <v>285</v>
      </c>
      <c r="G67" s="18" t="s">
        <v>391</v>
      </c>
      <c r="H67" s="93">
        <v>50</v>
      </c>
      <c r="I67" s="35">
        <v>35</v>
      </c>
      <c r="J67" s="21">
        <v>10</v>
      </c>
      <c r="K67" s="43" t="s">
        <v>4043</v>
      </c>
      <c r="L67" s="21" t="s">
        <v>4042</v>
      </c>
    </row>
    <row r="68" spans="1:12" x14ac:dyDescent="0.25">
      <c r="A68" s="138">
        <v>67</v>
      </c>
      <c r="B68" s="92">
        <v>45165</v>
      </c>
      <c r="C68" s="17" t="s">
        <v>2479</v>
      </c>
      <c r="D68" s="16">
        <v>5563077577</v>
      </c>
      <c r="E68" s="16" t="s">
        <v>106</v>
      </c>
      <c r="F68" s="16" t="s">
        <v>392</v>
      </c>
      <c r="G68" s="18" t="s">
        <v>393</v>
      </c>
      <c r="H68" s="93">
        <v>200</v>
      </c>
      <c r="I68" s="94">
        <v>45</v>
      </c>
      <c r="J68" s="21">
        <v>10</v>
      </c>
      <c r="K68" s="43" t="s">
        <v>4043</v>
      </c>
      <c r="L68" s="21">
        <v>200</v>
      </c>
    </row>
    <row r="69" spans="1:12" x14ac:dyDescent="0.25">
      <c r="A69" s="138">
        <v>68</v>
      </c>
      <c r="B69" s="92">
        <v>45165</v>
      </c>
      <c r="C69" s="17" t="s">
        <v>128</v>
      </c>
      <c r="D69" s="16">
        <v>5530181574</v>
      </c>
      <c r="E69" s="16" t="s">
        <v>394</v>
      </c>
      <c r="F69" s="16" t="s">
        <v>395</v>
      </c>
      <c r="G69" s="18" t="s">
        <v>396</v>
      </c>
      <c r="H69" s="18">
        <v>285</v>
      </c>
      <c r="I69" s="95">
        <v>275</v>
      </c>
      <c r="J69" s="21">
        <v>10</v>
      </c>
      <c r="K69" s="43" t="s">
        <v>4043</v>
      </c>
      <c r="L69" s="21">
        <v>500</v>
      </c>
    </row>
    <row r="70" spans="1:12" x14ac:dyDescent="0.25">
      <c r="A70" s="138">
        <v>69</v>
      </c>
      <c r="B70" s="92">
        <v>45165</v>
      </c>
      <c r="C70" s="16" t="s">
        <v>2466</v>
      </c>
      <c r="D70" s="16">
        <v>5532536647</v>
      </c>
      <c r="E70" s="16" t="s">
        <v>106</v>
      </c>
      <c r="F70" s="18" t="s">
        <v>398</v>
      </c>
      <c r="G70" s="18" t="s">
        <v>399</v>
      </c>
      <c r="H70" s="18">
        <v>140</v>
      </c>
      <c r="I70" s="35">
        <v>157</v>
      </c>
      <c r="J70" s="21">
        <v>10</v>
      </c>
      <c r="K70" s="43" t="s">
        <v>4043</v>
      </c>
      <c r="L70" s="21">
        <v>200</v>
      </c>
    </row>
    <row r="71" spans="1:12" x14ac:dyDescent="0.25">
      <c r="A71" s="138">
        <v>70</v>
      </c>
      <c r="B71" s="17">
        <v>45165</v>
      </c>
      <c r="C71" s="96" t="s">
        <v>2477</v>
      </c>
      <c r="D71" s="44" t="s">
        <v>4042</v>
      </c>
      <c r="E71" s="96" t="s">
        <v>28</v>
      </c>
      <c r="F71" s="44" t="s">
        <v>400</v>
      </c>
      <c r="G71" s="33" t="s">
        <v>401</v>
      </c>
      <c r="H71" s="33">
        <v>142</v>
      </c>
      <c r="I71" s="38">
        <v>132</v>
      </c>
      <c r="J71" s="97">
        <v>10</v>
      </c>
      <c r="K71" s="43" t="s">
        <v>4043</v>
      </c>
      <c r="L71" s="21" t="s">
        <v>4042</v>
      </c>
    </row>
    <row r="72" spans="1:12" x14ac:dyDescent="0.25">
      <c r="A72" s="138">
        <v>71</v>
      </c>
      <c r="B72" s="17">
        <v>45165</v>
      </c>
      <c r="C72" s="31" t="s">
        <v>4042</v>
      </c>
      <c r="D72" s="32" t="s">
        <v>4042</v>
      </c>
      <c r="E72" s="32" t="s">
        <v>4042</v>
      </c>
      <c r="F72" t="s">
        <v>4042</v>
      </c>
      <c r="G72" s="39" t="s">
        <v>402</v>
      </c>
      <c r="H72" s="39">
        <v>1000</v>
      </c>
      <c r="I72" s="42">
        <v>126</v>
      </c>
      <c r="J72" s="20">
        <v>10</v>
      </c>
      <c r="K72" s="43" t="s">
        <v>4043</v>
      </c>
      <c r="L72" s="45" t="s">
        <v>4042</v>
      </c>
    </row>
    <row r="73" spans="1:12" x14ac:dyDescent="0.25">
      <c r="B73" s="27"/>
      <c r="C73" s="27"/>
      <c r="G73" s="36"/>
      <c r="H73" s="36"/>
    </row>
    <row r="74" spans="1:12" x14ac:dyDescent="0.25">
      <c r="B74" s="27"/>
      <c r="C74" s="27"/>
      <c r="G74" s="36"/>
      <c r="H74" s="36"/>
    </row>
    <row r="75" spans="1:12" x14ac:dyDescent="0.25">
      <c r="B75" s="27"/>
      <c r="C75" s="27"/>
      <c r="G75" s="36"/>
      <c r="H75" s="36"/>
    </row>
    <row r="76" spans="1:12" x14ac:dyDescent="0.25">
      <c r="B76" s="27"/>
      <c r="C76" s="27"/>
      <c r="G76" s="36"/>
      <c r="H76" s="36"/>
    </row>
    <row r="95" spans="2:8" x14ac:dyDescent="0.25">
      <c r="B95" s="27"/>
      <c r="C95" s="27"/>
      <c r="G95" s="36"/>
      <c r="H95" s="36"/>
    </row>
    <row r="100" spans="15:15" x14ac:dyDescent="0.25">
      <c r="O100" s="83"/>
    </row>
    <row r="123" spans="26:26" x14ac:dyDescent="0.25">
      <c r="Z123" s="86"/>
    </row>
    <row r="134" spans="27:27" x14ac:dyDescent="0.25">
      <c r="AA134" s="8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3"/>
  <sheetViews>
    <sheetView topLeftCell="X25" workbookViewId="0">
      <selection activeCell="AE38" sqref="AE38"/>
    </sheetView>
  </sheetViews>
  <sheetFormatPr baseColWidth="10" defaultRowHeight="15" x14ac:dyDescent="0.25"/>
  <sheetData>
    <row r="1" spans="1:40" x14ac:dyDescent="0.25">
      <c r="A1" s="1" t="s">
        <v>0</v>
      </c>
      <c r="B1" s="1"/>
      <c r="C1" s="1"/>
      <c r="D1" s="1"/>
      <c r="E1" s="1"/>
      <c r="F1" s="1"/>
      <c r="G1" s="1"/>
      <c r="H1" s="1"/>
      <c r="I1" s="1" t="s">
        <v>148</v>
      </c>
      <c r="J1" s="1"/>
      <c r="K1" s="1"/>
      <c r="L1" s="1"/>
      <c r="M1" s="1"/>
      <c r="N1" s="1"/>
      <c r="O1" s="1"/>
      <c r="P1" s="1"/>
      <c r="Q1" s="1"/>
      <c r="R1" s="1"/>
      <c r="S1" s="342" t="s">
        <v>1</v>
      </c>
      <c r="T1" s="342"/>
      <c r="U1" s="5"/>
      <c r="V1" s="139"/>
      <c r="W1" s="1"/>
      <c r="X1" s="1"/>
      <c r="Y1" s="1"/>
      <c r="Z1" s="5"/>
      <c r="AC1" s="335" t="s">
        <v>160</v>
      </c>
      <c r="AD1" s="336"/>
      <c r="AG1" s="335" t="s">
        <v>170</v>
      </c>
      <c r="AH1" s="336"/>
      <c r="AJ1" s="337" t="s">
        <v>172</v>
      </c>
      <c r="AK1" s="337"/>
      <c r="AM1" s="337" t="s">
        <v>681</v>
      </c>
      <c r="AN1" s="337"/>
    </row>
    <row r="2" spans="1:40" ht="90" x14ac:dyDescent="0.25">
      <c r="A2" s="6" t="s">
        <v>2</v>
      </c>
      <c r="B2" s="7" t="s">
        <v>3</v>
      </c>
      <c r="C2" s="7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8" t="s">
        <v>9</v>
      </c>
      <c r="I2" s="9" t="s">
        <v>10</v>
      </c>
      <c r="J2" s="8" t="s">
        <v>11</v>
      </c>
      <c r="K2" s="10" t="s">
        <v>12</v>
      </c>
      <c r="L2" s="10" t="s">
        <v>13</v>
      </c>
      <c r="M2" s="11" t="s">
        <v>14</v>
      </c>
      <c r="N2" s="10" t="s">
        <v>691</v>
      </c>
      <c r="O2" s="10" t="s">
        <v>28</v>
      </c>
      <c r="P2" s="5"/>
      <c r="Q2" s="10" t="s">
        <v>16</v>
      </c>
      <c r="R2" s="10" t="s">
        <v>17</v>
      </c>
      <c r="S2" s="10" t="s">
        <v>18</v>
      </c>
      <c r="T2" s="10" t="s">
        <v>19</v>
      </c>
      <c r="U2" s="10" t="s">
        <v>20</v>
      </c>
      <c r="V2" s="13"/>
      <c r="W2" s="136" t="s">
        <v>688</v>
      </c>
      <c r="X2" s="14" t="s">
        <v>22</v>
      </c>
      <c r="Y2" s="15" t="s">
        <v>23</v>
      </c>
      <c r="Z2" s="5"/>
      <c r="AB2">
        <v>40</v>
      </c>
      <c r="AC2" s="16" t="s">
        <v>161</v>
      </c>
      <c r="AD2" s="58">
        <f>+AB2*10</f>
        <v>400</v>
      </c>
      <c r="AF2">
        <v>9</v>
      </c>
      <c r="AG2" s="16" t="s">
        <v>161</v>
      </c>
      <c r="AH2" s="58">
        <f>+AF2*10</f>
        <v>90</v>
      </c>
      <c r="AJ2" s="61" t="s">
        <v>173</v>
      </c>
      <c r="AK2" s="62" t="s">
        <v>174</v>
      </c>
      <c r="AM2" s="16" t="s">
        <v>161</v>
      </c>
      <c r="AN2" s="58">
        <f>+AL2*10</f>
        <v>0</v>
      </c>
    </row>
    <row r="3" spans="1:40" x14ac:dyDescent="0.25">
      <c r="A3" s="16">
        <v>1</v>
      </c>
      <c r="B3" s="92">
        <v>45208</v>
      </c>
      <c r="C3" s="31" t="s">
        <v>298</v>
      </c>
      <c r="D3" s="32">
        <v>5510466400</v>
      </c>
      <c r="E3" s="32" t="s">
        <v>408</v>
      </c>
      <c r="F3" s="39" t="s">
        <v>1542</v>
      </c>
      <c r="G3" s="39" t="s">
        <v>1543</v>
      </c>
      <c r="H3" s="122"/>
      <c r="I3" s="32">
        <v>275</v>
      </c>
      <c r="J3" s="20">
        <v>10</v>
      </c>
      <c r="K3" s="21">
        <f>U3-J3-O3</f>
        <v>0</v>
      </c>
      <c r="L3" s="21">
        <f t="shared" ref="L3:L21" si="0">+I3+J3</f>
        <v>285</v>
      </c>
      <c r="M3" s="21">
        <f t="shared" ref="M3:M21" si="1">+H3-L3</f>
        <v>-285</v>
      </c>
      <c r="N3" s="21">
        <v>285</v>
      </c>
      <c r="O3" s="21"/>
      <c r="P3" s="5"/>
      <c r="Q3" s="21">
        <v>200</v>
      </c>
      <c r="R3" s="16"/>
      <c r="S3" s="21">
        <f t="shared" ref="S3:S21" si="2">+Q3+R3</f>
        <v>200</v>
      </c>
      <c r="T3" s="21">
        <v>210</v>
      </c>
      <c r="U3" s="78">
        <f>T3-S3-O3</f>
        <v>10</v>
      </c>
      <c r="V3" s="13"/>
      <c r="W3" s="147"/>
      <c r="X3" s="23"/>
      <c r="Y3" s="333"/>
      <c r="Z3" s="5"/>
      <c r="AB3">
        <v>29.5</v>
      </c>
      <c r="AC3" s="59" t="s">
        <v>162</v>
      </c>
      <c r="AD3" s="18">
        <f>+AB3*1</f>
        <v>29.5</v>
      </c>
      <c r="AF3">
        <v>43</v>
      </c>
      <c r="AG3" s="59" t="s">
        <v>162</v>
      </c>
      <c r="AH3" s="18">
        <f>+AF3*1</f>
        <v>43</v>
      </c>
      <c r="AJ3" s="16"/>
      <c r="AK3" s="16"/>
      <c r="AM3" s="59" t="s">
        <v>162</v>
      </c>
      <c r="AN3" s="18">
        <f>+AL3*1</f>
        <v>0</v>
      </c>
    </row>
    <row r="4" spans="1:40" x14ac:dyDescent="0.25">
      <c r="A4" s="26">
        <v>2</v>
      </c>
      <c r="B4" s="92">
        <v>45208</v>
      </c>
      <c r="C4" s="31" t="s">
        <v>1545</v>
      </c>
      <c r="D4" s="32"/>
      <c r="E4" s="32"/>
      <c r="F4" s="32" t="s">
        <v>1546</v>
      </c>
      <c r="G4" s="39" t="s">
        <v>1547</v>
      </c>
      <c r="H4" s="122"/>
      <c r="I4" s="32"/>
      <c r="J4" s="20">
        <v>10</v>
      </c>
      <c r="K4" s="21">
        <f t="shared" ref="K4:K21" si="3">U4-J4-O4</f>
        <v>11</v>
      </c>
      <c r="L4" s="21">
        <f t="shared" si="0"/>
        <v>10</v>
      </c>
      <c r="M4" s="21">
        <f t="shared" si="1"/>
        <v>-10</v>
      </c>
      <c r="N4" s="21"/>
      <c r="O4" s="21"/>
      <c r="P4" s="5"/>
      <c r="Q4" s="21"/>
      <c r="R4" s="16"/>
      <c r="S4" s="21">
        <f t="shared" si="2"/>
        <v>0</v>
      </c>
      <c r="T4" s="21">
        <v>21</v>
      </c>
      <c r="U4" s="78">
        <f t="shared" ref="U4:U21" si="4">T4-S4-O4</f>
        <v>21</v>
      </c>
      <c r="V4" s="140"/>
      <c r="W4" s="147"/>
      <c r="X4" s="23"/>
      <c r="Y4" s="334"/>
      <c r="Z4" s="5"/>
      <c r="AB4">
        <v>4</v>
      </c>
      <c r="AC4" s="16" t="s">
        <v>163</v>
      </c>
      <c r="AD4" s="60">
        <f>+AB4*5</f>
        <v>20</v>
      </c>
      <c r="AF4">
        <v>8</v>
      </c>
      <c r="AG4" s="16" t="s">
        <v>163</v>
      </c>
      <c r="AH4" s="60">
        <f>+AF4*5</f>
        <v>40</v>
      </c>
      <c r="AJ4" s="16"/>
      <c r="AK4" s="16"/>
      <c r="AM4" s="16" t="s">
        <v>163</v>
      </c>
      <c r="AN4" s="60">
        <f>+AL4*5</f>
        <v>0</v>
      </c>
    </row>
    <row r="5" spans="1:40" x14ac:dyDescent="0.25">
      <c r="A5" s="143">
        <v>3</v>
      </c>
      <c r="B5" s="92">
        <v>45208</v>
      </c>
      <c r="C5" s="31" t="s">
        <v>916</v>
      </c>
      <c r="D5" s="32">
        <v>5516609716</v>
      </c>
      <c r="E5" s="32" t="s">
        <v>106</v>
      </c>
      <c r="F5" s="32" t="s">
        <v>918</v>
      </c>
      <c r="G5" s="39" t="s">
        <v>1549</v>
      </c>
      <c r="H5" s="122"/>
      <c r="I5" s="32">
        <v>60</v>
      </c>
      <c r="J5" s="20">
        <v>10</v>
      </c>
      <c r="K5" s="21">
        <f t="shared" si="3"/>
        <v>0</v>
      </c>
      <c r="L5" s="21">
        <f t="shared" si="0"/>
        <v>70</v>
      </c>
      <c r="M5" s="21">
        <f t="shared" si="1"/>
        <v>-70</v>
      </c>
      <c r="N5" s="21"/>
      <c r="O5" s="21"/>
      <c r="P5" s="5"/>
      <c r="Q5" s="21">
        <v>100</v>
      </c>
      <c r="R5" s="16"/>
      <c r="S5" s="21">
        <f t="shared" si="2"/>
        <v>100</v>
      </c>
      <c r="T5" s="21">
        <v>110</v>
      </c>
      <c r="U5" s="78">
        <f t="shared" si="4"/>
        <v>10</v>
      </c>
      <c r="V5" s="140"/>
      <c r="W5" s="147"/>
      <c r="X5" s="23"/>
      <c r="Y5" s="334"/>
      <c r="Z5" s="5"/>
      <c r="AA5" s="83">
        <f>+AH12-AD38</f>
        <v>-839.5</v>
      </c>
      <c r="AC5" s="16" t="s">
        <v>164</v>
      </c>
      <c r="AD5" s="18">
        <f>+AB5*200</f>
        <v>0</v>
      </c>
      <c r="AF5">
        <v>2</v>
      </c>
      <c r="AG5" s="16" t="s">
        <v>164</v>
      </c>
      <c r="AH5" s="18">
        <f>+AF5*200</f>
        <v>400</v>
      </c>
      <c r="AJ5" s="16"/>
      <c r="AK5" s="16"/>
      <c r="AM5" s="16" t="s">
        <v>164</v>
      </c>
      <c r="AN5" s="18">
        <f>+AL5*200</f>
        <v>0</v>
      </c>
    </row>
    <row r="6" spans="1:40" x14ac:dyDescent="0.25">
      <c r="A6" s="143">
        <v>4</v>
      </c>
      <c r="B6" s="92">
        <v>45208</v>
      </c>
      <c r="C6" s="31" t="s">
        <v>30</v>
      </c>
      <c r="D6" s="32">
        <v>5615417890</v>
      </c>
      <c r="E6" s="32"/>
      <c r="F6" s="32" t="s">
        <v>1548</v>
      </c>
      <c r="G6" s="39" t="s">
        <v>1552</v>
      </c>
      <c r="H6" s="122"/>
      <c r="I6" s="32">
        <v>57</v>
      </c>
      <c r="J6" s="20">
        <v>10</v>
      </c>
      <c r="K6" s="21">
        <f t="shared" si="3"/>
        <v>-110</v>
      </c>
      <c r="L6" s="21">
        <f t="shared" si="0"/>
        <v>67</v>
      </c>
      <c r="M6" s="21">
        <f t="shared" si="1"/>
        <v>-67</v>
      </c>
      <c r="N6" s="21">
        <v>67</v>
      </c>
      <c r="O6" s="21"/>
      <c r="P6" s="5"/>
      <c r="Q6" s="21">
        <v>100</v>
      </c>
      <c r="R6" s="16"/>
      <c r="S6" s="21">
        <f t="shared" si="2"/>
        <v>100</v>
      </c>
      <c r="T6" s="21"/>
      <c r="U6" s="78">
        <f t="shared" si="4"/>
        <v>-100</v>
      </c>
      <c r="V6" s="140"/>
      <c r="W6" s="147"/>
      <c r="X6" s="23"/>
      <c r="Y6" s="334"/>
      <c r="Z6" s="5"/>
      <c r="AB6">
        <v>1</v>
      </c>
      <c r="AC6" s="16" t="s">
        <v>165</v>
      </c>
      <c r="AD6" s="18">
        <f>+AB6*100</f>
        <v>100</v>
      </c>
      <c r="AF6">
        <v>1</v>
      </c>
      <c r="AG6" s="16" t="s">
        <v>165</v>
      </c>
      <c r="AH6" s="18">
        <f>+AF6*100</f>
        <v>100</v>
      </c>
      <c r="AJ6" s="16"/>
      <c r="AK6" s="16"/>
      <c r="AM6" s="16" t="s">
        <v>165</v>
      </c>
      <c r="AN6" s="18">
        <f>+AL6*100</f>
        <v>0</v>
      </c>
    </row>
    <row r="7" spans="1:40" x14ac:dyDescent="0.25">
      <c r="A7" s="143">
        <v>5</v>
      </c>
      <c r="B7" s="92">
        <v>45208</v>
      </c>
      <c r="C7" s="31" t="s">
        <v>1402</v>
      </c>
      <c r="D7" s="32">
        <v>5535831305</v>
      </c>
      <c r="E7" s="32"/>
      <c r="F7" s="32" t="s">
        <v>1551</v>
      </c>
      <c r="G7" s="32" t="s">
        <v>1550</v>
      </c>
      <c r="H7" s="122"/>
      <c r="I7" s="32">
        <v>50</v>
      </c>
      <c r="J7" s="20">
        <v>10</v>
      </c>
      <c r="K7" s="21">
        <f t="shared" si="3"/>
        <v>0</v>
      </c>
      <c r="L7" s="21">
        <f t="shared" si="0"/>
        <v>60</v>
      </c>
      <c r="M7" s="21">
        <f t="shared" si="1"/>
        <v>-60</v>
      </c>
      <c r="N7" s="21"/>
      <c r="O7" s="21"/>
      <c r="P7" s="5"/>
      <c r="Q7" s="16">
        <v>150</v>
      </c>
      <c r="R7" s="16"/>
      <c r="S7" s="21">
        <f t="shared" si="2"/>
        <v>150</v>
      </c>
      <c r="T7" s="21">
        <v>160</v>
      </c>
      <c r="U7" s="78">
        <f t="shared" si="4"/>
        <v>10</v>
      </c>
      <c r="V7" s="140"/>
      <c r="W7" s="147"/>
      <c r="X7" s="23"/>
      <c r="Y7" s="334"/>
      <c r="Z7" s="5"/>
      <c r="AC7" s="16" t="s">
        <v>166</v>
      </c>
      <c r="AD7" s="18">
        <f>+AB7*50</f>
        <v>0</v>
      </c>
      <c r="AF7">
        <v>3</v>
      </c>
      <c r="AG7" s="16" t="s">
        <v>166</v>
      </c>
      <c r="AH7" s="18">
        <f>+AF7*50</f>
        <v>150</v>
      </c>
      <c r="AJ7" s="16"/>
      <c r="AK7" s="16"/>
      <c r="AM7" s="16" t="s">
        <v>166</v>
      </c>
      <c r="AN7" s="18">
        <f>+AL7*50</f>
        <v>0</v>
      </c>
    </row>
    <row r="8" spans="1:40" x14ac:dyDescent="0.25">
      <c r="A8" s="143">
        <v>6</v>
      </c>
      <c r="B8" s="92">
        <v>45208</v>
      </c>
      <c r="C8" s="31" t="s">
        <v>1553</v>
      </c>
      <c r="D8" s="32">
        <v>5612853273</v>
      </c>
      <c r="E8" s="32" t="s">
        <v>1556</v>
      </c>
      <c r="F8" s="32" t="s">
        <v>1554</v>
      </c>
      <c r="G8" s="39" t="s">
        <v>1555</v>
      </c>
      <c r="H8" s="39"/>
      <c r="I8" s="42">
        <v>270</v>
      </c>
      <c r="J8" s="20">
        <v>10</v>
      </c>
      <c r="K8" s="21">
        <f t="shared" si="3"/>
        <v>20</v>
      </c>
      <c r="L8" s="21">
        <f t="shared" si="0"/>
        <v>280</v>
      </c>
      <c r="M8" s="21">
        <f t="shared" si="1"/>
        <v>-280</v>
      </c>
      <c r="N8" s="21"/>
      <c r="O8" s="21"/>
      <c r="P8" s="5"/>
      <c r="Q8" s="16">
        <v>250</v>
      </c>
      <c r="R8" s="16"/>
      <c r="S8" s="21">
        <f t="shared" si="2"/>
        <v>250</v>
      </c>
      <c r="T8" s="16">
        <v>280</v>
      </c>
      <c r="U8" s="78">
        <f t="shared" si="4"/>
        <v>30</v>
      </c>
      <c r="V8" s="140"/>
      <c r="W8" s="147"/>
      <c r="X8" s="23"/>
      <c r="Y8" s="334"/>
      <c r="Z8" s="5"/>
      <c r="AC8" s="16" t="s">
        <v>167</v>
      </c>
      <c r="AD8" s="18">
        <f>+AB8*20</f>
        <v>0</v>
      </c>
      <c r="AF8">
        <v>5</v>
      </c>
      <c r="AG8" s="16" t="s">
        <v>167</v>
      </c>
      <c r="AH8" s="18">
        <f>+AF8*20</f>
        <v>100</v>
      </c>
      <c r="AJ8" s="16"/>
      <c r="AK8" s="16"/>
      <c r="AM8" s="16" t="s">
        <v>167</v>
      </c>
      <c r="AN8" s="18">
        <f>+AL8*20</f>
        <v>0</v>
      </c>
    </row>
    <row r="9" spans="1:40" x14ac:dyDescent="0.25">
      <c r="A9" s="143">
        <v>7</v>
      </c>
      <c r="B9" s="92">
        <v>45208</v>
      </c>
      <c r="C9" s="31" t="s">
        <v>119</v>
      </c>
      <c r="D9" s="32"/>
      <c r="E9" s="32"/>
      <c r="F9" s="32"/>
      <c r="G9" s="39" t="s">
        <v>1008</v>
      </c>
      <c r="H9" s="122"/>
      <c r="I9" s="42">
        <v>17</v>
      </c>
      <c r="J9" s="20">
        <v>10</v>
      </c>
      <c r="K9" s="21">
        <f t="shared" si="3"/>
        <v>-110</v>
      </c>
      <c r="L9" s="21">
        <f t="shared" si="0"/>
        <v>27</v>
      </c>
      <c r="M9" s="21">
        <f t="shared" si="1"/>
        <v>-27</v>
      </c>
      <c r="N9" s="21"/>
      <c r="O9" s="21"/>
      <c r="P9" s="5"/>
      <c r="Q9" s="16">
        <v>100</v>
      </c>
      <c r="R9" s="16"/>
      <c r="S9" s="21">
        <f t="shared" si="2"/>
        <v>100</v>
      </c>
      <c r="T9" s="16"/>
      <c r="U9" s="78">
        <f t="shared" si="4"/>
        <v>-100</v>
      </c>
      <c r="V9" s="140"/>
      <c r="W9" s="147"/>
      <c r="X9" s="23"/>
      <c r="Y9" s="334"/>
      <c r="Z9" s="5"/>
      <c r="AC9" s="16" t="s">
        <v>171</v>
      </c>
      <c r="AD9" s="18">
        <f>+AB9*500</f>
        <v>0</v>
      </c>
      <c r="AG9" s="16" t="s">
        <v>171</v>
      </c>
      <c r="AH9" s="18">
        <f>+AF9*500</f>
        <v>0</v>
      </c>
      <c r="AJ9" s="16"/>
      <c r="AK9" s="16"/>
      <c r="AM9" s="16" t="s">
        <v>171</v>
      </c>
      <c r="AN9" s="18">
        <f>+AL9*500</f>
        <v>0</v>
      </c>
    </row>
    <row r="10" spans="1:40" x14ac:dyDescent="0.25">
      <c r="A10" s="143">
        <v>8</v>
      </c>
      <c r="B10" s="92">
        <v>45208</v>
      </c>
      <c r="C10" s="31" t="s">
        <v>416</v>
      </c>
      <c r="D10" s="123"/>
      <c r="E10" s="123"/>
      <c r="F10" s="123"/>
      <c r="G10" s="39" t="s">
        <v>1557</v>
      </c>
      <c r="H10" s="122"/>
      <c r="I10" s="32">
        <v>120</v>
      </c>
      <c r="J10" s="20">
        <v>10</v>
      </c>
      <c r="K10" s="21">
        <f t="shared" si="3"/>
        <v>3</v>
      </c>
      <c r="L10" s="21">
        <f t="shared" si="0"/>
        <v>130</v>
      </c>
      <c r="M10" s="21">
        <f t="shared" si="1"/>
        <v>-130</v>
      </c>
      <c r="N10" s="21"/>
      <c r="O10" s="21"/>
      <c r="P10" s="5"/>
      <c r="Q10" s="16">
        <v>200</v>
      </c>
      <c r="R10" s="16"/>
      <c r="S10" s="21">
        <f t="shared" si="2"/>
        <v>200</v>
      </c>
      <c r="T10" s="16">
        <v>213</v>
      </c>
      <c r="U10" s="78">
        <f t="shared" si="4"/>
        <v>13</v>
      </c>
      <c r="V10" s="140"/>
      <c r="W10" s="147"/>
      <c r="X10" s="23"/>
      <c r="Y10" s="334"/>
      <c r="Z10" s="5"/>
      <c r="AC10" s="16" t="s">
        <v>168</v>
      </c>
      <c r="AD10" s="18">
        <f>+AB10*1000</f>
        <v>0</v>
      </c>
      <c r="AG10" s="16" t="s">
        <v>168</v>
      </c>
      <c r="AH10" s="18">
        <f>+AF10*1000</f>
        <v>0</v>
      </c>
      <c r="AJ10" s="16"/>
      <c r="AK10" s="16"/>
      <c r="AM10" s="16" t="s">
        <v>168</v>
      </c>
      <c r="AN10" s="18">
        <f>+AL10*1000</f>
        <v>0</v>
      </c>
    </row>
    <row r="11" spans="1:40" x14ac:dyDescent="0.25">
      <c r="A11" s="143">
        <v>9</v>
      </c>
      <c r="B11" s="92">
        <v>45208</v>
      </c>
      <c r="C11" s="31" t="s">
        <v>1558</v>
      </c>
      <c r="D11" s="32"/>
      <c r="E11" s="32" t="s">
        <v>1559</v>
      </c>
      <c r="F11" s="32" t="s">
        <v>1491</v>
      </c>
      <c r="G11" s="39" t="s">
        <v>1560</v>
      </c>
      <c r="H11" s="39">
        <v>210</v>
      </c>
      <c r="I11" s="40">
        <v>125</v>
      </c>
      <c r="J11" s="20">
        <v>10</v>
      </c>
      <c r="K11" s="21">
        <f t="shared" si="3"/>
        <v>0</v>
      </c>
      <c r="L11" s="21">
        <f t="shared" si="0"/>
        <v>135</v>
      </c>
      <c r="M11" s="21">
        <f t="shared" si="1"/>
        <v>75</v>
      </c>
      <c r="N11" s="21"/>
      <c r="O11" s="21"/>
      <c r="P11" s="5"/>
      <c r="Q11" s="16">
        <v>200</v>
      </c>
      <c r="R11" s="16"/>
      <c r="S11" s="21">
        <v>200</v>
      </c>
      <c r="T11" s="16">
        <v>210</v>
      </c>
      <c r="U11" s="78">
        <f t="shared" si="4"/>
        <v>10</v>
      </c>
      <c r="V11" s="140"/>
      <c r="W11" s="147"/>
      <c r="X11" s="23"/>
      <c r="Y11" s="334"/>
      <c r="Z11" s="5"/>
      <c r="AC11" s="26"/>
      <c r="AD11" s="58"/>
      <c r="AG11" s="26"/>
      <c r="AH11" s="58"/>
      <c r="AJ11" s="16"/>
      <c r="AK11" s="16"/>
      <c r="AM11" s="26"/>
      <c r="AN11" s="58"/>
    </row>
    <row r="12" spans="1:40" x14ac:dyDescent="0.25">
      <c r="A12" s="143">
        <v>10</v>
      </c>
      <c r="B12" s="92">
        <v>45208</v>
      </c>
      <c r="C12" s="31" t="s">
        <v>319</v>
      </c>
      <c r="D12" s="32"/>
      <c r="E12" s="32" t="s">
        <v>52</v>
      </c>
      <c r="F12" s="32" t="s">
        <v>1565</v>
      </c>
      <c r="G12" s="39" t="s">
        <v>1563</v>
      </c>
      <c r="H12" s="122">
        <v>1000</v>
      </c>
      <c r="I12" s="42">
        <v>155</v>
      </c>
      <c r="J12" s="20">
        <v>10</v>
      </c>
      <c r="K12" s="21">
        <v>5</v>
      </c>
      <c r="L12" s="21">
        <f t="shared" si="0"/>
        <v>165</v>
      </c>
      <c r="M12" s="21">
        <f t="shared" si="1"/>
        <v>835</v>
      </c>
      <c r="N12" s="21"/>
      <c r="O12" s="21"/>
      <c r="P12" s="5"/>
      <c r="Q12" s="16"/>
      <c r="R12" s="16"/>
      <c r="S12" s="21">
        <f t="shared" si="2"/>
        <v>0</v>
      </c>
      <c r="T12" s="16"/>
      <c r="U12" s="78">
        <f t="shared" si="4"/>
        <v>0</v>
      </c>
      <c r="V12" s="140"/>
      <c r="W12" s="147"/>
      <c r="X12" s="23"/>
      <c r="Y12" s="334"/>
      <c r="Z12" s="5"/>
      <c r="AC12" s="16" t="s">
        <v>169</v>
      </c>
      <c r="AD12" s="18">
        <f>SUM(AD2:AD11)</f>
        <v>549.5</v>
      </c>
      <c r="AG12" s="16" t="s">
        <v>169</v>
      </c>
      <c r="AH12" s="18">
        <f>SUM(AH2:AH11)</f>
        <v>923</v>
      </c>
      <c r="AJ12" s="16"/>
      <c r="AK12" s="16"/>
      <c r="AM12" s="16" t="s">
        <v>169</v>
      </c>
      <c r="AN12" s="18"/>
    </row>
    <row r="13" spans="1:40" x14ac:dyDescent="0.25">
      <c r="A13" s="143">
        <v>11</v>
      </c>
      <c r="B13" s="92">
        <v>45208</v>
      </c>
      <c r="C13" s="31" t="s">
        <v>1561</v>
      </c>
      <c r="D13" s="124"/>
      <c r="E13" s="123"/>
      <c r="F13" s="123" t="s">
        <v>348</v>
      </c>
      <c r="G13" s="39" t="s">
        <v>1564</v>
      </c>
      <c r="H13" s="122">
        <v>200</v>
      </c>
      <c r="I13" s="42">
        <v>150</v>
      </c>
      <c r="J13" s="20">
        <v>10</v>
      </c>
      <c r="K13" s="21">
        <v>10</v>
      </c>
      <c r="L13" s="21">
        <f t="shared" si="0"/>
        <v>160</v>
      </c>
      <c r="M13" s="21">
        <f t="shared" si="1"/>
        <v>40</v>
      </c>
      <c r="N13" s="21"/>
      <c r="O13" s="21"/>
      <c r="P13" s="5"/>
      <c r="Q13" s="16"/>
      <c r="R13" s="16"/>
      <c r="S13" s="21">
        <f t="shared" si="2"/>
        <v>0</v>
      </c>
      <c r="T13" s="16"/>
      <c r="U13" s="78">
        <f t="shared" si="4"/>
        <v>0</v>
      </c>
      <c r="V13" s="140"/>
      <c r="W13" s="147"/>
      <c r="X13" s="23"/>
      <c r="Y13" s="334"/>
      <c r="Z13" s="5"/>
      <c r="AD13">
        <v>628</v>
      </c>
      <c r="AJ13" s="16"/>
      <c r="AK13" s="16"/>
      <c r="AM13" s="16"/>
      <c r="AN13" s="16"/>
    </row>
    <row r="14" spans="1:40" x14ac:dyDescent="0.25">
      <c r="A14" s="143">
        <v>12</v>
      </c>
      <c r="B14" s="92">
        <v>45208</v>
      </c>
      <c r="C14" s="32" t="s">
        <v>1238</v>
      </c>
      <c r="D14" s="32"/>
      <c r="E14" s="124" t="s">
        <v>52</v>
      </c>
      <c r="F14" s="123" t="s">
        <v>1562</v>
      </c>
      <c r="G14" s="39" t="s">
        <v>1566</v>
      </c>
      <c r="H14" s="39">
        <v>200</v>
      </c>
      <c r="I14" s="42">
        <v>118</v>
      </c>
      <c r="J14" s="20">
        <v>10</v>
      </c>
      <c r="K14" s="21"/>
      <c r="L14" s="21">
        <f t="shared" si="0"/>
        <v>128</v>
      </c>
      <c r="M14" s="21">
        <f t="shared" si="1"/>
        <v>72</v>
      </c>
      <c r="N14" s="21"/>
      <c r="O14" s="21"/>
      <c r="P14" s="5"/>
      <c r="Q14" s="45"/>
      <c r="R14" s="44"/>
      <c r="S14" s="21">
        <f t="shared" si="2"/>
        <v>0</v>
      </c>
      <c r="T14" s="45"/>
      <c r="U14" s="78">
        <f t="shared" si="4"/>
        <v>0</v>
      </c>
      <c r="V14" s="140"/>
      <c r="W14" s="147"/>
      <c r="X14" s="23"/>
      <c r="Y14" s="334"/>
      <c r="Z14" s="5"/>
      <c r="AJ14" s="63" t="s">
        <v>169</v>
      </c>
      <c r="AK14" s="63">
        <v>1775</v>
      </c>
      <c r="AM14" s="63" t="s">
        <v>169</v>
      </c>
      <c r="AN14" s="85">
        <f>+SUM(AM2:AM13)-SUM(AN3:AN13)</f>
        <v>0</v>
      </c>
    </row>
    <row r="15" spans="1:40" x14ac:dyDescent="0.25">
      <c r="A15" s="143">
        <v>13</v>
      </c>
      <c r="B15" s="92">
        <v>45208</v>
      </c>
      <c r="C15" s="31" t="s">
        <v>387</v>
      </c>
      <c r="D15" s="32"/>
      <c r="E15" s="32" t="s">
        <v>52</v>
      </c>
      <c r="F15" s="32" t="s">
        <v>1527</v>
      </c>
      <c r="G15" s="39" t="s">
        <v>1567</v>
      </c>
      <c r="H15" s="39">
        <v>200</v>
      </c>
      <c r="I15" s="42">
        <v>101</v>
      </c>
      <c r="J15" s="108">
        <v>10</v>
      </c>
      <c r="K15" s="21">
        <f t="shared" si="3"/>
        <v>-10</v>
      </c>
      <c r="L15" s="21">
        <f t="shared" si="0"/>
        <v>111</v>
      </c>
      <c r="M15" s="21">
        <f t="shared" si="1"/>
        <v>89</v>
      </c>
      <c r="N15" s="21"/>
      <c r="O15" s="21"/>
      <c r="P15" s="5"/>
      <c r="Q15" s="43"/>
      <c r="R15" s="32"/>
      <c r="S15" s="21">
        <f t="shared" si="2"/>
        <v>0</v>
      </c>
      <c r="T15" s="43"/>
      <c r="U15" s="78">
        <f t="shared" si="4"/>
        <v>0</v>
      </c>
      <c r="V15" s="140"/>
      <c r="W15" s="147"/>
      <c r="X15" s="23"/>
      <c r="Y15" s="334"/>
      <c r="Z15" s="5"/>
      <c r="AH15" s="83"/>
    </row>
    <row r="16" spans="1:40" x14ac:dyDescent="0.25">
      <c r="A16" s="143">
        <v>14</v>
      </c>
      <c r="B16" s="92">
        <v>45208</v>
      </c>
      <c r="C16" s="31" t="s">
        <v>1568</v>
      </c>
      <c r="D16" s="32"/>
      <c r="E16" s="32" t="s">
        <v>52</v>
      </c>
      <c r="F16" s="32" t="s">
        <v>351</v>
      </c>
      <c r="G16" s="39" t="s">
        <v>1569</v>
      </c>
      <c r="H16" s="39">
        <v>200</v>
      </c>
      <c r="I16" s="42">
        <v>101</v>
      </c>
      <c r="J16" s="108">
        <v>10</v>
      </c>
      <c r="K16" s="21">
        <f t="shared" si="3"/>
        <v>-10</v>
      </c>
      <c r="L16" s="21">
        <f t="shared" si="0"/>
        <v>111</v>
      </c>
      <c r="M16" s="21">
        <f t="shared" si="1"/>
        <v>89</v>
      </c>
      <c r="N16" s="21"/>
      <c r="O16" s="21"/>
      <c r="P16" s="5"/>
      <c r="Q16" s="43"/>
      <c r="R16" s="43"/>
      <c r="S16" s="21">
        <f t="shared" si="2"/>
        <v>0</v>
      </c>
      <c r="T16" s="43"/>
      <c r="U16" s="78">
        <f t="shared" si="4"/>
        <v>0</v>
      </c>
      <c r="V16" s="140"/>
      <c r="W16" s="147"/>
      <c r="X16" s="23"/>
      <c r="Y16" s="334"/>
      <c r="Z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40" x14ac:dyDescent="0.25">
      <c r="A17" s="143">
        <v>15</v>
      </c>
      <c r="B17" s="92">
        <v>45208</v>
      </c>
      <c r="C17" s="127"/>
      <c r="D17" s="32"/>
      <c r="E17" s="32"/>
      <c r="F17" s="128"/>
      <c r="G17" s="129"/>
      <c r="H17" s="39"/>
      <c r="I17" s="42"/>
      <c r="J17" s="108">
        <v>10</v>
      </c>
      <c r="K17" s="21">
        <f t="shared" si="3"/>
        <v>-200</v>
      </c>
      <c r="L17" s="21">
        <f t="shared" si="0"/>
        <v>10</v>
      </c>
      <c r="M17" s="21">
        <f t="shared" si="1"/>
        <v>-10</v>
      </c>
      <c r="N17" s="21"/>
      <c r="O17" s="21">
        <v>95</v>
      </c>
      <c r="P17" s="5"/>
      <c r="Q17" s="43"/>
      <c r="R17" s="43"/>
      <c r="S17" s="21">
        <f t="shared" si="2"/>
        <v>0</v>
      </c>
      <c r="T17" s="43"/>
      <c r="U17" s="78">
        <f t="shared" si="4"/>
        <v>-95</v>
      </c>
      <c r="V17" s="140"/>
      <c r="W17" s="147"/>
      <c r="X17" s="23"/>
      <c r="Y17" s="334"/>
      <c r="Z17" s="5"/>
      <c r="AC17" s="5"/>
      <c r="AD17" s="134" t="s">
        <v>20</v>
      </c>
      <c r="AE17" s="338"/>
      <c r="AF17" s="341" t="s">
        <v>686</v>
      </c>
      <c r="AG17" s="134" t="s">
        <v>20</v>
      </c>
      <c r="AH17" s="338">
        <v>140</v>
      </c>
      <c r="AI17" s="341" t="s">
        <v>687</v>
      </c>
      <c r="AJ17" s="134" t="s">
        <v>20</v>
      </c>
      <c r="AK17" s="338"/>
      <c r="AL17" s="5"/>
    </row>
    <row r="18" spans="1:40" x14ac:dyDescent="0.25">
      <c r="A18" s="143">
        <v>16</v>
      </c>
      <c r="B18" s="92">
        <v>45208</v>
      </c>
      <c r="C18" s="31"/>
      <c r="D18" s="32"/>
      <c r="E18" s="32"/>
      <c r="F18" s="32"/>
      <c r="G18" s="39"/>
      <c r="H18" s="39"/>
      <c r="I18" s="42"/>
      <c r="J18" s="43">
        <v>10</v>
      </c>
      <c r="K18" s="21">
        <f t="shared" si="3"/>
        <v>-10</v>
      </c>
      <c r="L18" s="21">
        <f t="shared" si="0"/>
        <v>10</v>
      </c>
      <c r="M18" s="21">
        <f t="shared" si="1"/>
        <v>-10</v>
      </c>
      <c r="N18" s="21"/>
      <c r="O18" s="21"/>
      <c r="P18" s="5"/>
      <c r="Q18" s="43"/>
      <c r="R18" s="32"/>
      <c r="S18" s="21">
        <f t="shared" si="2"/>
        <v>0</v>
      </c>
      <c r="T18" s="131"/>
      <c r="U18" s="78">
        <f t="shared" si="4"/>
        <v>0</v>
      </c>
      <c r="V18" s="140"/>
      <c r="W18" s="147"/>
      <c r="X18" s="23"/>
      <c r="Y18" s="334"/>
      <c r="Z18" s="5"/>
      <c r="AC18" s="5" t="s">
        <v>685</v>
      </c>
      <c r="AD18" s="115" t="s">
        <v>684</v>
      </c>
      <c r="AE18" s="339"/>
      <c r="AF18" s="341"/>
      <c r="AG18" s="115" t="s">
        <v>684</v>
      </c>
      <c r="AH18" s="339"/>
      <c r="AI18" s="341"/>
      <c r="AJ18" s="115" t="s">
        <v>684</v>
      </c>
      <c r="AK18" s="339"/>
      <c r="AL18" s="5"/>
    </row>
    <row r="19" spans="1:40" x14ac:dyDescent="0.25">
      <c r="A19" s="143">
        <v>17</v>
      </c>
      <c r="B19" s="92">
        <v>45208</v>
      </c>
      <c r="C19" s="31"/>
      <c r="D19" s="32"/>
      <c r="E19" s="32"/>
      <c r="F19" s="32"/>
      <c r="G19" s="39"/>
      <c r="H19" s="39"/>
      <c r="I19" s="42"/>
      <c r="J19" s="43">
        <v>10</v>
      </c>
      <c r="K19" s="21">
        <f t="shared" si="3"/>
        <v>-10</v>
      </c>
      <c r="L19" s="21">
        <f t="shared" si="0"/>
        <v>10</v>
      </c>
      <c r="M19" s="21">
        <f t="shared" si="1"/>
        <v>-10</v>
      </c>
      <c r="N19" s="21"/>
      <c r="O19" s="21"/>
      <c r="P19" s="5"/>
      <c r="Q19" s="43"/>
      <c r="R19" s="32"/>
      <c r="S19" s="21">
        <f t="shared" si="2"/>
        <v>0</v>
      </c>
      <c r="T19" s="132"/>
      <c r="U19" s="78">
        <f t="shared" si="4"/>
        <v>0</v>
      </c>
      <c r="V19" s="140"/>
      <c r="W19" s="147"/>
      <c r="X19" s="23"/>
      <c r="Y19" s="340"/>
      <c r="Z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40" x14ac:dyDescent="0.25">
      <c r="A20" s="143">
        <v>18</v>
      </c>
      <c r="B20" s="92">
        <v>45208</v>
      </c>
      <c r="C20" s="31"/>
      <c r="D20" s="32"/>
      <c r="E20" s="32"/>
      <c r="F20" s="32"/>
      <c r="G20" s="39"/>
      <c r="H20" s="39"/>
      <c r="I20" s="42"/>
      <c r="J20" s="43">
        <v>10</v>
      </c>
      <c r="K20" s="21">
        <f t="shared" si="3"/>
        <v>-10</v>
      </c>
      <c r="L20" s="21">
        <f t="shared" si="0"/>
        <v>10</v>
      </c>
      <c r="M20" s="21">
        <f t="shared" si="1"/>
        <v>-10</v>
      </c>
      <c r="N20" s="21"/>
      <c r="O20" s="21"/>
      <c r="P20" s="5"/>
      <c r="Q20" s="135"/>
      <c r="R20" s="104"/>
      <c r="S20" s="21">
        <f t="shared" si="2"/>
        <v>0</v>
      </c>
      <c r="T20" s="131"/>
      <c r="U20" s="78">
        <f t="shared" si="4"/>
        <v>0</v>
      </c>
      <c r="V20" s="140"/>
      <c r="W20" s="138"/>
      <c r="X20" s="32"/>
      <c r="Z20" s="5"/>
    </row>
    <row r="21" spans="1:40" x14ac:dyDescent="0.25">
      <c r="A21" s="143">
        <v>19</v>
      </c>
      <c r="B21" s="92">
        <v>45208</v>
      </c>
      <c r="C21" s="31"/>
      <c r="D21" s="32"/>
      <c r="E21" s="32"/>
      <c r="F21" s="32"/>
      <c r="G21" s="39"/>
      <c r="H21" s="39"/>
      <c r="I21" s="42"/>
      <c r="J21" s="43">
        <v>10</v>
      </c>
      <c r="K21" s="21">
        <f t="shared" si="3"/>
        <v>-10</v>
      </c>
      <c r="L21" s="21">
        <f t="shared" si="0"/>
        <v>10</v>
      </c>
      <c r="M21" s="21">
        <f t="shared" si="1"/>
        <v>-10</v>
      </c>
      <c r="N21" s="21"/>
      <c r="O21" s="21"/>
      <c r="P21" s="5"/>
      <c r="Q21" s="32"/>
      <c r="R21" s="32"/>
      <c r="S21" s="21">
        <f t="shared" si="2"/>
        <v>0</v>
      </c>
      <c r="T21" s="32"/>
      <c r="U21" s="78">
        <f t="shared" si="4"/>
        <v>0</v>
      </c>
      <c r="V21" s="140"/>
      <c r="W21" s="138"/>
      <c r="X21" s="32"/>
      <c r="Z21" s="5"/>
    </row>
    <row r="22" spans="1:4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141"/>
      <c r="W22" s="5"/>
      <c r="X22" s="5"/>
      <c r="Y22" s="5"/>
      <c r="Z22" s="5"/>
    </row>
    <row r="24" spans="1:40" x14ac:dyDescent="0.25">
      <c r="A24" t="s">
        <v>1544</v>
      </c>
      <c r="J24" s="193">
        <v>255</v>
      </c>
      <c r="N24">
        <f>+I35+I36</f>
        <v>396</v>
      </c>
      <c r="O24" s="83">
        <f>+O35+O36</f>
        <v>126</v>
      </c>
      <c r="P24">
        <v>300</v>
      </c>
      <c r="R24" s="83">
        <f>+O25+P25-N24+O24</f>
        <v>190</v>
      </c>
      <c r="S24" s="83"/>
    </row>
    <row r="25" spans="1:40" x14ac:dyDescent="0.25">
      <c r="A25" t="s">
        <v>1576</v>
      </c>
      <c r="J25" t="s">
        <v>1581</v>
      </c>
      <c r="O25">
        <v>350</v>
      </c>
      <c r="P25">
        <v>110</v>
      </c>
    </row>
    <row r="26" spans="1:40" x14ac:dyDescent="0.25">
      <c r="A26" s="1" t="s">
        <v>1577</v>
      </c>
      <c r="B26" s="1"/>
      <c r="C26" s="1"/>
      <c r="D26" s="1"/>
      <c r="E26" s="1"/>
      <c r="F26" s="1"/>
      <c r="G26" s="1"/>
      <c r="H26" s="1"/>
      <c r="I26" s="1" t="s">
        <v>148</v>
      </c>
      <c r="J26" s="1"/>
      <c r="K26" s="1"/>
      <c r="L26" s="1"/>
      <c r="M26" s="1"/>
      <c r="N26" s="1"/>
      <c r="O26" s="1"/>
      <c r="P26" s="1"/>
      <c r="Q26" s="1"/>
      <c r="R26" s="1"/>
      <c r="S26" s="342" t="s">
        <v>1</v>
      </c>
      <c r="T26" s="342"/>
      <c r="U26" s="5"/>
      <c r="V26" s="139"/>
      <c r="W26" s="1"/>
      <c r="X26" s="1"/>
      <c r="Y26" s="1"/>
      <c r="Z26" s="5"/>
      <c r="AC26" s="335" t="s">
        <v>160</v>
      </c>
      <c r="AD26" s="336"/>
      <c r="AG26" s="335" t="s">
        <v>170</v>
      </c>
      <c r="AH26" s="336"/>
      <c r="AJ26" s="337" t="s">
        <v>172</v>
      </c>
      <c r="AK26" s="337"/>
      <c r="AM26" s="337" t="s">
        <v>681</v>
      </c>
      <c r="AN26" s="337"/>
    </row>
    <row r="27" spans="1:40" ht="90" x14ac:dyDescent="0.25">
      <c r="A27" s="6" t="s">
        <v>2</v>
      </c>
      <c r="B27" s="7" t="s">
        <v>3</v>
      </c>
      <c r="C27" s="7" t="s">
        <v>4</v>
      </c>
      <c r="D27" s="6" t="s">
        <v>5</v>
      </c>
      <c r="E27" s="6" t="s">
        <v>6</v>
      </c>
      <c r="F27" s="6" t="s">
        <v>7</v>
      </c>
      <c r="G27" s="6" t="s">
        <v>8</v>
      </c>
      <c r="H27" s="8" t="s">
        <v>9</v>
      </c>
      <c r="I27" s="9" t="s">
        <v>10</v>
      </c>
      <c r="J27" s="8" t="s">
        <v>11</v>
      </c>
      <c r="K27" s="10" t="s">
        <v>12</v>
      </c>
      <c r="L27" s="10" t="s">
        <v>13</v>
      </c>
      <c r="M27" s="11" t="s">
        <v>14</v>
      </c>
      <c r="N27" s="10" t="s">
        <v>691</v>
      </c>
      <c r="O27" s="10" t="s">
        <v>28</v>
      </c>
      <c r="P27" s="5"/>
      <c r="Q27" s="10" t="s">
        <v>16</v>
      </c>
      <c r="R27" s="10" t="s">
        <v>17</v>
      </c>
      <c r="S27" s="10" t="s">
        <v>18</v>
      </c>
      <c r="T27" s="10" t="s">
        <v>19</v>
      </c>
      <c r="U27" s="10" t="s">
        <v>20</v>
      </c>
      <c r="V27" s="13"/>
      <c r="W27" s="136" t="s">
        <v>688</v>
      </c>
      <c r="X27" s="14" t="s">
        <v>22</v>
      </c>
      <c r="Y27" s="15" t="s">
        <v>23</v>
      </c>
      <c r="Z27" s="5"/>
      <c r="AA27" s="83">
        <f>+AD65-AH38</f>
        <v>-95</v>
      </c>
      <c r="AB27">
        <v>14</v>
      </c>
      <c r="AC27" s="16" t="s">
        <v>161</v>
      </c>
      <c r="AD27" s="58">
        <f>+AB27*10</f>
        <v>140</v>
      </c>
      <c r="AF27">
        <v>1</v>
      </c>
      <c r="AG27" s="16" t="s">
        <v>161</v>
      </c>
      <c r="AH27" s="58">
        <f>+AF27*10</f>
        <v>10</v>
      </c>
      <c r="AJ27" s="61" t="s">
        <v>173</v>
      </c>
      <c r="AK27" s="62" t="s">
        <v>174</v>
      </c>
      <c r="AM27" s="16" t="s">
        <v>161</v>
      </c>
      <c r="AN27" s="58">
        <f>+AL27*10</f>
        <v>0</v>
      </c>
    </row>
    <row r="28" spans="1:40" x14ac:dyDescent="0.25">
      <c r="A28" s="16">
        <v>1</v>
      </c>
      <c r="B28" s="92">
        <v>45209</v>
      </c>
      <c r="C28" s="31" t="s">
        <v>1570</v>
      </c>
      <c r="D28" s="32">
        <v>5539245551</v>
      </c>
      <c r="E28" s="32" t="s">
        <v>1424</v>
      </c>
      <c r="F28" s="39" t="s">
        <v>1571</v>
      </c>
      <c r="G28" s="39" t="s">
        <v>1572</v>
      </c>
      <c r="H28" s="122">
        <v>200</v>
      </c>
      <c r="I28" s="32">
        <v>35</v>
      </c>
      <c r="J28" s="20">
        <v>10</v>
      </c>
      <c r="K28" s="21">
        <f>U28-J28-O28</f>
        <v>5</v>
      </c>
      <c r="L28" s="21">
        <f t="shared" ref="L28:L47" si="5">+I28+J28</f>
        <v>45</v>
      </c>
      <c r="M28" s="21">
        <f t="shared" ref="M28:M47" si="6">+H28-L28</f>
        <v>155</v>
      </c>
      <c r="N28" s="21"/>
      <c r="O28" s="21"/>
      <c r="P28" s="5"/>
      <c r="Q28" s="21">
        <v>200</v>
      </c>
      <c r="R28" s="16"/>
      <c r="S28" s="21">
        <f t="shared" ref="S28:S47" si="7">+Q28+R28</f>
        <v>200</v>
      </c>
      <c r="T28" s="21">
        <v>215</v>
      </c>
      <c r="U28" s="78">
        <f>T28-S28-O28</f>
        <v>15</v>
      </c>
      <c r="V28" s="13"/>
      <c r="W28" s="147"/>
      <c r="X28" s="23"/>
      <c r="Y28" s="333"/>
      <c r="Z28" s="5"/>
      <c r="AB28">
        <v>47.5</v>
      </c>
      <c r="AC28" s="59" t="s">
        <v>162</v>
      </c>
      <c r="AD28" s="18">
        <f>+AB28*1</f>
        <v>47.5</v>
      </c>
      <c r="AF28">
        <v>100</v>
      </c>
      <c r="AG28" s="59" t="s">
        <v>162</v>
      </c>
      <c r="AH28" s="18">
        <f>+AF28*1</f>
        <v>100</v>
      </c>
      <c r="AJ28" s="21">
        <v>350</v>
      </c>
      <c r="AK28" s="16"/>
      <c r="AM28" s="59" t="s">
        <v>162</v>
      </c>
      <c r="AN28" s="18">
        <f>+AL28*1</f>
        <v>0</v>
      </c>
    </row>
    <row r="29" spans="1:40" x14ac:dyDescent="0.25">
      <c r="A29" s="26">
        <v>2</v>
      </c>
      <c r="B29" s="92">
        <v>45209</v>
      </c>
      <c r="C29" s="31" t="s">
        <v>872</v>
      </c>
      <c r="D29" s="32">
        <v>5564121405</v>
      </c>
      <c r="E29" s="32" t="s">
        <v>1424</v>
      </c>
      <c r="F29" s="32" t="s">
        <v>558</v>
      </c>
      <c r="G29" s="39" t="s">
        <v>1573</v>
      </c>
      <c r="H29" s="122">
        <v>50</v>
      </c>
      <c r="I29" s="32">
        <v>37</v>
      </c>
      <c r="J29" s="20">
        <v>10</v>
      </c>
      <c r="K29" s="21">
        <f t="shared" ref="K29:K47" si="8">U29-J29-O29</f>
        <v>5</v>
      </c>
      <c r="L29" s="21">
        <f t="shared" si="5"/>
        <v>47</v>
      </c>
      <c r="M29" s="21">
        <f t="shared" si="6"/>
        <v>3</v>
      </c>
      <c r="N29" s="21"/>
      <c r="O29" s="21"/>
      <c r="P29" s="5"/>
      <c r="Q29" s="21">
        <v>50</v>
      </c>
      <c r="R29" s="16"/>
      <c r="S29" s="21">
        <f t="shared" si="7"/>
        <v>50</v>
      </c>
      <c r="T29" s="21">
        <v>65</v>
      </c>
      <c r="U29" s="78">
        <f t="shared" ref="U29:U47" si="9">T29-S29-O29</f>
        <v>15</v>
      </c>
      <c r="V29" s="140"/>
      <c r="W29" s="147"/>
      <c r="X29" s="23"/>
      <c r="Y29" s="334"/>
      <c r="Z29" s="5"/>
      <c r="AB29">
        <v>13</v>
      </c>
      <c r="AC29" s="16" t="s">
        <v>163</v>
      </c>
      <c r="AD29" s="60">
        <f>+AB29*5</f>
        <v>65</v>
      </c>
      <c r="AF29">
        <v>33</v>
      </c>
      <c r="AG29" s="16" t="s">
        <v>163</v>
      </c>
      <c r="AH29" s="60">
        <f>+AF29*5</f>
        <v>165</v>
      </c>
      <c r="AJ29" s="21"/>
      <c r="AK29" s="16"/>
      <c r="AM29" s="16" t="s">
        <v>163</v>
      </c>
      <c r="AN29" s="60">
        <f>+AL29*5</f>
        <v>0</v>
      </c>
    </row>
    <row r="30" spans="1:40" x14ac:dyDescent="0.25">
      <c r="A30" s="143">
        <v>3</v>
      </c>
      <c r="B30" s="92">
        <v>45209</v>
      </c>
      <c r="C30" s="31" t="s">
        <v>1574</v>
      </c>
      <c r="D30" s="32">
        <v>5589529270</v>
      </c>
      <c r="E30" s="32" t="s">
        <v>1575</v>
      </c>
      <c r="F30" s="32" t="s">
        <v>1483</v>
      </c>
      <c r="G30" s="39" t="s">
        <v>1231</v>
      </c>
      <c r="H30" s="122">
        <v>220</v>
      </c>
      <c r="I30" s="32">
        <v>200</v>
      </c>
      <c r="J30" s="20">
        <v>20</v>
      </c>
      <c r="K30" s="21">
        <f t="shared" si="8"/>
        <v>0</v>
      </c>
      <c r="L30" s="21">
        <f t="shared" si="5"/>
        <v>220</v>
      </c>
      <c r="M30" s="21">
        <f t="shared" si="6"/>
        <v>0</v>
      </c>
      <c r="N30" s="21"/>
      <c r="O30" s="21"/>
      <c r="P30" s="5"/>
      <c r="Q30" s="21">
        <v>200</v>
      </c>
      <c r="R30" s="16"/>
      <c r="S30" s="21">
        <f t="shared" si="7"/>
        <v>200</v>
      </c>
      <c r="T30" s="21">
        <v>220</v>
      </c>
      <c r="U30" s="78">
        <f t="shared" si="9"/>
        <v>20</v>
      </c>
      <c r="V30" s="140"/>
      <c r="W30" s="147"/>
      <c r="X30" s="23"/>
      <c r="Y30" s="334"/>
      <c r="Z30" s="5"/>
      <c r="AB30">
        <v>1</v>
      </c>
      <c r="AC30" s="16" t="s">
        <v>164</v>
      </c>
      <c r="AD30" s="18">
        <f>+AB30*200</f>
        <v>200</v>
      </c>
      <c r="AG30" s="16" t="s">
        <v>164</v>
      </c>
      <c r="AH30" s="18">
        <f>+AF30*200</f>
        <v>0</v>
      </c>
      <c r="AJ30" s="21"/>
      <c r="AK30" s="16"/>
      <c r="AM30" s="16" t="s">
        <v>164</v>
      </c>
      <c r="AN30" s="18">
        <f>+AL30*200</f>
        <v>0</v>
      </c>
    </row>
    <row r="31" spans="1:40" x14ac:dyDescent="0.25">
      <c r="A31" s="143">
        <v>4</v>
      </c>
      <c r="B31" s="92">
        <v>45209</v>
      </c>
      <c r="C31" s="31" t="s">
        <v>203</v>
      </c>
      <c r="D31" s="32">
        <v>5578861024</v>
      </c>
      <c r="E31" s="32" t="s">
        <v>413</v>
      </c>
      <c r="F31" s="32" t="s">
        <v>326</v>
      </c>
      <c r="G31" s="39" t="s">
        <v>1578</v>
      </c>
      <c r="H31" s="122">
        <v>200</v>
      </c>
      <c r="I31" s="32">
        <v>185</v>
      </c>
      <c r="J31" s="20">
        <v>10</v>
      </c>
      <c r="K31" s="21">
        <f t="shared" si="8"/>
        <v>26</v>
      </c>
      <c r="L31" s="21">
        <f t="shared" si="5"/>
        <v>195</v>
      </c>
      <c r="M31" s="21">
        <f t="shared" si="6"/>
        <v>5</v>
      </c>
      <c r="N31" s="21"/>
      <c r="O31" s="21"/>
      <c r="P31" s="5"/>
      <c r="Q31" s="21">
        <v>200</v>
      </c>
      <c r="R31" s="16"/>
      <c r="S31" s="21">
        <f t="shared" si="7"/>
        <v>200</v>
      </c>
      <c r="T31" s="21">
        <v>236</v>
      </c>
      <c r="U31" s="78">
        <f t="shared" si="9"/>
        <v>36</v>
      </c>
      <c r="V31" s="140"/>
      <c r="W31" s="147"/>
      <c r="X31" s="23"/>
      <c r="Y31" s="334"/>
      <c r="Z31" s="5"/>
      <c r="AB31" t="s">
        <v>148</v>
      </c>
      <c r="AC31" s="16" t="s">
        <v>165</v>
      </c>
      <c r="AD31" s="18">
        <v>0</v>
      </c>
      <c r="AG31" s="16" t="s">
        <v>165</v>
      </c>
      <c r="AH31" s="18">
        <f>+AF31*100</f>
        <v>0</v>
      </c>
      <c r="AJ31" s="21">
        <v>66</v>
      </c>
      <c r="AK31" s="16"/>
      <c r="AM31" s="16" t="s">
        <v>165</v>
      </c>
      <c r="AN31" s="18">
        <f>+AL31*100</f>
        <v>0</v>
      </c>
    </row>
    <row r="32" spans="1:40" x14ac:dyDescent="0.25">
      <c r="A32" s="143">
        <v>5</v>
      </c>
      <c r="B32" s="92">
        <v>45209</v>
      </c>
      <c r="C32" s="31" t="s">
        <v>1402</v>
      </c>
      <c r="D32" s="32">
        <v>5535831305</v>
      </c>
      <c r="E32" s="32" t="s">
        <v>76</v>
      </c>
      <c r="F32" s="32" t="s">
        <v>1580</v>
      </c>
      <c r="G32" s="32" t="s">
        <v>1579</v>
      </c>
      <c r="H32" s="122">
        <v>50</v>
      </c>
      <c r="I32" s="32">
        <v>12</v>
      </c>
      <c r="J32" s="20">
        <v>10</v>
      </c>
      <c r="K32" s="21">
        <f t="shared" si="8"/>
        <v>10</v>
      </c>
      <c r="L32" s="21">
        <f t="shared" si="5"/>
        <v>22</v>
      </c>
      <c r="M32" s="21">
        <f t="shared" si="6"/>
        <v>28</v>
      </c>
      <c r="N32" s="21"/>
      <c r="O32" s="21"/>
      <c r="P32" s="5"/>
      <c r="Q32" s="16">
        <v>200</v>
      </c>
      <c r="R32" s="16"/>
      <c r="S32" s="21">
        <f t="shared" si="7"/>
        <v>200</v>
      </c>
      <c r="T32" s="21">
        <v>220</v>
      </c>
      <c r="U32" s="78">
        <f t="shared" si="9"/>
        <v>20</v>
      </c>
      <c r="V32" s="140"/>
      <c r="W32" s="147"/>
      <c r="X32" s="23"/>
      <c r="Y32" s="334"/>
      <c r="Z32" s="5"/>
      <c r="AB32">
        <v>1</v>
      </c>
      <c r="AC32" s="16" t="s">
        <v>166</v>
      </c>
      <c r="AD32" s="18">
        <f>+AB32*50</f>
        <v>50</v>
      </c>
      <c r="AF32">
        <v>1</v>
      </c>
      <c r="AG32" s="16" t="s">
        <v>166</v>
      </c>
      <c r="AH32" s="18">
        <f>+AF32*50</f>
        <v>50</v>
      </c>
      <c r="AJ32" s="21"/>
      <c r="AK32" s="16"/>
      <c r="AM32" s="16" t="s">
        <v>166</v>
      </c>
      <c r="AN32" s="18">
        <f>+AL32*50</f>
        <v>0</v>
      </c>
    </row>
    <row r="33" spans="1:40" x14ac:dyDescent="0.25">
      <c r="A33" s="143">
        <v>6</v>
      </c>
      <c r="B33" s="92">
        <v>45209</v>
      </c>
      <c r="C33" s="31" t="s">
        <v>203</v>
      </c>
      <c r="D33" s="32">
        <v>5578861024</v>
      </c>
      <c r="E33" s="32" t="s">
        <v>413</v>
      </c>
      <c r="F33" s="32" t="s">
        <v>326</v>
      </c>
      <c r="G33" s="39" t="s">
        <v>1582</v>
      </c>
      <c r="H33" s="39"/>
      <c r="I33" s="42">
        <v>34</v>
      </c>
      <c r="J33" s="20">
        <v>10</v>
      </c>
      <c r="K33" s="21">
        <f t="shared" si="8"/>
        <v>5</v>
      </c>
      <c r="L33" s="21">
        <v>54</v>
      </c>
      <c r="M33" s="21">
        <f t="shared" si="6"/>
        <v>-54</v>
      </c>
      <c r="N33" s="21"/>
      <c r="O33" s="21"/>
      <c r="P33" s="5"/>
      <c r="Q33" s="16"/>
      <c r="R33" s="16"/>
      <c r="S33" s="21">
        <f t="shared" si="7"/>
        <v>0</v>
      </c>
      <c r="T33" s="16">
        <v>15</v>
      </c>
      <c r="U33" s="78">
        <f t="shared" si="9"/>
        <v>15</v>
      </c>
      <c r="V33" s="140"/>
      <c r="W33" s="147"/>
      <c r="X33" s="23"/>
      <c r="Y33" s="334"/>
      <c r="Z33" s="5"/>
      <c r="AB33">
        <v>13</v>
      </c>
      <c r="AC33" s="16" t="s">
        <v>167</v>
      </c>
      <c r="AD33" s="18">
        <f>+AB33*20</f>
        <v>260</v>
      </c>
      <c r="AG33" s="16" t="s">
        <v>167</v>
      </c>
      <c r="AH33" s="18">
        <f>+AF33*20</f>
        <v>0</v>
      </c>
      <c r="AJ33" s="21">
        <v>130</v>
      </c>
      <c r="AK33" s="16"/>
      <c r="AM33" s="16" t="s">
        <v>167</v>
      </c>
      <c r="AN33" s="18">
        <f>+AL33*20</f>
        <v>0</v>
      </c>
    </row>
    <row r="34" spans="1:40" x14ac:dyDescent="0.25">
      <c r="A34" s="143">
        <v>7</v>
      </c>
      <c r="B34" s="92">
        <v>45209</v>
      </c>
      <c r="C34" s="31" t="s">
        <v>650</v>
      </c>
      <c r="D34" s="32">
        <v>5526260701</v>
      </c>
      <c r="E34" s="32"/>
      <c r="F34" s="32"/>
      <c r="G34" s="39" t="s">
        <v>1584</v>
      </c>
      <c r="H34" s="122"/>
      <c r="I34" s="42">
        <v>200</v>
      </c>
      <c r="J34" s="20">
        <v>10</v>
      </c>
      <c r="K34" s="21">
        <f t="shared" si="8"/>
        <v>25</v>
      </c>
      <c r="L34" s="21">
        <f t="shared" si="5"/>
        <v>210</v>
      </c>
      <c r="M34" s="21">
        <f t="shared" si="6"/>
        <v>-210</v>
      </c>
      <c r="N34" s="21"/>
      <c r="O34" s="21"/>
      <c r="P34" s="5"/>
      <c r="Q34" s="16">
        <v>200</v>
      </c>
      <c r="R34" s="16"/>
      <c r="S34" s="21">
        <f t="shared" si="7"/>
        <v>200</v>
      </c>
      <c r="T34" s="16">
        <v>235</v>
      </c>
      <c r="U34" s="78">
        <f t="shared" si="9"/>
        <v>35</v>
      </c>
      <c r="V34" s="140"/>
      <c r="W34" s="147"/>
      <c r="X34" s="23"/>
      <c r="Y34" s="334"/>
      <c r="Z34" s="5"/>
      <c r="AB34">
        <v>2</v>
      </c>
      <c r="AC34" s="16" t="s">
        <v>171</v>
      </c>
      <c r="AD34" s="18">
        <f>+AB34*500</f>
        <v>1000</v>
      </c>
      <c r="AG34" s="16" t="s">
        <v>171</v>
      </c>
      <c r="AH34" s="18">
        <f>+AF34*500</f>
        <v>0</v>
      </c>
      <c r="AJ34" s="21"/>
      <c r="AK34" s="16"/>
      <c r="AM34" s="16" t="s">
        <v>171</v>
      </c>
      <c r="AN34" s="18">
        <f>+AL34*500</f>
        <v>0</v>
      </c>
    </row>
    <row r="35" spans="1:40" x14ac:dyDescent="0.25">
      <c r="A35" s="143">
        <v>8</v>
      </c>
      <c r="B35" s="92">
        <v>45209</v>
      </c>
      <c r="C35" s="31" t="s">
        <v>872</v>
      </c>
      <c r="D35" s="32">
        <v>5564121405</v>
      </c>
      <c r="E35" s="32" t="s">
        <v>1424</v>
      </c>
      <c r="F35" s="32" t="s">
        <v>558</v>
      </c>
      <c r="G35" s="39" t="s">
        <v>1583</v>
      </c>
      <c r="H35" s="122"/>
      <c r="I35" s="32">
        <v>328</v>
      </c>
      <c r="J35" s="20">
        <v>10</v>
      </c>
      <c r="K35" s="21">
        <v>0</v>
      </c>
      <c r="L35" s="21">
        <f t="shared" si="5"/>
        <v>338</v>
      </c>
      <c r="M35" s="21">
        <f t="shared" si="6"/>
        <v>-338</v>
      </c>
      <c r="N35" s="21">
        <v>350</v>
      </c>
      <c r="O35" s="21">
        <v>58</v>
      </c>
      <c r="P35" s="5"/>
      <c r="Q35" s="16">
        <v>300</v>
      </c>
      <c r="R35" s="16"/>
      <c r="S35" s="21">
        <f t="shared" si="7"/>
        <v>300</v>
      </c>
      <c r="T35" s="16">
        <v>320</v>
      </c>
      <c r="U35" s="78">
        <f t="shared" si="9"/>
        <v>-38</v>
      </c>
      <c r="V35" s="140"/>
      <c r="W35" s="147"/>
      <c r="X35" s="23"/>
      <c r="Y35" s="334"/>
      <c r="Z35" s="5"/>
      <c r="AC35" s="16" t="s">
        <v>168</v>
      </c>
      <c r="AD35" s="18">
        <f>+AB35*1000</f>
        <v>0</v>
      </c>
      <c r="AG35" s="16" t="s">
        <v>168</v>
      </c>
      <c r="AH35" s="18">
        <f>+AF35*1000</f>
        <v>0</v>
      </c>
      <c r="AJ35" s="21"/>
      <c r="AK35" s="16"/>
      <c r="AM35" s="16" t="s">
        <v>168</v>
      </c>
      <c r="AN35" s="18">
        <f>+AL35*1000</f>
        <v>0</v>
      </c>
    </row>
    <row r="36" spans="1:40" x14ac:dyDescent="0.25">
      <c r="A36" s="143"/>
      <c r="B36" s="92"/>
      <c r="C36" s="31" t="s">
        <v>390</v>
      </c>
      <c r="D36" s="32"/>
      <c r="E36" s="32" t="s">
        <v>394</v>
      </c>
      <c r="F36" s="32"/>
      <c r="G36" s="39" t="s">
        <v>1585</v>
      </c>
      <c r="H36" s="122">
        <v>80</v>
      </c>
      <c r="I36" s="32">
        <v>68</v>
      </c>
      <c r="J36" s="20">
        <v>10</v>
      </c>
      <c r="K36" s="21"/>
      <c r="L36" s="21">
        <f t="shared" si="5"/>
        <v>78</v>
      </c>
      <c r="M36" s="21">
        <f t="shared" si="6"/>
        <v>2</v>
      </c>
      <c r="N36" s="21"/>
      <c r="O36" s="21">
        <v>68</v>
      </c>
      <c r="P36" s="5"/>
      <c r="Q36" s="16"/>
      <c r="R36" s="16"/>
      <c r="S36" s="21"/>
      <c r="T36" s="16">
        <v>18</v>
      </c>
      <c r="U36" s="78"/>
      <c r="V36" s="140"/>
      <c r="W36" s="147"/>
      <c r="X36" s="23"/>
      <c r="Y36" s="334"/>
      <c r="Z36" s="5"/>
      <c r="AC36" s="26"/>
      <c r="AD36" s="58"/>
      <c r="AG36" s="26"/>
      <c r="AH36" s="58"/>
      <c r="AJ36" s="21">
        <v>249</v>
      </c>
      <c r="AK36" s="16"/>
      <c r="AM36" s="26"/>
      <c r="AN36" s="58"/>
    </row>
    <row r="37" spans="1:40" x14ac:dyDescent="0.25">
      <c r="A37" s="143">
        <v>9</v>
      </c>
      <c r="B37" s="92">
        <v>45209</v>
      </c>
      <c r="C37" s="31" t="s">
        <v>31</v>
      </c>
      <c r="D37" s="32"/>
      <c r="E37" s="32" t="s">
        <v>1587</v>
      </c>
      <c r="F37" s="32"/>
      <c r="G37" s="39" t="s">
        <v>1586</v>
      </c>
      <c r="H37" s="39"/>
      <c r="I37" s="40">
        <v>356</v>
      </c>
      <c r="J37" s="20">
        <v>20</v>
      </c>
      <c r="K37" s="21">
        <f t="shared" si="8"/>
        <v>14</v>
      </c>
      <c r="L37" s="21">
        <f t="shared" si="5"/>
        <v>376</v>
      </c>
      <c r="M37" s="21">
        <f t="shared" si="6"/>
        <v>-376</v>
      </c>
      <c r="N37" s="21"/>
      <c r="O37" s="21"/>
      <c r="P37" s="5"/>
      <c r="Q37" s="16"/>
      <c r="R37" s="16"/>
      <c r="S37" s="21">
        <f t="shared" si="7"/>
        <v>0</v>
      </c>
      <c r="T37" s="16">
        <v>34</v>
      </c>
      <c r="U37" s="78">
        <f t="shared" si="9"/>
        <v>34</v>
      </c>
      <c r="V37" s="140"/>
      <c r="W37" s="147"/>
      <c r="X37" s="23"/>
      <c r="Y37" s="334"/>
      <c r="Z37" s="5"/>
      <c r="AC37" s="26"/>
      <c r="AD37" s="58"/>
      <c r="AG37" s="26"/>
      <c r="AH37" s="58"/>
      <c r="AJ37" s="21"/>
      <c r="AK37" s="16"/>
      <c r="AM37" s="26"/>
      <c r="AN37" s="58"/>
    </row>
    <row r="38" spans="1:40" x14ac:dyDescent="0.25">
      <c r="A38" s="143">
        <v>10</v>
      </c>
      <c r="B38" s="92">
        <v>45209</v>
      </c>
      <c r="C38" s="31" t="s">
        <v>119</v>
      </c>
      <c r="D38" s="32"/>
      <c r="E38" s="32" t="s">
        <v>106</v>
      </c>
      <c r="F38" s="32"/>
      <c r="G38" s="39" t="s">
        <v>1588</v>
      </c>
      <c r="H38" s="122"/>
      <c r="I38" s="42">
        <v>56</v>
      </c>
      <c r="J38" s="20">
        <v>10</v>
      </c>
      <c r="K38" s="21">
        <f t="shared" si="8"/>
        <v>3</v>
      </c>
      <c r="L38" s="21">
        <f t="shared" si="5"/>
        <v>66</v>
      </c>
      <c r="M38" s="21">
        <f t="shared" si="6"/>
        <v>-66</v>
      </c>
      <c r="N38" s="21">
        <v>66</v>
      </c>
      <c r="O38" s="21"/>
      <c r="P38" s="5"/>
      <c r="Q38" s="16">
        <v>200</v>
      </c>
      <c r="R38" s="16"/>
      <c r="S38" s="21">
        <f t="shared" si="7"/>
        <v>200</v>
      </c>
      <c r="T38" s="16">
        <v>213</v>
      </c>
      <c r="U38" s="78">
        <f t="shared" si="9"/>
        <v>13</v>
      </c>
      <c r="V38" s="140"/>
      <c r="W38" s="147"/>
      <c r="X38" s="23"/>
      <c r="Y38" s="334"/>
      <c r="Z38" s="5"/>
      <c r="AC38" s="16" t="s">
        <v>169</v>
      </c>
      <c r="AD38" s="18">
        <f>SUM(AD27:AD37)</f>
        <v>1762.5</v>
      </c>
      <c r="AG38" s="16" t="s">
        <v>169</v>
      </c>
      <c r="AH38" s="18">
        <f>SUM(AH27:AH37)</f>
        <v>325</v>
      </c>
      <c r="AJ38" s="21">
        <v>110</v>
      </c>
      <c r="AK38" s="16"/>
      <c r="AM38" s="16" t="s">
        <v>169</v>
      </c>
      <c r="AN38" s="18"/>
    </row>
    <row r="39" spans="1:40" x14ac:dyDescent="0.25">
      <c r="A39" s="143">
        <v>11</v>
      </c>
      <c r="B39" s="92">
        <v>45209</v>
      </c>
      <c r="C39" s="31" t="s">
        <v>1589</v>
      </c>
      <c r="D39" s="124">
        <v>5625771181</v>
      </c>
      <c r="E39" s="123" t="s">
        <v>1371</v>
      </c>
      <c r="F39" s="123" t="s">
        <v>1590</v>
      </c>
      <c r="G39" s="39" t="s">
        <v>1591</v>
      </c>
      <c r="H39" s="122"/>
      <c r="I39" s="42">
        <v>19</v>
      </c>
      <c r="J39" s="20">
        <v>10</v>
      </c>
      <c r="K39" s="21">
        <f t="shared" si="8"/>
        <v>0</v>
      </c>
      <c r="L39" s="21">
        <f t="shared" si="5"/>
        <v>29</v>
      </c>
      <c r="M39" s="21">
        <f t="shared" si="6"/>
        <v>-29</v>
      </c>
      <c r="N39" s="21"/>
      <c r="O39" s="21"/>
      <c r="P39" s="5"/>
      <c r="Q39" s="16"/>
      <c r="R39" s="16"/>
      <c r="S39" s="21">
        <f t="shared" si="7"/>
        <v>0</v>
      </c>
      <c r="T39" s="16">
        <v>10</v>
      </c>
      <c r="U39" s="78">
        <f t="shared" si="9"/>
        <v>10</v>
      </c>
      <c r="V39" s="140"/>
      <c r="W39" s="147"/>
      <c r="X39" s="23"/>
      <c r="Y39" s="334"/>
      <c r="Z39" s="5"/>
      <c r="AJ39" s="16"/>
      <c r="AK39" s="16"/>
      <c r="AM39" s="16"/>
      <c r="AN39" s="16"/>
    </row>
    <row r="40" spans="1:40" x14ac:dyDescent="0.25">
      <c r="A40" s="143">
        <v>12</v>
      </c>
      <c r="B40" s="92">
        <v>45209</v>
      </c>
      <c r="C40" s="32" t="s">
        <v>1593</v>
      </c>
      <c r="D40" s="32"/>
      <c r="E40" s="124" t="s">
        <v>91</v>
      </c>
      <c r="F40" s="123" t="s">
        <v>220</v>
      </c>
      <c r="G40" s="39" t="s">
        <v>1595</v>
      </c>
      <c r="H40" s="39">
        <v>500</v>
      </c>
      <c r="I40" s="42">
        <v>100</v>
      </c>
      <c r="J40" s="20">
        <v>20</v>
      </c>
      <c r="K40" s="21">
        <v>10</v>
      </c>
      <c r="L40" s="21">
        <f t="shared" si="5"/>
        <v>120</v>
      </c>
      <c r="M40" s="21"/>
      <c r="N40" s="21">
        <v>130</v>
      </c>
      <c r="O40" s="21"/>
      <c r="P40" s="5"/>
      <c r="Q40" s="45"/>
      <c r="R40" s="44"/>
      <c r="S40" s="21">
        <f t="shared" si="7"/>
        <v>0</v>
      </c>
      <c r="T40" s="45">
        <v>130</v>
      </c>
      <c r="U40" s="78">
        <v>20</v>
      </c>
      <c r="V40" s="140"/>
      <c r="W40" s="147"/>
      <c r="X40" s="23"/>
      <c r="Y40" s="334"/>
      <c r="Z40" s="5"/>
      <c r="AC40" t="s">
        <v>1592</v>
      </c>
      <c r="AJ40" s="63" t="s">
        <v>169</v>
      </c>
      <c r="AK40" s="63">
        <f>+SUM(AJ28:AJ39)-SUM(AK28:AK39)</f>
        <v>905</v>
      </c>
      <c r="AM40" s="63" t="s">
        <v>169</v>
      </c>
      <c r="AN40" s="85">
        <f>+SUM(AM27:AM39)-SUM(AN28:AN39)</f>
        <v>0</v>
      </c>
    </row>
    <row r="41" spans="1:40" x14ac:dyDescent="0.25">
      <c r="A41" s="143">
        <v>13</v>
      </c>
      <c r="B41" s="92">
        <v>45209</v>
      </c>
      <c r="C41" s="31" t="s">
        <v>1487</v>
      </c>
      <c r="D41" s="32">
        <v>5639611669</v>
      </c>
      <c r="E41" s="32" t="s">
        <v>106</v>
      </c>
      <c r="F41" s="32" t="s">
        <v>1491</v>
      </c>
      <c r="G41" s="39" t="s">
        <v>1594</v>
      </c>
      <c r="H41" s="39">
        <v>300</v>
      </c>
      <c r="I41" s="42"/>
      <c r="J41" s="108">
        <v>10</v>
      </c>
      <c r="K41" s="21">
        <f t="shared" si="8"/>
        <v>0</v>
      </c>
      <c r="L41" s="21">
        <f t="shared" si="5"/>
        <v>10</v>
      </c>
      <c r="M41" s="21">
        <f t="shared" si="6"/>
        <v>290</v>
      </c>
      <c r="N41" s="21"/>
      <c r="O41" s="21"/>
      <c r="P41" s="5"/>
      <c r="Q41" s="43"/>
      <c r="R41" s="32"/>
      <c r="S41" s="21">
        <f t="shared" si="7"/>
        <v>0</v>
      </c>
      <c r="T41" s="43">
        <v>300</v>
      </c>
      <c r="U41" s="78">
        <v>10</v>
      </c>
      <c r="V41" s="140"/>
      <c r="W41" s="147"/>
      <c r="X41" s="23"/>
      <c r="Y41" s="334"/>
      <c r="Z41" s="5"/>
      <c r="AH41" s="83"/>
    </row>
    <row r="42" spans="1:40" x14ac:dyDescent="0.25">
      <c r="A42" s="143">
        <v>14</v>
      </c>
      <c r="B42" s="92">
        <v>45209</v>
      </c>
      <c r="C42" s="31" t="s">
        <v>815</v>
      </c>
      <c r="D42" s="32">
        <v>5572135350</v>
      </c>
      <c r="E42" s="32" t="s">
        <v>106</v>
      </c>
      <c r="F42" s="32" t="s">
        <v>1597</v>
      </c>
      <c r="G42" s="32" t="s">
        <v>1596</v>
      </c>
      <c r="H42" s="39">
        <v>300</v>
      </c>
      <c r="I42" s="42"/>
      <c r="J42" s="108">
        <v>10</v>
      </c>
      <c r="K42" s="21">
        <f t="shared" si="8"/>
        <v>0</v>
      </c>
      <c r="L42" s="21">
        <f t="shared" si="5"/>
        <v>10</v>
      </c>
      <c r="M42" s="21">
        <f t="shared" si="6"/>
        <v>290</v>
      </c>
      <c r="N42" s="21"/>
      <c r="O42" s="21"/>
      <c r="P42" s="5"/>
      <c r="Q42" s="43"/>
      <c r="R42" s="43"/>
      <c r="S42" s="21">
        <f t="shared" si="7"/>
        <v>0</v>
      </c>
      <c r="T42" s="43">
        <v>300</v>
      </c>
      <c r="U42" s="78">
        <v>10</v>
      </c>
      <c r="V42" s="140"/>
      <c r="W42" s="147"/>
      <c r="X42" s="23"/>
      <c r="Y42" s="334"/>
      <c r="Z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40" x14ac:dyDescent="0.25">
      <c r="A43" s="143">
        <v>15</v>
      </c>
      <c r="B43" s="92">
        <v>45209</v>
      </c>
      <c r="C43" s="127" t="s">
        <v>1598</v>
      </c>
      <c r="D43" s="32"/>
      <c r="E43" s="32" t="s">
        <v>106</v>
      </c>
      <c r="F43" s="128" t="s">
        <v>220</v>
      </c>
      <c r="G43" s="129" t="s">
        <v>1599</v>
      </c>
      <c r="H43" s="39">
        <v>500</v>
      </c>
      <c r="I43" s="42">
        <v>239</v>
      </c>
      <c r="J43" s="108">
        <v>10</v>
      </c>
      <c r="K43" s="21"/>
      <c r="L43" s="21">
        <f t="shared" si="5"/>
        <v>249</v>
      </c>
      <c r="M43" s="21">
        <f t="shared" si="6"/>
        <v>251</v>
      </c>
      <c r="N43" s="21">
        <v>249</v>
      </c>
      <c r="O43" s="21"/>
      <c r="P43" s="5"/>
      <c r="Q43" s="43"/>
      <c r="R43" s="43"/>
      <c r="S43" s="21">
        <f t="shared" si="7"/>
        <v>0</v>
      </c>
      <c r="T43" s="43">
        <v>249</v>
      </c>
      <c r="U43" s="78">
        <v>10</v>
      </c>
      <c r="V43" s="140"/>
      <c r="W43" s="147"/>
      <c r="X43" s="23"/>
      <c r="Y43" s="334"/>
      <c r="Z43" s="5"/>
      <c r="AC43" s="5"/>
      <c r="AD43" s="134" t="s">
        <v>20</v>
      </c>
      <c r="AE43" s="338"/>
      <c r="AF43" s="341" t="s">
        <v>686</v>
      </c>
      <c r="AG43" s="134" t="s">
        <v>20</v>
      </c>
      <c r="AH43" s="338">
        <v>210</v>
      </c>
      <c r="AI43" s="341" t="s">
        <v>687</v>
      </c>
      <c r="AJ43" s="134" t="s">
        <v>20</v>
      </c>
      <c r="AK43" s="338"/>
      <c r="AL43" s="5"/>
    </row>
    <row r="44" spans="1:40" x14ac:dyDescent="0.25">
      <c r="A44" s="143">
        <v>16</v>
      </c>
      <c r="B44" s="92">
        <v>45209</v>
      </c>
      <c r="C44" s="31" t="s">
        <v>1600</v>
      </c>
      <c r="D44" s="32"/>
      <c r="E44" s="32" t="s">
        <v>106</v>
      </c>
      <c r="F44" s="32" t="s">
        <v>1601</v>
      </c>
      <c r="G44" s="39" t="s">
        <v>1603</v>
      </c>
      <c r="H44" s="39">
        <v>230</v>
      </c>
      <c r="I44" s="42">
        <v>193</v>
      </c>
      <c r="J44" s="43">
        <v>20</v>
      </c>
      <c r="K44" s="21">
        <v>17</v>
      </c>
      <c r="L44" s="21">
        <f t="shared" si="5"/>
        <v>213</v>
      </c>
      <c r="M44" s="21"/>
      <c r="N44" s="21"/>
      <c r="O44" s="21"/>
      <c r="P44" s="5"/>
      <c r="Q44" s="43"/>
      <c r="R44" s="32"/>
      <c r="S44" s="21">
        <f t="shared" si="7"/>
        <v>0</v>
      </c>
      <c r="T44" s="131">
        <v>230</v>
      </c>
      <c r="U44" s="78">
        <v>30</v>
      </c>
      <c r="V44" s="140"/>
      <c r="W44" s="147"/>
      <c r="X44" s="23"/>
      <c r="Y44" s="334"/>
      <c r="Z44" s="5"/>
      <c r="AC44" s="5" t="s">
        <v>685</v>
      </c>
      <c r="AD44" s="115" t="s">
        <v>684</v>
      </c>
      <c r="AE44" s="339"/>
      <c r="AF44" s="341"/>
      <c r="AG44" s="115" t="s">
        <v>684</v>
      </c>
      <c r="AH44" s="339"/>
      <c r="AI44" s="341"/>
      <c r="AJ44" s="115" t="s">
        <v>684</v>
      </c>
      <c r="AK44" s="339"/>
      <c r="AL44" s="5"/>
    </row>
    <row r="45" spans="1:40" x14ac:dyDescent="0.25">
      <c r="A45" s="143">
        <v>17</v>
      </c>
      <c r="B45" s="92">
        <v>45209</v>
      </c>
      <c r="C45" s="31" t="s">
        <v>1602</v>
      </c>
      <c r="D45" s="32">
        <v>5566712323</v>
      </c>
      <c r="E45" s="32" t="s">
        <v>106</v>
      </c>
      <c r="F45" s="32" t="s">
        <v>773</v>
      </c>
      <c r="G45" s="32" t="s">
        <v>1604</v>
      </c>
      <c r="H45" s="39">
        <v>110</v>
      </c>
      <c r="I45" s="42">
        <v>100</v>
      </c>
      <c r="J45" s="43">
        <v>10</v>
      </c>
      <c r="K45" s="21">
        <f t="shared" si="8"/>
        <v>-110</v>
      </c>
      <c r="L45" s="21">
        <f t="shared" si="5"/>
        <v>110</v>
      </c>
      <c r="M45" s="21">
        <f t="shared" si="6"/>
        <v>0</v>
      </c>
      <c r="N45" s="21">
        <v>110</v>
      </c>
      <c r="O45" s="21">
        <v>110</v>
      </c>
      <c r="P45" s="5"/>
      <c r="Q45" s="43"/>
      <c r="R45" s="32"/>
      <c r="S45" s="21">
        <f t="shared" si="7"/>
        <v>0</v>
      </c>
      <c r="T45" s="132">
        <v>110</v>
      </c>
      <c r="U45" s="78">
        <v>10</v>
      </c>
      <c r="V45" s="140"/>
      <c r="W45" s="147"/>
      <c r="X45" s="23"/>
      <c r="Y45" s="340"/>
      <c r="Z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40" x14ac:dyDescent="0.25">
      <c r="A46" s="143">
        <v>18</v>
      </c>
      <c r="B46" s="92">
        <v>45209</v>
      </c>
      <c r="C46" s="31"/>
      <c r="D46" s="32"/>
      <c r="E46" s="32"/>
      <c r="F46" s="32"/>
      <c r="G46" s="39"/>
      <c r="H46" s="39"/>
      <c r="I46" s="42"/>
      <c r="J46" s="43">
        <v>10</v>
      </c>
      <c r="K46" s="21">
        <f t="shared" si="8"/>
        <v>-10</v>
      </c>
      <c r="L46" s="21">
        <f t="shared" si="5"/>
        <v>10</v>
      </c>
      <c r="M46" s="21">
        <f t="shared" si="6"/>
        <v>-10</v>
      </c>
      <c r="N46" s="21"/>
      <c r="O46" s="21"/>
      <c r="P46" s="5"/>
      <c r="Q46" s="135"/>
      <c r="R46" s="104"/>
      <c r="S46" s="21">
        <f t="shared" si="7"/>
        <v>0</v>
      </c>
      <c r="T46" s="131"/>
      <c r="U46" s="78">
        <f t="shared" si="9"/>
        <v>0</v>
      </c>
      <c r="V46" s="140"/>
      <c r="W46" s="138"/>
      <c r="X46" s="32"/>
      <c r="Z46" s="5"/>
    </row>
    <row r="47" spans="1:40" x14ac:dyDescent="0.25">
      <c r="A47" s="143">
        <v>19</v>
      </c>
      <c r="B47" s="92">
        <v>45209</v>
      </c>
      <c r="C47" s="31"/>
      <c r="D47" s="32"/>
      <c r="E47" s="32"/>
      <c r="F47" s="32"/>
      <c r="G47" s="39"/>
      <c r="H47" s="39"/>
      <c r="I47" s="42"/>
      <c r="J47" s="43">
        <v>10</v>
      </c>
      <c r="K47" s="21">
        <f t="shared" si="8"/>
        <v>-10</v>
      </c>
      <c r="L47" s="21">
        <f t="shared" si="5"/>
        <v>10</v>
      </c>
      <c r="M47" s="21">
        <f t="shared" si="6"/>
        <v>-10</v>
      </c>
      <c r="N47" s="21"/>
      <c r="O47" s="21"/>
      <c r="P47" s="5"/>
      <c r="Q47" s="32"/>
      <c r="R47" s="32"/>
      <c r="S47" s="21">
        <f t="shared" si="7"/>
        <v>0</v>
      </c>
      <c r="T47" s="32"/>
      <c r="U47" s="78">
        <f t="shared" si="9"/>
        <v>0</v>
      </c>
      <c r="V47" s="140"/>
      <c r="W47" s="138"/>
      <c r="X47" s="32"/>
      <c r="Z47" s="5"/>
      <c r="AG47">
        <v>60</v>
      </c>
    </row>
    <row r="48" spans="1:4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22">
        <f>SUM(U28:U45)</f>
        <v>265</v>
      </c>
      <c r="V48" s="141"/>
      <c r="W48" s="5"/>
      <c r="X48" s="5"/>
      <c r="Y48" s="5"/>
      <c r="Z48" s="5"/>
      <c r="AG48">
        <v>10</v>
      </c>
    </row>
    <row r="49" spans="1:40" x14ac:dyDescent="0.25">
      <c r="AG49">
        <v>50</v>
      </c>
      <c r="AK49" t="s">
        <v>1605</v>
      </c>
    </row>
    <row r="50" spans="1:40" x14ac:dyDescent="0.25">
      <c r="AG50">
        <v>100</v>
      </c>
    </row>
    <row r="51" spans="1:40" x14ac:dyDescent="0.25">
      <c r="AG51">
        <f>+SUM(AG47:AG50)</f>
        <v>220</v>
      </c>
    </row>
    <row r="54" spans="1:40" x14ac:dyDescent="0.25">
      <c r="A54" s="1" t="s">
        <v>0</v>
      </c>
      <c r="B54" s="1"/>
      <c r="C54" s="1"/>
      <c r="D54" s="1"/>
      <c r="E54" s="1"/>
      <c r="F54" s="1"/>
      <c r="G54" s="1"/>
      <c r="H54" s="1"/>
      <c r="I54" s="1" t="s">
        <v>148</v>
      </c>
      <c r="J54" s="1"/>
      <c r="K54" s="1"/>
      <c r="L54" s="1"/>
      <c r="M54" s="1"/>
      <c r="N54" s="1"/>
      <c r="O54" s="1"/>
      <c r="P54" s="1"/>
      <c r="Q54" s="1"/>
      <c r="R54" s="1"/>
      <c r="S54" s="342" t="s">
        <v>1</v>
      </c>
      <c r="T54" s="342"/>
      <c r="U54" s="5"/>
      <c r="V54" s="139"/>
      <c r="W54" s="1"/>
      <c r="X54" s="1"/>
      <c r="Y54" s="1"/>
      <c r="Z54" s="5"/>
      <c r="AC54" s="335" t="s">
        <v>160</v>
      </c>
      <c r="AD54" s="336"/>
      <c r="AG54" s="335" t="s">
        <v>170</v>
      </c>
      <c r="AH54" s="336"/>
      <c r="AJ54" s="337" t="s">
        <v>172</v>
      </c>
      <c r="AK54" s="337"/>
      <c r="AM54" s="337" t="s">
        <v>681</v>
      </c>
      <c r="AN54" s="337"/>
    </row>
    <row r="55" spans="1:40" ht="90" x14ac:dyDescent="0.25">
      <c r="A55" s="6" t="s">
        <v>2</v>
      </c>
      <c r="B55" s="7" t="s">
        <v>3</v>
      </c>
      <c r="C55" s="7" t="s">
        <v>4</v>
      </c>
      <c r="D55" s="6" t="s">
        <v>5</v>
      </c>
      <c r="E55" s="6" t="s">
        <v>6</v>
      </c>
      <c r="F55" s="6" t="s">
        <v>7</v>
      </c>
      <c r="G55" s="6" t="s">
        <v>8</v>
      </c>
      <c r="H55" s="8" t="s">
        <v>9</v>
      </c>
      <c r="I55" s="9" t="s">
        <v>10</v>
      </c>
      <c r="J55" s="8" t="s">
        <v>11</v>
      </c>
      <c r="K55" s="10" t="s">
        <v>12</v>
      </c>
      <c r="L55" s="10" t="s">
        <v>13</v>
      </c>
      <c r="M55" s="11" t="s">
        <v>14</v>
      </c>
      <c r="N55" s="10" t="s">
        <v>691</v>
      </c>
      <c r="O55" s="10" t="s">
        <v>28</v>
      </c>
      <c r="P55" s="5"/>
      <c r="Q55" s="10" t="s">
        <v>16</v>
      </c>
      <c r="R55" s="10" t="s">
        <v>17</v>
      </c>
      <c r="S55" s="10" t="s">
        <v>18</v>
      </c>
      <c r="T55" s="10" t="s">
        <v>19</v>
      </c>
      <c r="U55" s="10" t="s">
        <v>20</v>
      </c>
      <c r="V55" s="13"/>
      <c r="W55" s="136" t="s">
        <v>688</v>
      </c>
      <c r="X55" s="14" t="s">
        <v>22</v>
      </c>
      <c r="Y55" s="15" t="s">
        <v>23</v>
      </c>
      <c r="Z55" s="5"/>
      <c r="AB55">
        <v>1</v>
      </c>
      <c r="AC55" s="16" t="s">
        <v>161</v>
      </c>
      <c r="AD55" s="58">
        <f>+AB55*10</f>
        <v>10</v>
      </c>
      <c r="AF55">
        <v>1</v>
      </c>
      <c r="AG55" s="16" t="s">
        <v>161</v>
      </c>
      <c r="AH55" s="58">
        <f>+AF55*10</f>
        <v>10</v>
      </c>
      <c r="AJ55" s="61" t="s">
        <v>173</v>
      </c>
      <c r="AK55" s="62" t="s">
        <v>174</v>
      </c>
      <c r="AM55" s="16" t="s">
        <v>161</v>
      </c>
      <c r="AN55" s="58">
        <f>+AL55*10</f>
        <v>0</v>
      </c>
    </row>
    <row r="56" spans="1:40" x14ac:dyDescent="0.25">
      <c r="A56" s="16">
        <v>1</v>
      </c>
      <c r="B56" s="92">
        <v>45210</v>
      </c>
      <c r="C56" s="31" t="s">
        <v>30</v>
      </c>
      <c r="D56" s="32">
        <v>5582750520</v>
      </c>
      <c r="E56" s="32" t="s">
        <v>1606</v>
      </c>
      <c r="F56" s="39" t="s">
        <v>1086</v>
      </c>
      <c r="G56" s="39" t="s">
        <v>1607</v>
      </c>
      <c r="H56" s="122">
        <v>500</v>
      </c>
      <c r="I56" s="32">
        <v>60</v>
      </c>
      <c r="J56" s="20">
        <v>10</v>
      </c>
      <c r="K56" s="21">
        <f>U56-J56-O56</f>
        <v>0</v>
      </c>
      <c r="L56" s="21">
        <f t="shared" ref="L56:L74" si="10">+I56+J56</f>
        <v>70</v>
      </c>
      <c r="M56" s="21">
        <f t="shared" ref="M56:M74" si="11">+H56-L56</f>
        <v>430</v>
      </c>
      <c r="N56" s="21"/>
      <c r="O56" s="21"/>
      <c r="P56" s="5"/>
      <c r="Q56" s="21">
        <v>500</v>
      </c>
      <c r="R56" s="16"/>
      <c r="S56" s="21">
        <f t="shared" ref="S56:S74" si="12">+Q56+R56</f>
        <v>500</v>
      </c>
      <c r="T56" s="21">
        <v>510</v>
      </c>
      <c r="U56" s="78">
        <f>T56-S56-O56</f>
        <v>10</v>
      </c>
      <c r="V56" s="13"/>
      <c r="W56" s="147"/>
      <c r="X56" s="23"/>
      <c r="Y56" s="333"/>
      <c r="Z56" s="5"/>
      <c r="AB56">
        <v>60</v>
      </c>
      <c r="AC56" s="59" t="s">
        <v>162</v>
      </c>
      <c r="AD56" s="18">
        <f>+AB56*1</f>
        <v>60</v>
      </c>
      <c r="AF56">
        <v>53</v>
      </c>
      <c r="AG56" s="59" t="s">
        <v>162</v>
      </c>
      <c r="AH56" s="18">
        <f>+AF56*1</f>
        <v>53</v>
      </c>
      <c r="AJ56" s="16"/>
      <c r="AK56" s="16"/>
      <c r="AM56" s="59" t="s">
        <v>162</v>
      </c>
      <c r="AN56" s="18">
        <f>+AL56*1</f>
        <v>0</v>
      </c>
    </row>
    <row r="57" spans="1:40" x14ac:dyDescent="0.25">
      <c r="A57" s="26">
        <v>2</v>
      </c>
      <c r="B57" s="92">
        <v>45210</v>
      </c>
      <c r="C57" s="31" t="s">
        <v>1608</v>
      </c>
      <c r="D57" s="32">
        <v>5612853273</v>
      </c>
      <c r="E57" s="32" t="s">
        <v>1609</v>
      </c>
      <c r="F57" s="32" t="s">
        <v>1610</v>
      </c>
      <c r="G57" s="39" t="s">
        <v>1611</v>
      </c>
      <c r="H57" s="122">
        <v>200</v>
      </c>
      <c r="I57" s="32">
        <v>140</v>
      </c>
      <c r="J57" s="20">
        <v>10</v>
      </c>
      <c r="K57" s="21">
        <f t="shared" ref="K57:K74" si="13">U57-J57-O57</f>
        <v>10</v>
      </c>
      <c r="L57" s="21">
        <f t="shared" si="10"/>
        <v>150</v>
      </c>
      <c r="M57" s="21">
        <f t="shared" si="11"/>
        <v>50</v>
      </c>
      <c r="N57" s="21"/>
      <c r="O57" s="21"/>
      <c r="P57" s="5"/>
      <c r="Q57" s="21">
        <v>500</v>
      </c>
      <c r="R57" s="16"/>
      <c r="S57" s="21">
        <f t="shared" si="12"/>
        <v>500</v>
      </c>
      <c r="T57" s="21">
        <v>520</v>
      </c>
      <c r="U57" s="78">
        <f t="shared" ref="U57:U74" si="14">T57-S57-O57</f>
        <v>20</v>
      </c>
      <c r="V57" s="140"/>
      <c r="W57" s="147"/>
      <c r="X57" s="23"/>
      <c r="Y57" s="334"/>
      <c r="Z57" s="5"/>
      <c r="AB57">
        <v>12</v>
      </c>
      <c r="AC57" s="16" t="s">
        <v>163</v>
      </c>
      <c r="AD57" s="60">
        <f>+AB57*5</f>
        <v>60</v>
      </c>
      <c r="AF57">
        <v>11</v>
      </c>
      <c r="AG57" s="16" t="s">
        <v>163</v>
      </c>
      <c r="AH57" s="60">
        <f>+AF57*5</f>
        <v>55</v>
      </c>
      <c r="AJ57" s="16"/>
      <c r="AK57" s="16"/>
      <c r="AM57" s="16" t="s">
        <v>163</v>
      </c>
      <c r="AN57" s="60">
        <f>+AL57*5</f>
        <v>0</v>
      </c>
    </row>
    <row r="58" spans="1:40" x14ac:dyDescent="0.25">
      <c r="A58" s="143">
        <v>3</v>
      </c>
      <c r="B58" s="92">
        <v>45210</v>
      </c>
      <c r="C58" s="31" t="s">
        <v>1402</v>
      </c>
      <c r="D58" s="32"/>
      <c r="E58" s="32"/>
      <c r="F58" s="32" t="s">
        <v>1613</v>
      </c>
      <c r="G58" s="39" t="s">
        <v>1612</v>
      </c>
      <c r="H58" s="122">
        <v>200</v>
      </c>
      <c r="I58" s="32">
        <v>140</v>
      </c>
      <c r="J58" s="20">
        <v>10</v>
      </c>
      <c r="K58" s="21">
        <f t="shared" si="13"/>
        <v>0</v>
      </c>
      <c r="L58" s="21">
        <f t="shared" si="10"/>
        <v>150</v>
      </c>
      <c r="M58" s="21">
        <f t="shared" si="11"/>
        <v>50</v>
      </c>
      <c r="N58" s="21"/>
      <c r="O58" s="21"/>
      <c r="P58" s="5"/>
      <c r="Q58" s="21">
        <v>200</v>
      </c>
      <c r="R58" s="16"/>
      <c r="S58" s="21">
        <f t="shared" si="12"/>
        <v>200</v>
      </c>
      <c r="T58" s="21">
        <v>210</v>
      </c>
      <c r="U58" s="78">
        <f t="shared" si="14"/>
        <v>10</v>
      </c>
      <c r="V58" s="140"/>
      <c r="W58" s="147"/>
      <c r="X58" s="23"/>
      <c r="Y58" s="334"/>
      <c r="Z58" s="5"/>
      <c r="AC58" s="16" t="s">
        <v>164</v>
      </c>
      <c r="AD58" s="18">
        <f>+AB58*200</f>
        <v>0</v>
      </c>
      <c r="AG58" s="16" t="s">
        <v>164</v>
      </c>
      <c r="AH58" s="18">
        <f>+AF58*200</f>
        <v>0</v>
      </c>
      <c r="AJ58" s="16"/>
      <c r="AK58" s="16"/>
      <c r="AM58" s="16" t="s">
        <v>164</v>
      </c>
      <c r="AN58" s="18">
        <f>+AL58*200</f>
        <v>0</v>
      </c>
    </row>
    <row r="59" spans="1:40" x14ac:dyDescent="0.25">
      <c r="A59" s="143">
        <v>4</v>
      </c>
      <c r="B59" s="92">
        <v>45210</v>
      </c>
      <c r="C59" s="31" t="s">
        <v>325</v>
      </c>
      <c r="D59" s="32"/>
      <c r="E59" s="32"/>
      <c r="F59" s="32" t="s">
        <v>1614</v>
      </c>
      <c r="G59" s="39" t="s">
        <v>1615</v>
      </c>
      <c r="H59" s="122">
        <v>100</v>
      </c>
      <c r="I59" s="32">
        <v>44</v>
      </c>
      <c r="J59" s="20">
        <v>10</v>
      </c>
      <c r="K59" s="21">
        <f t="shared" si="13"/>
        <v>0</v>
      </c>
      <c r="L59" s="21">
        <f t="shared" si="10"/>
        <v>54</v>
      </c>
      <c r="M59" s="21">
        <f t="shared" si="11"/>
        <v>46</v>
      </c>
      <c r="N59" s="21"/>
      <c r="O59" s="21"/>
      <c r="P59" s="5"/>
      <c r="Q59" s="21">
        <v>200</v>
      </c>
      <c r="R59" s="16"/>
      <c r="S59" s="21">
        <f t="shared" si="12"/>
        <v>200</v>
      </c>
      <c r="T59" s="21">
        <v>210</v>
      </c>
      <c r="U59" s="78">
        <f t="shared" si="14"/>
        <v>10</v>
      </c>
      <c r="V59" s="140"/>
      <c r="W59" s="147"/>
      <c r="X59" s="23"/>
      <c r="Y59" s="334"/>
      <c r="Z59" s="5"/>
      <c r="AC59" s="16" t="s">
        <v>165</v>
      </c>
      <c r="AD59" s="18">
        <f>+AB59*100</f>
        <v>0</v>
      </c>
      <c r="AF59">
        <v>2</v>
      </c>
      <c r="AG59" s="16" t="s">
        <v>165</v>
      </c>
      <c r="AH59" s="18">
        <f>+AF59*100</f>
        <v>200</v>
      </c>
      <c r="AJ59" s="16"/>
      <c r="AK59" s="16"/>
      <c r="AM59" s="16" t="s">
        <v>165</v>
      </c>
      <c r="AN59" s="18">
        <f>+AL59*100</f>
        <v>0</v>
      </c>
    </row>
    <row r="60" spans="1:40" x14ac:dyDescent="0.25">
      <c r="A60" s="143">
        <v>5</v>
      </c>
      <c r="B60" s="92">
        <v>45210</v>
      </c>
      <c r="C60" s="31" t="s">
        <v>1616</v>
      </c>
      <c r="D60" s="32"/>
      <c r="E60" s="32"/>
      <c r="F60" s="32" t="s">
        <v>1618</v>
      </c>
      <c r="G60" s="32" t="s">
        <v>1617</v>
      </c>
      <c r="H60" s="122">
        <v>150</v>
      </c>
      <c r="I60" s="32">
        <v>74</v>
      </c>
      <c r="J60" s="20">
        <v>10</v>
      </c>
      <c r="K60" s="21">
        <v>16</v>
      </c>
      <c r="L60" s="21">
        <f t="shared" si="10"/>
        <v>84</v>
      </c>
      <c r="M60" s="21">
        <f t="shared" si="11"/>
        <v>66</v>
      </c>
      <c r="N60" s="21"/>
      <c r="O60" s="21"/>
      <c r="P60" s="5"/>
      <c r="Q60" s="16"/>
      <c r="R60" s="16"/>
      <c r="S60" s="21">
        <f t="shared" si="12"/>
        <v>0</v>
      </c>
      <c r="T60" s="21"/>
      <c r="U60" s="78">
        <f t="shared" si="14"/>
        <v>0</v>
      </c>
      <c r="V60" s="140"/>
      <c r="W60" s="147"/>
      <c r="X60" s="23"/>
      <c r="Y60" s="334"/>
      <c r="Z60" s="5"/>
      <c r="AB60">
        <v>2</v>
      </c>
      <c r="AC60" s="16" t="s">
        <v>166</v>
      </c>
      <c r="AD60" s="18">
        <f>+AB60*50</f>
        <v>100</v>
      </c>
      <c r="AF60">
        <v>2</v>
      </c>
      <c r="AG60" s="16" t="s">
        <v>166</v>
      </c>
      <c r="AH60" s="18">
        <f>+AF60*50</f>
        <v>100</v>
      </c>
      <c r="AJ60" s="16"/>
      <c r="AK60" s="16"/>
      <c r="AM60" s="16" t="s">
        <v>166</v>
      </c>
      <c r="AN60" s="18">
        <f>+AL60*50</f>
        <v>0</v>
      </c>
    </row>
    <row r="61" spans="1:40" x14ac:dyDescent="0.25">
      <c r="A61" s="143">
        <v>6</v>
      </c>
      <c r="B61" s="92">
        <v>45210</v>
      </c>
      <c r="C61" s="31" t="s">
        <v>1619</v>
      </c>
      <c r="D61" s="32"/>
      <c r="E61" s="32"/>
      <c r="F61" s="32" t="s">
        <v>1491</v>
      </c>
      <c r="G61" s="39" t="s">
        <v>1620</v>
      </c>
      <c r="H61" s="39">
        <v>2025</v>
      </c>
      <c r="I61" s="42">
        <v>2000</v>
      </c>
      <c r="J61" s="20">
        <v>10</v>
      </c>
      <c r="K61" s="21">
        <v>20</v>
      </c>
      <c r="L61" s="21">
        <f t="shared" si="10"/>
        <v>2010</v>
      </c>
      <c r="M61" s="21">
        <f t="shared" si="11"/>
        <v>15</v>
      </c>
      <c r="N61" s="21"/>
      <c r="O61" s="21"/>
      <c r="P61" s="5"/>
      <c r="Q61" s="16"/>
      <c r="R61" s="16"/>
      <c r="S61" s="21">
        <f t="shared" si="12"/>
        <v>0</v>
      </c>
      <c r="T61" s="16"/>
      <c r="U61" s="78">
        <f t="shared" si="14"/>
        <v>0</v>
      </c>
      <c r="V61" s="140"/>
      <c r="W61" s="147"/>
      <c r="X61" s="23"/>
      <c r="Y61" s="334"/>
      <c r="Z61" s="5"/>
      <c r="AC61" s="16" t="s">
        <v>167</v>
      </c>
      <c r="AD61" s="18">
        <f>+AB61*20</f>
        <v>0</v>
      </c>
      <c r="AF61">
        <v>3</v>
      </c>
      <c r="AG61" s="16" t="s">
        <v>167</v>
      </c>
      <c r="AH61" s="18">
        <f>+AF61*20</f>
        <v>60</v>
      </c>
      <c r="AJ61" s="16"/>
      <c r="AK61" s="16"/>
      <c r="AM61" s="16" t="s">
        <v>167</v>
      </c>
      <c r="AN61" s="18">
        <f>+AL61*20</f>
        <v>0</v>
      </c>
    </row>
    <row r="62" spans="1:40" x14ac:dyDescent="0.25">
      <c r="A62" s="143">
        <v>7</v>
      </c>
      <c r="B62" s="92">
        <v>45210</v>
      </c>
      <c r="C62" s="31" t="s">
        <v>1621</v>
      </c>
      <c r="D62" s="32"/>
      <c r="E62" s="32" t="s">
        <v>52</v>
      </c>
      <c r="F62" s="32" t="s">
        <v>1622</v>
      </c>
      <c r="G62" s="39" t="s">
        <v>1623</v>
      </c>
      <c r="H62" s="122">
        <v>150</v>
      </c>
      <c r="I62" s="42">
        <v>124</v>
      </c>
      <c r="J62" s="20">
        <v>10</v>
      </c>
      <c r="K62" s="21">
        <v>0</v>
      </c>
      <c r="L62" s="21">
        <f t="shared" si="10"/>
        <v>134</v>
      </c>
      <c r="M62" s="21">
        <f t="shared" si="11"/>
        <v>16</v>
      </c>
      <c r="N62" s="21"/>
      <c r="O62" s="21"/>
      <c r="P62" s="5"/>
      <c r="Q62" s="16"/>
      <c r="R62" s="16"/>
      <c r="S62" s="21">
        <f t="shared" si="12"/>
        <v>0</v>
      </c>
      <c r="T62" s="16"/>
      <c r="U62" s="78">
        <f t="shared" si="14"/>
        <v>0</v>
      </c>
      <c r="V62" s="140"/>
      <c r="W62" s="147"/>
      <c r="X62" s="23"/>
      <c r="Y62" s="334"/>
      <c r="Z62" s="5"/>
      <c r="AC62" s="16" t="s">
        <v>171</v>
      </c>
      <c r="AD62" s="18">
        <f>+AB62*500</f>
        <v>0</v>
      </c>
      <c r="AG62" s="16" t="s">
        <v>171</v>
      </c>
      <c r="AH62" s="18">
        <f>+AF62*500</f>
        <v>0</v>
      </c>
      <c r="AJ62" s="16"/>
      <c r="AK62" s="16"/>
      <c r="AM62" s="16" t="s">
        <v>171</v>
      </c>
      <c r="AN62" s="18">
        <f>+AL62*500</f>
        <v>0</v>
      </c>
    </row>
    <row r="63" spans="1:40" x14ac:dyDescent="0.25">
      <c r="A63" s="143">
        <v>8</v>
      </c>
      <c r="B63" s="92">
        <v>45210</v>
      </c>
      <c r="C63" s="31" t="s">
        <v>38</v>
      </c>
      <c r="D63" s="123"/>
      <c r="E63" s="123" t="s">
        <v>52</v>
      </c>
      <c r="F63" s="123" t="s">
        <v>1624</v>
      </c>
      <c r="G63" s="39" t="s">
        <v>1625</v>
      </c>
      <c r="H63" s="122">
        <v>150</v>
      </c>
      <c r="I63" s="32">
        <v>42</v>
      </c>
      <c r="J63" s="20">
        <v>10</v>
      </c>
      <c r="K63" s="21">
        <v>0</v>
      </c>
      <c r="L63" s="21">
        <f t="shared" si="10"/>
        <v>52</v>
      </c>
      <c r="M63" s="21">
        <f t="shared" si="11"/>
        <v>98</v>
      </c>
      <c r="N63" s="21"/>
      <c r="O63" s="21"/>
      <c r="P63" s="5"/>
      <c r="Q63" s="16"/>
      <c r="R63" s="16"/>
      <c r="S63" s="21">
        <f t="shared" si="12"/>
        <v>0</v>
      </c>
      <c r="T63" s="16"/>
      <c r="U63" s="78">
        <f t="shared" si="14"/>
        <v>0</v>
      </c>
      <c r="V63" s="140"/>
      <c r="W63" s="147"/>
      <c r="X63" s="23"/>
      <c r="Y63" s="334"/>
      <c r="Z63" s="5"/>
      <c r="AC63" s="16" t="s">
        <v>168</v>
      </c>
      <c r="AD63" s="18">
        <f>+AB63*1000</f>
        <v>0</v>
      </c>
      <c r="AG63" s="16" t="s">
        <v>168</v>
      </c>
      <c r="AH63" s="18">
        <f>+AF63*1000</f>
        <v>0</v>
      </c>
      <c r="AJ63" s="16"/>
      <c r="AK63" s="16"/>
      <c r="AM63" s="16" t="s">
        <v>168</v>
      </c>
      <c r="AN63" s="18">
        <f>+AL63*1000</f>
        <v>0</v>
      </c>
    </row>
    <row r="64" spans="1:40" x14ac:dyDescent="0.25">
      <c r="A64" s="143">
        <v>9</v>
      </c>
      <c r="B64" s="92">
        <v>45210</v>
      </c>
      <c r="C64" s="31" t="s">
        <v>1626</v>
      </c>
      <c r="D64" s="32"/>
      <c r="E64" s="32" t="s">
        <v>656</v>
      </c>
      <c r="F64" s="32" t="s">
        <v>220</v>
      </c>
      <c r="G64" s="39" t="s">
        <v>1634</v>
      </c>
      <c r="H64" s="39">
        <v>200</v>
      </c>
      <c r="I64" s="40">
        <v>65</v>
      </c>
      <c r="J64" s="20">
        <v>10</v>
      </c>
      <c r="K64" s="21">
        <v>5</v>
      </c>
      <c r="L64" s="21">
        <f t="shared" si="10"/>
        <v>75</v>
      </c>
      <c r="M64" s="21">
        <f t="shared" si="11"/>
        <v>125</v>
      </c>
      <c r="N64" s="21"/>
      <c r="O64" s="21"/>
      <c r="P64" s="5"/>
      <c r="Q64" s="16"/>
      <c r="R64" s="16"/>
      <c r="S64" s="21">
        <f t="shared" si="12"/>
        <v>0</v>
      </c>
      <c r="T64" s="16"/>
      <c r="U64" s="78">
        <f t="shared" si="14"/>
        <v>0</v>
      </c>
      <c r="V64" s="140"/>
      <c r="W64" s="147"/>
      <c r="X64" s="23"/>
      <c r="Y64" s="334"/>
      <c r="Z64" s="5"/>
      <c r="AC64" s="26"/>
      <c r="AD64" s="58"/>
      <c r="AG64" s="26"/>
      <c r="AH64" s="58"/>
      <c r="AJ64" s="16"/>
      <c r="AK64" s="16"/>
      <c r="AM64" s="26"/>
      <c r="AN64" s="58"/>
    </row>
    <row r="65" spans="1:40" x14ac:dyDescent="0.25">
      <c r="A65" s="143">
        <v>10</v>
      </c>
      <c r="B65" s="92">
        <v>45210</v>
      </c>
      <c r="C65" s="31" t="s">
        <v>1247</v>
      </c>
      <c r="D65" s="32"/>
      <c r="E65" s="32" t="s">
        <v>52</v>
      </c>
      <c r="F65" s="32" t="s">
        <v>1272</v>
      </c>
      <c r="G65" s="39" t="s">
        <v>1628</v>
      </c>
      <c r="H65" s="122">
        <v>138</v>
      </c>
      <c r="I65" s="42">
        <v>118</v>
      </c>
      <c r="J65" s="20">
        <v>14</v>
      </c>
      <c r="K65" s="21">
        <f t="shared" si="13"/>
        <v>-14</v>
      </c>
      <c r="L65" s="21">
        <f t="shared" si="10"/>
        <v>132</v>
      </c>
      <c r="M65" s="21">
        <f t="shared" si="11"/>
        <v>6</v>
      </c>
      <c r="N65" s="21"/>
      <c r="O65" s="21"/>
      <c r="P65" s="5"/>
      <c r="Q65" s="16"/>
      <c r="R65" s="16"/>
      <c r="S65" s="21">
        <f t="shared" si="12"/>
        <v>0</v>
      </c>
      <c r="T65" s="16"/>
      <c r="U65" s="78">
        <f t="shared" si="14"/>
        <v>0</v>
      </c>
      <c r="V65" s="140"/>
      <c r="W65" s="147"/>
      <c r="X65" s="23"/>
      <c r="Y65" s="334"/>
      <c r="Z65" s="5"/>
      <c r="AC65" s="16" t="s">
        <v>169</v>
      </c>
      <c r="AD65" s="18">
        <f>SUM(AD55:AD64)</f>
        <v>230</v>
      </c>
      <c r="AG65" s="16" t="s">
        <v>169</v>
      </c>
      <c r="AH65" s="18">
        <f>SUM(AH55:AH64)</f>
        <v>478</v>
      </c>
      <c r="AJ65" s="16"/>
      <c r="AK65" s="16"/>
      <c r="AM65" s="16" t="s">
        <v>169</v>
      </c>
      <c r="AN65" s="18"/>
    </row>
    <row r="66" spans="1:40" x14ac:dyDescent="0.25">
      <c r="A66" s="143">
        <v>11</v>
      </c>
      <c r="B66" s="92">
        <v>45210</v>
      </c>
      <c r="C66" s="31" t="s">
        <v>1629</v>
      </c>
      <c r="D66" s="124"/>
      <c r="E66" s="123" t="s">
        <v>52</v>
      </c>
      <c r="F66" s="123" t="s">
        <v>1630</v>
      </c>
      <c r="G66" s="39" t="s">
        <v>1633</v>
      </c>
      <c r="H66" s="122">
        <v>500</v>
      </c>
      <c r="I66" s="42">
        <v>130</v>
      </c>
      <c r="J66" s="20">
        <v>14</v>
      </c>
      <c r="K66" s="21">
        <f t="shared" si="13"/>
        <v>-14</v>
      </c>
      <c r="L66" s="21">
        <f t="shared" si="10"/>
        <v>144</v>
      </c>
      <c r="M66" s="21">
        <f t="shared" si="11"/>
        <v>356</v>
      </c>
      <c r="N66" s="21"/>
      <c r="O66" s="21"/>
      <c r="P66" s="5"/>
      <c r="Q66" s="16"/>
      <c r="R66" s="16"/>
      <c r="S66" s="21">
        <f t="shared" si="12"/>
        <v>0</v>
      </c>
      <c r="T66" s="16"/>
      <c r="U66" s="78">
        <f t="shared" si="14"/>
        <v>0</v>
      </c>
      <c r="V66" s="140"/>
      <c r="W66" s="147"/>
      <c r="X66" s="23"/>
      <c r="Y66" s="334"/>
      <c r="Z66" s="5"/>
      <c r="AD66">
        <v>319</v>
      </c>
      <c r="AJ66" s="16"/>
      <c r="AK66" s="16"/>
      <c r="AM66" s="16"/>
      <c r="AN66" s="16"/>
    </row>
    <row r="67" spans="1:40" x14ac:dyDescent="0.25">
      <c r="A67" s="143">
        <v>12</v>
      </c>
      <c r="B67" s="92">
        <v>45210</v>
      </c>
      <c r="C67" s="32" t="s">
        <v>478</v>
      </c>
      <c r="D67" s="32">
        <v>5526091880</v>
      </c>
      <c r="E67" s="124" t="s">
        <v>52</v>
      </c>
      <c r="F67" s="123" t="s">
        <v>1632</v>
      </c>
      <c r="G67" s="39" t="s">
        <v>1631</v>
      </c>
      <c r="H67" s="39">
        <v>200</v>
      </c>
      <c r="I67" s="42"/>
      <c r="J67" s="20">
        <v>14</v>
      </c>
      <c r="K67" s="21">
        <f t="shared" si="13"/>
        <v>-14</v>
      </c>
      <c r="L67" s="21">
        <f t="shared" si="10"/>
        <v>14</v>
      </c>
      <c r="M67" s="21">
        <f t="shared" si="11"/>
        <v>186</v>
      </c>
      <c r="N67" s="21"/>
      <c r="O67" s="21"/>
      <c r="P67" s="5"/>
      <c r="Q67" s="45"/>
      <c r="R67" s="44"/>
      <c r="S67" s="21">
        <f t="shared" si="12"/>
        <v>0</v>
      </c>
      <c r="T67" s="45"/>
      <c r="U67" s="78">
        <f t="shared" si="14"/>
        <v>0</v>
      </c>
      <c r="V67" s="140"/>
      <c r="W67" s="147"/>
      <c r="X67" s="23"/>
      <c r="Y67" s="334"/>
      <c r="Z67" s="5"/>
      <c r="AJ67" s="63" t="s">
        <v>169</v>
      </c>
      <c r="AK67" s="63">
        <v>759</v>
      </c>
      <c r="AM67" s="63" t="s">
        <v>169</v>
      </c>
      <c r="AN67" s="85">
        <f>+SUM(AM55:AM66)-SUM(AN56:AN66)</f>
        <v>0</v>
      </c>
    </row>
    <row r="68" spans="1:40" x14ac:dyDescent="0.25">
      <c r="A68" s="143">
        <v>13</v>
      </c>
      <c r="B68" s="92">
        <v>45210</v>
      </c>
      <c r="C68" s="194" t="s">
        <v>619</v>
      </c>
      <c r="D68" s="32">
        <v>5574621121</v>
      </c>
      <c r="E68" s="32"/>
      <c r="F68" s="32" t="s">
        <v>1636</v>
      </c>
      <c r="G68" s="31" t="s">
        <v>1635</v>
      </c>
      <c r="H68" s="39">
        <v>100</v>
      </c>
      <c r="I68" s="42">
        <v>58</v>
      </c>
      <c r="J68" s="108">
        <v>14</v>
      </c>
      <c r="K68" s="21">
        <v>10</v>
      </c>
      <c r="L68" s="21">
        <f t="shared" si="10"/>
        <v>72</v>
      </c>
      <c r="M68" s="21">
        <f t="shared" si="11"/>
        <v>28</v>
      </c>
      <c r="N68" s="21"/>
      <c r="O68" s="21"/>
      <c r="P68" s="5"/>
      <c r="Q68" s="43"/>
      <c r="R68" s="32"/>
      <c r="S68" s="21">
        <f t="shared" si="12"/>
        <v>0</v>
      </c>
      <c r="T68" s="43"/>
      <c r="U68" s="78">
        <f t="shared" si="14"/>
        <v>0</v>
      </c>
      <c r="V68" s="140"/>
      <c r="W68" s="147"/>
      <c r="X68" s="23"/>
      <c r="Y68" s="334"/>
      <c r="Z68" s="5"/>
      <c r="AH68" s="83"/>
    </row>
    <row r="69" spans="1:40" x14ac:dyDescent="0.25">
      <c r="A69" s="143">
        <v>14</v>
      </c>
      <c r="B69" s="92">
        <v>45210</v>
      </c>
      <c r="C69" s="31" t="s">
        <v>44</v>
      </c>
      <c r="D69" s="32">
        <v>5610020620</v>
      </c>
      <c r="E69" s="32" t="s">
        <v>38</v>
      </c>
      <c r="F69" s="32" t="s">
        <v>1638</v>
      </c>
      <c r="G69" s="39" t="s">
        <v>1637</v>
      </c>
      <c r="H69" s="39">
        <v>126</v>
      </c>
      <c r="I69" s="42">
        <v>116</v>
      </c>
      <c r="J69" s="108">
        <v>14</v>
      </c>
      <c r="K69" s="21">
        <v>12</v>
      </c>
      <c r="L69" s="21">
        <f t="shared" si="10"/>
        <v>130</v>
      </c>
      <c r="M69" s="21">
        <f t="shared" si="11"/>
        <v>-4</v>
      </c>
      <c r="N69" s="21"/>
      <c r="O69" s="21"/>
      <c r="P69" s="5"/>
      <c r="Q69" s="43"/>
      <c r="R69" s="43"/>
      <c r="S69" s="21">
        <f t="shared" si="12"/>
        <v>0</v>
      </c>
      <c r="T69" s="43"/>
      <c r="U69" s="78">
        <f t="shared" si="14"/>
        <v>0</v>
      </c>
      <c r="V69" s="140"/>
      <c r="W69" s="147"/>
      <c r="X69" s="23"/>
      <c r="Y69" s="334"/>
      <c r="Z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40" x14ac:dyDescent="0.25">
      <c r="A70" s="143">
        <v>15</v>
      </c>
      <c r="B70" s="92">
        <v>45210</v>
      </c>
      <c r="C70" s="127" t="s">
        <v>1247</v>
      </c>
      <c r="D70" s="32"/>
      <c r="E70" s="32" t="s">
        <v>52</v>
      </c>
      <c r="F70" s="128" t="s">
        <v>1640</v>
      </c>
      <c r="G70" s="129" t="s">
        <v>1641</v>
      </c>
      <c r="H70" s="39">
        <v>90</v>
      </c>
      <c r="I70" s="42">
        <v>76</v>
      </c>
      <c r="J70" s="108">
        <v>8</v>
      </c>
      <c r="K70" s="21">
        <v>0</v>
      </c>
      <c r="L70" s="21">
        <f t="shared" si="10"/>
        <v>84</v>
      </c>
      <c r="M70" s="21">
        <f t="shared" si="11"/>
        <v>6</v>
      </c>
      <c r="N70" s="21"/>
      <c r="O70" s="21"/>
      <c r="P70" s="5"/>
      <c r="Q70" s="43"/>
      <c r="R70" s="43"/>
      <c r="S70" s="21">
        <f t="shared" si="12"/>
        <v>0</v>
      </c>
      <c r="T70" s="43"/>
      <c r="U70" s="78">
        <f t="shared" si="14"/>
        <v>0</v>
      </c>
      <c r="V70" s="140"/>
      <c r="W70" s="147"/>
      <c r="X70" s="23"/>
      <c r="Y70" s="334"/>
      <c r="Z70" s="5"/>
      <c r="AC70" s="5"/>
      <c r="AD70" s="134" t="s">
        <v>20</v>
      </c>
      <c r="AE70" s="338"/>
      <c r="AF70" s="341" t="s">
        <v>686</v>
      </c>
      <c r="AG70" s="134" t="s">
        <v>20</v>
      </c>
      <c r="AH70" s="338"/>
      <c r="AI70" s="341" t="s">
        <v>687</v>
      </c>
      <c r="AJ70" s="134" t="s">
        <v>20</v>
      </c>
      <c r="AK70" s="338"/>
      <c r="AL70" s="5"/>
    </row>
    <row r="71" spans="1:40" x14ac:dyDescent="0.25">
      <c r="A71" s="143">
        <v>16</v>
      </c>
      <c r="B71" s="92">
        <v>45210</v>
      </c>
      <c r="C71" s="31" t="s">
        <v>1639</v>
      </c>
      <c r="D71" s="32"/>
      <c r="E71" s="32" t="s">
        <v>52</v>
      </c>
      <c r="F71" s="32" t="s">
        <v>1642</v>
      </c>
      <c r="G71" s="39" t="s">
        <v>1643</v>
      </c>
      <c r="H71" s="39">
        <v>200</v>
      </c>
      <c r="I71" s="42">
        <v>61</v>
      </c>
      <c r="J71" s="108">
        <v>14</v>
      </c>
      <c r="K71" s="21">
        <f t="shared" si="13"/>
        <v>-14</v>
      </c>
      <c r="L71" s="21">
        <f t="shared" si="10"/>
        <v>75</v>
      </c>
      <c r="M71" s="21">
        <f t="shared" si="11"/>
        <v>125</v>
      </c>
      <c r="N71" s="21"/>
      <c r="O71" s="21"/>
      <c r="P71" s="5"/>
      <c r="Q71" s="43"/>
      <c r="R71" s="32"/>
      <c r="S71" s="21">
        <f t="shared" si="12"/>
        <v>0</v>
      </c>
      <c r="T71" s="131"/>
      <c r="U71" s="78">
        <f t="shared" si="14"/>
        <v>0</v>
      </c>
      <c r="V71" s="140"/>
      <c r="W71" s="147"/>
      <c r="X71" s="23"/>
      <c r="Y71" s="334"/>
      <c r="Z71" s="5"/>
      <c r="AC71" s="5" t="s">
        <v>685</v>
      </c>
      <c r="AD71" s="115" t="s">
        <v>684</v>
      </c>
      <c r="AE71" s="339"/>
      <c r="AF71" s="341"/>
      <c r="AG71" s="115" t="s">
        <v>684</v>
      </c>
      <c r="AH71" s="339"/>
      <c r="AI71" s="341"/>
      <c r="AJ71" s="115" t="s">
        <v>684</v>
      </c>
      <c r="AK71" s="339"/>
      <c r="AL71" s="5"/>
    </row>
    <row r="72" spans="1:40" x14ac:dyDescent="0.25">
      <c r="A72" s="143">
        <v>17</v>
      </c>
      <c r="B72" s="92">
        <v>45210</v>
      </c>
      <c r="C72" s="31" t="s">
        <v>1061</v>
      </c>
      <c r="D72" s="32"/>
      <c r="E72" s="32" t="s">
        <v>134</v>
      </c>
      <c r="F72" s="32" t="s">
        <v>1503</v>
      </c>
      <c r="G72" s="39" t="s">
        <v>1644</v>
      </c>
      <c r="H72" s="39">
        <v>244</v>
      </c>
      <c r="I72" s="42">
        <v>234</v>
      </c>
      <c r="J72" s="108">
        <v>14</v>
      </c>
      <c r="K72" s="21">
        <f t="shared" si="13"/>
        <v>-14</v>
      </c>
      <c r="L72" s="21">
        <f t="shared" si="10"/>
        <v>248</v>
      </c>
      <c r="M72" s="21">
        <f t="shared" si="11"/>
        <v>-4</v>
      </c>
      <c r="N72" s="21">
        <v>22</v>
      </c>
      <c r="O72" s="21"/>
      <c r="P72" s="5"/>
      <c r="Q72" s="43"/>
      <c r="R72" s="32"/>
      <c r="S72" s="21">
        <f t="shared" si="12"/>
        <v>0</v>
      </c>
      <c r="T72" s="132"/>
      <c r="U72" s="78">
        <f t="shared" si="14"/>
        <v>0</v>
      </c>
      <c r="V72" s="140"/>
      <c r="W72" s="147"/>
      <c r="X72" s="23"/>
      <c r="Y72" s="340"/>
      <c r="Z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40" x14ac:dyDescent="0.25">
      <c r="A73" s="143">
        <v>18</v>
      </c>
      <c r="B73" s="92">
        <v>45210</v>
      </c>
      <c r="C73" s="31"/>
      <c r="D73" s="32"/>
      <c r="E73" s="32"/>
      <c r="F73" s="32"/>
      <c r="G73" s="39"/>
      <c r="H73" s="39"/>
      <c r="I73" s="42"/>
      <c r="J73" s="43">
        <v>10</v>
      </c>
      <c r="K73" s="21">
        <f t="shared" si="13"/>
        <v>-10</v>
      </c>
      <c r="L73" s="21">
        <f t="shared" si="10"/>
        <v>10</v>
      </c>
      <c r="M73" s="21">
        <f t="shared" si="11"/>
        <v>-10</v>
      </c>
      <c r="N73" s="21"/>
      <c r="O73" s="21"/>
      <c r="P73" s="5"/>
      <c r="Q73" s="135"/>
      <c r="R73" s="104"/>
      <c r="S73" s="21">
        <f t="shared" si="12"/>
        <v>0</v>
      </c>
      <c r="T73" s="131"/>
      <c r="U73" s="78">
        <f t="shared" si="14"/>
        <v>0</v>
      </c>
      <c r="V73" s="140"/>
      <c r="W73" s="138"/>
      <c r="X73" s="32"/>
      <c r="Z73" s="5"/>
    </row>
    <row r="74" spans="1:40" x14ac:dyDescent="0.25">
      <c r="A74" s="143">
        <v>19</v>
      </c>
      <c r="B74" s="92">
        <v>45210</v>
      </c>
      <c r="C74" s="31"/>
      <c r="D74" s="32"/>
      <c r="E74" s="32"/>
      <c r="F74" s="32"/>
      <c r="G74" s="39"/>
      <c r="H74" s="39"/>
      <c r="I74" s="42"/>
      <c r="J74" s="43">
        <v>10</v>
      </c>
      <c r="K74" s="21">
        <f t="shared" si="13"/>
        <v>-10</v>
      </c>
      <c r="L74" s="21">
        <f t="shared" si="10"/>
        <v>10</v>
      </c>
      <c r="M74" s="21">
        <f t="shared" si="11"/>
        <v>-10</v>
      </c>
      <c r="N74" s="21"/>
      <c r="O74" s="21"/>
      <c r="P74" s="5"/>
      <c r="Q74" s="32"/>
      <c r="R74" s="32"/>
      <c r="S74" s="21">
        <f t="shared" si="12"/>
        <v>0</v>
      </c>
      <c r="T74" s="32"/>
      <c r="U74" s="78">
        <f t="shared" si="14"/>
        <v>0</v>
      </c>
      <c r="V74" s="140"/>
      <c r="W74" s="138"/>
      <c r="X74" s="32"/>
      <c r="Z74" s="5"/>
    </row>
    <row r="75" spans="1:40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141"/>
      <c r="W75" s="5"/>
      <c r="X75" s="5"/>
      <c r="Y75" s="5"/>
      <c r="Z75" s="5"/>
    </row>
    <row r="78" spans="1:40" x14ac:dyDescent="0.25">
      <c r="A78">
        <v>255</v>
      </c>
      <c r="B78" t="s">
        <v>1627</v>
      </c>
    </row>
    <row r="79" spans="1:40" x14ac:dyDescent="0.25">
      <c r="A79">
        <v>100</v>
      </c>
    </row>
    <row r="84" spans="1:40" x14ac:dyDescent="0.25">
      <c r="A84" s="1" t="s">
        <v>0</v>
      </c>
      <c r="B84" s="1"/>
      <c r="C84" s="1"/>
      <c r="D84" s="1"/>
      <c r="E84" s="1"/>
      <c r="F84" s="1"/>
      <c r="G84" s="1"/>
      <c r="H84" s="1"/>
      <c r="I84" s="1" t="s">
        <v>148</v>
      </c>
      <c r="J84" s="1"/>
      <c r="K84" s="1"/>
      <c r="L84" s="1"/>
      <c r="M84" s="1"/>
      <c r="N84" s="1"/>
      <c r="O84" s="1"/>
      <c r="P84" s="1"/>
      <c r="Q84" s="1"/>
      <c r="R84" s="1"/>
      <c r="S84" s="342" t="s">
        <v>1</v>
      </c>
      <c r="T84" s="342"/>
      <c r="U84" s="5"/>
      <c r="V84" s="139"/>
      <c r="W84" s="1"/>
      <c r="X84" s="1"/>
      <c r="Y84" s="1"/>
      <c r="Z84" s="5"/>
      <c r="AC84" s="335" t="s">
        <v>160</v>
      </c>
      <c r="AD84" s="336"/>
      <c r="AG84" s="335" t="s">
        <v>170</v>
      </c>
      <c r="AH84" s="336"/>
      <c r="AJ84" s="337" t="s">
        <v>172</v>
      </c>
      <c r="AK84" s="337"/>
      <c r="AM84" s="337" t="s">
        <v>681</v>
      </c>
      <c r="AN84" s="337"/>
    </row>
    <row r="85" spans="1:40" ht="90" x14ac:dyDescent="0.25">
      <c r="A85" s="6" t="s">
        <v>2</v>
      </c>
      <c r="B85" s="7" t="s">
        <v>3</v>
      </c>
      <c r="C85" s="7" t="s">
        <v>4</v>
      </c>
      <c r="D85" s="6" t="s">
        <v>5</v>
      </c>
      <c r="E85" s="6" t="s">
        <v>6</v>
      </c>
      <c r="F85" s="6" t="s">
        <v>7</v>
      </c>
      <c r="G85" s="6" t="s">
        <v>8</v>
      </c>
      <c r="H85" s="8" t="s">
        <v>9</v>
      </c>
      <c r="I85" s="9" t="s">
        <v>10</v>
      </c>
      <c r="J85" s="8" t="s">
        <v>11</v>
      </c>
      <c r="K85" s="10" t="s">
        <v>12</v>
      </c>
      <c r="L85" s="10" t="s">
        <v>13</v>
      </c>
      <c r="M85" s="11" t="s">
        <v>14</v>
      </c>
      <c r="N85" s="10" t="s">
        <v>691</v>
      </c>
      <c r="O85" s="10" t="s">
        <v>28</v>
      </c>
      <c r="P85" s="5"/>
      <c r="Q85" s="10" t="s">
        <v>16</v>
      </c>
      <c r="R85" s="10" t="s">
        <v>17</v>
      </c>
      <c r="S85" s="10" t="s">
        <v>18</v>
      </c>
      <c r="T85" s="10" t="s">
        <v>19</v>
      </c>
      <c r="U85" s="10" t="s">
        <v>20</v>
      </c>
      <c r="V85" s="13"/>
      <c r="W85" s="136" t="s">
        <v>688</v>
      </c>
      <c r="X85" s="14" t="s">
        <v>22</v>
      </c>
      <c r="Y85" s="15" t="s">
        <v>23</v>
      </c>
      <c r="Z85" s="5"/>
      <c r="AB85">
        <v>1</v>
      </c>
      <c r="AC85" s="16" t="s">
        <v>161</v>
      </c>
      <c r="AD85" s="58">
        <f>+AB85*10</f>
        <v>10</v>
      </c>
      <c r="AF85">
        <v>6</v>
      </c>
      <c r="AG85" s="16" t="s">
        <v>161</v>
      </c>
      <c r="AH85" s="58">
        <f>+AF85*10</f>
        <v>60</v>
      </c>
      <c r="AJ85" s="61" t="s">
        <v>173</v>
      </c>
      <c r="AK85" s="62" t="s">
        <v>174</v>
      </c>
      <c r="AM85" s="16" t="s">
        <v>161</v>
      </c>
      <c r="AN85" s="58">
        <f>+AL85*10</f>
        <v>0</v>
      </c>
    </row>
    <row r="86" spans="1:40" x14ac:dyDescent="0.25">
      <c r="A86" s="16">
        <v>1</v>
      </c>
      <c r="B86" s="92">
        <v>45211</v>
      </c>
      <c r="C86" s="31" t="s">
        <v>1354</v>
      </c>
      <c r="D86" s="32">
        <v>5611728082</v>
      </c>
      <c r="E86" s="32"/>
      <c r="F86" s="39" t="s">
        <v>1645</v>
      </c>
      <c r="G86" s="39" t="s">
        <v>632</v>
      </c>
      <c r="H86" s="122"/>
      <c r="I86" s="32">
        <v>114</v>
      </c>
      <c r="J86" s="20">
        <v>10</v>
      </c>
      <c r="K86" s="21">
        <f>U86-J86-O86</f>
        <v>0</v>
      </c>
      <c r="L86" s="21">
        <f t="shared" ref="L86:L105" si="15">+I86+J86</f>
        <v>124</v>
      </c>
      <c r="M86" s="21">
        <f t="shared" ref="M86:M105" si="16">+H86-L86</f>
        <v>-124</v>
      </c>
      <c r="N86" s="21"/>
      <c r="O86" s="21"/>
      <c r="P86" s="5"/>
      <c r="Q86" s="21"/>
      <c r="R86" s="16"/>
      <c r="S86" s="21">
        <f t="shared" ref="S86:S104" si="17">+Q86+R86</f>
        <v>0</v>
      </c>
      <c r="T86" s="21">
        <v>10</v>
      </c>
      <c r="U86" s="78">
        <f>T86-S86-O86</f>
        <v>10</v>
      </c>
      <c r="V86" s="13"/>
      <c r="W86" s="147"/>
      <c r="X86" s="23"/>
      <c r="Y86" s="333"/>
      <c r="Z86" s="5"/>
      <c r="AB86">
        <v>28</v>
      </c>
      <c r="AC86" s="59" t="s">
        <v>162</v>
      </c>
      <c r="AD86" s="18">
        <f>+AB86*1</f>
        <v>28</v>
      </c>
      <c r="AF86">
        <v>46</v>
      </c>
      <c r="AG86" s="59" t="s">
        <v>162</v>
      </c>
      <c r="AH86" s="18">
        <f>+AF86*1</f>
        <v>46</v>
      </c>
      <c r="AJ86" s="16">
        <v>1087</v>
      </c>
      <c r="AK86" s="16"/>
      <c r="AM86" s="59" t="s">
        <v>162</v>
      </c>
      <c r="AN86" s="18">
        <f>+AL86*1</f>
        <v>0</v>
      </c>
    </row>
    <row r="87" spans="1:40" x14ac:dyDescent="0.25">
      <c r="A87" s="26">
        <v>2</v>
      </c>
      <c r="B87" s="92">
        <v>45211</v>
      </c>
      <c r="C87" s="31" t="s">
        <v>1483</v>
      </c>
      <c r="D87" s="32"/>
      <c r="E87" s="32" t="s">
        <v>1484</v>
      </c>
      <c r="F87" s="32" t="s">
        <v>1483</v>
      </c>
      <c r="G87" s="39" t="s">
        <v>1646</v>
      </c>
      <c r="H87" s="122"/>
      <c r="I87" s="32">
        <v>740</v>
      </c>
      <c r="J87" s="20">
        <v>30</v>
      </c>
      <c r="K87" s="21">
        <f t="shared" ref="K87:K104" si="18">U87-J87-O87</f>
        <v>0</v>
      </c>
      <c r="L87" s="21">
        <f t="shared" si="15"/>
        <v>770</v>
      </c>
      <c r="M87" s="21">
        <f t="shared" si="16"/>
        <v>-770</v>
      </c>
      <c r="N87" s="21"/>
      <c r="O87" s="21"/>
      <c r="P87" s="5"/>
      <c r="Q87" s="21">
        <v>400</v>
      </c>
      <c r="R87" s="16"/>
      <c r="S87" s="21">
        <f t="shared" si="17"/>
        <v>400</v>
      </c>
      <c r="T87" s="21">
        <v>430</v>
      </c>
      <c r="U87" s="78">
        <f t="shared" ref="U87:U104" si="19">T87-S87-O87</f>
        <v>30</v>
      </c>
      <c r="V87" s="140"/>
      <c r="W87" s="147"/>
      <c r="X87" s="23"/>
      <c r="Y87" s="334"/>
      <c r="Z87" s="5"/>
      <c r="AB87">
        <v>3</v>
      </c>
      <c r="AC87" s="16" t="s">
        <v>163</v>
      </c>
      <c r="AD87" s="60">
        <f>+AB87*5</f>
        <v>15</v>
      </c>
      <c r="AF87">
        <v>9</v>
      </c>
      <c r="AG87" s="16" t="s">
        <v>163</v>
      </c>
      <c r="AH87" s="60">
        <f>+AF87*5</f>
        <v>45</v>
      </c>
      <c r="AJ87" s="16"/>
      <c r="AK87" s="16"/>
      <c r="AM87" s="16" t="s">
        <v>163</v>
      </c>
      <c r="AN87" s="60">
        <f>+AL87*5</f>
        <v>0</v>
      </c>
    </row>
    <row r="88" spans="1:40" x14ac:dyDescent="0.25">
      <c r="A88" s="143">
        <v>3</v>
      </c>
      <c r="B88" s="92">
        <v>45211</v>
      </c>
      <c r="C88" s="31" t="s">
        <v>37</v>
      </c>
      <c r="D88" s="32"/>
      <c r="E88" s="32" t="s">
        <v>485</v>
      </c>
      <c r="F88" s="32"/>
      <c r="G88" s="39" t="s">
        <v>1647</v>
      </c>
      <c r="H88" s="122"/>
      <c r="I88" s="32">
        <v>187</v>
      </c>
      <c r="J88" s="20">
        <v>24</v>
      </c>
      <c r="K88" s="21">
        <f t="shared" si="18"/>
        <v>0</v>
      </c>
      <c r="L88" s="21">
        <f t="shared" si="15"/>
        <v>211</v>
      </c>
      <c r="M88" s="21">
        <f t="shared" si="16"/>
        <v>-211</v>
      </c>
      <c r="N88" s="21"/>
      <c r="O88" s="21"/>
      <c r="P88" s="5"/>
      <c r="Q88" s="21"/>
      <c r="R88" s="16"/>
      <c r="S88" s="21">
        <f t="shared" si="17"/>
        <v>0</v>
      </c>
      <c r="T88" s="21">
        <v>24</v>
      </c>
      <c r="U88" s="78">
        <f t="shared" si="19"/>
        <v>24</v>
      </c>
      <c r="V88" s="140"/>
      <c r="W88" s="147"/>
      <c r="X88" s="23"/>
      <c r="Y88" s="334"/>
      <c r="Z88" s="5"/>
      <c r="AC88" s="16" t="s">
        <v>164</v>
      </c>
      <c r="AD88" s="18">
        <f>+AB88*200</f>
        <v>0</v>
      </c>
      <c r="AG88" s="16" t="s">
        <v>164</v>
      </c>
      <c r="AH88" s="18">
        <f>+AF88*200</f>
        <v>0</v>
      </c>
      <c r="AJ88" s="16"/>
      <c r="AK88" s="16"/>
      <c r="AM88" s="16" t="s">
        <v>164</v>
      </c>
      <c r="AN88" s="18">
        <f>+AL88*200</f>
        <v>0</v>
      </c>
    </row>
    <row r="89" spans="1:40" x14ac:dyDescent="0.25">
      <c r="A89" s="143">
        <v>4</v>
      </c>
      <c r="B89" s="92">
        <v>45211</v>
      </c>
      <c r="C89" s="31" t="s">
        <v>520</v>
      </c>
      <c r="D89" s="32"/>
      <c r="E89" s="32" t="s">
        <v>485</v>
      </c>
      <c r="F89" s="32" t="s">
        <v>1649</v>
      </c>
      <c r="G89" s="39" t="s">
        <v>1648</v>
      </c>
      <c r="H89" s="122"/>
      <c r="I89" s="32">
        <v>50</v>
      </c>
      <c r="J89" s="20">
        <v>23.5</v>
      </c>
      <c r="K89" s="21">
        <f t="shared" si="18"/>
        <v>0</v>
      </c>
      <c r="L89" s="21">
        <f t="shared" si="15"/>
        <v>73.5</v>
      </c>
      <c r="M89" s="21">
        <f t="shared" si="16"/>
        <v>-73.5</v>
      </c>
      <c r="N89" s="21"/>
      <c r="O89" s="21"/>
      <c r="P89" s="5"/>
      <c r="Q89" s="21"/>
      <c r="R89" s="16"/>
      <c r="S89" s="21">
        <f t="shared" si="17"/>
        <v>0</v>
      </c>
      <c r="T89" s="21">
        <v>23.5</v>
      </c>
      <c r="U89" s="78">
        <f t="shared" si="19"/>
        <v>23.5</v>
      </c>
      <c r="V89" s="140"/>
      <c r="W89" s="147"/>
      <c r="X89" s="23"/>
      <c r="Y89" s="334"/>
      <c r="Z89" s="5"/>
      <c r="AB89">
        <v>2</v>
      </c>
      <c r="AC89" s="16" t="s">
        <v>165</v>
      </c>
      <c r="AD89" s="18">
        <f>+AB89*100</f>
        <v>200</v>
      </c>
      <c r="AG89" s="16" t="s">
        <v>165</v>
      </c>
      <c r="AH89" s="18">
        <f>+AF89*100</f>
        <v>0</v>
      </c>
      <c r="AJ89" s="16"/>
      <c r="AK89" s="16"/>
      <c r="AM89" s="16" t="s">
        <v>165</v>
      </c>
      <c r="AN89" s="18">
        <f>+AL89*100</f>
        <v>0</v>
      </c>
    </row>
    <row r="90" spans="1:40" x14ac:dyDescent="0.25">
      <c r="A90" s="143">
        <v>5</v>
      </c>
      <c r="B90" s="92">
        <v>45211</v>
      </c>
      <c r="C90" s="31" t="s">
        <v>416</v>
      </c>
      <c r="D90" s="32"/>
      <c r="E90" s="32" t="s">
        <v>408</v>
      </c>
      <c r="F90" s="32" t="s">
        <v>1651</v>
      </c>
      <c r="G90" s="32" t="s">
        <v>1650</v>
      </c>
      <c r="H90" s="122">
        <v>200</v>
      </c>
      <c r="I90" s="32">
        <v>86</v>
      </c>
      <c r="J90" s="20">
        <v>14</v>
      </c>
      <c r="K90" s="21">
        <f t="shared" si="18"/>
        <v>0</v>
      </c>
      <c r="L90" s="21">
        <f t="shared" si="15"/>
        <v>100</v>
      </c>
      <c r="M90" s="21">
        <f t="shared" si="16"/>
        <v>100</v>
      </c>
      <c r="N90" s="21"/>
      <c r="O90" s="21"/>
      <c r="P90" s="5"/>
      <c r="Q90" s="16">
        <v>200</v>
      </c>
      <c r="R90" s="16"/>
      <c r="S90" s="21">
        <f t="shared" si="17"/>
        <v>200</v>
      </c>
      <c r="T90" s="21">
        <v>214</v>
      </c>
      <c r="U90" s="78">
        <f t="shared" si="19"/>
        <v>14</v>
      </c>
      <c r="V90" s="140">
        <f>+SUM(T91:T93)</f>
        <v>42</v>
      </c>
      <c r="W90" s="147"/>
      <c r="X90" s="23"/>
      <c r="Y90" s="334"/>
      <c r="Z90" s="5"/>
      <c r="AB90">
        <v>1</v>
      </c>
      <c r="AC90" s="16" t="s">
        <v>166</v>
      </c>
      <c r="AD90" s="18">
        <f>+AB90*50</f>
        <v>50</v>
      </c>
      <c r="AF90">
        <v>1</v>
      </c>
      <c r="AG90" s="16" t="s">
        <v>166</v>
      </c>
      <c r="AH90" s="18">
        <f>+AF90*50</f>
        <v>50</v>
      </c>
      <c r="AJ90" s="16"/>
      <c r="AK90" s="16"/>
      <c r="AM90" s="16" t="s">
        <v>166</v>
      </c>
      <c r="AN90" s="18">
        <f>+AL90*50</f>
        <v>0</v>
      </c>
    </row>
    <row r="91" spans="1:40" x14ac:dyDescent="0.25">
      <c r="A91" s="143">
        <v>6</v>
      </c>
      <c r="B91" s="92">
        <v>45211</v>
      </c>
      <c r="C91" s="31" t="s">
        <v>608</v>
      </c>
      <c r="D91" s="32"/>
      <c r="E91" s="32" t="s">
        <v>413</v>
      </c>
      <c r="F91" s="32" t="s">
        <v>1652</v>
      </c>
      <c r="G91" s="39" t="s">
        <v>1653</v>
      </c>
      <c r="H91" s="39"/>
      <c r="I91" s="42">
        <v>330</v>
      </c>
      <c r="J91" s="20">
        <v>14</v>
      </c>
      <c r="K91" s="21">
        <f t="shared" si="18"/>
        <v>0</v>
      </c>
      <c r="L91" s="21">
        <f t="shared" si="15"/>
        <v>344</v>
      </c>
      <c r="M91" s="21">
        <f t="shared" si="16"/>
        <v>-344</v>
      </c>
      <c r="N91" s="21"/>
      <c r="O91" s="21"/>
      <c r="P91" s="5"/>
      <c r="Q91" s="16"/>
      <c r="R91" s="16"/>
      <c r="S91" s="21">
        <f t="shared" si="17"/>
        <v>0</v>
      </c>
      <c r="T91" s="16">
        <v>14</v>
      </c>
      <c r="U91" s="78">
        <f t="shared" si="19"/>
        <v>14</v>
      </c>
      <c r="V91" s="140"/>
      <c r="W91" s="147"/>
      <c r="X91" s="23"/>
      <c r="Y91" s="334"/>
      <c r="Z91" s="5"/>
      <c r="AB91">
        <v>3</v>
      </c>
      <c r="AC91" s="16" t="s">
        <v>167</v>
      </c>
      <c r="AD91" s="18">
        <f>+AB91*20</f>
        <v>60</v>
      </c>
      <c r="AF91">
        <v>3</v>
      </c>
      <c r="AG91" s="16" t="s">
        <v>167</v>
      </c>
      <c r="AH91" s="18">
        <f>+AF91*20</f>
        <v>60</v>
      </c>
      <c r="AJ91" s="16"/>
      <c r="AK91" s="16"/>
      <c r="AM91" s="16" t="s">
        <v>167</v>
      </c>
      <c r="AN91" s="18">
        <f>+AL91*20</f>
        <v>0</v>
      </c>
    </row>
    <row r="92" spans="1:40" x14ac:dyDescent="0.25">
      <c r="A92" s="143">
        <v>7</v>
      </c>
      <c r="B92" s="92">
        <v>45211</v>
      </c>
      <c r="C92" s="31" t="s">
        <v>916</v>
      </c>
      <c r="D92" s="32"/>
      <c r="E92" s="32" t="s">
        <v>106</v>
      </c>
      <c r="F92" s="32" t="s">
        <v>918</v>
      </c>
      <c r="G92" s="39" t="s">
        <v>1654</v>
      </c>
      <c r="H92" s="122"/>
      <c r="I92" s="42">
        <v>86</v>
      </c>
      <c r="J92" s="20">
        <v>14</v>
      </c>
      <c r="K92" s="21">
        <f t="shared" si="18"/>
        <v>0</v>
      </c>
      <c r="L92" s="21">
        <f t="shared" si="15"/>
        <v>100</v>
      </c>
      <c r="M92" s="21">
        <f t="shared" si="16"/>
        <v>-100</v>
      </c>
      <c r="N92" s="21"/>
      <c r="O92" s="21"/>
      <c r="P92" s="5"/>
      <c r="Q92" s="16"/>
      <c r="R92" s="16"/>
      <c r="S92" s="21">
        <f t="shared" si="17"/>
        <v>0</v>
      </c>
      <c r="T92" s="16">
        <v>14</v>
      </c>
      <c r="U92" s="78">
        <f t="shared" si="19"/>
        <v>14</v>
      </c>
      <c r="V92" s="140"/>
      <c r="W92" s="147"/>
      <c r="X92" s="23"/>
      <c r="Y92" s="334"/>
      <c r="Z92" s="5"/>
      <c r="AC92" s="16" t="s">
        <v>171</v>
      </c>
      <c r="AD92" s="18">
        <f>+AB92*500</f>
        <v>0</v>
      </c>
      <c r="AG92" s="16" t="s">
        <v>171</v>
      </c>
      <c r="AH92" s="18">
        <f>+AF92*500</f>
        <v>0</v>
      </c>
      <c r="AJ92" s="16"/>
      <c r="AK92" s="16"/>
      <c r="AM92" s="16" t="s">
        <v>171</v>
      </c>
      <c r="AN92" s="18">
        <f>+AL92*500</f>
        <v>0</v>
      </c>
    </row>
    <row r="93" spans="1:40" x14ac:dyDescent="0.25">
      <c r="A93" s="143">
        <v>8</v>
      </c>
      <c r="B93" s="92">
        <v>45211</v>
      </c>
      <c r="C93" s="31" t="s">
        <v>1402</v>
      </c>
      <c r="D93" s="123"/>
      <c r="E93" s="123" t="s">
        <v>413</v>
      </c>
      <c r="F93" s="123" t="s">
        <v>1655</v>
      </c>
      <c r="G93" s="39" t="s">
        <v>1656</v>
      </c>
      <c r="H93" s="122"/>
      <c r="I93" s="32">
        <v>123</v>
      </c>
      <c r="J93" s="20">
        <v>14</v>
      </c>
      <c r="K93" s="21">
        <f t="shared" si="18"/>
        <v>-200</v>
      </c>
      <c r="L93" s="21">
        <f t="shared" si="15"/>
        <v>137</v>
      </c>
      <c r="M93" s="21">
        <f t="shared" si="16"/>
        <v>-137</v>
      </c>
      <c r="N93" s="21"/>
      <c r="O93" s="21"/>
      <c r="P93" s="5"/>
      <c r="Q93" s="16">
        <v>200</v>
      </c>
      <c r="R93" s="16"/>
      <c r="S93" s="21">
        <f t="shared" si="17"/>
        <v>200</v>
      </c>
      <c r="T93" s="16">
        <v>14</v>
      </c>
      <c r="U93" s="78">
        <f t="shared" si="19"/>
        <v>-186</v>
      </c>
      <c r="V93" s="140"/>
      <c r="W93" s="147"/>
      <c r="X93" s="23"/>
      <c r="Y93" s="334"/>
      <c r="Z93" s="5"/>
      <c r="AC93" s="16" t="s">
        <v>168</v>
      </c>
      <c r="AD93" s="18">
        <f>+AB93*1000</f>
        <v>0</v>
      </c>
      <c r="AG93" s="16" t="s">
        <v>168</v>
      </c>
      <c r="AH93" s="18">
        <f>+AF93*1000</f>
        <v>0</v>
      </c>
      <c r="AJ93" s="16"/>
      <c r="AK93" s="16"/>
      <c r="AM93" s="16" t="s">
        <v>168</v>
      </c>
      <c r="AN93" s="18">
        <f>+AL93*1000</f>
        <v>0</v>
      </c>
    </row>
    <row r="94" spans="1:40" x14ac:dyDescent="0.25">
      <c r="A94" s="143">
        <v>9</v>
      </c>
      <c r="B94" s="92">
        <v>45211</v>
      </c>
      <c r="C94" s="31" t="s">
        <v>1657</v>
      </c>
      <c r="D94" s="32"/>
      <c r="E94" s="32"/>
      <c r="F94" s="32"/>
      <c r="G94" s="39" t="s">
        <v>1658</v>
      </c>
      <c r="H94" s="39">
        <v>63</v>
      </c>
      <c r="I94" s="40">
        <v>17</v>
      </c>
      <c r="J94" s="20">
        <v>10</v>
      </c>
      <c r="K94" s="21">
        <f t="shared" si="18"/>
        <v>3</v>
      </c>
      <c r="L94" s="21">
        <f t="shared" si="15"/>
        <v>27</v>
      </c>
      <c r="M94" s="21">
        <f t="shared" si="16"/>
        <v>36</v>
      </c>
      <c r="N94" s="21"/>
      <c r="O94" s="21"/>
      <c r="P94" s="5"/>
      <c r="Q94" s="16">
        <v>50</v>
      </c>
      <c r="R94" s="16"/>
      <c r="S94" s="21">
        <f t="shared" si="17"/>
        <v>50</v>
      </c>
      <c r="T94" s="16">
        <v>63</v>
      </c>
      <c r="U94" s="78">
        <f t="shared" si="19"/>
        <v>13</v>
      </c>
      <c r="V94" s="140"/>
      <c r="W94" s="147"/>
      <c r="X94" s="23"/>
      <c r="Y94" s="334"/>
      <c r="Z94" s="5"/>
      <c r="AC94" s="26"/>
      <c r="AD94" s="58"/>
      <c r="AG94" s="26"/>
      <c r="AH94" s="58"/>
      <c r="AJ94" s="16"/>
      <c r="AK94" s="16"/>
      <c r="AM94" s="26"/>
      <c r="AN94" s="58"/>
    </row>
    <row r="95" spans="1:40" x14ac:dyDescent="0.25">
      <c r="A95" s="143">
        <v>10</v>
      </c>
      <c r="B95" s="92">
        <v>45211</v>
      </c>
      <c r="C95" s="31" t="s">
        <v>44</v>
      </c>
      <c r="D95" s="32"/>
      <c r="E95" s="32" t="s">
        <v>106</v>
      </c>
      <c r="F95" s="32" t="s">
        <v>729</v>
      </c>
      <c r="G95" s="39" t="s">
        <v>1659</v>
      </c>
      <c r="H95" s="122">
        <v>57</v>
      </c>
      <c r="I95" s="42">
        <v>47</v>
      </c>
      <c r="J95" s="20">
        <v>10</v>
      </c>
      <c r="K95" s="21">
        <v>3</v>
      </c>
      <c r="L95" s="21">
        <f t="shared" si="15"/>
        <v>57</v>
      </c>
      <c r="M95" s="21">
        <f t="shared" si="16"/>
        <v>0</v>
      </c>
      <c r="N95" s="21"/>
      <c r="O95" s="21"/>
      <c r="P95" s="5"/>
      <c r="Q95" s="16"/>
      <c r="R95" s="16"/>
      <c r="S95" s="21">
        <f t="shared" si="17"/>
        <v>0</v>
      </c>
      <c r="T95" s="16">
        <v>100</v>
      </c>
      <c r="U95" s="78">
        <v>60</v>
      </c>
      <c r="V95" s="140"/>
      <c r="W95" s="147"/>
      <c r="X95" s="23"/>
      <c r="Y95" s="334"/>
      <c r="Z95" s="5"/>
      <c r="AC95" s="16" t="s">
        <v>169</v>
      </c>
      <c r="AD95" s="18">
        <f>SUM(AD85:AD94)</f>
        <v>363</v>
      </c>
      <c r="AG95" s="16" t="s">
        <v>169</v>
      </c>
      <c r="AH95" s="18">
        <f>SUM(AH85:AH94)</f>
        <v>261</v>
      </c>
      <c r="AJ95" s="16"/>
      <c r="AK95" s="16"/>
      <c r="AM95" s="16" t="s">
        <v>169</v>
      </c>
      <c r="AN95" s="18"/>
    </row>
    <row r="96" spans="1:40" x14ac:dyDescent="0.25">
      <c r="A96" s="143">
        <v>11</v>
      </c>
      <c r="B96" s="92">
        <v>45211</v>
      </c>
      <c r="C96" s="31" t="s">
        <v>1660</v>
      </c>
      <c r="D96" s="124"/>
      <c r="E96" s="123" t="s">
        <v>106</v>
      </c>
      <c r="F96" s="123" t="s">
        <v>1661</v>
      </c>
      <c r="G96" s="39" t="s">
        <v>1662</v>
      </c>
      <c r="H96" s="122">
        <v>110</v>
      </c>
      <c r="I96" s="42">
        <v>80</v>
      </c>
      <c r="J96" s="20">
        <v>14</v>
      </c>
      <c r="K96" s="21">
        <f t="shared" si="18"/>
        <v>16</v>
      </c>
      <c r="L96" s="21">
        <f t="shared" si="15"/>
        <v>94</v>
      </c>
      <c r="M96" s="21">
        <f t="shared" si="16"/>
        <v>16</v>
      </c>
      <c r="N96" s="21"/>
      <c r="O96" s="21"/>
      <c r="P96" s="5"/>
      <c r="Q96" s="16"/>
      <c r="R96" s="16"/>
      <c r="S96" s="21">
        <f t="shared" si="17"/>
        <v>0</v>
      </c>
      <c r="T96" s="16">
        <v>116</v>
      </c>
      <c r="U96" s="78">
        <v>30</v>
      </c>
      <c r="V96" s="140"/>
      <c r="W96" s="147"/>
      <c r="X96" s="23"/>
      <c r="Y96" s="334"/>
      <c r="Z96" s="5"/>
      <c r="AD96">
        <v>152</v>
      </c>
      <c r="AJ96" s="16"/>
      <c r="AK96" s="16"/>
      <c r="AM96" s="16"/>
      <c r="AN96" s="16"/>
    </row>
    <row r="97" spans="1:40" x14ac:dyDescent="0.25">
      <c r="A97" s="143">
        <v>12</v>
      </c>
      <c r="B97" s="92">
        <v>45211</v>
      </c>
      <c r="C97" s="32" t="s">
        <v>1629</v>
      </c>
      <c r="D97" s="32"/>
      <c r="E97" s="124" t="s">
        <v>106</v>
      </c>
      <c r="F97" s="123" t="s">
        <v>482</v>
      </c>
      <c r="G97" s="39" t="s">
        <v>1663</v>
      </c>
      <c r="H97" s="39">
        <v>100</v>
      </c>
      <c r="I97" s="42">
        <v>43</v>
      </c>
      <c r="J97" s="20">
        <v>14</v>
      </c>
      <c r="K97" s="21">
        <f t="shared" si="18"/>
        <v>-14</v>
      </c>
      <c r="L97" s="21">
        <f t="shared" si="15"/>
        <v>57</v>
      </c>
      <c r="M97" s="21">
        <f t="shared" si="16"/>
        <v>43</v>
      </c>
      <c r="N97" s="21"/>
      <c r="O97" s="21"/>
      <c r="P97" s="5"/>
      <c r="Q97" s="45"/>
      <c r="R97" s="44"/>
      <c r="S97" s="21">
        <f t="shared" si="17"/>
        <v>0</v>
      </c>
      <c r="T97" s="45"/>
      <c r="U97" s="78">
        <f t="shared" si="19"/>
        <v>0</v>
      </c>
      <c r="V97" s="140"/>
      <c r="W97" s="147"/>
      <c r="X97" s="23"/>
      <c r="Y97" s="334"/>
      <c r="Z97" s="5"/>
      <c r="AJ97" s="63" t="s">
        <v>169</v>
      </c>
      <c r="AK97" s="63">
        <f>+SUM(AJ86:AJ96)-SUM(AK86:AK96)</f>
        <v>1087</v>
      </c>
      <c r="AM97" s="63" t="s">
        <v>169</v>
      </c>
      <c r="AN97" s="85">
        <f>+SUM(AM85:AM96)-SUM(AN86:AN96)</f>
        <v>0</v>
      </c>
    </row>
    <row r="98" spans="1:40" x14ac:dyDescent="0.25">
      <c r="A98" s="143">
        <v>13</v>
      </c>
      <c r="B98" s="92">
        <v>45211</v>
      </c>
      <c r="C98" s="31" t="s">
        <v>319</v>
      </c>
      <c r="D98" s="32"/>
      <c r="E98" s="32" t="s">
        <v>1664</v>
      </c>
      <c r="F98" s="32"/>
      <c r="G98" s="39"/>
      <c r="H98" s="39">
        <v>200</v>
      </c>
      <c r="I98" s="42">
        <v>186</v>
      </c>
      <c r="J98" s="108">
        <v>14</v>
      </c>
      <c r="K98" s="21">
        <f t="shared" si="18"/>
        <v>-14</v>
      </c>
      <c r="L98" s="21">
        <f t="shared" si="15"/>
        <v>200</v>
      </c>
      <c r="M98" s="21">
        <f t="shared" si="16"/>
        <v>0</v>
      </c>
      <c r="N98" s="21"/>
      <c r="O98" s="21"/>
      <c r="P98" s="5"/>
      <c r="Q98" s="43"/>
      <c r="R98" s="32"/>
      <c r="S98" s="21">
        <f t="shared" si="17"/>
        <v>0</v>
      </c>
      <c r="T98" s="43"/>
      <c r="U98" s="78">
        <f t="shared" si="19"/>
        <v>0</v>
      </c>
      <c r="V98" s="140"/>
      <c r="W98" s="147"/>
      <c r="X98" s="23"/>
      <c r="Y98" s="334"/>
      <c r="Z98" s="5"/>
      <c r="AH98" s="83"/>
    </row>
    <row r="99" spans="1:40" x14ac:dyDescent="0.25">
      <c r="A99" s="143">
        <v>14</v>
      </c>
      <c r="B99" s="92">
        <v>45211</v>
      </c>
      <c r="C99" s="31" t="s">
        <v>1665</v>
      </c>
      <c r="D99" s="32"/>
      <c r="E99" s="32" t="s">
        <v>106</v>
      </c>
      <c r="F99" s="32" t="s">
        <v>1053</v>
      </c>
      <c r="G99" s="39" t="s">
        <v>1666</v>
      </c>
      <c r="H99" s="39"/>
      <c r="I99" s="42">
        <v>146</v>
      </c>
      <c r="J99" s="108">
        <v>14</v>
      </c>
      <c r="K99" s="21">
        <f t="shared" si="18"/>
        <v>8</v>
      </c>
      <c r="L99" s="21">
        <f t="shared" si="15"/>
        <v>160</v>
      </c>
      <c r="M99" s="21">
        <f t="shared" si="16"/>
        <v>-160</v>
      </c>
      <c r="N99" s="21">
        <v>160</v>
      </c>
      <c r="O99" s="21"/>
      <c r="P99" s="5"/>
      <c r="Q99" s="43"/>
      <c r="R99" s="43"/>
      <c r="S99" s="21">
        <f t="shared" si="17"/>
        <v>0</v>
      </c>
      <c r="T99" s="43">
        <v>22</v>
      </c>
      <c r="U99" s="78">
        <f t="shared" si="19"/>
        <v>22</v>
      </c>
      <c r="V99" s="140"/>
      <c r="W99" s="147"/>
      <c r="X99" s="23"/>
      <c r="Y99" s="334"/>
      <c r="Z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40" x14ac:dyDescent="0.25">
      <c r="A100" s="143">
        <v>15</v>
      </c>
      <c r="B100" s="92">
        <v>45211</v>
      </c>
      <c r="C100" s="127" t="s">
        <v>627</v>
      </c>
      <c r="D100" s="32"/>
      <c r="E100" s="32" t="s">
        <v>451</v>
      </c>
      <c r="F100" s="128" t="s">
        <v>1667</v>
      </c>
      <c r="G100" s="129" t="s">
        <v>1668</v>
      </c>
      <c r="H100" s="39">
        <v>165</v>
      </c>
      <c r="I100" s="42">
        <v>140</v>
      </c>
      <c r="J100" s="108">
        <v>14</v>
      </c>
      <c r="K100" s="21">
        <v>10</v>
      </c>
      <c r="L100" s="21">
        <f t="shared" si="15"/>
        <v>154</v>
      </c>
      <c r="M100" s="21">
        <f t="shared" si="16"/>
        <v>11</v>
      </c>
      <c r="N100" s="21">
        <v>165</v>
      </c>
      <c r="O100" s="21">
        <v>140</v>
      </c>
      <c r="P100" s="5"/>
      <c r="Q100" s="43"/>
      <c r="R100" s="43"/>
      <c r="S100" s="21">
        <v>200</v>
      </c>
      <c r="T100" s="43">
        <v>214</v>
      </c>
      <c r="U100" s="78">
        <v>14</v>
      </c>
      <c r="V100" s="140"/>
      <c r="W100" s="147"/>
      <c r="X100" s="23"/>
      <c r="Y100" s="334"/>
      <c r="Z100" s="5"/>
      <c r="AC100" s="5"/>
      <c r="AD100" s="134" t="s">
        <v>20</v>
      </c>
      <c r="AE100" s="338"/>
      <c r="AF100" s="341" t="s">
        <v>686</v>
      </c>
      <c r="AG100" s="134" t="s">
        <v>20</v>
      </c>
      <c r="AH100" s="338">
        <v>156.5</v>
      </c>
      <c r="AI100" s="341" t="s">
        <v>687</v>
      </c>
      <c r="AJ100" s="134" t="s">
        <v>20</v>
      </c>
      <c r="AK100" s="338"/>
      <c r="AL100" s="5"/>
    </row>
    <row r="101" spans="1:40" x14ac:dyDescent="0.25">
      <c r="A101" s="143">
        <v>16</v>
      </c>
      <c r="B101" s="92">
        <v>45211</v>
      </c>
      <c r="C101" s="31" t="s">
        <v>483</v>
      </c>
      <c r="D101" s="32"/>
      <c r="E101" s="32" t="s">
        <v>106</v>
      </c>
      <c r="F101" s="32" t="s">
        <v>220</v>
      </c>
      <c r="G101" s="39" t="s">
        <v>1669</v>
      </c>
      <c r="H101" s="39">
        <v>153</v>
      </c>
      <c r="I101" s="42">
        <v>139</v>
      </c>
      <c r="J101" s="43">
        <v>14</v>
      </c>
      <c r="K101" s="21">
        <f t="shared" si="18"/>
        <v>-139</v>
      </c>
      <c r="L101" s="21">
        <f t="shared" si="15"/>
        <v>153</v>
      </c>
      <c r="M101" s="21">
        <f t="shared" si="16"/>
        <v>0</v>
      </c>
      <c r="N101" s="21"/>
      <c r="O101" s="21">
        <v>139</v>
      </c>
      <c r="P101" s="5"/>
      <c r="Q101" s="43"/>
      <c r="R101" s="32"/>
      <c r="S101" s="21">
        <f t="shared" si="17"/>
        <v>0</v>
      </c>
      <c r="T101" s="131">
        <v>153</v>
      </c>
      <c r="U101" s="78">
        <f t="shared" si="19"/>
        <v>14</v>
      </c>
      <c r="V101" s="140"/>
      <c r="W101" s="147"/>
      <c r="X101" s="23"/>
      <c r="Y101" s="334"/>
      <c r="Z101" s="5"/>
      <c r="AC101" s="5" t="s">
        <v>685</v>
      </c>
      <c r="AD101" s="115" t="s">
        <v>684</v>
      </c>
      <c r="AE101" s="339"/>
      <c r="AF101" s="341"/>
      <c r="AG101" s="115" t="s">
        <v>684</v>
      </c>
      <c r="AH101" s="339"/>
      <c r="AI101" s="341"/>
      <c r="AJ101" s="115" t="s">
        <v>684</v>
      </c>
      <c r="AK101" s="339"/>
      <c r="AL101" s="5"/>
    </row>
    <row r="102" spans="1:40" x14ac:dyDescent="0.25">
      <c r="A102" s="143">
        <v>17</v>
      </c>
      <c r="B102" s="92">
        <v>45211</v>
      </c>
      <c r="C102" s="31"/>
      <c r="D102" s="32"/>
      <c r="E102" s="32"/>
      <c r="F102" s="32"/>
      <c r="G102" s="39"/>
      <c r="H102" s="39"/>
      <c r="I102" s="42"/>
      <c r="J102" s="43">
        <v>14</v>
      </c>
      <c r="K102" s="21">
        <f t="shared" si="18"/>
        <v>-14</v>
      </c>
      <c r="L102" s="21">
        <f t="shared" si="15"/>
        <v>14</v>
      </c>
      <c r="M102" s="21">
        <f t="shared" si="16"/>
        <v>-14</v>
      </c>
      <c r="N102" s="21"/>
      <c r="O102" s="21"/>
      <c r="P102" s="5"/>
      <c r="Q102" s="43"/>
      <c r="R102" s="32"/>
      <c r="S102" s="21">
        <f t="shared" si="17"/>
        <v>0</v>
      </c>
      <c r="T102" s="132"/>
      <c r="U102" s="78">
        <f t="shared" si="19"/>
        <v>0</v>
      </c>
      <c r="V102" s="140"/>
      <c r="W102" s="147"/>
      <c r="X102" s="23"/>
      <c r="Y102" s="340"/>
      <c r="Z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40" x14ac:dyDescent="0.25">
      <c r="A103" s="143">
        <v>18</v>
      </c>
      <c r="B103" s="92">
        <v>45211</v>
      </c>
      <c r="C103" s="31"/>
      <c r="D103" s="32"/>
      <c r="E103" s="32"/>
      <c r="F103" s="32"/>
      <c r="G103" s="39"/>
      <c r="H103" s="39"/>
      <c r="I103" s="42"/>
      <c r="J103" s="43">
        <v>14</v>
      </c>
      <c r="K103" s="21">
        <f t="shared" si="18"/>
        <v>-14</v>
      </c>
      <c r="L103" s="21">
        <f t="shared" si="15"/>
        <v>14</v>
      </c>
      <c r="M103" s="21">
        <f t="shared" si="16"/>
        <v>-14</v>
      </c>
      <c r="N103" s="21"/>
      <c r="O103" s="21"/>
      <c r="P103" s="5"/>
      <c r="Q103" s="135"/>
      <c r="R103" s="104"/>
      <c r="S103" s="21">
        <f t="shared" si="17"/>
        <v>0</v>
      </c>
      <c r="T103" s="131"/>
      <c r="U103" s="78">
        <f t="shared" si="19"/>
        <v>0</v>
      </c>
      <c r="V103" s="140"/>
      <c r="W103" s="138"/>
      <c r="X103" s="32"/>
      <c r="Z103" s="5"/>
    </row>
    <row r="104" spans="1:40" x14ac:dyDescent="0.25">
      <c r="A104" s="143">
        <v>19</v>
      </c>
      <c r="B104" s="92">
        <v>45211</v>
      </c>
      <c r="C104" s="31"/>
      <c r="D104" s="32"/>
      <c r="E104" s="32"/>
      <c r="F104" s="32"/>
      <c r="G104" s="39"/>
      <c r="H104" s="39"/>
      <c r="I104" s="42"/>
      <c r="J104" s="43">
        <v>14</v>
      </c>
      <c r="K104" s="21">
        <f t="shared" si="18"/>
        <v>-14</v>
      </c>
      <c r="L104" s="21">
        <f t="shared" si="15"/>
        <v>14</v>
      </c>
      <c r="M104" s="21">
        <f t="shared" si="16"/>
        <v>-14</v>
      </c>
      <c r="N104" s="21"/>
      <c r="O104" s="21"/>
      <c r="P104" s="5"/>
      <c r="Q104" s="32"/>
      <c r="R104" s="32"/>
      <c r="S104" s="21">
        <f t="shared" si="17"/>
        <v>0</v>
      </c>
      <c r="T104" s="32"/>
      <c r="U104" s="78">
        <f t="shared" si="19"/>
        <v>0</v>
      </c>
      <c r="V104" s="140"/>
      <c r="W104" s="138"/>
      <c r="X104" s="32"/>
      <c r="Z104" s="5"/>
      <c r="AC104">
        <v>16</v>
      </c>
    </row>
    <row r="105" spans="1:40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>
        <f t="shared" si="15"/>
        <v>0</v>
      </c>
      <c r="M105" s="5">
        <f t="shared" si="16"/>
        <v>0</v>
      </c>
      <c r="N105" s="5"/>
      <c r="O105" s="5"/>
      <c r="P105" s="5"/>
      <c r="Q105" s="5"/>
      <c r="R105" s="5"/>
      <c r="S105" s="5"/>
      <c r="T105" s="5"/>
      <c r="U105" s="5"/>
      <c r="V105" s="141"/>
      <c r="W105" s="5"/>
      <c r="X105" s="5"/>
      <c r="Y105" s="5"/>
      <c r="Z105" s="5"/>
    </row>
    <row r="112" spans="1:40" x14ac:dyDescent="0.25">
      <c r="A112" s="1" t="s">
        <v>0</v>
      </c>
      <c r="B112" s="1"/>
      <c r="C112" s="1"/>
      <c r="D112" s="1"/>
      <c r="E112" s="1"/>
      <c r="F112" s="1"/>
      <c r="G112" s="1"/>
      <c r="H112" s="1"/>
      <c r="I112" s="1" t="s">
        <v>148</v>
      </c>
      <c r="J112" s="1"/>
      <c r="K112" s="1"/>
      <c r="L112" s="1"/>
      <c r="M112" s="1"/>
      <c r="N112" s="1"/>
      <c r="O112" s="1"/>
      <c r="P112" s="1"/>
      <c r="Q112" s="1"/>
      <c r="R112" s="1"/>
      <c r="S112" s="342" t="s">
        <v>1</v>
      </c>
      <c r="T112" s="342"/>
      <c r="U112" s="5"/>
      <c r="V112" s="139"/>
      <c r="W112" s="1"/>
      <c r="X112" s="1"/>
      <c r="Y112" s="1"/>
      <c r="Z112" s="5"/>
      <c r="AC112" s="335" t="s">
        <v>160</v>
      </c>
      <c r="AD112" s="336"/>
      <c r="AG112" s="335" t="s">
        <v>170</v>
      </c>
      <c r="AH112" s="336"/>
      <c r="AJ112" s="337" t="s">
        <v>172</v>
      </c>
      <c r="AK112" s="337"/>
      <c r="AM112" s="337" t="s">
        <v>681</v>
      </c>
      <c r="AN112" s="337"/>
    </row>
    <row r="113" spans="1:40" ht="90" x14ac:dyDescent="0.25">
      <c r="A113" s="6" t="s">
        <v>2</v>
      </c>
      <c r="B113" s="7" t="s">
        <v>3</v>
      </c>
      <c r="C113" s="7" t="s">
        <v>4</v>
      </c>
      <c r="D113" s="6" t="s">
        <v>5</v>
      </c>
      <c r="E113" s="6" t="s">
        <v>6</v>
      </c>
      <c r="F113" s="6" t="s">
        <v>7</v>
      </c>
      <c r="G113" s="6" t="s">
        <v>8</v>
      </c>
      <c r="H113" s="8" t="s">
        <v>9</v>
      </c>
      <c r="I113" s="9" t="s">
        <v>10</v>
      </c>
      <c r="J113" s="8" t="s">
        <v>11</v>
      </c>
      <c r="K113" s="10" t="s">
        <v>12</v>
      </c>
      <c r="L113" s="10" t="s">
        <v>13</v>
      </c>
      <c r="M113" s="11" t="s">
        <v>14</v>
      </c>
      <c r="N113" s="10" t="s">
        <v>691</v>
      </c>
      <c r="O113" s="10" t="s">
        <v>28</v>
      </c>
      <c r="P113" s="5"/>
      <c r="Q113" s="10" t="s">
        <v>16</v>
      </c>
      <c r="R113" s="10" t="s">
        <v>17</v>
      </c>
      <c r="S113" s="10" t="s">
        <v>18</v>
      </c>
      <c r="T113" s="10" t="s">
        <v>19</v>
      </c>
      <c r="U113" s="10" t="s">
        <v>20</v>
      </c>
      <c r="V113" s="13"/>
      <c r="W113" s="136" t="s">
        <v>688</v>
      </c>
      <c r="X113" s="14" t="s">
        <v>22</v>
      </c>
      <c r="Y113" s="15" t="s">
        <v>23</v>
      </c>
      <c r="Z113" s="5"/>
      <c r="AC113" s="16" t="s">
        <v>161</v>
      </c>
      <c r="AD113" s="58">
        <f>+AB113*10</f>
        <v>0</v>
      </c>
      <c r="AF113">
        <v>9</v>
      </c>
      <c r="AG113" s="16" t="s">
        <v>161</v>
      </c>
      <c r="AH113" s="58">
        <f>+AF113*10</f>
        <v>90</v>
      </c>
      <c r="AJ113" s="61" t="s">
        <v>173</v>
      </c>
      <c r="AK113" s="62" t="s">
        <v>174</v>
      </c>
      <c r="AM113" s="16" t="s">
        <v>161</v>
      </c>
      <c r="AN113" s="58">
        <f>+AL113*10</f>
        <v>0</v>
      </c>
    </row>
    <row r="114" spans="1:40" x14ac:dyDescent="0.25">
      <c r="A114" s="16">
        <v>1</v>
      </c>
      <c r="B114" s="92">
        <v>45212</v>
      </c>
      <c r="C114" s="31" t="s">
        <v>30</v>
      </c>
      <c r="D114" s="32">
        <v>5582750520</v>
      </c>
      <c r="E114" s="32" t="s">
        <v>408</v>
      </c>
      <c r="F114" s="39" t="s">
        <v>1613</v>
      </c>
      <c r="G114" s="39" t="s">
        <v>1670</v>
      </c>
      <c r="H114" s="122">
        <v>200</v>
      </c>
      <c r="I114" s="32">
        <v>48</v>
      </c>
      <c r="J114" s="20">
        <v>10</v>
      </c>
      <c r="K114" s="21" t="s">
        <v>1672</v>
      </c>
      <c r="L114" s="21">
        <f t="shared" ref="L114:L132" si="20">+I114+J114</f>
        <v>58</v>
      </c>
      <c r="M114" s="21">
        <f t="shared" ref="M114:M132" si="21">+H114-L114</f>
        <v>142</v>
      </c>
      <c r="N114" s="21"/>
      <c r="O114" s="21"/>
      <c r="P114" s="5"/>
      <c r="Q114" s="21">
        <v>200</v>
      </c>
      <c r="R114" s="16"/>
      <c r="S114" s="21">
        <f t="shared" ref="S114:S132" si="22">+Q114+R114</f>
        <v>200</v>
      </c>
      <c r="T114" s="21">
        <v>210</v>
      </c>
      <c r="U114" s="78">
        <f>T114-S114-O114</f>
        <v>10</v>
      </c>
      <c r="V114" s="13"/>
      <c r="W114" s="147"/>
      <c r="X114" s="23"/>
      <c r="Y114" s="333"/>
      <c r="Z114" s="5"/>
      <c r="AB114">
        <v>47</v>
      </c>
      <c r="AC114" s="59" t="s">
        <v>162</v>
      </c>
      <c r="AD114" s="18">
        <f>+AB114*1</f>
        <v>47</v>
      </c>
      <c r="AF114">
        <v>83</v>
      </c>
      <c r="AG114" s="59" t="s">
        <v>162</v>
      </c>
      <c r="AH114" s="18">
        <f>+AF114*1</f>
        <v>83</v>
      </c>
      <c r="AJ114" s="16"/>
      <c r="AK114" s="16"/>
      <c r="AM114" s="59" t="s">
        <v>162</v>
      </c>
      <c r="AN114" s="18">
        <f>+AL114*1</f>
        <v>0</v>
      </c>
    </row>
    <row r="115" spans="1:40" x14ac:dyDescent="0.25">
      <c r="A115" s="26">
        <v>2</v>
      </c>
      <c r="B115" s="92">
        <v>45212</v>
      </c>
      <c r="C115" s="31" t="s">
        <v>1402</v>
      </c>
      <c r="D115" s="32">
        <v>5535831305</v>
      </c>
      <c r="E115" s="32" t="s">
        <v>76</v>
      </c>
      <c r="F115" s="32" t="s">
        <v>1613</v>
      </c>
      <c r="G115" s="39" t="s">
        <v>1671</v>
      </c>
      <c r="H115" s="122">
        <v>100</v>
      </c>
      <c r="I115" s="32">
        <v>90</v>
      </c>
      <c r="J115" s="20">
        <v>10</v>
      </c>
      <c r="K115" s="21">
        <v>10</v>
      </c>
      <c r="L115" s="21">
        <f t="shared" si="20"/>
        <v>100</v>
      </c>
      <c r="M115" s="21">
        <f t="shared" si="21"/>
        <v>0</v>
      </c>
      <c r="N115" s="21"/>
      <c r="O115" s="21"/>
      <c r="P115" s="5"/>
      <c r="Q115" s="21"/>
      <c r="R115" s="16"/>
      <c r="S115" s="21">
        <f t="shared" si="22"/>
        <v>0</v>
      </c>
      <c r="T115" s="21">
        <v>10</v>
      </c>
      <c r="U115" s="78">
        <f t="shared" ref="U115:U132" si="23">T115-S115-O115</f>
        <v>10</v>
      </c>
      <c r="V115" s="140"/>
      <c r="W115" s="147"/>
      <c r="X115" s="23"/>
      <c r="Y115" s="334"/>
      <c r="Z115" s="5"/>
      <c r="AB115">
        <v>5</v>
      </c>
      <c r="AC115" s="16" t="s">
        <v>163</v>
      </c>
      <c r="AD115" s="60">
        <f>+AB115*5</f>
        <v>25</v>
      </c>
      <c r="AF115">
        <v>23</v>
      </c>
      <c r="AG115" s="16" t="s">
        <v>163</v>
      </c>
      <c r="AH115" s="60">
        <f>+AF115*5</f>
        <v>115</v>
      </c>
      <c r="AJ115" s="16"/>
      <c r="AK115" s="16"/>
      <c r="AM115" s="16" t="s">
        <v>163</v>
      </c>
      <c r="AN115" s="60">
        <f>+AL115*5</f>
        <v>0</v>
      </c>
    </row>
    <row r="116" spans="1:40" x14ac:dyDescent="0.25">
      <c r="A116" s="143">
        <v>3</v>
      </c>
      <c r="B116" s="142">
        <v>45212</v>
      </c>
      <c r="C116" s="31" t="s">
        <v>1673</v>
      </c>
      <c r="D116" s="32">
        <v>5549473476</v>
      </c>
      <c r="E116" s="32" t="s">
        <v>106</v>
      </c>
      <c r="F116" s="32" t="s">
        <v>1674</v>
      </c>
      <c r="G116" s="39" t="s">
        <v>1675</v>
      </c>
      <c r="H116" s="122">
        <v>114</v>
      </c>
      <c r="I116" s="32">
        <v>97</v>
      </c>
      <c r="J116" s="20">
        <v>14</v>
      </c>
      <c r="K116" s="21">
        <f t="shared" ref="K116:K132" si="24">U116-J116-O116</f>
        <v>0</v>
      </c>
      <c r="L116" s="21">
        <f t="shared" si="20"/>
        <v>111</v>
      </c>
      <c r="M116" s="21">
        <f t="shared" si="21"/>
        <v>3</v>
      </c>
      <c r="N116" s="21"/>
      <c r="O116" s="21"/>
      <c r="P116" s="5"/>
      <c r="Q116" s="21">
        <v>100</v>
      </c>
      <c r="R116" s="16"/>
      <c r="S116" s="21">
        <f t="shared" si="22"/>
        <v>100</v>
      </c>
      <c r="T116" s="21">
        <v>114</v>
      </c>
      <c r="U116" s="78">
        <f t="shared" si="23"/>
        <v>14</v>
      </c>
      <c r="V116" s="140"/>
      <c r="W116" s="147"/>
      <c r="X116" s="23"/>
      <c r="Y116" s="334"/>
      <c r="Z116" s="5"/>
      <c r="AB116">
        <v>1</v>
      </c>
      <c r="AC116" s="16" t="s">
        <v>164</v>
      </c>
      <c r="AD116" s="18">
        <f>+AB116*200</f>
        <v>200</v>
      </c>
      <c r="AG116" s="16" t="s">
        <v>164</v>
      </c>
      <c r="AH116" s="18">
        <f>+AF116*200</f>
        <v>0</v>
      </c>
      <c r="AJ116" s="16"/>
      <c r="AK116" s="16"/>
      <c r="AM116" s="16" t="s">
        <v>164</v>
      </c>
      <c r="AN116" s="18">
        <f>+AL116*200</f>
        <v>0</v>
      </c>
    </row>
    <row r="117" spans="1:40" x14ac:dyDescent="0.25">
      <c r="A117" s="143">
        <v>4</v>
      </c>
      <c r="B117" s="92">
        <v>45212</v>
      </c>
      <c r="C117" s="31" t="s">
        <v>1119</v>
      </c>
      <c r="D117" s="32">
        <v>5615589545</v>
      </c>
      <c r="E117" s="32" t="s">
        <v>980</v>
      </c>
      <c r="F117" s="32" t="s">
        <v>1480</v>
      </c>
      <c r="G117" s="39" t="s">
        <v>1676</v>
      </c>
      <c r="H117" s="122">
        <v>200</v>
      </c>
      <c r="I117" s="32">
        <v>52</v>
      </c>
      <c r="J117" s="20">
        <v>10</v>
      </c>
      <c r="K117" s="21">
        <f t="shared" si="24"/>
        <v>0</v>
      </c>
      <c r="L117" s="21">
        <f t="shared" si="20"/>
        <v>62</v>
      </c>
      <c r="M117" s="21">
        <f t="shared" si="21"/>
        <v>138</v>
      </c>
      <c r="N117" s="21"/>
      <c r="O117" s="21"/>
      <c r="P117" s="5"/>
      <c r="Q117" s="21">
        <v>200</v>
      </c>
      <c r="R117" s="16"/>
      <c r="S117" s="21">
        <f t="shared" si="22"/>
        <v>200</v>
      </c>
      <c r="T117" s="21">
        <v>210</v>
      </c>
      <c r="U117" s="78">
        <f t="shared" si="23"/>
        <v>10</v>
      </c>
      <c r="V117" s="140"/>
      <c r="W117" s="147"/>
      <c r="X117" s="23"/>
      <c r="Y117" s="334"/>
      <c r="Z117" s="5"/>
      <c r="AB117">
        <v>1</v>
      </c>
      <c r="AC117" s="16" t="s">
        <v>165</v>
      </c>
      <c r="AD117" s="18">
        <f>+AB117*100</f>
        <v>100</v>
      </c>
      <c r="AF117">
        <v>2</v>
      </c>
      <c r="AG117" s="16" t="s">
        <v>165</v>
      </c>
      <c r="AH117" s="18">
        <f>+AF117*100</f>
        <v>200</v>
      </c>
      <c r="AJ117" s="16"/>
      <c r="AK117" s="16"/>
      <c r="AM117" s="16" t="s">
        <v>165</v>
      </c>
      <c r="AN117" s="18">
        <f>+AL117*100</f>
        <v>0</v>
      </c>
    </row>
    <row r="118" spans="1:40" x14ac:dyDescent="0.25">
      <c r="A118" s="143">
        <v>5</v>
      </c>
      <c r="B118" s="92">
        <v>45212</v>
      </c>
      <c r="C118" s="31" t="s">
        <v>913</v>
      </c>
      <c r="D118" s="32">
        <v>5530508709</v>
      </c>
      <c r="E118" s="32" t="s">
        <v>106</v>
      </c>
      <c r="F118" s="32" t="s">
        <v>1677</v>
      </c>
      <c r="G118" s="32"/>
      <c r="H118" s="122">
        <v>100</v>
      </c>
      <c r="I118" s="32">
        <v>96</v>
      </c>
      <c r="J118" s="20">
        <v>14</v>
      </c>
      <c r="K118" s="21">
        <f t="shared" si="24"/>
        <v>5</v>
      </c>
      <c r="L118" s="21">
        <f t="shared" si="20"/>
        <v>110</v>
      </c>
      <c r="M118" s="21">
        <f t="shared" si="21"/>
        <v>-10</v>
      </c>
      <c r="N118" s="21"/>
      <c r="O118" s="21"/>
      <c r="P118" s="5"/>
      <c r="Q118" s="16">
        <v>150</v>
      </c>
      <c r="R118" s="16"/>
      <c r="S118" s="21">
        <f t="shared" si="22"/>
        <v>150</v>
      </c>
      <c r="T118" s="21">
        <v>169</v>
      </c>
      <c r="U118" s="78">
        <f t="shared" si="23"/>
        <v>19</v>
      </c>
      <c r="V118" s="140"/>
      <c r="W118" s="147"/>
      <c r="X118" s="23"/>
      <c r="Y118" s="334"/>
      <c r="Z118" s="5"/>
      <c r="AC118" s="16" t="s">
        <v>166</v>
      </c>
      <c r="AD118" s="18">
        <f>+AB118*50</f>
        <v>0</v>
      </c>
      <c r="AF118">
        <v>5</v>
      </c>
      <c r="AG118" s="16" t="s">
        <v>166</v>
      </c>
      <c r="AH118" s="18">
        <f>+AF118*50</f>
        <v>250</v>
      </c>
      <c r="AJ118" s="16"/>
      <c r="AK118" s="16"/>
      <c r="AM118" s="16" t="s">
        <v>166</v>
      </c>
      <c r="AN118" s="18">
        <f>+AL118*50</f>
        <v>0</v>
      </c>
    </row>
    <row r="119" spans="1:40" x14ac:dyDescent="0.25">
      <c r="A119" s="143">
        <v>6</v>
      </c>
      <c r="B119" s="142">
        <v>45212</v>
      </c>
      <c r="C119" s="31" t="s">
        <v>30</v>
      </c>
      <c r="D119" s="32">
        <v>5582750520</v>
      </c>
      <c r="E119" s="32" t="s">
        <v>408</v>
      </c>
      <c r="F119" s="39" t="s">
        <v>1613</v>
      </c>
      <c r="G119" s="39" t="s">
        <v>1678</v>
      </c>
      <c r="H119" s="39"/>
      <c r="I119" s="42">
        <v>83</v>
      </c>
      <c r="J119" s="20">
        <v>10</v>
      </c>
      <c r="K119" s="21">
        <v>10</v>
      </c>
      <c r="L119" s="21">
        <f t="shared" si="20"/>
        <v>93</v>
      </c>
      <c r="M119" s="21">
        <f t="shared" si="21"/>
        <v>-93</v>
      </c>
      <c r="N119" s="21"/>
      <c r="O119" s="21"/>
      <c r="P119" s="5"/>
      <c r="Q119" s="16">
        <v>100</v>
      </c>
      <c r="R119" s="16"/>
      <c r="S119" s="21">
        <f t="shared" si="22"/>
        <v>100</v>
      </c>
      <c r="T119" s="16">
        <v>110</v>
      </c>
      <c r="U119" s="78">
        <f t="shared" si="23"/>
        <v>10</v>
      </c>
      <c r="V119" s="140"/>
      <c r="W119" s="147"/>
      <c r="X119" s="23"/>
      <c r="Y119" s="334"/>
      <c r="Z119" s="5"/>
      <c r="AC119" s="16" t="s">
        <v>167</v>
      </c>
      <c r="AD119" s="18">
        <f>+AB119*20</f>
        <v>0</v>
      </c>
      <c r="AF119">
        <v>1</v>
      </c>
      <c r="AG119" s="16" t="s">
        <v>167</v>
      </c>
      <c r="AH119" s="18">
        <f>+AF119*20</f>
        <v>20</v>
      </c>
      <c r="AJ119" s="16"/>
      <c r="AK119" s="16"/>
      <c r="AM119" s="16" t="s">
        <v>167</v>
      </c>
      <c r="AN119" s="18">
        <f>+AL119*20</f>
        <v>0</v>
      </c>
    </row>
    <row r="120" spans="1:40" x14ac:dyDescent="0.25">
      <c r="A120" s="143">
        <v>7</v>
      </c>
      <c r="B120" s="92">
        <v>45212</v>
      </c>
      <c r="C120" s="31" t="s">
        <v>255</v>
      </c>
      <c r="D120" s="32"/>
      <c r="E120" s="32"/>
      <c r="F120" s="32"/>
      <c r="G120" s="39" t="s">
        <v>1679</v>
      </c>
      <c r="H120" s="122">
        <v>500</v>
      </c>
      <c r="I120" s="42"/>
      <c r="J120" s="20">
        <v>10</v>
      </c>
      <c r="K120" s="21">
        <v>20</v>
      </c>
      <c r="L120" s="21">
        <f t="shared" si="20"/>
        <v>10</v>
      </c>
      <c r="M120" s="21">
        <f t="shared" si="21"/>
        <v>490</v>
      </c>
      <c r="N120" s="21"/>
      <c r="O120" s="21">
        <v>129</v>
      </c>
      <c r="P120" s="5"/>
      <c r="Q120" s="16">
        <v>400</v>
      </c>
      <c r="R120" s="16"/>
      <c r="S120" s="21">
        <f t="shared" si="22"/>
        <v>400</v>
      </c>
      <c r="T120" s="16">
        <v>546</v>
      </c>
      <c r="U120" s="78">
        <f t="shared" si="23"/>
        <v>17</v>
      </c>
      <c r="V120" s="140"/>
      <c r="W120" s="147"/>
      <c r="X120" s="23"/>
      <c r="Y120" s="334"/>
      <c r="Z120" s="5"/>
      <c r="AB120">
        <v>1</v>
      </c>
      <c r="AC120" s="16" t="s">
        <v>171</v>
      </c>
      <c r="AD120" s="18">
        <f>+AB120*500</f>
        <v>500</v>
      </c>
      <c r="AG120" s="16" t="s">
        <v>171</v>
      </c>
      <c r="AH120" s="18">
        <f>+AF120*500</f>
        <v>0</v>
      </c>
      <c r="AJ120" s="16"/>
      <c r="AK120" s="16"/>
      <c r="AM120" s="16" t="s">
        <v>171</v>
      </c>
      <c r="AN120" s="18">
        <f>+AL120*500</f>
        <v>0</v>
      </c>
    </row>
    <row r="121" spans="1:40" x14ac:dyDescent="0.25">
      <c r="A121" s="143">
        <v>8</v>
      </c>
      <c r="B121" s="92">
        <v>45212</v>
      </c>
      <c r="C121" s="31" t="s">
        <v>1212</v>
      </c>
      <c r="D121" s="123"/>
      <c r="E121" s="123" t="s">
        <v>106</v>
      </c>
      <c r="F121" s="123" t="s">
        <v>1053</v>
      </c>
      <c r="G121" s="39" t="s">
        <v>1680</v>
      </c>
      <c r="H121" s="122">
        <v>500</v>
      </c>
      <c r="I121" s="32">
        <v>397</v>
      </c>
      <c r="J121" s="20">
        <v>10</v>
      </c>
      <c r="K121" s="21">
        <v>20</v>
      </c>
      <c r="L121" s="21">
        <f t="shared" si="20"/>
        <v>407</v>
      </c>
      <c r="M121" s="21">
        <f t="shared" si="21"/>
        <v>93</v>
      </c>
      <c r="N121" s="21"/>
      <c r="O121" s="21"/>
      <c r="P121" s="5"/>
      <c r="Q121" s="16">
        <v>500</v>
      </c>
      <c r="R121" s="16"/>
      <c r="S121" s="21">
        <f t="shared" si="22"/>
        <v>500</v>
      </c>
      <c r="T121" s="16">
        <v>811</v>
      </c>
      <c r="U121" s="78">
        <f t="shared" si="23"/>
        <v>311</v>
      </c>
      <c r="V121" s="140"/>
      <c r="W121" s="147"/>
      <c r="X121" s="23"/>
      <c r="Y121" s="334"/>
      <c r="Z121" s="5"/>
      <c r="AC121" s="16" t="s">
        <v>168</v>
      </c>
      <c r="AD121" s="18">
        <f>+AB121*1000</f>
        <v>0</v>
      </c>
      <c r="AG121" s="16" t="s">
        <v>168</v>
      </c>
      <c r="AH121" s="18">
        <f>+AF121*1000</f>
        <v>0</v>
      </c>
      <c r="AJ121" s="16"/>
      <c r="AK121" s="16"/>
      <c r="AM121" s="16" t="s">
        <v>168</v>
      </c>
      <c r="AN121" s="18">
        <f>+AL121*1000</f>
        <v>0</v>
      </c>
    </row>
    <row r="122" spans="1:40" x14ac:dyDescent="0.25">
      <c r="A122" s="143">
        <v>9</v>
      </c>
      <c r="B122" s="142">
        <v>45212</v>
      </c>
      <c r="C122" s="31" t="s">
        <v>1681</v>
      </c>
      <c r="D122" s="32">
        <v>5613895664</v>
      </c>
      <c r="E122" s="32" t="s">
        <v>106</v>
      </c>
      <c r="F122" s="32" t="s">
        <v>1241</v>
      </c>
      <c r="G122" s="39"/>
      <c r="H122" s="39">
        <v>500</v>
      </c>
      <c r="I122" s="40">
        <v>176</v>
      </c>
      <c r="J122" s="20">
        <v>14</v>
      </c>
      <c r="K122" s="21">
        <v>15</v>
      </c>
      <c r="L122" s="21">
        <f t="shared" si="20"/>
        <v>190</v>
      </c>
      <c r="M122" s="21">
        <f t="shared" si="21"/>
        <v>310</v>
      </c>
      <c r="N122" s="21"/>
      <c r="O122" s="21"/>
      <c r="P122" s="5"/>
      <c r="Q122" s="16">
        <v>500</v>
      </c>
      <c r="R122" s="16"/>
      <c r="S122" s="21">
        <f t="shared" si="22"/>
        <v>500</v>
      </c>
      <c r="T122" s="16">
        <v>514</v>
      </c>
      <c r="U122" s="78">
        <f t="shared" si="23"/>
        <v>14</v>
      </c>
      <c r="V122" s="140"/>
      <c r="W122" s="147"/>
      <c r="X122" s="23"/>
      <c r="Y122" s="334"/>
      <c r="Z122" s="5"/>
      <c r="AC122" s="26"/>
      <c r="AD122" s="58"/>
      <c r="AG122" s="26"/>
      <c r="AH122" s="58"/>
      <c r="AJ122" s="16"/>
      <c r="AK122" s="16"/>
      <c r="AM122" s="26"/>
      <c r="AN122" s="58"/>
    </row>
    <row r="123" spans="1:40" x14ac:dyDescent="0.25">
      <c r="A123" s="143">
        <v>10</v>
      </c>
      <c r="B123" s="92">
        <v>45212</v>
      </c>
      <c r="C123" s="31" t="s">
        <v>30</v>
      </c>
      <c r="D123" s="32"/>
      <c r="E123" s="32" t="s">
        <v>106</v>
      </c>
      <c r="F123" s="32" t="s">
        <v>760</v>
      </c>
      <c r="G123" s="39" t="s">
        <v>1682</v>
      </c>
      <c r="H123" s="122">
        <v>200</v>
      </c>
      <c r="I123" s="42">
        <v>78</v>
      </c>
      <c r="J123" s="20">
        <v>10</v>
      </c>
      <c r="K123" s="21">
        <v>12</v>
      </c>
      <c r="L123" s="21">
        <f t="shared" si="20"/>
        <v>88</v>
      </c>
      <c r="M123" s="21">
        <f t="shared" si="21"/>
        <v>112</v>
      </c>
      <c r="N123" s="21"/>
      <c r="O123" s="21"/>
      <c r="P123" s="5"/>
      <c r="Q123" s="16">
        <v>200</v>
      </c>
      <c r="R123" s="16"/>
      <c r="S123" s="21">
        <f t="shared" si="22"/>
        <v>200</v>
      </c>
      <c r="T123" s="16">
        <v>278</v>
      </c>
      <c r="U123" s="78">
        <v>22</v>
      </c>
      <c r="V123" s="140"/>
      <c r="W123" s="147"/>
      <c r="X123" s="23"/>
      <c r="Y123" s="334"/>
      <c r="Z123" s="5"/>
      <c r="AC123" s="16" t="s">
        <v>169</v>
      </c>
      <c r="AD123" s="18">
        <f>SUM(AD113:AD122)</f>
        <v>872</v>
      </c>
      <c r="AG123" s="16" t="s">
        <v>169</v>
      </c>
      <c r="AH123" s="18">
        <f>SUM(AH113:AH122)</f>
        <v>758</v>
      </c>
      <c r="AJ123" s="16"/>
      <c r="AK123" s="16"/>
      <c r="AM123" s="16" t="s">
        <v>169</v>
      </c>
      <c r="AN123" s="18"/>
    </row>
    <row r="124" spans="1:40" x14ac:dyDescent="0.25">
      <c r="A124" s="143">
        <v>11</v>
      </c>
      <c r="B124" s="92">
        <v>45212</v>
      </c>
      <c r="C124" s="31" t="s">
        <v>38</v>
      </c>
      <c r="D124" s="124"/>
      <c r="E124" s="123" t="s">
        <v>1685</v>
      </c>
      <c r="F124" s="123" t="s">
        <v>631</v>
      </c>
      <c r="G124" s="39" t="s">
        <v>1686</v>
      </c>
      <c r="H124" s="122">
        <v>200</v>
      </c>
      <c r="I124" s="42">
        <v>59</v>
      </c>
      <c r="J124" s="20">
        <v>10</v>
      </c>
      <c r="K124" s="21">
        <v>13</v>
      </c>
      <c r="L124" s="21">
        <f t="shared" si="20"/>
        <v>69</v>
      </c>
      <c r="M124" s="21">
        <f t="shared" si="21"/>
        <v>131</v>
      </c>
      <c r="N124" s="21"/>
      <c r="O124" s="21"/>
      <c r="P124" s="5"/>
      <c r="Q124" s="16"/>
      <c r="R124" s="16"/>
      <c r="S124" s="21">
        <f t="shared" si="22"/>
        <v>0</v>
      </c>
      <c r="T124" s="16"/>
      <c r="U124" s="78">
        <f t="shared" si="23"/>
        <v>0</v>
      </c>
      <c r="V124" s="140"/>
      <c r="W124" s="147"/>
      <c r="X124" s="23"/>
      <c r="Y124" s="334"/>
      <c r="Z124" s="5"/>
      <c r="AD124">
        <v>459.5</v>
      </c>
      <c r="AJ124" s="16"/>
      <c r="AK124" s="16"/>
      <c r="AM124" s="16"/>
      <c r="AN124" s="16"/>
    </row>
    <row r="125" spans="1:40" x14ac:dyDescent="0.25">
      <c r="A125" s="143">
        <v>12</v>
      </c>
      <c r="B125" s="142">
        <v>45212</v>
      </c>
      <c r="C125" s="32" t="s">
        <v>1518</v>
      </c>
      <c r="D125" s="32"/>
      <c r="E125" s="124" t="s">
        <v>41</v>
      </c>
      <c r="F125" s="123" t="s">
        <v>220</v>
      </c>
      <c r="G125" s="39"/>
      <c r="H125" s="39">
        <v>500</v>
      </c>
      <c r="I125" s="42">
        <v>278</v>
      </c>
      <c r="J125" s="20">
        <v>14</v>
      </c>
      <c r="K125" s="21">
        <v>20</v>
      </c>
      <c r="L125" s="21">
        <f t="shared" si="20"/>
        <v>292</v>
      </c>
      <c r="M125" s="21">
        <f t="shared" si="21"/>
        <v>208</v>
      </c>
      <c r="N125" s="21"/>
      <c r="O125" s="21"/>
      <c r="P125" s="5"/>
      <c r="Q125" s="45"/>
      <c r="R125" s="44"/>
      <c r="S125" s="21">
        <f t="shared" si="22"/>
        <v>0</v>
      </c>
      <c r="T125" s="45"/>
      <c r="U125" s="78">
        <f t="shared" si="23"/>
        <v>0</v>
      </c>
      <c r="V125" s="140"/>
      <c r="W125" s="147"/>
      <c r="X125" s="23"/>
      <c r="Y125" s="334"/>
      <c r="Z125" s="5"/>
      <c r="AJ125" s="63" t="s">
        <v>169</v>
      </c>
      <c r="AK125" s="63">
        <f>+SUM(AJ114:AJ124)-SUM(AK114:AK124)</f>
        <v>0</v>
      </c>
      <c r="AM125" s="63" t="s">
        <v>169</v>
      </c>
      <c r="AN125" s="85">
        <f>+SUM(AM113:AM124)-SUM(AN114:AN124)</f>
        <v>0</v>
      </c>
    </row>
    <row r="126" spans="1:40" x14ac:dyDescent="0.25">
      <c r="A126" s="143">
        <v>13</v>
      </c>
      <c r="B126" s="92">
        <v>45212</v>
      </c>
      <c r="C126" s="31" t="s">
        <v>319</v>
      </c>
      <c r="D126" s="32"/>
      <c r="E126" s="32" t="s">
        <v>106</v>
      </c>
      <c r="F126" s="32" t="s">
        <v>1684</v>
      </c>
      <c r="G126" s="39" t="s">
        <v>1683</v>
      </c>
      <c r="H126" s="39">
        <v>200</v>
      </c>
      <c r="I126" s="42">
        <v>76</v>
      </c>
      <c r="J126" s="108">
        <v>10</v>
      </c>
      <c r="K126" s="21">
        <v>10</v>
      </c>
      <c r="L126" s="21">
        <f t="shared" si="20"/>
        <v>86</v>
      </c>
      <c r="M126" s="21">
        <f t="shared" si="21"/>
        <v>114</v>
      </c>
      <c r="N126" s="21"/>
      <c r="O126" s="21"/>
      <c r="P126" s="5"/>
      <c r="Q126" s="43"/>
      <c r="R126" s="32"/>
      <c r="S126" s="21">
        <f t="shared" si="22"/>
        <v>0</v>
      </c>
      <c r="T126" s="43"/>
      <c r="U126" s="78">
        <f t="shared" si="23"/>
        <v>0</v>
      </c>
      <c r="V126" s="140"/>
      <c r="W126" s="147"/>
      <c r="X126" s="23"/>
      <c r="Y126" s="334"/>
      <c r="Z126" s="5"/>
      <c r="AH126" s="83"/>
    </row>
    <row r="127" spans="1:40" x14ac:dyDescent="0.25">
      <c r="A127" s="143">
        <v>14</v>
      </c>
      <c r="B127" s="92">
        <v>45212</v>
      </c>
      <c r="C127" s="31" t="s">
        <v>1691</v>
      </c>
      <c r="D127" s="32"/>
      <c r="E127" s="32"/>
      <c r="F127" s="32" t="s">
        <v>58</v>
      </c>
      <c r="G127" s="39" t="s">
        <v>1687</v>
      </c>
      <c r="H127" s="39">
        <v>200</v>
      </c>
      <c r="I127" s="42"/>
      <c r="J127" s="108">
        <v>14</v>
      </c>
      <c r="K127" s="21">
        <f t="shared" si="24"/>
        <v>-14</v>
      </c>
      <c r="L127" s="21">
        <f t="shared" si="20"/>
        <v>14</v>
      </c>
      <c r="M127" s="21">
        <f t="shared" si="21"/>
        <v>186</v>
      </c>
      <c r="N127" s="21"/>
      <c r="O127" s="21"/>
      <c r="P127" s="5"/>
      <c r="Q127" s="43"/>
      <c r="R127" s="43"/>
      <c r="S127" s="21">
        <f t="shared" si="22"/>
        <v>0</v>
      </c>
      <c r="T127" s="43"/>
      <c r="U127" s="78">
        <f t="shared" si="23"/>
        <v>0</v>
      </c>
      <c r="V127" s="140"/>
      <c r="W127" s="147"/>
      <c r="X127" s="23"/>
      <c r="Y127" s="334"/>
      <c r="Z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40" x14ac:dyDescent="0.25">
      <c r="A128" s="143">
        <v>15</v>
      </c>
      <c r="B128" s="142">
        <v>45212</v>
      </c>
      <c r="C128" s="127" t="s">
        <v>1690</v>
      </c>
      <c r="D128" s="32"/>
      <c r="E128" s="32"/>
      <c r="F128" s="128" t="s">
        <v>1689</v>
      </c>
      <c r="G128" s="129" t="s">
        <v>1688</v>
      </c>
      <c r="H128" s="39">
        <v>300</v>
      </c>
      <c r="I128" s="42">
        <v>277</v>
      </c>
      <c r="J128" s="108">
        <v>14</v>
      </c>
      <c r="K128" s="21">
        <f t="shared" si="24"/>
        <v>-14</v>
      </c>
      <c r="L128" s="21">
        <f t="shared" si="20"/>
        <v>291</v>
      </c>
      <c r="M128" s="21">
        <f t="shared" si="21"/>
        <v>9</v>
      </c>
      <c r="N128" s="21"/>
      <c r="O128" s="21"/>
      <c r="P128" s="5"/>
      <c r="Q128" s="43"/>
      <c r="R128" s="43"/>
      <c r="S128" s="21">
        <f t="shared" si="22"/>
        <v>0</v>
      </c>
      <c r="T128" s="43"/>
      <c r="U128" s="78">
        <f t="shared" si="23"/>
        <v>0</v>
      </c>
      <c r="V128" s="140"/>
      <c r="W128" s="147"/>
      <c r="X128" s="23"/>
      <c r="Y128" s="334"/>
      <c r="Z128" s="5"/>
      <c r="AC128" s="5"/>
      <c r="AD128" s="134" t="s">
        <v>20</v>
      </c>
      <c r="AE128" s="338"/>
      <c r="AF128" s="341" t="s">
        <v>686</v>
      </c>
      <c r="AG128" s="134" t="s">
        <v>20</v>
      </c>
      <c r="AH128" s="338">
        <v>91</v>
      </c>
      <c r="AI128" s="341" t="s">
        <v>687</v>
      </c>
      <c r="AJ128" s="134" t="s">
        <v>20</v>
      </c>
      <c r="AK128" s="338"/>
      <c r="AL128" s="5"/>
    </row>
    <row r="129" spans="1:40" x14ac:dyDescent="0.25">
      <c r="A129" s="143">
        <v>16</v>
      </c>
      <c r="B129" s="92">
        <v>45212</v>
      </c>
      <c r="C129" s="31" t="s">
        <v>1061</v>
      </c>
      <c r="D129" s="32"/>
      <c r="E129" s="32" t="s">
        <v>999</v>
      </c>
      <c r="F129" s="32" t="s">
        <v>1503</v>
      </c>
      <c r="G129" s="39" t="s">
        <v>1695</v>
      </c>
      <c r="H129" s="39">
        <v>500</v>
      </c>
      <c r="I129" s="42">
        <v>247</v>
      </c>
      <c r="J129" s="43">
        <v>20</v>
      </c>
      <c r="K129" s="21">
        <v>0</v>
      </c>
      <c r="L129" s="21">
        <f t="shared" si="20"/>
        <v>267</v>
      </c>
      <c r="M129" s="21">
        <f t="shared" si="21"/>
        <v>233</v>
      </c>
      <c r="N129" s="21"/>
      <c r="O129" s="21"/>
      <c r="P129" s="5"/>
      <c r="Q129" s="43"/>
      <c r="R129" s="32"/>
      <c r="S129" s="21">
        <f t="shared" si="22"/>
        <v>0</v>
      </c>
      <c r="T129" s="131"/>
      <c r="U129" s="78">
        <f t="shared" si="23"/>
        <v>0</v>
      </c>
      <c r="V129" s="140"/>
      <c r="W129" s="147"/>
      <c r="X129" s="23"/>
      <c r="Y129" s="334"/>
      <c r="Z129" s="5"/>
      <c r="AC129" s="5" t="s">
        <v>685</v>
      </c>
      <c r="AD129" s="115" t="s">
        <v>684</v>
      </c>
      <c r="AE129" s="339"/>
      <c r="AF129" s="341"/>
      <c r="AG129" s="115" t="s">
        <v>684</v>
      </c>
      <c r="AH129" s="339"/>
      <c r="AI129" s="341"/>
      <c r="AJ129" s="115" t="s">
        <v>684</v>
      </c>
      <c r="AK129" s="339"/>
      <c r="AL129" s="5"/>
    </row>
    <row r="130" spans="1:40" x14ac:dyDescent="0.25">
      <c r="A130" s="143">
        <v>17</v>
      </c>
      <c r="B130" s="92">
        <v>45212</v>
      </c>
      <c r="C130" s="31" t="s">
        <v>1692</v>
      </c>
      <c r="D130" s="32"/>
      <c r="E130" s="124" t="s">
        <v>106</v>
      </c>
      <c r="F130" s="32" t="s">
        <v>1693</v>
      </c>
      <c r="G130" s="39" t="s">
        <v>1694</v>
      </c>
      <c r="H130" s="39">
        <v>100</v>
      </c>
      <c r="I130" s="42">
        <v>68</v>
      </c>
      <c r="J130" s="43">
        <v>10</v>
      </c>
      <c r="K130" s="21">
        <f t="shared" si="24"/>
        <v>-10</v>
      </c>
      <c r="L130" s="21">
        <f t="shared" si="20"/>
        <v>78</v>
      </c>
      <c r="M130" s="21">
        <f t="shared" si="21"/>
        <v>22</v>
      </c>
      <c r="N130" s="21"/>
      <c r="O130" s="21"/>
      <c r="P130" s="5"/>
      <c r="Q130" s="43"/>
      <c r="R130" s="32"/>
      <c r="S130" s="21">
        <f t="shared" si="22"/>
        <v>0</v>
      </c>
      <c r="T130" s="132"/>
      <c r="U130" s="78">
        <f t="shared" si="23"/>
        <v>0</v>
      </c>
      <c r="V130" s="140"/>
      <c r="W130" s="147"/>
      <c r="X130" s="23"/>
      <c r="Y130" s="340"/>
      <c r="Z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40" x14ac:dyDescent="0.25">
      <c r="A131" s="143">
        <v>18</v>
      </c>
      <c r="B131" s="142">
        <v>45212</v>
      </c>
      <c r="C131" s="31"/>
      <c r="D131" s="32"/>
      <c r="E131" s="32"/>
      <c r="F131" s="32"/>
      <c r="G131" s="39"/>
      <c r="H131" s="39"/>
      <c r="I131" s="42"/>
      <c r="J131" s="43">
        <v>10</v>
      </c>
      <c r="K131" s="21">
        <f t="shared" si="24"/>
        <v>-10</v>
      </c>
      <c r="L131" s="21">
        <f t="shared" si="20"/>
        <v>10</v>
      </c>
      <c r="M131" s="21">
        <f t="shared" si="21"/>
        <v>-10</v>
      </c>
      <c r="N131" s="21"/>
      <c r="O131" s="21"/>
      <c r="P131" s="5"/>
      <c r="Q131" s="135"/>
      <c r="R131" s="104"/>
      <c r="S131" s="21">
        <f t="shared" si="22"/>
        <v>0</v>
      </c>
      <c r="T131" s="131"/>
      <c r="U131" s="78">
        <f t="shared" si="23"/>
        <v>0</v>
      </c>
      <c r="V131" s="140"/>
      <c r="W131" s="138"/>
      <c r="X131" s="32"/>
      <c r="Z131" s="5"/>
    </row>
    <row r="132" spans="1:40" x14ac:dyDescent="0.25">
      <c r="A132" s="143">
        <v>19</v>
      </c>
      <c r="B132" s="92">
        <v>45212</v>
      </c>
      <c r="C132" s="31"/>
      <c r="D132" s="32"/>
      <c r="E132" s="32"/>
      <c r="F132" s="32"/>
      <c r="G132" s="39"/>
      <c r="H132" s="39"/>
      <c r="I132" s="42"/>
      <c r="J132" s="43">
        <v>10</v>
      </c>
      <c r="K132" s="21">
        <f t="shared" si="24"/>
        <v>-10</v>
      </c>
      <c r="L132" s="21">
        <f t="shared" si="20"/>
        <v>10</v>
      </c>
      <c r="M132" s="21">
        <f t="shared" si="21"/>
        <v>-10</v>
      </c>
      <c r="N132" s="21"/>
      <c r="O132" s="21"/>
      <c r="P132" s="5"/>
      <c r="Q132" s="32"/>
      <c r="R132" s="32"/>
      <c r="S132" s="21">
        <f t="shared" si="22"/>
        <v>0</v>
      </c>
      <c r="T132" s="32"/>
      <c r="U132" s="78">
        <f t="shared" si="23"/>
        <v>0</v>
      </c>
      <c r="V132" s="140"/>
      <c r="W132" s="138"/>
      <c r="X132" s="32"/>
      <c r="Z132" s="5"/>
    </row>
    <row r="133" spans="1:40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141"/>
      <c r="W133" s="5"/>
      <c r="X133" s="5"/>
      <c r="Y133" s="5"/>
      <c r="Z133" s="5"/>
    </row>
    <row r="137" spans="1:40" x14ac:dyDescent="0.25">
      <c r="A137" s="1" t="s">
        <v>0</v>
      </c>
      <c r="B137" s="1"/>
      <c r="C137" s="1"/>
      <c r="D137" s="1"/>
      <c r="E137" s="1"/>
      <c r="F137" s="1"/>
      <c r="G137" s="1"/>
      <c r="H137" s="1"/>
      <c r="I137" s="1" t="s">
        <v>148</v>
      </c>
      <c r="J137" s="1"/>
      <c r="K137" s="1"/>
      <c r="L137" s="1"/>
      <c r="M137" s="1"/>
      <c r="N137" s="1"/>
      <c r="O137" s="1"/>
      <c r="P137" s="1"/>
      <c r="Q137" s="1"/>
      <c r="R137" s="1"/>
      <c r="S137" s="342" t="s">
        <v>1</v>
      </c>
      <c r="T137" s="342"/>
      <c r="U137" s="5"/>
      <c r="V137" s="139"/>
      <c r="W137" s="1"/>
      <c r="X137" s="1"/>
      <c r="Y137" s="1"/>
      <c r="Z137" s="5"/>
      <c r="AC137" s="335" t="s">
        <v>160</v>
      </c>
      <c r="AD137" s="336"/>
      <c r="AG137" s="335" t="s">
        <v>170</v>
      </c>
      <c r="AH137" s="336"/>
      <c r="AJ137" s="337" t="s">
        <v>172</v>
      </c>
      <c r="AK137" s="337"/>
      <c r="AM137" s="337" t="s">
        <v>681</v>
      </c>
      <c r="AN137" s="337"/>
    </row>
    <row r="138" spans="1:40" ht="90" x14ac:dyDescent="0.25">
      <c r="A138" s="6" t="s">
        <v>2</v>
      </c>
      <c r="B138" s="7" t="s">
        <v>3</v>
      </c>
      <c r="C138" s="7" t="s">
        <v>4</v>
      </c>
      <c r="D138" s="6" t="s">
        <v>5</v>
      </c>
      <c r="E138" s="6" t="s">
        <v>6</v>
      </c>
      <c r="F138" s="6" t="s">
        <v>7</v>
      </c>
      <c r="G138" s="6" t="s">
        <v>8</v>
      </c>
      <c r="H138" s="8" t="s">
        <v>9</v>
      </c>
      <c r="I138" s="9" t="s">
        <v>10</v>
      </c>
      <c r="J138" s="8" t="s">
        <v>11</v>
      </c>
      <c r="K138" s="10" t="s">
        <v>12</v>
      </c>
      <c r="L138" s="10" t="s">
        <v>13</v>
      </c>
      <c r="M138" s="11" t="s">
        <v>14</v>
      </c>
      <c r="N138" s="10" t="s">
        <v>691</v>
      </c>
      <c r="O138" s="10" t="s">
        <v>28</v>
      </c>
      <c r="P138" s="5"/>
      <c r="Q138" s="10" t="s">
        <v>16</v>
      </c>
      <c r="R138" s="10" t="s">
        <v>17</v>
      </c>
      <c r="S138" s="10" t="s">
        <v>18</v>
      </c>
      <c r="T138" s="10" t="s">
        <v>19</v>
      </c>
      <c r="U138" s="10" t="s">
        <v>20</v>
      </c>
      <c r="V138" s="13"/>
      <c r="W138" s="136" t="s">
        <v>688</v>
      </c>
      <c r="X138" s="14" t="s">
        <v>22</v>
      </c>
      <c r="Y138" s="15" t="s">
        <v>23</v>
      </c>
      <c r="Z138" s="5"/>
      <c r="AC138" s="16" t="s">
        <v>161</v>
      </c>
      <c r="AD138" s="58">
        <f>+AB138*10</f>
        <v>0</v>
      </c>
      <c r="AG138" s="16" t="s">
        <v>161</v>
      </c>
      <c r="AH138" s="58">
        <f>+AF138*10</f>
        <v>0</v>
      </c>
      <c r="AJ138" s="61" t="s">
        <v>173</v>
      </c>
      <c r="AK138" s="62" t="s">
        <v>174</v>
      </c>
      <c r="AM138" s="16" t="s">
        <v>161</v>
      </c>
      <c r="AN138" s="58">
        <f>+AL138*10</f>
        <v>0</v>
      </c>
    </row>
    <row r="139" spans="1:40" x14ac:dyDescent="0.25">
      <c r="A139" s="16">
        <v>1</v>
      </c>
      <c r="B139" s="92">
        <v>45213</v>
      </c>
      <c r="C139" s="31" t="s">
        <v>220</v>
      </c>
      <c r="D139" s="32"/>
      <c r="E139" s="32"/>
      <c r="F139" s="39"/>
      <c r="G139" s="39"/>
      <c r="H139" s="122"/>
      <c r="I139" s="32"/>
      <c r="J139" s="20">
        <v>14</v>
      </c>
      <c r="K139" s="21">
        <f>U139-J139-O139</f>
        <v>-14</v>
      </c>
      <c r="L139" s="21">
        <f t="shared" ref="L139:L157" si="25">+I139+J139</f>
        <v>14</v>
      </c>
      <c r="M139" s="21">
        <f t="shared" ref="M139:M157" si="26">+H139-L139</f>
        <v>-14</v>
      </c>
      <c r="N139" s="21"/>
      <c r="O139" s="21"/>
      <c r="P139" s="5"/>
      <c r="Q139" s="21"/>
      <c r="R139" s="16"/>
      <c r="S139" s="21">
        <f t="shared" ref="S139:S157" si="27">+Q139+R139</f>
        <v>0</v>
      </c>
      <c r="T139" s="21"/>
      <c r="U139" s="78">
        <f>T139-S139-O139</f>
        <v>0</v>
      </c>
      <c r="V139" s="13"/>
      <c r="W139" s="147"/>
      <c r="X139" s="23"/>
      <c r="Y139" s="333"/>
      <c r="Z139" s="5"/>
      <c r="AC139" s="59" t="s">
        <v>162</v>
      </c>
      <c r="AD139" s="18">
        <f>+AB139*1</f>
        <v>0</v>
      </c>
      <c r="AF139">
        <v>80</v>
      </c>
      <c r="AG139" s="59" t="s">
        <v>162</v>
      </c>
      <c r="AH139" s="18">
        <f>+AF139*1</f>
        <v>80</v>
      </c>
      <c r="AJ139" s="16"/>
      <c r="AK139" s="16"/>
      <c r="AM139" s="59" t="s">
        <v>162</v>
      </c>
      <c r="AN139" s="18">
        <f>+AL139*1</f>
        <v>0</v>
      </c>
    </row>
    <row r="140" spans="1:40" x14ac:dyDescent="0.25">
      <c r="A140" s="26">
        <v>2</v>
      </c>
      <c r="B140" s="92">
        <v>45213</v>
      </c>
      <c r="C140" s="31" t="s">
        <v>220</v>
      </c>
      <c r="D140" s="32"/>
      <c r="E140" s="32"/>
      <c r="F140" s="32"/>
      <c r="G140" s="39"/>
      <c r="H140" s="122"/>
      <c r="I140" s="32"/>
      <c r="J140" s="20">
        <v>14</v>
      </c>
      <c r="K140" s="21">
        <f t="shared" ref="K140:K157" si="28">U140-J140-O140</f>
        <v>-14</v>
      </c>
      <c r="L140" s="21">
        <f t="shared" si="25"/>
        <v>14</v>
      </c>
      <c r="M140" s="21">
        <f t="shared" si="26"/>
        <v>-14</v>
      </c>
      <c r="N140" s="21"/>
      <c r="O140" s="21"/>
      <c r="P140" s="5"/>
      <c r="Q140" s="21"/>
      <c r="R140" s="16"/>
      <c r="S140" s="21">
        <f t="shared" si="27"/>
        <v>0</v>
      </c>
      <c r="T140" s="21"/>
      <c r="U140" s="78">
        <f t="shared" ref="U140:U157" si="29">T140-S140-O140</f>
        <v>0</v>
      </c>
      <c r="V140" s="140"/>
      <c r="W140" s="147"/>
      <c r="X140" s="23"/>
      <c r="Y140" s="334"/>
      <c r="Z140" s="5"/>
      <c r="AC140" s="16" t="s">
        <v>163</v>
      </c>
      <c r="AD140" s="60">
        <f>+AB140*5</f>
        <v>0</v>
      </c>
      <c r="AF140">
        <v>19</v>
      </c>
      <c r="AG140" s="16" t="s">
        <v>163</v>
      </c>
      <c r="AH140" s="60">
        <f>+AF140*5</f>
        <v>95</v>
      </c>
      <c r="AJ140" s="16"/>
      <c r="AK140" s="16"/>
      <c r="AM140" s="16" t="s">
        <v>163</v>
      </c>
      <c r="AN140" s="60">
        <f>+AL140*5</f>
        <v>0</v>
      </c>
    </row>
    <row r="141" spans="1:40" x14ac:dyDescent="0.25">
      <c r="A141" s="143">
        <v>3</v>
      </c>
      <c r="B141" s="92">
        <v>45213</v>
      </c>
      <c r="C141" s="31" t="s">
        <v>1696</v>
      </c>
      <c r="D141" s="32"/>
      <c r="E141" s="32"/>
      <c r="F141" s="32"/>
      <c r="G141" s="39"/>
      <c r="H141" s="122"/>
      <c r="I141" s="32"/>
      <c r="J141" s="20">
        <v>14</v>
      </c>
      <c r="K141" s="21">
        <f t="shared" si="28"/>
        <v>-14</v>
      </c>
      <c r="L141" s="21">
        <f t="shared" si="25"/>
        <v>14</v>
      </c>
      <c r="M141" s="21">
        <f t="shared" si="26"/>
        <v>-14</v>
      </c>
      <c r="N141" s="21"/>
      <c r="O141" s="21"/>
      <c r="P141" s="5"/>
      <c r="Q141" s="21"/>
      <c r="R141" s="16"/>
      <c r="S141" s="21">
        <f t="shared" si="27"/>
        <v>0</v>
      </c>
      <c r="T141" s="21"/>
      <c r="U141" s="78">
        <f t="shared" si="29"/>
        <v>0</v>
      </c>
      <c r="V141" s="140"/>
      <c r="W141" s="147"/>
      <c r="X141" s="23"/>
      <c r="Y141" s="334"/>
      <c r="Z141" s="5"/>
      <c r="AC141" s="16" t="s">
        <v>164</v>
      </c>
      <c r="AD141" s="18">
        <f>+AB141*200</f>
        <v>0</v>
      </c>
      <c r="AF141">
        <v>1</v>
      </c>
      <c r="AG141" s="16" t="s">
        <v>164</v>
      </c>
      <c r="AH141" s="18">
        <f>+AF141*200</f>
        <v>200</v>
      </c>
      <c r="AJ141" s="16"/>
      <c r="AK141" s="16"/>
      <c r="AM141" s="16" t="s">
        <v>164</v>
      </c>
      <c r="AN141" s="18">
        <f>+AL141*200</f>
        <v>0</v>
      </c>
    </row>
    <row r="142" spans="1:40" x14ac:dyDescent="0.25">
      <c r="A142" s="143">
        <v>4</v>
      </c>
      <c r="B142" s="92">
        <v>45213</v>
      </c>
      <c r="C142" s="31" t="s">
        <v>1697</v>
      </c>
      <c r="D142" s="32"/>
      <c r="E142" s="32"/>
      <c r="F142" s="32"/>
      <c r="G142" s="39"/>
      <c r="H142" s="122"/>
      <c r="I142" s="32"/>
      <c r="J142" s="20">
        <v>14</v>
      </c>
      <c r="K142" s="21">
        <f t="shared" si="28"/>
        <v>-14</v>
      </c>
      <c r="L142" s="21">
        <f t="shared" si="25"/>
        <v>14</v>
      </c>
      <c r="M142" s="21">
        <f t="shared" si="26"/>
        <v>-14</v>
      </c>
      <c r="N142" s="21"/>
      <c r="O142" s="21"/>
      <c r="P142" s="5"/>
      <c r="Q142" s="21"/>
      <c r="R142" s="16"/>
      <c r="S142" s="21">
        <f t="shared" si="27"/>
        <v>0</v>
      </c>
      <c r="T142" s="21"/>
      <c r="U142" s="78">
        <f t="shared" si="29"/>
        <v>0</v>
      </c>
      <c r="V142" s="140"/>
      <c r="W142" s="147"/>
      <c r="X142" s="23"/>
      <c r="Y142" s="334"/>
      <c r="Z142" s="5"/>
      <c r="AC142" s="16" t="s">
        <v>165</v>
      </c>
      <c r="AD142" s="18">
        <f>+AB142*100</f>
        <v>0</v>
      </c>
      <c r="AF142">
        <v>4</v>
      </c>
      <c r="AG142" s="16" t="s">
        <v>165</v>
      </c>
      <c r="AH142" s="18">
        <f>+AF142*100</f>
        <v>400</v>
      </c>
      <c r="AJ142" s="16"/>
      <c r="AK142" s="16"/>
      <c r="AM142" s="16" t="s">
        <v>165</v>
      </c>
      <c r="AN142" s="18">
        <f>+AL142*100</f>
        <v>0</v>
      </c>
    </row>
    <row r="143" spans="1:40" x14ac:dyDescent="0.25">
      <c r="A143" s="143">
        <v>5</v>
      </c>
      <c r="B143" s="92">
        <v>45213</v>
      </c>
      <c r="C143" s="31" t="s">
        <v>1698</v>
      </c>
      <c r="D143" s="32"/>
      <c r="E143" s="32"/>
      <c r="F143" s="32" t="s">
        <v>1317</v>
      </c>
      <c r="G143" s="32"/>
      <c r="H143" s="122"/>
      <c r="I143" s="32"/>
      <c r="J143" s="20">
        <v>14</v>
      </c>
      <c r="K143" s="21">
        <f t="shared" si="28"/>
        <v>-14</v>
      </c>
      <c r="L143" s="21">
        <f t="shared" si="25"/>
        <v>14</v>
      </c>
      <c r="M143" s="21">
        <f t="shared" si="26"/>
        <v>-14</v>
      </c>
      <c r="N143" s="21"/>
      <c r="O143" s="21"/>
      <c r="P143" s="5"/>
      <c r="Q143" s="16"/>
      <c r="R143" s="16"/>
      <c r="S143" s="21">
        <f t="shared" si="27"/>
        <v>0</v>
      </c>
      <c r="T143" s="21"/>
      <c r="U143" s="78">
        <f t="shared" si="29"/>
        <v>0</v>
      </c>
      <c r="V143" s="140"/>
      <c r="W143" s="147"/>
      <c r="X143" s="23"/>
      <c r="Y143" s="334"/>
      <c r="Z143" s="5"/>
      <c r="AC143" s="16" t="s">
        <v>166</v>
      </c>
      <c r="AD143" s="18">
        <f>+AB143*50</f>
        <v>0</v>
      </c>
      <c r="AG143" s="16" t="s">
        <v>166</v>
      </c>
      <c r="AH143" s="18">
        <f>+AF143*50</f>
        <v>0</v>
      </c>
      <c r="AJ143" s="16"/>
      <c r="AK143" s="16"/>
      <c r="AM143" s="16" t="s">
        <v>166</v>
      </c>
      <c r="AN143" s="18">
        <f>+AL143*50</f>
        <v>0</v>
      </c>
    </row>
    <row r="144" spans="1:40" x14ac:dyDescent="0.25">
      <c r="A144" s="143">
        <v>6</v>
      </c>
      <c r="B144" s="92">
        <v>45213</v>
      </c>
      <c r="C144" s="31" t="s">
        <v>1699</v>
      </c>
      <c r="D144" s="32"/>
      <c r="E144" s="32"/>
      <c r="F144" s="32" t="s">
        <v>1700</v>
      </c>
      <c r="G144" s="39"/>
      <c r="H144" s="39">
        <v>250</v>
      </c>
      <c r="I144" s="42">
        <v>202</v>
      </c>
      <c r="J144" s="20">
        <v>14</v>
      </c>
      <c r="K144" s="21">
        <v>14</v>
      </c>
      <c r="L144" s="21">
        <f t="shared" si="25"/>
        <v>216</v>
      </c>
      <c r="M144" s="21">
        <f t="shared" si="26"/>
        <v>34</v>
      </c>
      <c r="N144" s="21"/>
      <c r="O144" s="21"/>
      <c r="P144" s="5"/>
      <c r="Q144" s="16"/>
      <c r="R144" s="16"/>
      <c r="S144" s="21">
        <f t="shared" si="27"/>
        <v>0</v>
      </c>
      <c r="T144" s="16"/>
      <c r="U144" s="78">
        <f t="shared" si="29"/>
        <v>0</v>
      </c>
      <c r="V144" s="140"/>
      <c r="W144" s="147"/>
      <c r="X144" s="23"/>
      <c r="Y144" s="334"/>
      <c r="Z144" s="5"/>
      <c r="AC144" s="16" t="s">
        <v>167</v>
      </c>
      <c r="AD144" s="18">
        <f>+AB144*20</f>
        <v>0</v>
      </c>
      <c r="AF144">
        <v>1</v>
      </c>
      <c r="AG144" s="16" t="s">
        <v>167</v>
      </c>
      <c r="AH144" s="18">
        <f>+AF144*20</f>
        <v>20</v>
      </c>
      <c r="AJ144" s="16"/>
      <c r="AK144" s="16"/>
      <c r="AM144" s="16" t="s">
        <v>167</v>
      </c>
      <c r="AN144" s="18">
        <f>+AL144*20</f>
        <v>0</v>
      </c>
    </row>
    <row r="145" spans="1:40" x14ac:dyDescent="0.25">
      <c r="A145" s="143">
        <v>7</v>
      </c>
      <c r="B145" s="92">
        <v>45213</v>
      </c>
      <c r="C145" s="31" t="s">
        <v>1701</v>
      </c>
      <c r="D145" s="32"/>
      <c r="E145" s="32"/>
      <c r="F145" s="32"/>
      <c r="G145" s="39"/>
      <c r="H145" s="122"/>
      <c r="I145" s="42"/>
      <c r="J145" s="20">
        <v>14</v>
      </c>
      <c r="K145" s="21">
        <f t="shared" si="28"/>
        <v>-14</v>
      </c>
      <c r="L145" s="21">
        <f t="shared" si="25"/>
        <v>14</v>
      </c>
      <c r="M145" s="21">
        <f t="shared" si="26"/>
        <v>-14</v>
      </c>
      <c r="N145" s="21"/>
      <c r="O145" s="21"/>
      <c r="P145" s="5"/>
      <c r="Q145" s="16"/>
      <c r="R145" s="16"/>
      <c r="S145" s="21">
        <f t="shared" si="27"/>
        <v>0</v>
      </c>
      <c r="T145" s="16"/>
      <c r="U145" s="78">
        <f t="shared" si="29"/>
        <v>0</v>
      </c>
      <c r="V145" s="140"/>
      <c r="W145" s="147"/>
      <c r="X145" s="23"/>
      <c r="Y145" s="334"/>
      <c r="Z145" s="5"/>
      <c r="AC145" s="16" t="s">
        <v>171</v>
      </c>
      <c r="AD145" s="18">
        <f>+AB145*500</f>
        <v>0</v>
      </c>
      <c r="AG145" s="16" t="s">
        <v>171</v>
      </c>
      <c r="AH145" s="18">
        <f>+AF145*500</f>
        <v>0</v>
      </c>
      <c r="AJ145" s="16"/>
      <c r="AK145" s="16"/>
      <c r="AM145" s="16" t="s">
        <v>171</v>
      </c>
      <c r="AN145" s="18">
        <f>+AL145*500</f>
        <v>0</v>
      </c>
    </row>
    <row r="146" spans="1:40" x14ac:dyDescent="0.25">
      <c r="A146" s="143">
        <v>8</v>
      </c>
      <c r="B146" s="92">
        <v>45213</v>
      </c>
      <c r="C146" s="31" t="s">
        <v>1702</v>
      </c>
      <c r="D146" s="123"/>
      <c r="E146" s="123"/>
      <c r="F146" s="123" t="s">
        <v>628</v>
      </c>
      <c r="G146" s="39" t="s">
        <v>1703</v>
      </c>
      <c r="H146" s="122">
        <v>500</v>
      </c>
      <c r="I146" s="32"/>
      <c r="J146" s="20">
        <v>14</v>
      </c>
      <c r="K146" s="21">
        <f t="shared" si="28"/>
        <v>-14</v>
      </c>
      <c r="L146" s="21">
        <f t="shared" si="25"/>
        <v>14</v>
      </c>
      <c r="M146" s="21">
        <f t="shared" si="26"/>
        <v>486</v>
      </c>
      <c r="N146" s="21"/>
      <c r="O146" s="21"/>
      <c r="P146" s="5"/>
      <c r="Q146" s="16"/>
      <c r="R146" s="16"/>
      <c r="S146" s="21">
        <f t="shared" si="27"/>
        <v>0</v>
      </c>
      <c r="T146" s="16"/>
      <c r="U146" s="78">
        <f t="shared" si="29"/>
        <v>0</v>
      </c>
      <c r="V146" s="140"/>
      <c r="W146" s="147"/>
      <c r="X146" s="23"/>
      <c r="Y146" s="334"/>
      <c r="Z146" s="5"/>
      <c r="AC146" s="16" t="s">
        <v>168</v>
      </c>
      <c r="AD146" s="18">
        <f>+AB146*1000</f>
        <v>0</v>
      </c>
      <c r="AG146" s="16" t="s">
        <v>168</v>
      </c>
      <c r="AH146" s="18">
        <f>+AF146*1000</f>
        <v>0</v>
      </c>
      <c r="AJ146" s="16"/>
      <c r="AK146" s="16"/>
      <c r="AM146" s="16" t="s">
        <v>168</v>
      </c>
      <c r="AN146" s="18">
        <f>+AL146*1000</f>
        <v>0</v>
      </c>
    </row>
    <row r="147" spans="1:40" x14ac:dyDescent="0.25">
      <c r="A147" s="143">
        <v>9</v>
      </c>
      <c r="B147" s="92">
        <v>45213</v>
      </c>
      <c r="C147" s="31" t="s">
        <v>1696</v>
      </c>
      <c r="D147" s="32"/>
      <c r="E147" s="32"/>
      <c r="F147" s="32"/>
      <c r="G147" s="39" t="s">
        <v>1704</v>
      </c>
      <c r="H147" s="39"/>
      <c r="I147" s="40"/>
      <c r="J147" s="20">
        <v>14</v>
      </c>
      <c r="K147" s="21">
        <f t="shared" si="28"/>
        <v>-14</v>
      </c>
      <c r="L147" s="21">
        <f t="shared" si="25"/>
        <v>14</v>
      </c>
      <c r="M147" s="21">
        <f t="shared" si="26"/>
        <v>-14</v>
      </c>
      <c r="N147" s="21"/>
      <c r="O147" s="21"/>
      <c r="P147" s="5"/>
      <c r="Q147" s="16"/>
      <c r="R147" s="16"/>
      <c r="S147" s="21">
        <f t="shared" si="27"/>
        <v>0</v>
      </c>
      <c r="T147" s="16"/>
      <c r="U147" s="78">
        <f t="shared" si="29"/>
        <v>0</v>
      </c>
      <c r="V147" s="140"/>
      <c r="W147" s="147"/>
      <c r="X147" s="23"/>
      <c r="Y147" s="334"/>
      <c r="Z147" s="5"/>
      <c r="AC147" s="26"/>
      <c r="AD147" s="58"/>
      <c r="AG147" s="26"/>
      <c r="AH147" s="58"/>
      <c r="AJ147" s="16"/>
      <c r="AK147" s="16"/>
      <c r="AM147" s="26"/>
      <c r="AN147" s="58"/>
    </row>
    <row r="148" spans="1:40" x14ac:dyDescent="0.25">
      <c r="A148" s="143">
        <v>10</v>
      </c>
      <c r="B148" s="92">
        <v>45213</v>
      </c>
      <c r="C148" s="31" t="s">
        <v>1706</v>
      </c>
      <c r="D148" s="32"/>
      <c r="E148" s="32"/>
      <c r="F148" s="32" t="s">
        <v>1388</v>
      </c>
      <c r="G148" s="39" t="s">
        <v>1705</v>
      </c>
      <c r="H148" s="122">
        <v>600</v>
      </c>
      <c r="I148" s="42"/>
      <c r="J148" s="20">
        <v>14</v>
      </c>
      <c r="K148" s="21">
        <f t="shared" si="28"/>
        <v>-14</v>
      </c>
      <c r="L148" s="21">
        <f t="shared" si="25"/>
        <v>14</v>
      </c>
      <c r="M148" s="21">
        <f t="shared" si="26"/>
        <v>586</v>
      </c>
      <c r="N148" s="21"/>
      <c r="O148" s="21"/>
      <c r="P148" s="5"/>
      <c r="Q148" s="16"/>
      <c r="R148" s="16"/>
      <c r="S148" s="21">
        <f t="shared" si="27"/>
        <v>0</v>
      </c>
      <c r="T148" s="16"/>
      <c r="U148" s="78">
        <f t="shared" si="29"/>
        <v>0</v>
      </c>
      <c r="V148" s="140"/>
      <c r="W148" s="147"/>
      <c r="X148" s="23"/>
      <c r="Y148" s="334"/>
      <c r="Z148" s="5"/>
      <c r="AC148" s="16" t="s">
        <v>169</v>
      </c>
      <c r="AD148" s="18">
        <f>SUM(AD138:AD147)</f>
        <v>0</v>
      </c>
      <c r="AG148" s="16" t="s">
        <v>169</v>
      </c>
      <c r="AH148" s="18">
        <f>SUM(AH138:AH147)</f>
        <v>795</v>
      </c>
      <c r="AJ148" s="16"/>
      <c r="AK148" s="16"/>
      <c r="AM148" s="16" t="s">
        <v>169</v>
      </c>
      <c r="AN148" s="18"/>
    </row>
    <row r="149" spans="1:40" x14ac:dyDescent="0.25">
      <c r="A149" s="143">
        <v>11</v>
      </c>
      <c r="B149" s="92">
        <v>45213</v>
      </c>
      <c r="C149" s="31" t="s">
        <v>1707</v>
      </c>
      <c r="D149" s="124"/>
      <c r="E149" s="123"/>
      <c r="F149" s="123" t="s">
        <v>1708</v>
      </c>
      <c r="G149" s="39" t="s">
        <v>1709</v>
      </c>
      <c r="H149" s="122">
        <v>600</v>
      </c>
      <c r="I149" s="42"/>
      <c r="J149" s="20">
        <v>14</v>
      </c>
      <c r="K149" s="21">
        <f t="shared" si="28"/>
        <v>-14</v>
      </c>
      <c r="L149" s="21">
        <f t="shared" si="25"/>
        <v>14</v>
      </c>
      <c r="M149" s="21">
        <f t="shared" si="26"/>
        <v>586</v>
      </c>
      <c r="N149" s="21"/>
      <c r="O149" s="21"/>
      <c r="P149" s="5"/>
      <c r="Q149" s="16"/>
      <c r="R149" s="16"/>
      <c r="S149" s="21">
        <f t="shared" si="27"/>
        <v>0</v>
      </c>
      <c r="T149" s="16"/>
      <c r="U149" s="78">
        <f t="shared" si="29"/>
        <v>0</v>
      </c>
      <c r="V149" s="140"/>
      <c r="W149" s="147"/>
      <c r="X149" s="23"/>
      <c r="Y149" s="334"/>
      <c r="Z149" s="5"/>
      <c r="AJ149" s="16"/>
      <c r="AK149" s="16"/>
      <c r="AM149" s="16"/>
      <c r="AN149" s="16"/>
    </row>
    <row r="150" spans="1:40" x14ac:dyDescent="0.25">
      <c r="A150" s="143">
        <v>12</v>
      </c>
      <c r="B150" s="92">
        <v>45213</v>
      </c>
      <c r="C150" s="32" t="s">
        <v>219</v>
      </c>
      <c r="D150" s="32"/>
      <c r="E150" s="124" t="s">
        <v>41</v>
      </c>
      <c r="F150" s="123" t="s">
        <v>220</v>
      </c>
      <c r="G150" s="39" t="s">
        <v>1710</v>
      </c>
      <c r="H150" s="39">
        <v>500</v>
      </c>
      <c r="I150" s="42">
        <v>311</v>
      </c>
      <c r="J150" s="20">
        <v>14</v>
      </c>
      <c r="K150" s="21">
        <v>0</v>
      </c>
      <c r="L150" s="21">
        <f t="shared" si="25"/>
        <v>325</v>
      </c>
      <c r="M150" s="21">
        <f t="shared" si="26"/>
        <v>175</v>
      </c>
      <c r="N150" s="21"/>
      <c r="O150" s="21"/>
      <c r="P150" s="5"/>
      <c r="Q150" s="45"/>
      <c r="R150" s="44"/>
      <c r="S150" s="21">
        <f t="shared" si="27"/>
        <v>0</v>
      </c>
      <c r="T150" s="45"/>
      <c r="U150" s="78">
        <f t="shared" si="29"/>
        <v>0</v>
      </c>
      <c r="V150" s="140"/>
      <c r="W150" s="147"/>
      <c r="X150" s="23"/>
      <c r="Y150" s="334"/>
      <c r="Z150" s="5"/>
      <c r="AJ150" s="63" t="s">
        <v>169</v>
      </c>
      <c r="AK150" s="63">
        <f>+SUM(AJ139:AJ149)-SUM(AK139:AK149)</f>
        <v>0</v>
      </c>
      <c r="AM150" s="63" t="s">
        <v>169</v>
      </c>
      <c r="AN150" s="85">
        <f>+SUM(AM138:AM149)-SUM(AN139:AN149)</f>
        <v>0</v>
      </c>
    </row>
    <row r="151" spans="1:40" x14ac:dyDescent="0.25">
      <c r="A151" s="143">
        <v>13</v>
      </c>
      <c r="B151" s="92">
        <v>45213</v>
      </c>
      <c r="C151" s="31" t="s">
        <v>1711</v>
      </c>
      <c r="D151" s="32"/>
      <c r="E151" s="32"/>
      <c r="F151" s="32" t="s">
        <v>1713</v>
      </c>
      <c r="G151" s="39"/>
      <c r="H151" s="39"/>
      <c r="I151" s="42"/>
      <c r="J151" s="108">
        <v>14</v>
      </c>
      <c r="K151" s="21">
        <f t="shared" si="28"/>
        <v>-14</v>
      </c>
      <c r="L151" s="21">
        <f t="shared" si="25"/>
        <v>14</v>
      </c>
      <c r="M151" s="21">
        <f t="shared" si="26"/>
        <v>-14</v>
      </c>
      <c r="N151" s="21"/>
      <c r="O151" s="21"/>
      <c r="P151" s="5"/>
      <c r="Q151" s="43"/>
      <c r="R151" s="32"/>
      <c r="S151" s="21">
        <f t="shared" si="27"/>
        <v>0</v>
      </c>
      <c r="T151" s="43"/>
      <c r="U151" s="78">
        <f t="shared" si="29"/>
        <v>0</v>
      </c>
      <c r="V151" s="140"/>
      <c r="W151" s="147"/>
      <c r="X151" s="23"/>
      <c r="Y151" s="334"/>
      <c r="Z151" s="5"/>
      <c r="AH151" s="83"/>
    </row>
    <row r="152" spans="1:40" x14ac:dyDescent="0.25">
      <c r="A152" s="143">
        <v>14</v>
      </c>
      <c r="B152" s="92">
        <v>45213</v>
      </c>
      <c r="C152" s="31" t="s">
        <v>298</v>
      </c>
      <c r="D152" s="32"/>
      <c r="E152" s="32"/>
      <c r="F152" s="32" t="s">
        <v>1712</v>
      </c>
      <c r="G152" s="39"/>
      <c r="H152" s="39"/>
      <c r="I152" s="42"/>
      <c r="J152" s="108">
        <v>14</v>
      </c>
      <c r="K152" s="21">
        <f t="shared" si="28"/>
        <v>-14</v>
      </c>
      <c r="L152" s="21">
        <f t="shared" si="25"/>
        <v>14</v>
      </c>
      <c r="M152" s="21">
        <f t="shared" si="26"/>
        <v>-14</v>
      </c>
      <c r="N152" s="21"/>
      <c r="O152" s="21"/>
      <c r="P152" s="5"/>
      <c r="Q152" s="43"/>
      <c r="R152" s="43"/>
      <c r="S152" s="21">
        <f t="shared" si="27"/>
        <v>0</v>
      </c>
      <c r="T152" s="43"/>
      <c r="U152" s="78">
        <f t="shared" si="29"/>
        <v>0</v>
      </c>
      <c r="V152" s="140"/>
      <c r="W152" s="147"/>
      <c r="X152" s="23"/>
      <c r="Y152" s="334"/>
      <c r="Z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40" x14ac:dyDescent="0.25">
      <c r="A153" s="143">
        <v>15</v>
      </c>
      <c r="B153" s="92">
        <v>45213</v>
      </c>
      <c r="C153" s="127" t="s">
        <v>381</v>
      </c>
      <c r="D153" s="32"/>
      <c r="E153" s="32"/>
      <c r="F153" s="128"/>
      <c r="G153" s="129"/>
      <c r="H153" s="39"/>
      <c r="I153" s="42"/>
      <c r="J153" s="108">
        <v>14</v>
      </c>
      <c r="K153" s="21">
        <f t="shared" si="28"/>
        <v>-14</v>
      </c>
      <c r="L153" s="21">
        <f t="shared" si="25"/>
        <v>14</v>
      </c>
      <c r="M153" s="21">
        <f t="shared" si="26"/>
        <v>-14</v>
      </c>
      <c r="N153" s="21"/>
      <c r="O153" s="21"/>
      <c r="P153" s="5"/>
      <c r="Q153" s="43"/>
      <c r="R153" s="43"/>
      <c r="S153" s="21">
        <f t="shared" si="27"/>
        <v>0</v>
      </c>
      <c r="T153" s="43"/>
      <c r="U153" s="78">
        <f t="shared" si="29"/>
        <v>0</v>
      </c>
      <c r="V153" s="140"/>
      <c r="W153" s="147"/>
      <c r="X153" s="23"/>
      <c r="Y153" s="334"/>
      <c r="Z153" s="5"/>
      <c r="AC153" s="5"/>
      <c r="AD153" s="134" t="s">
        <v>20</v>
      </c>
      <c r="AE153" s="338"/>
      <c r="AF153" s="341" t="s">
        <v>686</v>
      </c>
      <c r="AG153" s="134" t="s">
        <v>20</v>
      </c>
      <c r="AH153" s="338">
        <v>73</v>
      </c>
      <c r="AI153" s="341" t="s">
        <v>687</v>
      </c>
      <c r="AJ153" s="134" t="s">
        <v>20</v>
      </c>
      <c r="AK153" s="338"/>
      <c r="AL153" s="5"/>
    </row>
    <row r="154" spans="1:40" x14ac:dyDescent="0.25">
      <c r="A154" s="143">
        <v>16</v>
      </c>
      <c r="B154" s="92">
        <v>45213</v>
      </c>
      <c r="C154" s="31"/>
      <c r="D154" s="32"/>
      <c r="E154" s="32"/>
      <c r="F154" s="32"/>
      <c r="G154" s="39"/>
      <c r="H154" s="39"/>
      <c r="I154" s="42"/>
      <c r="J154" s="43">
        <v>14</v>
      </c>
      <c r="K154" s="21">
        <f t="shared" si="28"/>
        <v>10</v>
      </c>
      <c r="L154" s="21">
        <f t="shared" si="25"/>
        <v>14</v>
      </c>
      <c r="M154" s="21">
        <f t="shared" si="26"/>
        <v>-14</v>
      </c>
      <c r="N154" s="21"/>
      <c r="O154" s="21"/>
      <c r="P154" s="5"/>
      <c r="Q154" s="43">
        <v>300</v>
      </c>
      <c r="R154" s="32"/>
      <c r="S154" s="21">
        <f t="shared" si="27"/>
        <v>300</v>
      </c>
      <c r="T154" s="131">
        <v>324</v>
      </c>
      <c r="U154" s="78">
        <f t="shared" si="29"/>
        <v>24</v>
      </c>
      <c r="V154" s="140"/>
      <c r="W154" s="147"/>
      <c r="X154" s="23"/>
      <c r="Y154" s="334"/>
      <c r="Z154" s="5"/>
      <c r="AC154" s="5" t="s">
        <v>685</v>
      </c>
      <c r="AD154" s="115" t="s">
        <v>684</v>
      </c>
      <c r="AE154" s="339"/>
      <c r="AF154" s="341"/>
      <c r="AG154" s="115" t="s">
        <v>684</v>
      </c>
      <c r="AH154" s="339"/>
      <c r="AI154" s="341"/>
      <c r="AJ154" s="115" t="s">
        <v>684</v>
      </c>
      <c r="AK154" s="339"/>
      <c r="AL154" s="5"/>
    </row>
    <row r="155" spans="1:40" x14ac:dyDescent="0.25">
      <c r="A155" s="143">
        <v>17</v>
      </c>
      <c r="B155" s="92">
        <v>45213</v>
      </c>
      <c r="C155" s="31"/>
      <c r="D155" s="32"/>
      <c r="E155" s="32"/>
      <c r="F155" s="32"/>
      <c r="G155" s="39"/>
      <c r="H155" s="39"/>
      <c r="I155" s="42"/>
      <c r="J155" s="43">
        <v>14</v>
      </c>
      <c r="K155" s="21">
        <f t="shared" si="28"/>
        <v>-14</v>
      </c>
      <c r="L155" s="21">
        <f t="shared" si="25"/>
        <v>14</v>
      </c>
      <c r="M155" s="21">
        <f t="shared" si="26"/>
        <v>-14</v>
      </c>
      <c r="N155" s="21"/>
      <c r="O155" s="21"/>
      <c r="P155" s="5"/>
      <c r="Q155" s="43"/>
      <c r="R155" s="32"/>
      <c r="S155" s="21">
        <f t="shared" si="27"/>
        <v>0</v>
      </c>
      <c r="T155" s="132"/>
      <c r="U155" s="78">
        <f t="shared" si="29"/>
        <v>0</v>
      </c>
      <c r="V155" s="140"/>
      <c r="W155" s="147"/>
      <c r="X155" s="23"/>
      <c r="Y155" s="340"/>
      <c r="Z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40" x14ac:dyDescent="0.25">
      <c r="A156" s="143">
        <v>18</v>
      </c>
      <c r="B156" s="92">
        <v>45213</v>
      </c>
      <c r="C156" s="31"/>
      <c r="D156" s="32"/>
      <c r="E156" s="32"/>
      <c r="F156" s="32"/>
      <c r="G156" s="39"/>
      <c r="H156" s="39"/>
      <c r="I156" s="42"/>
      <c r="J156" s="43">
        <v>10</v>
      </c>
      <c r="K156" s="21">
        <f t="shared" si="28"/>
        <v>-10</v>
      </c>
      <c r="L156" s="21">
        <f t="shared" si="25"/>
        <v>10</v>
      </c>
      <c r="M156" s="21">
        <f t="shared" si="26"/>
        <v>-10</v>
      </c>
      <c r="N156" s="21"/>
      <c r="O156" s="21"/>
      <c r="P156" s="5"/>
      <c r="Q156" s="135"/>
      <c r="R156" s="104"/>
      <c r="S156" s="21">
        <f t="shared" si="27"/>
        <v>0</v>
      </c>
      <c r="T156" s="131"/>
      <c r="U156" s="78">
        <f t="shared" si="29"/>
        <v>0</v>
      </c>
      <c r="V156" s="140"/>
      <c r="W156" s="138"/>
      <c r="X156" s="32"/>
      <c r="Z156" s="5"/>
    </row>
    <row r="157" spans="1:40" x14ac:dyDescent="0.25">
      <c r="A157" s="143">
        <v>19</v>
      </c>
      <c r="B157" s="92">
        <v>45213</v>
      </c>
      <c r="C157" s="31"/>
      <c r="D157" s="32"/>
      <c r="E157" s="32"/>
      <c r="F157" s="32"/>
      <c r="G157" s="39"/>
      <c r="H157" s="39"/>
      <c r="I157" s="42"/>
      <c r="J157" s="43">
        <v>10</v>
      </c>
      <c r="K157" s="21">
        <f t="shared" si="28"/>
        <v>-10</v>
      </c>
      <c r="L157" s="21">
        <f t="shared" si="25"/>
        <v>10</v>
      </c>
      <c r="M157" s="21">
        <f t="shared" si="26"/>
        <v>-10</v>
      </c>
      <c r="N157" s="21"/>
      <c r="O157" s="21"/>
      <c r="P157" s="5"/>
      <c r="Q157" s="32"/>
      <c r="R157" s="32"/>
      <c r="S157" s="21">
        <f t="shared" si="27"/>
        <v>0</v>
      </c>
      <c r="T157" s="32"/>
      <c r="U157" s="78">
        <f t="shared" si="29"/>
        <v>0</v>
      </c>
      <c r="V157" s="140"/>
      <c r="W157" s="138"/>
      <c r="X157" s="32"/>
      <c r="Z157" s="5"/>
    </row>
    <row r="158" spans="1:40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141"/>
      <c r="W158" s="5"/>
      <c r="X158" s="5"/>
      <c r="Y158" s="5"/>
      <c r="Z158" s="5"/>
    </row>
    <row r="163" spans="1:40" x14ac:dyDescent="0.25">
      <c r="E163" t="s">
        <v>1717</v>
      </c>
      <c r="F163">
        <f>340+62+17+169+133+351</f>
        <v>1072</v>
      </c>
    </row>
    <row r="164" spans="1:40" x14ac:dyDescent="0.25">
      <c r="E164" t="s">
        <v>1718</v>
      </c>
      <c r="F164">
        <f>+F163-200-150</f>
        <v>722</v>
      </c>
    </row>
    <row r="165" spans="1:40" x14ac:dyDescent="0.25">
      <c r="F165">
        <v>44</v>
      </c>
      <c r="G165" t="s">
        <v>1715</v>
      </c>
    </row>
    <row r="166" spans="1:40" x14ac:dyDescent="0.25">
      <c r="F166" t="s">
        <v>1716</v>
      </c>
    </row>
    <row r="167" spans="1:40" x14ac:dyDescent="0.25">
      <c r="F167" t="s">
        <v>1714</v>
      </c>
    </row>
    <row r="170" spans="1:40" x14ac:dyDescent="0.25">
      <c r="T170" s="83">
        <f>+I182+I183+O183</f>
        <v>500</v>
      </c>
    </row>
    <row r="172" spans="1:40" x14ac:dyDescent="0.25">
      <c r="A172" s="1" t="s">
        <v>0</v>
      </c>
      <c r="B172" s="1"/>
      <c r="C172" s="1"/>
      <c r="D172" s="1"/>
      <c r="E172" s="1"/>
      <c r="F172" s="1"/>
      <c r="G172" s="1"/>
      <c r="H172" s="1"/>
      <c r="I172" s="1" t="s">
        <v>148</v>
      </c>
      <c r="J172" s="1"/>
      <c r="K172" s="1"/>
      <c r="L172" s="1"/>
      <c r="M172" s="1"/>
      <c r="N172" s="1"/>
      <c r="O172" s="1"/>
      <c r="P172" s="1"/>
      <c r="Q172" s="1"/>
      <c r="R172" s="1"/>
      <c r="S172" s="342" t="s">
        <v>1</v>
      </c>
      <c r="T172" s="342"/>
      <c r="U172" s="5"/>
      <c r="V172" s="139"/>
      <c r="W172" s="1"/>
      <c r="X172" s="1"/>
      <c r="Y172" s="1"/>
      <c r="Z172" s="5"/>
      <c r="AC172" s="335" t="s">
        <v>160</v>
      </c>
      <c r="AD172" s="336"/>
      <c r="AG172" s="335" t="s">
        <v>170</v>
      </c>
      <c r="AH172" s="336"/>
      <c r="AJ172" s="337" t="s">
        <v>172</v>
      </c>
      <c r="AK172" s="337"/>
      <c r="AM172" s="337" t="s">
        <v>681</v>
      </c>
      <c r="AN172" s="337"/>
    </row>
    <row r="173" spans="1:40" ht="90" x14ac:dyDescent="0.25">
      <c r="A173" s="6" t="s">
        <v>2</v>
      </c>
      <c r="B173" s="7" t="s">
        <v>3</v>
      </c>
      <c r="C173" s="7" t="s">
        <v>4</v>
      </c>
      <c r="D173" s="6" t="s">
        <v>5</v>
      </c>
      <c r="E173" s="6" t="s">
        <v>6</v>
      </c>
      <c r="F173" s="6" t="s">
        <v>7</v>
      </c>
      <c r="G173" s="6" t="s">
        <v>8</v>
      </c>
      <c r="H173" s="8" t="s">
        <v>9</v>
      </c>
      <c r="I173" s="9" t="s">
        <v>10</v>
      </c>
      <c r="J173" s="8" t="s">
        <v>11</v>
      </c>
      <c r="K173" s="10" t="s">
        <v>12</v>
      </c>
      <c r="L173" s="10" t="s">
        <v>13</v>
      </c>
      <c r="M173" s="11" t="s">
        <v>14</v>
      </c>
      <c r="N173" s="10" t="s">
        <v>691</v>
      </c>
      <c r="O173" s="10" t="s">
        <v>28</v>
      </c>
      <c r="P173" s="5"/>
      <c r="Q173" s="10" t="s">
        <v>16</v>
      </c>
      <c r="R173" s="10" t="s">
        <v>17</v>
      </c>
      <c r="S173" s="10" t="s">
        <v>18</v>
      </c>
      <c r="T173" s="10" t="s">
        <v>19</v>
      </c>
      <c r="U173" s="10" t="s">
        <v>20</v>
      </c>
      <c r="V173" s="13"/>
      <c r="W173" s="136" t="s">
        <v>688</v>
      </c>
      <c r="X173" s="14" t="s">
        <v>22</v>
      </c>
      <c r="Y173" s="15" t="s">
        <v>23</v>
      </c>
      <c r="Z173" s="5"/>
      <c r="AC173" s="16" t="s">
        <v>161</v>
      </c>
      <c r="AD173" s="58">
        <f>+AB173*10</f>
        <v>0</v>
      </c>
      <c r="AF173">
        <v>2</v>
      </c>
      <c r="AG173" s="16" t="s">
        <v>161</v>
      </c>
      <c r="AH173" s="58">
        <f>+AF173*10</f>
        <v>20</v>
      </c>
      <c r="AJ173" s="61" t="s">
        <v>173</v>
      </c>
      <c r="AK173" s="62" t="s">
        <v>174</v>
      </c>
      <c r="AM173" s="16" t="s">
        <v>161</v>
      </c>
      <c r="AN173" s="58">
        <f>+AL173*10</f>
        <v>0</v>
      </c>
    </row>
    <row r="174" spans="1:40" x14ac:dyDescent="0.25">
      <c r="A174" s="16">
        <v>1</v>
      </c>
      <c r="B174" s="92">
        <v>45214</v>
      </c>
      <c r="C174" s="31" t="s">
        <v>1306</v>
      </c>
      <c r="D174" s="32"/>
      <c r="E174" s="32" t="s">
        <v>52</v>
      </c>
      <c r="F174" s="39" t="s">
        <v>1719</v>
      </c>
      <c r="G174" s="39" t="s">
        <v>1720</v>
      </c>
      <c r="H174" s="122">
        <v>110</v>
      </c>
      <c r="I174" s="32">
        <v>94</v>
      </c>
      <c r="J174" s="20">
        <v>10</v>
      </c>
      <c r="K174" s="21">
        <v>0</v>
      </c>
      <c r="L174" s="21">
        <f t="shared" ref="L174:L192" si="30">+I174+J174</f>
        <v>104</v>
      </c>
      <c r="M174" s="21">
        <f t="shared" ref="M174:M192" si="31">+H174-L174</f>
        <v>6</v>
      </c>
      <c r="N174" s="21"/>
      <c r="O174" s="21"/>
      <c r="P174" s="5"/>
      <c r="Q174" s="21">
        <v>200</v>
      </c>
      <c r="R174" s="16"/>
      <c r="S174" s="21">
        <f t="shared" ref="S174:S192" si="32">+Q174+R174</f>
        <v>200</v>
      </c>
      <c r="T174" s="21">
        <v>200</v>
      </c>
      <c r="U174" s="78">
        <v>16</v>
      </c>
      <c r="V174" s="13"/>
      <c r="W174" s="147"/>
      <c r="X174" s="23"/>
      <c r="Y174" s="333"/>
      <c r="Z174" s="5"/>
      <c r="AC174" s="59" t="s">
        <v>162</v>
      </c>
      <c r="AD174" s="18">
        <f>+AB174*1</f>
        <v>0</v>
      </c>
      <c r="AF174">
        <v>56</v>
      </c>
      <c r="AG174" s="59" t="s">
        <v>162</v>
      </c>
      <c r="AH174" s="18">
        <f>+AF174*1</f>
        <v>56</v>
      </c>
      <c r="AJ174" s="16"/>
      <c r="AK174" s="16"/>
      <c r="AM174" s="59" t="s">
        <v>162</v>
      </c>
      <c r="AN174" s="18">
        <f>+AL174*1</f>
        <v>0</v>
      </c>
    </row>
    <row r="175" spans="1:40" x14ac:dyDescent="0.25">
      <c r="A175" s="26">
        <v>2</v>
      </c>
      <c r="B175" s="92">
        <v>45214</v>
      </c>
      <c r="C175" s="31" t="s">
        <v>1721</v>
      </c>
      <c r="D175" s="32"/>
      <c r="E175" s="32" t="s">
        <v>1722</v>
      </c>
      <c r="F175" s="32" t="s">
        <v>1624</v>
      </c>
      <c r="G175" s="39" t="s">
        <v>1723</v>
      </c>
      <c r="H175" s="122">
        <v>200</v>
      </c>
      <c r="I175" s="32"/>
      <c r="J175" s="20">
        <v>10</v>
      </c>
      <c r="K175" s="21">
        <f t="shared" ref="K175:K192" si="33">U175-J175-O175</f>
        <v>0</v>
      </c>
      <c r="L175" s="21">
        <f t="shared" si="30"/>
        <v>10</v>
      </c>
      <c r="M175" s="21">
        <f t="shared" si="31"/>
        <v>190</v>
      </c>
      <c r="N175" s="21"/>
      <c r="O175" s="21"/>
      <c r="P175" s="5"/>
      <c r="Q175" s="21">
        <v>200</v>
      </c>
      <c r="R175" s="16"/>
      <c r="S175" s="21">
        <f t="shared" si="32"/>
        <v>200</v>
      </c>
      <c r="T175" s="21">
        <v>200</v>
      </c>
      <c r="U175" s="78">
        <v>10</v>
      </c>
      <c r="V175" s="140"/>
      <c r="W175" s="147"/>
      <c r="X175" s="23"/>
      <c r="Y175" s="334"/>
      <c r="Z175" s="5"/>
      <c r="AC175" s="16" t="s">
        <v>163</v>
      </c>
      <c r="AD175" s="60">
        <f>+AB175*5</f>
        <v>0</v>
      </c>
      <c r="AF175">
        <v>10</v>
      </c>
      <c r="AG175" s="16" t="s">
        <v>163</v>
      </c>
      <c r="AH175" s="60">
        <f>+AF175*5</f>
        <v>50</v>
      </c>
      <c r="AJ175" s="16"/>
      <c r="AK175" s="16"/>
      <c r="AM175" s="16" t="s">
        <v>163</v>
      </c>
      <c r="AN175" s="60">
        <f>+AL175*5</f>
        <v>0</v>
      </c>
    </row>
    <row r="176" spans="1:40" x14ac:dyDescent="0.25">
      <c r="A176" s="143">
        <v>3</v>
      </c>
      <c r="B176" s="92">
        <v>45214</v>
      </c>
      <c r="C176" s="31" t="s">
        <v>1306</v>
      </c>
      <c r="D176" s="32"/>
      <c r="E176" s="32" t="s">
        <v>52</v>
      </c>
      <c r="F176" s="39" t="s">
        <v>1719</v>
      </c>
      <c r="G176" s="39" t="s">
        <v>1724</v>
      </c>
      <c r="H176" s="122">
        <v>200</v>
      </c>
      <c r="I176" s="32">
        <v>88</v>
      </c>
      <c r="J176" s="20">
        <v>10</v>
      </c>
      <c r="K176" s="21"/>
      <c r="L176" s="21">
        <f t="shared" si="30"/>
        <v>98</v>
      </c>
      <c r="M176" s="21">
        <f t="shared" si="31"/>
        <v>102</v>
      </c>
      <c r="N176" s="21"/>
      <c r="O176" s="21"/>
      <c r="P176" s="5"/>
      <c r="Q176" s="21">
        <v>200</v>
      </c>
      <c r="R176" s="16"/>
      <c r="S176" s="21">
        <f t="shared" si="32"/>
        <v>200</v>
      </c>
      <c r="T176" s="21">
        <v>200</v>
      </c>
      <c r="U176" s="78">
        <v>10</v>
      </c>
      <c r="V176" s="140"/>
      <c r="W176" s="147"/>
      <c r="X176" s="23"/>
      <c r="Y176" s="334"/>
      <c r="Z176" s="5"/>
      <c r="AC176" s="16" t="s">
        <v>164</v>
      </c>
      <c r="AD176" s="18">
        <f>+AB176*200</f>
        <v>0</v>
      </c>
      <c r="AF176">
        <v>1</v>
      </c>
      <c r="AG176" s="16" t="s">
        <v>164</v>
      </c>
      <c r="AH176" s="18">
        <f>+AF176*200</f>
        <v>200</v>
      </c>
      <c r="AJ176" s="16"/>
      <c r="AK176" s="16"/>
      <c r="AM176" s="16" t="s">
        <v>164</v>
      </c>
      <c r="AN176" s="18">
        <f>+AL176*200</f>
        <v>0</v>
      </c>
    </row>
    <row r="177" spans="1:40" x14ac:dyDescent="0.25">
      <c r="A177" s="143">
        <v>4</v>
      </c>
      <c r="B177" s="92">
        <v>45214</v>
      </c>
      <c r="C177" s="31" t="s">
        <v>1306</v>
      </c>
      <c r="D177" s="32"/>
      <c r="E177" s="32" t="s">
        <v>52</v>
      </c>
      <c r="F177" s="39" t="s">
        <v>1719</v>
      </c>
      <c r="G177" s="39" t="s">
        <v>1724</v>
      </c>
      <c r="H177" s="122" t="s">
        <v>1728</v>
      </c>
      <c r="I177" s="32"/>
      <c r="J177" s="20">
        <v>10</v>
      </c>
      <c r="K177" s="21">
        <f t="shared" si="33"/>
        <v>0</v>
      </c>
      <c r="L177" s="21">
        <f t="shared" si="30"/>
        <v>10</v>
      </c>
      <c r="M177" s="21" t="e">
        <f t="shared" si="31"/>
        <v>#VALUE!</v>
      </c>
      <c r="N177" s="21"/>
      <c r="O177" s="21"/>
      <c r="P177" s="5"/>
      <c r="Q177" s="21"/>
      <c r="R177" s="16"/>
      <c r="S177" s="21">
        <f t="shared" si="32"/>
        <v>0</v>
      </c>
      <c r="T177" s="21">
        <v>10</v>
      </c>
      <c r="U177" s="78">
        <f t="shared" ref="U177:U192" si="34">T177-S177-O177</f>
        <v>10</v>
      </c>
      <c r="V177" s="140"/>
      <c r="W177" s="147"/>
      <c r="X177" s="23"/>
      <c r="Y177" s="334"/>
      <c r="Z177" s="5"/>
      <c r="AC177" s="16" t="s">
        <v>165</v>
      </c>
      <c r="AD177" s="18">
        <f>+AB177*100</f>
        <v>0</v>
      </c>
      <c r="AF177">
        <v>3</v>
      </c>
      <c r="AG177" s="16" t="s">
        <v>165</v>
      </c>
      <c r="AH177" s="18">
        <f>+AF177*100</f>
        <v>300</v>
      </c>
      <c r="AJ177" s="16"/>
      <c r="AK177" s="16"/>
      <c r="AM177" s="16" t="s">
        <v>165</v>
      </c>
      <c r="AN177" s="18">
        <f>+AL177*100</f>
        <v>0</v>
      </c>
    </row>
    <row r="178" spans="1:40" x14ac:dyDescent="0.25">
      <c r="A178" s="143">
        <v>5</v>
      </c>
      <c r="B178" s="92">
        <v>45214</v>
      </c>
      <c r="C178" s="31" t="s">
        <v>1306</v>
      </c>
      <c r="D178" s="32"/>
      <c r="E178" s="32" t="s">
        <v>52</v>
      </c>
      <c r="F178" s="39" t="s">
        <v>1719</v>
      </c>
      <c r="G178" s="39" t="s">
        <v>1724</v>
      </c>
      <c r="H178" s="122" t="s">
        <v>1728</v>
      </c>
      <c r="I178" s="32"/>
      <c r="J178" s="20">
        <v>10</v>
      </c>
      <c r="K178" s="21">
        <f t="shared" si="33"/>
        <v>-10</v>
      </c>
      <c r="L178" s="21">
        <f t="shared" si="30"/>
        <v>10</v>
      </c>
      <c r="M178" s="21" t="e">
        <f t="shared" si="31"/>
        <v>#VALUE!</v>
      </c>
      <c r="N178" s="21"/>
      <c r="O178" s="21"/>
      <c r="P178" s="5"/>
      <c r="Q178" s="16"/>
      <c r="R178" s="16"/>
      <c r="S178" s="21">
        <f t="shared" si="32"/>
        <v>0</v>
      </c>
      <c r="T178" s="21"/>
      <c r="U178" s="78">
        <f t="shared" si="34"/>
        <v>0</v>
      </c>
      <c r="V178" s="140"/>
      <c r="W178" s="147"/>
      <c r="X178" s="23"/>
      <c r="Y178" s="334"/>
      <c r="Z178" s="5"/>
      <c r="AC178" s="16" t="s">
        <v>166</v>
      </c>
      <c r="AD178" s="18">
        <f>+AB178*50</f>
        <v>0</v>
      </c>
      <c r="AF178">
        <v>4</v>
      </c>
      <c r="AG178" s="16" t="s">
        <v>166</v>
      </c>
      <c r="AH178" s="18">
        <f>+AF178*50</f>
        <v>200</v>
      </c>
      <c r="AJ178" s="16"/>
      <c r="AK178" s="16"/>
      <c r="AM178" s="16" t="s">
        <v>166</v>
      </c>
      <c r="AN178" s="18">
        <f>+AL178*50</f>
        <v>0</v>
      </c>
    </row>
    <row r="179" spans="1:40" x14ac:dyDescent="0.25">
      <c r="A179" s="143">
        <v>6</v>
      </c>
      <c r="B179" s="92">
        <v>45214</v>
      </c>
      <c r="C179" s="31" t="s">
        <v>1725</v>
      </c>
      <c r="D179" s="32"/>
      <c r="E179" s="32" t="s">
        <v>52</v>
      </c>
      <c r="F179" s="32" t="s">
        <v>1726</v>
      </c>
      <c r="G179" s="39" t="s">
        <v>1727</v>
      </c>
      <c r="H179" s="39">
        <v>200</v>
      </c>
      <c r="I179" s="42">
        <v>36</v>
      </c>
      <c r="J179" s="20">
        <v>10</v>
      </c>
      <c r="K179" s="21" t="s">
        <v>1729</v>
      </c>
      <c r="L179" s="21">
        <f t="shared" si="30"/>
        <v>46</v>
      </c>
      <c r="M179" s="21">
        <f t="shared" si="31"/>
        <v>154</v>
      </c>
      <c r="N179" s="21"/>
      <c r="O179" s="21"/>
      <c r="P179" s="5"/>
      <c r="Q179" s="16"/>
      <c r="R179" s="16"/>
      <c r="S179" s="21">
        <f t="shared" si="32"/>
        <v>0</v>
      </c>
      <c r="T179" s="16"/>
      <c r="U179" s="78">
        <f t="shared" si="34"/>
        <v>0</v>
      </c>
      <c r="V179" s="140"/>
      <c r="W179" s="147"/>
      <c r="X179" s="23"/>
      <c r="Y179" s="334"/>
      <c r="Z179" s="5"/>
      <c r="AC179" s="16" t="s">
        <v>167</v>
      </c>
      <c r="AD179" s="18">
        <f>+AB179*20</f>
        <v>0</v>
      </c>
      <c r="AF179">
        <v>3</v>
      </c>
      <c r="AG179" s="16" t="s">
        <v>167</v>
      </c>
      <c r="AH179" s="18">
        <f>+AF179*20</f>
        <v>60</v>
      </c>
      <c r="AJ179" s="16"/>
      <c r="AK179" s="16"/>
      <c r="AM179" s="16" t="s">
        <v>167</v>
      </c>
      <c r="AN179" s="18">
        <f>+AL179*20</f>
        <v>0</v>
      </c>
    </row>
    <row r="180" spans="1:40" x14ac:dyDescent="0.25">
      <c r="A180" s="143">
        <v>7</v>
      </c>
      <c r="B180" s="92">
        <v>45214</v>
      </c>
      <c r="C180" s="31" t="s">
        <v>1178</v>
      </c>
      <c r="D180" s="32"/>
      <c r="E180" s="32" t="s">
        <v>52</v>
      </c>
      <c r="F180" s="32" t="s">
        <v>98</v>
      </c>
      <c r="G180" s="39" t="s">
        <v>1730</v>
      </c>
      <c r="H180" s="122">
        <v>250</v>
      </c>
      <c r="I180" s="42">
        <v>74</v>
      </c>
      <c r="J180" s="20">
        <v>10</v>
      </c>
      <c r="K180" s="21">
        <f t="shared" si="33"/>
        <v>-10</v>
      </c>
      <c r="L180" s="21">
        <f t="shared" si="30"/>
        <v>84</v>
      </c>
      <c r="M180" s="21">
        <f t="shared" si="31"/>
        <v>166</v>
      </c>
      <c r="N180" s="21"/>
      <c r="O180" s="21"/>
      <c r="P180" s="5"/>
      <c r="Q180" s="16"/>
      <c r="R180" s="16"/>
      <c r="S180" s="21">
        <f t="shared" si="32"/>
        <v>0</v>
      </c>
      <c r="T180" s="16"/>
      <c r="U180" s="78">
        <f t="shared" si="34"/>
        <v>0</v>
      </c>
      <c r="V180" s="140"/>
      <c r="W180" s="147"/>
      <c r="X180" s="23"/>
      <c r="Y180" s="334"/>
      <c r="Z180" s="5"/>
      <c r="AC180" s="16" t="s">
        <v>171</v>
      </c>
      <c r="AD180" s="18">
        <f>+AB180*500</f>
        <v>0</v>
      </c>
      <c r="AG180" s="16" t="s">
        <v>171</v>
      </c>
      <c r="AH180" s="18">
        <f>+AF180*500</f>
        <v>0</v>
      </c>
      <c r="AJ180" s="16"/>
      <c r="AK180" s="16"/>
      <c r="AM180" s="16" t="s">
        <v>171</v>
      </c>
      <c r="AN180" s="18">
        <f>+AL180*500</f>
        <v>0</v>
      </c>
    </row>
    <row r="181" spans="1:40" x14ac:dyDescent="0.25">
      <c r="A181" s="143">
        <v>8</v>
      </c>
      <c r="B181" s="92">
        <v>45214</v>
      </c>
      <c r="C181" s="31" t="s">
        <v>1731</v>
      </c>
      <c r="D181" s="123"/>
      <c r="E181" s="123" t="s">
        <v>41</v>
      </c>
      <c r="F181" s="123" t="s">
        <v>1732</v>
      </c>
      <c r="G181" s="39" t="s">
        <v>1733</v>
      </c>
      <c r="H181" s="122">
        <v>250</v>
      </c>
      <c r="I181" s="32">
        <v>128</v>
      </c>
      <c r="J181" s="20">
        <v>10</v>
      </c>
      <c r="K181" s="21">
        <f t="shared" si="33"/>
        <v>-160</v>
      </c>
      <c r="L181" s="21">
        <f t="shared" si="30"/>
        <v>138</v>
      </c>
      <c r="M181" s="21">
        <f t="shared" si="31"/>
        <v>112</v>
      </c>
      <c r="N181" s="21"/>
      <c r="O181" s="21">
        <v>80</v>
      </c>
      <c r="P181" s="5"/>
      <c r="Q181" s="16">
        <v>250</v>
      </c>
      <c r="R181" s="16"/>
      <c r="S181" s="21">
        <f t="shared" si="32"/>
        <v>250</v>
      </c>
      <c r="T181" s="16">
        <v>260</v>
      </c>
      <c r="U181" s="78">
        <f t="shared" si="34"/>
        <v>-70</v>
      </c>
      <c r="V181" s="140"/>
      <c r="W181" s="147"/>
      <c r="X181" s="23"/>
      <c r="Y181" s="334"/>
      <c r="Z181" s="5"/>
      <c r="AC181" s="16" t="s">
        <v>168</v>
      </c>
      <c r="AD181" s="18">
        <f>+AB181*1000</f>
        <v>0</v>
      </c>
      <c r="AG181" s="16" t="s">
        <v>168</v>
      </c>
      <c r="AH181" s="18">
        <f>+AF181*1000</f>
        <v>0</v>
      </c>
      <c r="AJ181" s="16"/>
      <c r="AK181" s="16"/>
      <c r="AM181" s="16" t="s">
        <v>168</v>
      </c>
      <c r="AN181" s="18">
        <f>+AL181*1000</f>
        <v>0</v>
      </c>
    </row>
    <row r="182" spans="1:40" x14ac:dyDescent="0.25">
      <c r="A182" s="143">
        <v>9</v>
      </c>
      <c r="B182" s="92">
        <v>45214</v>
      </c>
      <c r="C182" s="31" t="s">
        <v>30</v>
      </c>
      <c r="D182" s="195">
        <v>5537803548</v>
      </c>
      <c r="E182" s="32"/>
      <c r="F182" s="32" t="s">
        <v>1734</v>
      </c>
      <c r="G182" s="39" t="s">
        <v>1735</v>
      </c>
      <c r="H182" s="39"/>
      <c r="I182" s="40">
        <v>373</v>
      </c>
      <c r="J182" s="20">
        <v>10</v>
      </c>
      <c r="K182" s="21">
        <f t="shared" si="33"/>
        <v>-480</v>
      </c>
      <c r="L182" s="21">
        <f t="shared" si="30"/>
        <v>383</v>
      </c>
      <c r="M182" s="21">
        <f t="shared" si="31"/>
        <v>-383</v>
      </c>
      <c r="N182" s="21"/>
      <c r="O182" s="21">
        <v>235</v>
      </c>
      <c r="P182" s="5"/>
      <c r="Q182" s="16"/>
      <c r="R182" s="16"/>
      <c r="S182" s="21">
        <f t="shared" si="32"/>
        <v>0</v>
      </c>
      <c r="T182" s="16"/>
      <c r="U182" s="78">
        <f t="shared" si="34"/>
        <v>-235</v>
      </c>
      <c r="V182" s="140"/>
      <c r="W182" s="147"/>
      <c r="X182" s="23"/>
      <c r="Y182" s="334"/>
      <c r="Z182" s="5"/>
      <c r="AC182" s="26"/>
      <c r="AD182" s="58"/>
      <c r="AG182" s="26"/>
      <c r="AH182" s="58"/>
      <c r="AJ182" s="16"/>
      <c r="AK182" s="16"/>
      <c r="AM182" s="26"/>
      <c r="AN182" s="58"/>
    </row>
    <row r="183" spans="1:40" x14ac:dyDescent="0.25">
      <c r="A183" s="143">
        <v>10</v>
      </c>
      <c r="B183" s="92">
        <v>45214</v>
      </c>
      <c r="C183" s="31" t="s">
        <v>1736</v>
      </c>
      <c r="D183" s="32">
        <v>5527736268</v>
      </c>
      <c r="E183" s="32" t="s">
        <v>1739</v>
      </c>
      <c r="F183" s="32" t="s">
        <v>1737</v>
      </c>
      <c r="G183" s="39" t="s">
        <v>1738</v>
      </c>
      <c r="H183" s="122"/>
      <c r="I183" s="42">
        <v>90</v>
      </c>
      <c r="J183" s="20">
        <v>10</v>
      </c>
      <c r="K183" s="21">
        <f t="shared" si="33"/>
        <v>-84</v>
      </c>
      <c r="L183" s="21">
        <f t="shared" si="30"/>
        <v>100</v>
      </c>
      <c r="M183" s="21">
        <f t="shared" si="31"/>
        <v>-100</v>
      </c>
      <c r="N183" s="21"/>
      <c r="O183" s="21">
        <v>37</v>
      </c>
      <c r="P183" s="5"/>
      <c r="Q183" s="16"/>
      <c r="R183" s="16"/>
      <c r="S183" s="21">
        <f t="shared" si="32"/>
        <v>0</v>
      </c>
      <c r="T183" s="16"/>
      <c r="U183" s="78">
        <f t="shared" si="34"/>
        <v>-37</v>
      </c>
      <c r="V183" s="140"/>
      <c r="W183" s="147"/>
      <c r="X183" s="23"/>
      <c r="Y183" s="334"/>
      <c r="Z183" s="5"/>
      <c r="AC183" s="16" t="s">
        <v>169</v>
      </c>
      <c r="AD183" s="18">
        <f>SUM(AD173:AD182)</f>
        <v>0</v>
      </c>
      <c r="AG183" s="16" t="s">
        <v>169</v>
      </c>
      <c r="AH183" s="18">
        <f>SUM(AH173:AH182)</f>
        <v>886</v>
      </c>
      <c r="AJ183" s="16"/>
      <c r="AK183" s="16"/>
      <c r="AM183" s="16" t="s">
        <v>169</v>
      </c>
      <c r="AN183" s="18"/>
    </row>
    <row r="184" spans="1:40" x14ac:dyDescent="0.25">
      <c r="A184" s="143">
        <v>11</v>
      </c>
      <c r="B184" s="92">
        <v>45214</v>
      </c>
      <c r="C184" s="31" t="s">
        <v>1306</v>
      </c>
      <c r="D184" s="32"/>
      <c r="E184" s="32" t="s">
        <v>52</v>
      </c>
      <c r="F184" s="39" t="s">
        <v>1719</v>
      </c>
      <c r="G184" s="39" t="s">
        <v>1740</v>
      </c>
      <c r="H184" s="122"/>
      <c r="I184" s="42">
        <v>37</v>
      </c>
      <c r="J184" s="20">
        <v>10</v>
      </c>
      <c r="K184" s="21">
        <f t="shared" si="33"/>
        <v>40</v>
      </c>
      <c r="L184" s="21">
        <f t="shared" si="30"/>
        <v>47</v>
      </c>
      <c r="M184" s="21">
        <f t="shared" si="31"/>
        <v>-47</v>
      </c>
      <c r="N184" s="21">
        <v>50</v>
      </c>
      <c r="O184" s="21"/>
      <c r="P184" s="5"/>
      <c r="Q184" s="16"/>
      <c r="R184" s="16"/>
      <c r="S184" s="21">
        <f t="shared" si="32"/>
        <v>0</v>
      </c>
      <c r="T184" s="16">
        <v>50</v>
      </c>
      <c r="U184" s="78">
        <f t="shared" si="34"/>
        <v>50</v>
      </c>
      <c r="V184" s="140"/>
      <c r="W184" s="147"/>
      <c r="X184" s="23"/>
      <c r="Y184" s="334"/>
      <c r="Z184" s="5"/>
      <c r="AJ184" s="16"/>
      <c r="AK184" s="16"/>
      <c r="AM184" s="16"/>
      <c r="AN184" s="16"/>
    </row>
    <row r="185" spans="1:40" x14ac:dyDescent="0.25">
      <c r="A185" s="143">
        <v>12</v>
      </c>
      <c r="B185" s="92">
        <v>45214</v>
      </c>
      <c r="C185" s="32" t="s">
        <v>1741</v>
      </c>
      <c r="D185" s="32"/>
      <c r="E185" s="124"/>
      <c r="F185" s="123"/>
      <c r="G185" s="39" t="s">
        <v>1742</v>
      </c>
      <c r="H185" s="39"/>
      <c r="I185" s="42"/>
      <c r="J185" s="20">
        <v>10</v>
      </c>
      <c r="K185" s="21">
        <f t="shared" si="33"/>
        <v>3</v>
      </c>
      <c r="L185" s="21">
        <f t="shared" si="30"/>
        <v>10</v>
      </c>
      <c r="M185" s="21">
        <f t="shared" si="31"/>
        <v>-10</v>
      </c>
      <c r="N185" s="21"/>
      <c r="O185" s="21"/>
      <c r="P185" s="5"/>
      <c r="Q185" s="45">
        <v>50</v>
      </c>
      <c r="R185" s="44"/>
      <c r="S185" s="21">
        <f t="shared" si="32"/>
        <v>50</v>
      </c>
      <c r="T185" s="45">
        <v>63</v>
      </c>
      <c r="U185" s="78">
        <f t="shared" si="34"/>
        <v>13</v>
      </c>
      <c r="V185" s="140"/>
      <c r="W185" s="147"/>
      <c r="X185" s="23"/>
      <c r="Y185" s="334"/>
      <c r="Z185" s="5"/>
      <c r="AJ185" s="63" t="s">
        <v>169</v>
      </c>
      <c r="AK185" s="63">
        <f>+SUM(AJ174:AJ184)-SUM(AK174:AK184)</f>
        <v>0</v>
      </c>
      <c r="AM185" s="63" t="s">
        <v>169</v>
      </c>
      <c r="AN185" s="85">
        <f>+SUM(AM173:AM184)-SUM(AN174:AN184)</f>
        <v>0</v>
      </c>
    </row>
    <row r="186" spans="1:40" x14ac:dyDescent="0.25">
      <c r="A186" s="143">
        <v>13</v>
      </c>
      <c r="B186" s="92">
        <v>45214</v>
      </c>
      <c r="C186" s="31" t="s">
        <v>1743</v>
      </c>
      <c r="D186" s="32"/>
      <c r="E186" s="32"/>
      <c r="F186" s="32" t="s">
        <v>1745</v>
      </c>
      <c r="G186" s="39" t="s">
        <v>1744</v>
      </c>
      <c r="H186" s="39">
        <v>100</v>
      </c>
      <c r="I186" s="42">
        <v>68</v>
      </c>
      <c r="J186" s="108">
        <v>10</v>
      </c>
      <c r="K186" s="21">
        <f t="shared" si="33"/>
        <v>0</v>
      </c>
      <c r="L186" s="21">
        <f t="shared" si="30"/>
        <v>78</v>
      </c>
      <c r="M186" s="21">
        <f t="shared" si="31"/>
        <v>22</v>
      </c>
      <c r="N186" s="21"/>
      <c r="O186" s="21"/>
      <c r="P186" s="5"/>
      <c r="Q186" s="43">
        <v>100</v>
      </c>
      <c r="R186" s="32"/>
      <c r="S186" s="21">
        <f t="shared" si="32"/>
        <v>100</v>
      </c>
      <c r="T186" s="43">
        <v>110</v>
      </c>
      <c r="U186" s="78">
        <f t="shared" si="34"/>
        <v>10</v>
      </c>
      <c r="V186" s="140"/>
      <c r="W186" s="147"/>
      <c r="X186" s="23"/>
      <c r="Y186" s="334"/>
      <c r="Z186" s="5"/>
      <c r="AH186" s="83"/>
    </row>
    <row r="187" spans="1:40" x14ac:dyDescent="0.25">
      <c r="A187" s="143">
        <v>14</v>
      </c>
      <c r="B187" s="92">
        <v>45214</v>
      </c>
      <c r="C187" s="31"/>
      <c r="D187" s="32"/>
      <c r="E187" s="32"/>
      <c r="F187" s="32"/>
      <c r="G187" s="39"/>
      <c r="H187" s="39"/>
      <c r="I187" s="42"/>
      <c r="J187" s="108">
        <v>10</v>
      </c>
      <c r="K187" s="21">
        <f t="shared" si="33"/>
        <v>-10</v>
      </c>
      <c r="L187" s="21">
        <f t="shared" si="30"/>
        <v>10</v>
      </c>
      <c r="M187" s="21">
        <f t="shared" si="31"/>
        <v>-10</v>
      </c>
      <c r="N187" s="21"/>
      <c r="O187" s="21"/>
      <c r="P187" s="5"/>
      <c r="Q187" s="43"/>
      <c r="R187" s="43"/>
      <c r="S187" s="21">
        <f t="shared" si="32"/>
        <v>0</v>
      </c>
      <c r="T187" s="43"/>
      <c r="U187" s="78">
        <f t="shared" si="34"/>
        <v>0</v>
      </c>
      <c r="V187" s="140"/>
      <c r="W187" s="147"/>
      <c r="X187" s="23"/>
      <c r="Y187" s="334"/>
      <c r="Z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40" x14ac:dyDescent="0.25">
      <c r="A188" s="143">
        <v>15</v>
      </c>
      <c r="B188" s="92">
        <v>45214</v>
      </c>
      <c r="C188" s="127"/>
      <c r="D188" s="32"/>
      <c r="E188" s="32"/>
      <c r="F188" s="128"/>
      <c r="G188" s="129"/>
      <c r="H188" s="39"/>
      <c r="I188" s="42"/>
      <c r="J188" s="108">
        <v>10</v>
      </c>
      <c r="K188" s="21">
        <f t="shared" si="33"/>
        <v>-10</v>
      </c>
      <c r="L188" s="21">
        <f t="shared" si="30"/>
        <v>10</v>
      </c>
      <c r="M188" s="21">
        <f t="shared" si="31"/>
        <v>-10</v>
      </c>
      <c r="N188" s="21"/>
      <c r="O188" s="21"/>
      <c r="P188" s="5"/>
      <c r="Q188" s="43"/>
      <c r="R188" s="43"/>
      <c r="S188" s="21">
        <f t="shared" si="32"/>
        <v>0</v>
      </c>
      <c r="T188" s="43"/>
      <c r="U188" s="78">
        <f t="shared" si="34"/>
        <v>0</v>
      </c>
      <c r="V188" s="140"/>
      <c r="W188" s="147"/>
      <c r="X188" s="23"/>
      <c r="Y188" s="334"/>
      <c r="Z188" s="5"/>
      <c r="AC188" s="5"/>
      <c r="AD188" s="134" t="s">
        <v>20</v>
      </c>
      <c r="AE188" s="338"/>
      <c r="AF188" s="341" t="s">
        <v>686</v>
      </c>
      <c r="AG188" s="134" t="s">
        <v>20</v>
      </c>
      <c r="AH188" s="338"/>
      <c r="AI188" s="341" t="s">
        <v>687</v>
      </c>
      <c r="AJ188" s="134" t="s">
        <v>20</v>
      </c>
      <c r="AK188" s="338">
        <v>139</v>
      </c>
      <c r="AL188" s="5"/>
    </row>
    <row r="189" spans="1:40" x14ac:dyDescent="0.25">
      <c r="A189" s="143">
        <v>16</v>
      </c>
      <c r="B189" s="92">
        <v>45214</v>
      </c>
      <c r="C189" s="31"/>
      <c r="D189" s="32"/>
      <c r="E189" s="32"/>
      <c r="F189" s="32"/>
      <c r="G189" s="39"/>
      <c r="H189" s="39"/>
      <c r="I189" s="42"/>
      <c r="J189" s="43">
        <v>10</v>
      </c>
      <c r="K189" s="21">
        <f t="shared" si="33"/>
        <v>-10</v>
      </c>
      <c r="L189" s="21">
        <f t="shared" si="30"/>
        <v>10</v>
      </c>
      <c r="M189" s="21">
        <f t="shared" si="31"/>
        <v>-10</v>
      </c>
      <c r="N189" s="21"/>
      <c r="O189" s="21"/>
      <c r="P189" s="5"/>
      <c r="Q189" s="43"/>
      <c r="R189" s="32"/>
      <c r="S189" s="21">
        <f t="shared" si="32"/>
        <v>0</v>
      </c>
      <c r="T189" s="131"/>
      <c r="U189" s="78">
        <f t="shared" si="34"/>
        <v>0</v>
      </c>
      <c r="V189" s="140"/>
      <c r="W189" s="147"/>
      <c r="X189" s="23"/>
      <c r="Y189" s="334"/>
      <c r="Z189" s="5"/>
      <c r="AC189" s="5" t="s">
        <v>685</v>
      </c>
      <c r="AD189" s="115" t="s">
        <v>684</v>
      </c>
      <c r="AE189" s="339"/>
      <c r="AF189" s="341"/>
      <c r="AG189" s="115" t="s">
        <v>684</v>
      </c>
      <c r="AH189" s="339"/>
      <c r="AI189" s="341"/>
      <c r="AJ189" s="115" t="s">
        <v>684</v>
      </c>
      <c r="AK189" s="339"/>
      <c r="AL189" s="5"/>
    </row>
    <row r="190" spans="1:40" x14ac:dyDescent="0.25">
      <c r="A190" s="143">
        <v>17</v>
      </c>
      <c r="B190" s="92">
        <v>45214</v>
      </c>
      <c r="C190" s="31"/>
      <c r="D190" s="32"/>
      <c r="E190" s="32"/>
      <c r="F190" s="32"/>
      <c r="G190" s="39"/>
      <c r="H190" s="39"/>
      <c r="I190" s="42"/>
      <c r="J190" s="43">
        <v>10</v>
      </c>
      <c r="K190" s="21">
        <f t="shared" si="33"/>
        <v>-10</v>
      </c>
      <c r="L190" s="21">
        <f t="shared" si="30"/>
        <v>10</v>
      </c>
      <c r="M190" s="21">
        <f t="shared" si="31"/>
        <v>-10</v>
      </c>
      <c r="N190" s="21"/>
      <c r="O190" s="21"/>
      <c r="P190" s="5"/>
      <c r="Q190" s="43"/>
      <c r="R190" s="32"/>
      <c r="S190" s="21">
        <f t="shared" si="32"/>
        <v>0</v>
      </c>
      <c r="T190" s="132"/>
      <c r="U190" s="78">
        <f t="shared" si="34"/>
        <v>0</v>
      </c>
      <c r="V190" s="140"/>
      <c r="W190" s="147"/>
      <c r="X190" s="23"/>
      <c r="Y190" s="340"/>
      <c r="Z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40" x14ac:dyDescent="0.25">
      <c r="A191" s="143">
        <v>18</v>
      </c>
      <c r="B191" s="92">
        <v>45214</v>
      </c>
      <c r="C191" s="31"/>
      <c r="D191" s="32"/>
      <c r="E191" s="32"/>
      <c r="F191" s="32"/>
      <c r="G191" s="39"/>
      <c r="H191" s="39"/>
      <c r="I191" s="42"/>
      <c r="J191" s="43">
        <v>10</v>
      </c>
      <c r="K191" s="21">
        <f t="shared" si="33"/>
        <v>-10</v>
      </c>
      <c r="L191" s="21">
        <f t="shared" si="30"/>
        <v>10</v>
      </c>
      <c r="M191" s="21">
        <f t="shared" si="31"/>
        <v>-10</v>
      </c>
      <c r="N191" s="21"/>
      <c r="O191" s="21"/>
      <c r="P191" s="5"/>
      <c r="Q191" s="135"/>
      <c r="R191" s="104"/>
      <c r="S191" s="21">
        <f t="shared" si="32"/>
        <v>0</v>
      </c>
      <c r="T191" s="131"/>
      <c r="U191" s="78">
        <f t="shared" si="34"/>
        <v>0</v>
      </c>
      <c r="V191" s="140"/>
      <c r="W191" s="138"/>
      <c r="X191" s="32"/>
      <c r="Z191" s="5"/>
    </row>
    <row r="192" spans="1:40" x14ac:dyDescent="0.25">
      <c r="A192" s="143">
        <v>19</v>
      </c>
      <c r="B192" s="92">
        <v>45214</v>
      </c>
      <c r="C192" s="31"/>
      <c r="D192" s="32"/>
      <c r="E192" s="32"/>
      <c r="F192" s="32"/>
      <c r="G192" s="39"/>
      <c r="H192" s="39"/>
      <c r="I192" s="42"/>
      <c r="J192" s="43">
        <v>10</v>
      </c>
      <c r="K192" s="21">
        <f t="shared" si="33"/>
        <v>-10</v>
      </c>
      <c r="L192" s="21">
        <f t="shared" si="30"/>
        <v>10</v>
      </c>
      <c r="M192" s="21">
        <f t="shared" si="31"/>
        <v>-10</v>
      </c>
      <c r="N192" s="21"/>
      <c r="O192" s="21"/>
      <c r="P192" s="5"/>
      <c r="Q192" s="32"/>
      <c r="R192" s="32"/>
      <c r="S192" s="21">
        <f t="shared" si="32"/>
        <v>0</v>
      </c>
      <c r="T192" s="32"/>
      <c r="U192" s="78">
        <f t="shared" si="34"/>
        <v>0</v>
      </c>
      <c r="V192" s="140"/>
      <c r="W192" s="138"/>
      <c r="X192" s="32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141"/>
      <c r="W193" s="5"/>
      <c r="X193" s="5"/>
      <c r="Y193" s="5"/>
      <c r="Z193" s="5"/>
    </row>
  </sheetData>
  <mergeCells count="77">
    <mergeCell ref="AK188:AK189"/>
    <mergeCell ref="Y174:Y190"/>
    <mergeCell ref="AE188:AE189"/>
    <mergeCell ref="AF188:AF189"/>
    <mergeCell ref="AH188:AH189"/>
    <mergeCell ref="AI188:AI189"/>
    <mergeCell ref="S172:T172"/>
    <mergeCell ref="AC172:AD172"/>
    <mergeCell ref="AG172:AH172"/>
    <mergeCell ref="AJ172:AK172"/>
    <mergeCell ref="AM172:AN172"/>
    <mergeCell ref="AK100:AK101"/>
    <mergeCell ref="Y86:Y102"/>
    <mergeCell ref="AE100:AE101"/>
    <mergeCell ref="AF100:AF101"/>
    <mergeCell ref="AH100:AH101"/>
    <mergeCell ref="AI100:AI101"/>
    <mergeCell ref="S84:T84"/>
    <mergeCell ref="AC84:AD84"/>
    <mergeCell ref="AG84:AH84"/>
    <mergeCell ref="AJ84:AK84"/>
    <mergeCell ref="AM84:AN84"/>
    <mergeCell ref="AM1:AN1"/>
    <mergeCell ref="Y3:Y19"/>
    <mergeCell ref="AE17:AE18"/>
    <mergeCell ref="AF17:AF18"/>
    <mergeCell ref="AH17:AH18"/>
    <mergeCell ref="AI17:AI18"/>
    <mergeCell ref="AK17:AK18"/>
    <mergeCell ref="S1:T1"/>
    <mergeCell ref="AC1:AD1"/>
    <mergeCell ref="AG1:AH1"/>
    <mergeCell ref="AJ1:AK1"/>
    <mergeCell ref="S26:T26"/>
    <mergeCell ref="AC26:AD26"/>
    <mergeCell ref="AG26:AH26"/>
    <mergeCell ref="AJ26:AK26"/>
    <mergeCell ref="AM26:AN26"/>
    <mergeCell ref="Y28:Y45"/>
    <mergeCell ref="AE43:AE44"/>
    <mergeCell ref="AF43:AF44"/>
    <mergeCell ref="AH43:AH44"/>
    <mergeCell ref="AI43:AI44"/>
    <mergeCell ref="AK43:AK44"/>
    <mergeCell ref="S54:T54"/>
    <mergeCell ref="AC54:AD54"/>
    <mergeCell ref="AG54:AH54"/>
    <mergeCell ref="AJ54:AK54"/>
    <mergeCell ref="AM54:AN54"/>
    <mergeCell ref="AK70:AK71"/>
    <mergeCell ref="Y56:Y72"/>
    <mergeCell ref="AE70:AE71"/>
    <mergeCell ref="AF70:AF71"/>
    <mergeCell ref="AH70:AH71"/>
    <mergeCell ref="AI70:AI71"/>
    <mergeCell ref="S112:T112"/>
    <mergeCell ref="AC112:AD112"/>
    <mergeCell ref="AG112:AH112"/>
    <mergeCell ref="AJ112:AK112"/>
    <mergeCell ref="AM112:AN112"/>
    <mergeCell ref="AK128:AK129"/>
    <mergeCell ref="Y114:Y130"/>
    <mergeCell ref="AE128:AE129"/>
    <mergeCell ref="AF128:AF129"/>
    <mergeCell ref="AH128:AH129"/>
    <mergeCell ref="AI128:AI129"/>
    <mergeCell ref="S137:T137"/>
    <mergeCell ref="AC137:AD137"/>
    <mergeCell ref="AG137:AH137"/>
    <mergeCell ref="AJ137:AK137"/>
    <mergeCell ref="AM137:AN137"/>
    <mergeCell ref="AK153:AK154"/>
    <mergeCell ref="Y139:Y155"/>
    <mergeCell ref="AE153:AE154"/>
    <mergeCell ref="AF153:AF154"/>
    <mergeCell ref="AH153:AH154"/>
    <mergeCell ref="AI153:AI15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2"/>
  <sheetViews>
    <sheetView topLeftCell="A139" zoomScale="90" zoomScaleNormal="90" workbookViewId="0">
      <selection activeCell="G147" sqref="G147"/>
    </sheetView>
  </sheetViews>
  <sheetFormatPr baseColWidth="10" defaultRowHeight="15" x14ac:dyDescent="0.25"/>
  <cols>
    <col min="4" max="4" width="17.140625" bestFit="1" customWidth="1"/>
  </cols>
  <sheetData>
    <row r="1" spans="1:40" x14ac:dyDescent="0.25">
      <c r="A1" s="1" t="s">
        <v>0</v>
      </c>
      <c r="B1" s="1"/>
      <c r="C1" s="1"/>
      <c r="D1" s="1"/>
      <c r="E1" s="1"/>
      <c r="F1" s="1"/>
      <c r="G1" s="1"/>
      <c r="H1" s="1"/>
      <c r="I1" s="1" t="s">
        <v>148</v>
      </c>
      <c r="J1" s="1"/>
      <c r="K1" s="1"/>
      <c r="L1" s="1"/>
      <c r="M1" s="1"/>
      <c r="N1" s="1"/>
      <c r="O1" s="1"/>
      <c r="P1" s="1"/>
      <c r="Q1" s="1"/>
      <c r="R1" s="1"/>
      <c r="S1" s="342" t="s">
        <v>1</v>
      </c>
      <c r="T1" s="342"/>
      <c r="U1" s="5"/>
      <c r="V1" s="139"/>
      <c r="W1" s="1"/>
      <c r="X1" s="1"/>
      <c r="Y1" s="1"/>
      <c r="Z1" s="5"/>
      <c r="AC1" s="335" t="s">
        <v>160</v>
      </c>
      <c r="AD1" s="336"/>
      <c r="AG1" s="335" t="s">
        <v>170</v>
      </c>
      <c r="AH1" s="336"/>
      <c r="AJ1" s="337" t="s">
        <v>172</v>
      </c>
      <c r="AK1" s="337"/>
      <c r="AM1" s="337" t="s">
        <v>681</v>
      </c>
      <c r="AN1" s="337"/>
    </row>
    <row r="2" spans="1:40" ht="90" x14ac:dyDescent="0.25">
      <c r="A2" s="6" t="s">
        <v>2</v>
      </c>
      <c r="B2" s="7" t="s">
        <v>3</v>
      </c>
      <c r="C2" s="7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8" t="s">
        <v>9</v>
      </c>
      <c r="I2" s="9" t="s">
        <v>10</v>
      </c>
      <c r="J2" s="8" t="s">
        <v>11</v>
      </c>
      <c r="K2" s="10" t="s">
        <v>12</v>
      </c>
      <c r="L2" s="10" t="s">
        <v>13</v>
      </c>
      <c r="M2" s="11" t="s">
        <v>14</v>
      </c>
      <c r="N2" s="10" t="s">
        <v>691</v>
      </c>
      <c r="O2" s="10" t="s">
        <v>28</v>
      </c>
      <c r="P2" s="5"/>
      <c r="Q2" s="10" t="s">
        <v>16</v>
      </c>
      <c r="R2" s="10" t="s">
        <v>17</v>
      </c>
      <c r="S2" s="10" t="s">
        <v>18</v>
      </c>
      <c r="T2" s="10" t="s">
        <v>19</v>
      </c>
      <c r="U2" s="10" t="s">
        <v>20</v>
      </c>
      <c r="V2" s="13"/>
      <c r="W2" s="136" t="s">
        <v>688</v>
      </c>
      <c r="X2" s="14" t="s">
        <v>22</v>
      </c>
      <c r="Y2" s="15" t="s">
        <v>23</v>
      </c>
      <c r="Z2" s="5"/>
      <c r="AB2">
        <v>8</v>
      </c>
      <c r="AC2" s="16" t="s">
        <v>161</v>
      </c>
      <c r="AD2" s="58">
        <f>+AB2*10</f>
        <v>80</v>
      </c>
      <c r="AF2">
        <v>8</v>
      </c>
      <c r="AG2" s="16" t="s">
        <v>161</v>
      </c>
      <c r="AH2" s="58">
        <f>+AF2*10</f>
        <v>80</v>
      </c>
      <c r="AJ2" s="61" t="s">
        <v>173</v>
      </c>
      <c r="AK2" s="62" t="s">
        <v>174</v>
      </c>
      <c r="AM2" s="16" t="s">
        <v>161</v>
      </c>
      <c r="AN2" s="58">
        <f>+AL2*10</f>
        <v>0</v>
      </c>
    </row>
    <row r="3" spans="1:40" x14ac:dyDescent="0.25">
      <c r="A3" s="16">
        <v>1</v>
      </c>
      <c r="B3" s="92">
        <v>45215</v>
      </c>
      <c r="C3" s="31" t="s">
        <v>1746</v>
      </c>
      <c r="D3" s="32"/>
      <c r="E3" s="32" t="s">
        <v>1190</v>
      </c>
      <c r="F3" s="39" t="s">
        <v>1610</v>
      </c>
      <c r="G3" s="39" t="s">
        <v>1747</v>
      </c>
      <c r="H3" s="122"/>
      <c r="I3" s="32">
        <v>86</v>
      </c>
      <c r="J3" s="20">
        <v>12</v>
      </c>
      <c r="K3" s="21">
        <f>U3-J3-O3</f>
        <v>0</v>
      </c>
      <c r="L3" s="21">
        <f t="shared" ref="L3:L21" si="0">+I3+J3</f>
        <v>98</v>
      </c>
      <c r="M3" s="21">
        <f t="shared" ref="M3:M21" si="1">+H3-L3</f>
        <v>-98</v>
      </c>
      <c r="N3" s="21"/>
      <c r="O3" s="21"/>
      <c r="P3" s="5"/>
      <c r="Q3" s="21">
        <v>100</v>
      </c>
      <c r="R3" s="16"/>
      <c r="S3" s="21">
        <f t="shared" ref="S3:S21" si="2">+Q3+R3</f>
        <v>100</v>
      </c>
      <c r="T3" s="21">
        <v>112</v>
      </c>
      <c r="U3" s="78">
        <f>T3-S3-O3</f>
        <v>12</v>
      </c>
      <c r="V3" s="13"/>
      <c r="W3" s="147"/>
      <c r="X3" s="23"/>
      <c r="Y3" s="333"/>
      <c r="Z3" s="5"/>
      <c r="AB3">
        <v>87</v>
      </c>
      <c r="AC3" s="59" t="s">
        <v>162</v>
      </c>
      <c r="AD3" s="18">
        <f>+AB3*1</f>
        <v>87</v>
      </c>
      <c r="AF3">
        <v>105</v>
      </c>
      <c r="AG3" s="59" t="s">
        <v>162</v>
      </c>
      <c r="AH3" s="18">
        <f>+AF3*1</f>
        <v>105</v>
      </c>
      <c r="AJ3" s="16"/>
      <c r="AK3" s="16"/>
      <c r="AM3" s="59" t="s">
        <v>162</v>
      </c>
      <c r="AN3" s="18">
        <f>+AL3*1</f>
        <v>0</v>
      </c>
    </row>
    <row r="4" spans="1:40" x14ac:dyDescent="0.25">
      <c r="A4" s="26">
        <v>2</v>
      </c>
      <c r="B4" s="92">
        <v>45215</v>
      </c>
      <c r="C4" s="31" t="s">
        <v>1748</v>
      </c>
      <c r="D4" s="32"/>
      <c r="E4" s="32" t="s">
        <v>408</v>
      </c>
      <c r="F4" s="32" t="s">
        <v>1749</v>
      </c>
      <c r="G4" s="39" t="s">
        <v>1752</v>
      </c>
      <c r="H4" s="122">
        <v>500</v>
      </c>
      <c r="I4" s="32">
        <v>298</v>
      </c>
      <c r="J4" s="20">
        <v>14</v>
      </c>
      <c r="K4" s="21">
        <f t="shared" ref="K4:K21" si="3">U4-J4-O4</f>
        <v>0</v>
      </c>
      <c r="L4" s="21">
        <f t="shared" si="0"/>
        <v>312</v>
      </c>
      <c r="M4" s="21">
        <f t="shared" si="1"/>
        <v>188</v>
      </c>
      <c r="N4" s="21"/>
      <c r="O4" s="21"/>
      <c r="P4" s="5"/>
      <c r="Q4" s="21">
        <v>500</v>
      </c>
      <c r="R4" s="16"/>
      <c r="S4" s="21">
        <f t="shared" si="2"/>
        <v>500</v>
      </c>
      <c r="T4" s="21">
        <v>514</v>
      </c>
      <c r="U4" s="78">
        <f t="shared" ref="U4:U21" si="4">T4-S4-O4</f>
        <v>14</v>
      </c>
      <c r="V4" s="140"/>
      <c r="W4" s="147"/>
      <c r="X4" s="23"/>
      <c r="Y4" s="334"/>
      <c r="Z4" s="5"/>
      <c r="AB4">
        <v>12</v>
      </c>
      <c r="AC4" s="16" t="s">
        <v>163</v>
      </c>
      <c r="AD4" s="60">
        <f>+AB4*5</f>
        <v>60</v>
      </c>
      <c r="AF4">
        <v>18</v>
      </c>
      <c r="AG4" s="16" t="s">
        <v>163</v>
      </c>
      <c r="AH4" s="60">
        <f>+AF4*5</f>
        <v>90</v>
      </c>
      <c r="AJ4" s="16"/>
      <c r="AK4" s="16"/>
      <c r="AM4" s="16" t="s">
        <v>163</v>
      </c>
      <c r="AN4" s="60">
        <f>+AL4*5</f>
        <v>0</v>
      </c>
    </row>
    <row r="5" spans="1:40" x14ac:dyDescent="0.25">
      <c r="A5" s="143">
        <v>3</v>
      </c>
      <c r="B5" s="92">
        <v>45215</v>
      </c>
      <c r="C5" s="31" t="s">
        <v>784</v>
      </c>
      <c r="D5" s="32"/>
      <c r="E5" s="32" t="s">
        <v>1759</v>
      </c>
      <c r="F5" s="32" t="s">
        <v>1750</v>
      </c>
      <c r="G5" s="39" t="s">
        <v>1751</v>
      </c>
      <c r="H5" s="122">
        <v>32</v>
      </c>
      <c r="I5" s="32">
        <v>250</v>
      </c>
      <c r="J5" s="20">
        <v>14</v>
      </c>
      <c r="K5" s="21">
        <f t="shared" si="3"/>
        <v>-2</v>
      </c>
      <c r="L5" s="21">
        <f t="shared" si="0"/>
        <v>264</v>
      </c>
      <c r="M5" s="21">
        <f t="shared" si="1"/>
        <v>-232</v>
      </c>
      <c r="N5" s="21"/>
      <c r="O5" s="21"/>
      <c r="P5" s="5"/>
      <c r="Q5" s="21"/>
      <c r="R5" s="16"/>
      <c r="S5" s="21">
        <f t="shared" si="2"/>
        <v>0</v>
      </c>
      <c r="T5" s="21">
        <v>12</v>
      </c>
      <c r="U5" s="78">
        <f t="shared" si="4"/>
        <v>12</v>
      </c>
      <c r="V5" s="140"/>
      <c r="W5" s="147"/>
      <c r="X5" s="23"/>
      <c r="Y5" s="334"/>
      <c r="Z5" s="5"/>
      <c r="AC5" s="16" t="s">
        <v>164</v>
      </c>
      <c r="AD5" s="18">
        <f>+AB5*200</f>
        <v>0</v>
      </c>
      <c r="AF5">
        <v>2</v>
      </c>
      <c r="AG5" s="16" t="s">
        <v>164</v>
      </c>
      <c r="AH5" s="18">
        <f>+AF5*200</f>
        <v>400</v>
      </c>
      <c r="AJ5" s="16"/>
      <c r="AK5" s="16"/>
      <c r="AM5" s="16" t="s">
        <v>164</v>
      </c>
      <c r="AN5" s="18">
        <f>+AL5*200</f>
        <v>0</v>
      </c>
    </row>
    <row r="6" spans="1:40" x14ac:dyDescent="0.25">
      <c r="A6" s="143">
        <v>4</v>
      </c>
      <c r="B6" s="92">
        <v>45215</v>
      </c>
      <c r="C6" s="31" t="s">
        <v>30</v>
      </c>
      <c r="D6" s="32"/>
      <c r="E6" s="32" t="s">
        <v>1758</v>
      </c>
      <c r="F6" s="32" t="s">
        <v>1351</v>
      </c>
      <c r="G6" s="32" t="s">
        <v>1753</v>
      </c>
      <c r="H6" s="122">
        <v>224</v>
      </c>
      <c r="I6" s="32">
        <v>210</v>
      </c>
      <c r="J6" s="20">
        <v>14</v>
      </c>
      <c r="K6" s="21">
        <f t="shared" si="3"/>
        <v>0</v>
      </c>
      <c r="L6" s="21">
        <f t="shared" si="0"/>
        <v>224</v>
      </c>
      <c r="M6" s="21">
        <f t="shared" si="1"/>
        <v>0</v>
      </c>
      <c r="N6" s="21">
        <v>224</v>
      </c>
      <c r="O6" s="21"/>
      <c r="P6" s="5"/>
      <c r="Q6" s="21"/>
      <c r="R6" s="16"/>
      <c r="S6" s="21">
        <f t="shared" si="2"/>
        <v>0</v>
      </c>
      <c r="T6" s="21">
        <v>14</v>
      </c>
      <c r="U6" s="78">
        <f t="shared" si="4"/>
        <v>14</v>
      </c>
      <c r="V6" s="140"/>
      <c r="W6" s="147"/>
      <c r="X6" s="23"/>
      <c r="Y6" s="334"/>
      <c r="Z6" s="5"/>
      <c r="AC6" s="16" t="s">
        <v>165</v>
      </c>
      <c r="AD6" s="18">
        <f>+AB6*100</f>
        <v>0</v>
      </c>
      <c r="AF6">
        <v>1</v>
      </c>
      <c r="AG6" s="16" t="s">
        <v>165</v>
      </c>
      <c r="AH6" s="18">
        <f>+AF6*100</f>
        <v>100</v>
      </c>
      <c r="AJ6" s="16"/>
      <c r="AK6" s="16"/>
      <c r="AM6" s="16" t="s">
        <v>165</v>
      </c>
      <c r="AN6" s="18">
        <f>+AL6*100</f>
        <v>0</v>
      </c>
    </row>
    <row r="7" spans="1:40" x14ac:dyDescent="0.25">
      <c r="A7" s="143">
        <v>5</v>
      </c>
      <c r="B7" s="92">
        <v>45215</v>
      </c>
      <c r="C7" s="31" t="s">
        <v>416</v>
      </c>
      <c r="D7" s="32"/>
      <c r="E7" s="32" t="s">
        <v>408</v>
      </c>
      <c r="F7" s="32" t="s">
        <v>1651</v>
      </c>
      <c r="G7" s="32" t="s">
        <v>1754</v>
      </c>
      <c r="H7" s="122">
        <v>215</v>
      </c>
      <c r="I7" s="32">
        <v>201</v>
      </c>
      <c r="J7" s="20">
        <v>14</v>
      </c>
      <c r="K7" s="21">
        <f t="shared" si="3"/>
        <v>0</v>
      </c>
      <c r="L7" s="21">
        <f t="shared" si="0"/>
        <v>215</v>
      </c>
      <c r="M7" s="21">
        <f t="shared" si="1"/>
        <v>0</v>
      </c>
      <c r="N7" s="21"/>
      <c r="O7" s="21"/>
      <c r="P7" s="5"/>
      <c r="Q7" s="16"/>
      <c r="R7" s="16"/>
      <c r="S7" s="21">
        <f t="shared" si="2"/>
        <v>0</v>
      </c>
      <c r="T7" s="21">
        <v>14</v>
      </c>
      <c r="U7" s="78">
        <f t="shared" si="4"/>
        <v>14</v>
      </c>
      <c r="V7" s="140"/>
      <c r="W7" s="147"/>
      <c r="X7" s="23"/>
      <c r="Y7" s="334"/>
      <c r="Z7" s="5"/>
      <c r="AB7">
        <v>5</v>
      </c>
      <c r="AC7" s="16" t="s">
        <v>166</v>
      </c>
      <c r="AD7" s="18">
        <f>+AB7*50</f>
        <v>250</v>
      </c>
      <c r="AG7" s="16" t="s">
        <v>166</v>
      </c>
      <c r="AH7" s="18">
        <f>+AF7*50</f>
        <v>0</v>
      </c>
      <c r="AJ7" s="16"/>
      <c r="AK7" s="16"/>
      <c r="AM7" s="16" t="s">
        <v>166</v>
      </c>
      <c r="AN7" s="18">
        <f>+AL7*50</f>
        <v>0</v>
      </c>
    </row>
    <row r="8" spans="1:40" x14ac:dyDescent="0.25">
      <c r="A8" s="143">
        <v>6</v>
      </c>
      <c r="B8" s="92">
        <v>45215</v>
      </c>
      <c r="C8" s="31" t="s">
        <v>1483</v>
      </c>
      <c r="D8" s="32"/>
      <c r="E8" s="32" t="s">
        <v>1757</v>
      </c>
      <c r="F8" s="32" t="s">
        <v>1483</v>
      </c>
      <c r="G8" s="39" t="s">
        <v>1231</v>
      </c>
      <c r="H8" s="39">
        <v>230</v>
      </c>
      <c r="I8" s="42">
        <v>200</v>
      </c>
      <c r="J8" s="20">
        <v>30</v>
      </c>
      <c r="K8" s="21">
        <f t="shared" si="3"/>
        <v>0</v>
      </c>
      <c r="L8" s="21">
        <f t="shared" si="0"/>
        <v>230</v>
      </c>
      <c r="M8" s="21">
        <f t="shared" si="1"/>
        <v>0</v>
      </c>
      <c r="N8" s="21"/>
      <c r="O8" s="21"/>
      <c r="P8" s="5"/>
      <c r="Q8" s="16">
        <v>300</v>
      </c>
      <c r="R8" s="16"/>
      <c r="S8" s="21">
        <f t="shared" si="2"/>
        <v>300</v>
      </c>
      <c r="T8" s="16">
        <v>330</v>
      </c>
      <c r="U8" s="78">
        <f t="shared" si="4"/>
        <v>30</v>
      </c>
      <c r="V8" s="140"/>
      <c r="W8" s="147"/>
      <c r="X8" s="23"/>
      <c r="Y8" s="334"/>
      <c r="Z8" s="5"/>
      <c r="AB8">
        <v>6</v>
      </c>
      <c r="AC8" s="16" t="s">
        <v>167</v>
      </c>
      <c r="AD8" s="18">
        <f>+AB8*20</f>
        <v>120</v>
      </c>
      <c r="AF8">
        <v>4</v>
      </c>
      <c r="AG8" s="16" t="s">
        <v>167</v>
      </c>
      <c r="AH8" s="18">
        <f>+AF8*20</f>
        <v>80</v>
      </c>
      <c r="AJ8" s="16"/>
      <c r="AK8" s="16"/>
      <c r="AM8" s="16" t="s">
        <v>167</v>
      </c>
      <c r="AN8" s="18">
        <f>+AL8*20</f>
        <v>0</v>
      </c>
    </row>
    <row r="9" spans="1:40" x14ac:dyDescent="0.25">
      <c r="A9" s="143">
        <v>7</v>
      </c>
      <c r="B9" s="92">
        <v>45215</v>
      </c>
      <c r="C9" s="31" t="s">
        <v>1755</v>
      </c>
      <c r="D9" s="32"/>
      <c r="E9" s="32" t="s">
        <v>106</v>
      </c>
      <c r="F9" s="32" t="s">
        <v>1351</v>
      </c>
      <c r="G9" s="39" t="s">
        <v>1756</v>
      </c>
      <c r="H9" s="122">
        <v>100</v>
      </c>
      <c r="I9" s="42">
        <v>51</v>
      </c>
      <c r="J9" s="20">
        <v>12</v>
      </c>
      <c r="K9" s="21">
        <f t="shared" si="3"/>
        <v>-2</v>
      </c>
      <c r="L9" s="21">
        <f t="shared" si="0"/>
        <v>63</v>
      </c>
      <c r="M9" s="21">
        <f t="shared" si="1"/>
        <v>37</v>
      </c>
      <c r="N9" s="21"/>
      <c r="O9" s="21"/>
      <c r="P9" s="5"/>
      <c r="Q9" s="16">
        <v>100</v>
      </c>
      <c r="R9" s="16"/>
      <c r="S9" s="21">
        <f t="shared" si="2"/>
        <v>100</v>
      </c>
      <c r="T9" s="16">
        <v>110</v>
      </c>
      <c r="U9" s="78">
        <f t="shared" si="4"/>
        <v>10</v>
      </c>
      <c r="V9" s="140"/>
      <c r="W9" s="147"/>
      <c r="X9" s="23"/>
      <c r="Y9" s="334"/>
      <c r="Z9" s="5"/>
      <c r="AC9" s="16" t="s">
        <v>171</v>
      </c>
      <c r="AD9" s="18">
        <f>+AB9*500</f>
        <v>0</v>
      </c>
      <c r="AF9">
        <v>1</v>
      </c>
      <c r="AG9" s="16" t="s">
        <v>171</v>
      </c>
      <c r="AH9" s="18">
        <f>+AF9*500</f>
        <v>500</v>
      </c>
      <c r="AJ9" s="16"/>
      <c r="AK9" s="16"/>
      <c r="AM9" s="16" t="s">
        <v>171</v>
      </c>
      <c r="AN9" s="18">
        <f>+AL9*500</f>
        <v>0</v>
      </c>
    </row>
    <row r="10" spans="1:40" x14ac:dyDescent="0.25">
      <c r="A10" s="143">
        <v>8</v>
      </c>
      <c r="B10" s="92">
        <v>45215</v>
      </c>
      <c r="C10" s="31" t="s">
        <v>119</v>
      </c>
      <c r="D10" s="123"/>
      <c r="E10" s="123" t="s">
        <v>394</v>
      </c>
      <c r="F10" s="123" t="s">
        <v>1762</v>
      </c>
      <c r="G10" s="39" t="s">
        <v>1760</v>
      </c>
      <c r="H10" s="122">
        <v>50</v>
      </c>
      <c r="I10" s="32">
        <v>26</v>
      </c>
      <c r="J10" s="20">
        <v>10</v>
      </c>
      <c r="K10" s="21">
        <f t="shared" si="3"/>
        <v>2</v>
      </c>
      <c r="L10" s="21">
        <f t="shared" si="0"/>
        <v>36</v>
      </c>
      <c r="M10" s="21">
        <f t="shared" si="1"/>
        <v>14</v>
      </c>
      <c r="N10" s="21"/>
      <c r="O10" s="21"/>
      <c r="P10" s="5"/>
      <c r="Q10" s="16"/>
      <c r="R10" s="16"/>
      <c r="S10" s="21">
        <f t="shared" si="2"/>
        <v>0</v>
      </c>
      <c r="T10" s="16">
        <v>12</v>
      </c>
      <c r="U10" s="78">
        <f t="shared" si="4"/>
        <v>12</v>
      </c>
      <c r="V10" s="140"/>
      <c r="W10" s="147"/>
      <c r="X10" s="23"/>
      <c r="Y10" s="334"/>
      <c r="Z10" s="5"/>
      <c r="AC10" s="16" t="s">
        <v>168</v>
      </c>
      <c r="AD10" s="18">
        <f>+AB10*1000</f>
        <v>0</v>
      </c>
      <c r="AG10" s="16" t="s">
        <v>168</v>
      </c>
      <c r="AH10" s="18">
        <f>+AF10*1000</f>
        <v>0</v>
      </c>
      <c r="AJ10" s="16"/>
      <c r="AK10" s="16"/>
      <c r="AM10" s="16" t="s">
        <v>168</v>
      </c>
      <c r="AN10" s="18">
        <f>+AL10*1000</f>
        <v>0</v>
      </c>
    </row>
    <row r="11" spans="1:40" x14ac:dyDescent="0.25">
      <c r="A11" s="143">
        <v>9</v>
      </c>
      <c r="B11" s="92">
        <v>45215</v>
      </c>
      <c r="C11" s="31" t="s">
        <v>416</v>
      </c>
      <c r="D11" s="32"/>
      <c r="E11" s="32" t="s">
        <v>106</v>
      </c>
      <c r="F11" s="32" t="s">
        <v>1651</v>
      </c>
      <c r="G11" s="39" t="s">
        <v>1761</v>
      </c>
      <c r="H11" s="39"/>
      <c r="I11" s="40">
        <v>36</v>
      </c>
      <c r="J11" s="20">
        <v>12</v>
      </c>
      <c r="K11" s="21">
        <f t="shared" si="3"/>
        <v>-72</v>
      </c>
      <c r="L11" s="21">
        <f t="shared" si="0"/>
        <v>48</v>
      </c>
      <c r="M11" s="21">
        <f t="shared" si="1"/>
        <v>-48</v>
      </c>
      <c r="N11" s="21"/>
      <c r="O11" s="21">
        <v>36</v>
      </c>
      <c r="P11" s="5"/>
      <c r="Q11" s="16"/>
      <c r="R11" s="16"/>
      <c r="S11" s="21">
        <f t="shared" si="2"/>
        <v>0</v>
      </c>
      <c r="T11" s="16">
        <v>12</v>
      </c>
      <c r="U11" s="78">
        <f t="shared" si="4"/>
        <v>-24</v>
      </c>
      <c r="V11" s="140"/>
      <c r="W11" s="147"/>
      <c r="X11" s="23"/>
      <c r="Y11" s="334"/>
      <c r="Z11" s="5"/>
      <c r="AC11" s="26"/>
      <c r="AD11" s="58"/>
      <c r="AG11" s="26"/>
      <c r="AH11" s="58"/>
      <c r="AJ11" s="16"/>
      <c r="AK11" s="16"/>
      <c r="AM11" s="26"/>
      <c r="AN11" s="58"/>
    </row>
    <row r="12" spans="1:40" x14ac:dyDescent="0.25">
      <c r="A12" s="143">
        <v>10</v>
      </c>
      <c r="B12" s="92">
        <v>45215</v>
      </c>
      <c r="C12" s="31" t="s">
        <v>1763</v>
      </c>
      <c r="D12" s="32"/>
      <c r="E12" s="32" t="s">
        <v>106</v>
      </c>
      <c r="F12" s="32" t="s">
        <v>1480</v>
      </c>
      <c r="G12" s="39" t="s">
        <v>1764</v>
      </c>
      <c r="H12" s="122">
        <v>200</v>
      </c>
      <c r="I12" s="42">
        <v>59</v>
      </c>
      <c r="J12" s="20">
        <v>13</v>
      </c>
      <c r="K12" s="21">
        <v>0</v>
      </c>
      <c r="L12" s="21">
        <f t="shared" si="0"/>
        <v>72</v>
      </c>
      <c r="M12" s="21">
        <f t="shared" si="1"/>
        <v>128</v>
      </c>
      <c r="N12" s="21"/>
      <c r="O12" s="21">
        <v>59</v>
      </c>
      <c r="P12" s="5"/>
      <c r="Q12" s="16">
        <v>200</v>
      </c>
      <c r="R12" s="16"/>
      <c r="S12" s="21">
        <f t="shared" si="2"/>
        <v>200</v>
      </c>
      <c r="T12" s="16">
        <v>215</v>
      </c>
      <c r="U12" s="78">
        <f t="shared" si="4"/>
        <v>-44</v>
      </c>
      <c r="V12" s="140"/>
      <c r="W12" s="147"/>
      <c r="X12" s="23"/>
      <c r="Y12" s="334"/>
      <c r="Z12" s="5"/>
      <c r="AC12" s="16" t="s">
        <v>169</v>
      </c>
      <c r="AD12" s="18">
        <f>SUM(AD2:AD11)</f>
        <v>597</v>
      </c>
      <c r="AG12" s="16" t="s">
        <v>169</v>
      </c>
      <c r="AH12" s="18">
        <f>SUM(AH2:AH11)</f>
        <v>1355</v>
      </c>
      <c r="AJ12" s="16"/>
      <c r="AK12" s="16"/>
      <c r="AM12" s="16" t="s">
        <v>169</v>
      </c>
      <c r="AN12" s="18"/>
    </row>
    <row r="13" spans="1:40" x14ac:dyDescent="0.25">
      <c r="A13" s="143">
        <v>11</v>
      </c>
      <c r="B13" s="92">
        <v>45215</v>
      </c>
      <c r="C13" s="31" t="s">
        <v>30</v>
      </c>
      <c r="D13" s="124"/>
      <c r="E13" s="123" t="s">
        <v>106</v>
      </c>
      <c r="F13" s="123" t="s">
        <v>1766</v>
      </c>
      <c r="G13" s="39" t="s">
        <v>1765</v>
      </c>
      <c r="H13" s="122">
        <v>200</v>
      </c>
      <c r="I13" s="42">
        <v>151</v>
      </c>
      <c r="J13" s="20">
        <v>10</v>
      </c>
      <c r="K13" s="21">
        <v>15</v>
      </c>
      <c r="L13" s="21">
        <f t="shared" si="0"/>
        <v>161</v>
      </c>
      <c r="M13" s="21">
        <f t="shared" si="1"/>
        <v>39</v>
      </c>
      <c r="N13" s="21">
        <v>165</v>
      </c>
      <c r="O13" s="21">
        <v>151</v>
      </c>
      <c r="P13" s="5"/>
      <c r="Q13" s="16">
        <v>200</v>
      </c>
      <c r="R13" s="16"/>
      <c r="S13" s="21">
        <f t="shared" si="2"/>
        <v>200</v>
      </c>
      <c r="T13" s="16"/>
      <c r="U13" s="78">
        <f t="shared" si="4"/>
        <v>-351</v>
      </c>
      <c r="V13" s="140"/>
      <c r="W13" s="147"/>
      <c r="X13" s="23"/>
      <c r="Y13" s="334"/>
      <c r="Z13" s="5"/>
      <c r="AJ13" s="16"/>
      <c r="AK13" s="16"/>
      <c r="AM13" s="16"/>
      <c r="AN13" s="16"/>
    </row>
    <row r="14" spans="1:40" x14ac:dyDescent="0.25">
      <c r="A14" s="143">
        <v>12</v>
      </c>
      <c r="B14" s="92">
        <v>45215</v>
      </c>
      <c r="C14" s="32" t="s">
        <v>1768</v>
      </c>
      <c r="D14" s="32"/>
      <c r="E14" s="124" t="s">
        <v>106</v>
      </c>
      <c r="F14" s="123" t="s">
        <v>1176</v>
      </c>
      <c r="G14" s="39" t="s">
        <v>1771</v>
      </c>
      <c r="H14" s="39">
        <v>137</v>
      </c>
      <c r="I14" s="42">
        <v>123</v>
      </c>
      <c r="J14" s="20">
        <v>14</v>
      </c>
      <c r="K14" s="21">
        <v>0</v>
      </c>
      <c r="L14" s="21">
        <f t="shared" si="0"/>
        <v>137</v>
      </c>
      <c r="M14" s="21">
        <f t="shared" si="1"/>
        <v>0</v>
      </c>
      <c r="N14" s="21"/>
      <c r="O14" s="21">
        <v>123</v>
      </c>
      <c r="P14" s="5"/>
      <c r="Q14" s="45">
        <v>123</v>
      </c>
      <c r="R14" s="44"/>
      <c r="S14" s="21">
        <f t="shared" si="2"/>
        <v>123</v>
      </c>
      <c r="T14" s="45">
        <v>137</v>
      </c>
      <c r="U14" s="78">
        <f t="shared" si="4"/>
        <v>-109</v>
      </c>
      <c r="V14" s="140"/>
      <c r="W14" s="147"/>
      <c r="X14" s="23"/>
      <c r="Y14" s="334"/>
      <c r="Z14" s="5"/>
      <c r="AJ14" s="63" t="s">
        <v>169</v>
      </c>
      <c r="AK14" s="63">
        <f>+SUM(AJ3:AJ13)-SUM(AK3:AK13)</f>
        <v>0</v>
      </c>
      <c r="AM14" s="63" t="s">
        <v>169</v>
      </c>
      <c r="AN14" s="85">
        <f>+SUM(AM2:AM13)-SUM(AN3:AN13)</f>
        <v>0</v>
      </c>
    </row>
    <row r="15" spans="1:40" x14ac:dyDescent="0.25">
      <c r="A15" s="143">
        <v>13</v>
      </c>
      <c r="B15" s="92">
        <v>45215</v>
      </c>
      <c r="C15" s="31" t="s">
        <v>1755</v>
      </c>
      <c r="D15" s="32"/>
      <c r="E15" s="32" t="s">
        <v>1769</v>
      </c>
      <c r="F15" s="32" t="s">
        <v>1770</v>
      </c>
      <c r="G15" s="39" t="s">
        <v>1772</v>
      </c>
      <c r="H15" s="39">
        <v>183</v>
      </c>
      <c r="I15" s="42">
        <v>159</v>
      </c>
      <c r="J15" s="108">
        <v>24</v>
      </c>
      <c r="K15" s="21">
        <f t="shared" si="3"/>
        <v>0</v>
      </c>
      <c r="L15" s="21">
        <f t="shared" si="0"/>
        <v>183</v>
      </c>
      <c r="M15" s="21">
        <f t="shared" si="1"/>
        <v>0</v>
      </c>
      <c r="N15" s="21"/>
      <c r="O15" s="21"/>
      <c r="P15" s="5"/>
      <c r="Q15" s="43">
        <v>159</v>
      </c>
      <c r="R15" s="32"/>
      <c r="S15" s="21">
        <f t="shared" si="2"/>
        <v>159</v>
      </c>
      <c r="T15" s="43">
        <v>183</v>
      </c>
      <c r="U15" s="78">
        <f t="shared" si="4"/>
        <v>24</v>
      </c>
      <c r="V15" s="140"/>
      <c r="W15" s="147"/>
      <c r="X15" s="23"/>
      <c r="Y15" s="334"/>
      <c r="Z15" s="5"/>
      <c r="AH15" s="83"/>
    </row>
    <row r="16" spans="1:40" x14ac:dyDescent="0.25">
      <c r="A16" s="143">
        <v>14</v>
      </c>
      <c r="B16" s="92">
        <v>45215</v>
      </c>
      <c r="C16" s="31" t="s">
        <v>38</v>
      </c>
      <c r="D16" s="32"/>
      <c r="E16" s="32" t="s">
        <v>1773</v>
      </c>
      <c r="F16" s="32" t="s">
        <v>55</v>
      </c>
      <c r="G16" s="39" t="s">
        <v>1767</v>
      </c>
      <c r="H16" s="39">
        <v>219</v>
      </c>
      <c r="I16" s="42">
        <v>205</v>
      </c>
      <c r="J16" s="108">
        <v>14</v>
      </c>
      <c r="K16" s="21">
        <v>20</v>
      </c>
      <c r="L16" s="21">
        <f t="shared" si="0"/>
        <v>219</v>
      </c>
      <c r="M16" s="21">
        <f t="shared" si="1"/>
        <v>0</v>
      </c>
      <c r="N16" s="21"/>
      <c r="O16" s="21"/>
      <c r="P16" s="5"/>
      <c r="Q16" s="43">
        <v>205</v>
      </c>
      <c r="R16" s="43"/>
      <c r="S16" s="21">
        <f t="shared" si="2"/>
        <v>205</v>
      </c>
      <c r="T16" s="43">
        <v>219</v>
      </c>
      <c r="U16" s="78">
        <f t="shared" si="4"/>
        <v>14</v>
      </c>
      <c r="V16" s="140"/>
      <c r="W16" s="147"/>
      <c r="X16" s="23"/>
      <c r="Y16" s="334"/>
      <c r="Z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40" x14ac:dyDescent="0.25">
      <c r="A17" s="143">
        <v>15</v>
      </c>
      <c r="B17" s="92">
        <v>45215</v>
      </c>
      <c r="C17" s="127" t="s">
        <v>767</v>
      </c>
      <c r="D17" s="32"/>
      <c r="E17" s="32" t="s">
        <v>106</v>
      </c>
      <c r="F17" s="128" t="s">
        <v>237</v>
      </c>
      <c r="G17" s="129" t="s">
        <v>1774</v>
      </c>
      <c r="H17" s="39">
        <v>500</v>
      </c>
      <c r="I17" s="42"/>
      <c r="J17" s="108">
        <v>14</v>
      </c>
      <c r="K17" s="21">
        <v>0</v>
      </c>
      <c r="L17" s="21">
        <f t="shared" si="0"/>
        <v>14</v>
      </c>
      <c r="M17" s="21">
        <f t="shared" si="1"/>
        <v>486</v>
      </c>
      <c r="N17" s="21"/>
      <c r="O17" s="21">
        <v>200</v>
      </c>
      <c r="P17" s="5"/>
      <c r="Q17" s="43"/>
      <c r="R17" s="43"/>
      <c r="S17" s="21">
        <f t="shared" si="2"/>
        <v>0</v>
      </c>
      <c r="T17" s="43"/>
      <c r="U17" s="78">
        <f t="shared" si="4"/>
        <v>-200</v>
      </c>
      <c r="V17" s="140"/>
      <c r="W17" s="147"/>
      <c r="X17" s="23"/>
      <c r="Y17" s="334"/>
      <c r="Z17" s="5"/>
      <c r="AC17" s="5"/>
      <c r="AD17" s="134" t="s">
        <v>20</v>
      </c>
      <c r="AE17" s="338">
        <v>139</v>
      </c>
      <c r="AF17" s="341" t="s">
        <v>686</v>
      </c>
      <c r="AG17" s="134" t="s">
        <v>20</v>
      </c>
      <c r="AH17" s="338">
        <v>117</v>
      </c>
      <c r="AI17" s="341" t="s">
        <v>687</v>
      </c>
      <c r="AJ17" s="134" t="s">
        <v>20</v>
      </c>
      <c r="AK17" s="338"/>
      <c r="AL17" s="5"/>
    </row>
    <row r="18" spans="1:40" x14ac:dyDescent="0.25">
      <c r="A18" s="143">
        <v>16</v>
      </c>
      <c r="B18" s="92">
        <v>45215</v>
      </c>
      <c r="C18" s="31" t="s">
        <v>1707</v>
      </c>
      <c r="D18" s="32"/>
      <c r="E18" s="32" t="s">
        <v>1775</v>
      </c>
      <c r="F18" s="32" t="s">
        <v>1776</v>
      </c>
      <c r="G18" s="39" t="s">
        <v>667</v>
      </c>
      <c r="H18" s="39">
        <v>32</v>
      </c>
      <c r="I18" s="42">
        <v>22</v>
      </c>
      <c r="J18" s="43">
        <v>10</v>
      </c>
      <c r="K18" s="21"/>
      <c r="L18" s="21">
        <f t="shared" si="0"/>
        <v>32</v>
      </c>
      <c r="M18" s="21">
        <f t="shared" si="1"/>
        <v>0</v>
      </c>
      <c r="N18" s="21"/>
      <c r="O18" s="21"/>
      <c r="P18" s="5"/>
      <c r="Q18" s="43">
        <v>22</v>
      </c>
      <c r="R18" s="32"/>
      <c r="S18" s="21">
        <f t="shared" si="2"/>
        <v>22</v>
      </c>
      <c r="T18" s="131">
        <v>32</v>
      </c>
      <c r="U18" s="78">
        <f t="shared" si="4"/>
        <v>10</v>
      </c>
      <c r="V18" s="140"/>
      <c r="W18" s="147"/>
      <c r="X18" s="23"/>
      <c r="Y18" s="334"/>
      <c r="Z18" s="5"/>
      <c r="AC18" s="5" t="s">
        <v>685</v>
      </c>
      <c r="AD18" s="115" t="s">
        <v>684</v>
      </c>
      <c r="AE18" s="339"/>
      <c r="AF18" s="341"/>
      <c r="AG18" s="115" t="s">
        <v>684</v>
      </c>
      <c r="AH18" s="339"/>
      <c r="AI18" s="341"/>
      <c r="AJ18" s="115" t="s">
        <v>684</v>
      </c>
      <c r="AK18" s="339"/>
      <c r="AL18" s="5"/>
    </row>
    <row r="19" spans="1:40" x14ac:dyDescent="0.25">
      <c r="A19" s="143">
        <v>17</v>
      </c>
      <c r="B19" s="92">
        <v>45215</v>
      </c>
      <c r="C19" s="31" t="s">
        <v>1518</v>
      </c>
      <c r="D19" s="32"/>
      <c r="E19" s="32" t="s">
        <v>106</v>
      </c>
      <c r="F19" s="32" t="s">
        <v>220</v>
      </c>
      <c r="G19" s="39" t="s">
        <v>1777</v>
      </c>
      <c r="H19" s="39">
        <v>500</v>
      </c>
      <c r="I19" s="42">
        <v>137</v>
      </c>
      <c r="J19" s="43">
        <v>10</v>
      </c>
      <c r="K19" s="21">
        <f t="shared" si="3"/>
        <v>-784</v>
      </c>
      <c r="L19" s="21">
        <f t="shared" si="0"/>
        <v>147</v>
      </c>
      <c r="M19" s="21">
        <f t="shared" si="1"/>
        <v>353</v>
      </c>
      <c r="N19" s="21"/>
      <c r="O19" s="21">
        <v>137</v>
      </c>
      <c r="P19" s="5"/>
      <c r="Q19" s="43">
        <v>500</v>
      </c>
      <c r="R19" s="32"/>
      <c r="S19" s="21">
        <f t="shared" si="2"/>
        <v>500</v>
      </c>
      <c r="T19" s="132"/>
      <c r="U19" s="78">
        <f t="shared" si="4"/>
        <v>-637</v>
      </c>
      <c r="V19" s="140"/>
      <c r="W19" s="147"/>
      <c r="X19" s="23"/>
      <c r="Y19" s="340"/>
      <c r="Z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40" x14ac:dyDescent="0.25">
      <c r="A20" s="143">
        <v>18</v>
      </c>
      <c r="B20" s="92">
        <v>45215</v>
      </c>
      <c r="C20" s="31"/>
      <c r="D20" s="32"/>
      <c r="E20" s="32"/>
      <c r="F20" s="32"/>
      <c r="G20" s="39"/>
      <c r="H20" s="39"/>
      <c r="I20" s="42"/>
      <c r="J20" s="43">
        <v>10</v>
      </c>
      <c r="K20" s="21">
        <f t="shared" si="3"/>
        <v>-10</v>
      </c>
      <c r="L20" s="21">
        <f t="shared" si="0"/>
        <v>10</v>
      </c>
      <c r="M20" s="21">
        <f t="shared" si="1"/>
        <v>-10</v>
      </c>
      <c r="N20" s="21"/>
      <c r="O20" s="21"/>
      <c r="P20" s="5"/>
      <c r="Q20" s="135"/>
      <c r="R20" s="104"/>
      <c r="S20" s="21">
        <f t="shared" si="2"/>
        <v>0</v>
      </c>
      <c r="T20" s="131"/>
      <c r="U20" s="78">
        <f t="shared" si="4"/>
        <v>0</v>
      </c>
      <c r="V20" s="140"/>
      <c r="W20" s="138"/>
      <c r="X20" s="32"/>
      <c r="Z20" s="5"/>
    </row>
    <row r="21" spans="1:40" x14ac:dyDescent="0.25">
      <c r="A21" s="143">
        <v>19</v>
      </c>
      <c r="B21" s="92">
        <v>45215</v>
      </c>
      <c r="C21" s="31"/>
      <c r="D21" s="32"/>
      <c r="E21" s="32"/>
      <c r="F21" s="32"/>
      <c r="G21" s="39"/>
      <c r="H21" s="39"/>
      <c r="I21" s="42"/>
      <c r="J21" s="43">
        <v>10</v>
      </c>
      <c r="K21" s="21">
        <f t="shared" si="3"/>
        <v>-10</v>
      </c>
      <c r="L21" s="21">
        <f t="shared" si="0"/>
        <v>10</v>
      </c>
      <c r="M21" s="21">
        <f t="shared" si="1"/>
        <v>-10</v>
      </c>
      <c r="N21" s="21"/>
      <c r="O21" s="21"/>
      <c r="P21" s="5"/>
      <c r="Q21" s="32"/>
      <c r="R21" s="32"/>
      <c r="S21" s="21">
        <f t="shared" si="2"/>
        <v>0</v>
      </c>
      <c r="T21" s="32"/>
      <c r="U21" s="78">
        <f t="shared" si="4"/>
        <v>0</v>
      </c>
      <c r="V21" s="140"/>
      <c r="W21" s="138"/>
      <c r="X21" s="32"/>
      <c r="Z21" s="5"/>
    </row>
    <row r="22" spans="1:4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2">
        <f>SUM(O11:O21)</f>
        <v>706</v>
      </c>
      <c r="P22" s="5"/>
      <c r="Q22" s="5"/>
      <c r="R22" s="5"/>
      <c r="S22" s="5"/>
      <c r="T22" s="5"/>
      <c r="U22" s="5"/>
      <c r="V22" s="141"/>
      <c r="W22" s="5"/>
      <c r="X22" s="5"/>
      <c r="Y22" s="5"/>
      <c r="Z22" s="5"/>
    </row>
    <row r="26" spans="1:40" x14ac:dyDescent="0.25">
      <c r="A26" s="1" t="s">
        <v>0</v>
      </c>
      <c r="B26" s="1"/>
      <c r="C26" s="1"/>
      <c r="D26" s="1"/>
      <c r="E26" s="1"/>
      <c r="F26" s="1"/>
      <c r="G26" s="1"/>
      <c r="H26" s="1"/>
      <c r="I26" s="1" t="s">
        <v>148</v>
      </c>
      <c r="J26" s="1"/>
      <c r="K26" s="1"/>
      <c r="L26" s="1"/>
      <c r="M26" s="1"/>
      <c r="N26" s="1"/>
      <c r="O26" s="1"/>
      <c r="P26" s="1"/>
      <c r="Q26" s="1"/>
      <c r="R26" s="1"/>
      <c r="S26" s="342" t="s">
        <v>1</v>
      </c>
      <c r="T26" s="342"/>
      <c r="U26" s="5"/>
      <c r="V26" s="139"/>
      <c r="W26" s="1"/>
      <c r="X26" s="1"/>
      <c r="Y26" s="1"/>
      <c r="Z26" s="5"/>
      <c r="AC26" s="335" t="s">
        <v>160</v>
      </c>
      <c r="AD26" s="336"/>
      <c r="AG26" s="335" t="s">
        <v>170</v>
      </c>
      <c r="AH26" s="336"/>
      <c r="AJ26" s="337" t="s">
        <v>172</v>
      </c>
      <c r="AK26" s="337"/>
      <c r="AM26" s="337" t="s">
        <v>681</v>
      </c>
      <c r="AN26" s="337"/>
    </row>
    <row r="27" spans="1:40" ht="90" x14ac:dyDescent="0.25">
      <c r="A27" s="6" t="s">
        <v>2</v>
      </c>
      <c r="B27" s="7" t="s">
        <v>3</v>
      </c>
      <c r="C27" s="7" t="s">
        <v>4</v>
      </c>
      <c r="D27" s="6" t="s">
        <v>5</v>
      </c>
      <c r="E27" s="6" t="s">
        <v>6</v>
      </c>
      <c r="F27" s="6" t="s">
        <v>7</v>
      </c>
      <c r="G27" s="6" t="s">
        <v>8</v>
      </c>
      <c r="H27" s="8" t="s">
        <v>9</v>
      </c>
      <c r="I27" s="9" t="s">
        <v>10</v>
      </c>
      <c r="J27" s="8" t="s">
        <v>11</v>
      </c>
      <c r="K27" s="10" t="s">
        <v>12</v>
      </c>
      <c r="L27" s="10" t="s">
        <v>13</v>
      </c>
      <c r="M27" s="11" t="s">
        <v>14</v>
      </c>
      <c r="N27" s="10" t="s">
        <v>691</v>
      </c>
      <c r="O27" s="10" t="s">
        <v>28</v>
      </c>
      <c r="P27" s="5"/>
      <c r="Q27" s="10" t="s">
        <v>16</v>
      </c>
      <c r="R27" s="10" t="s">
        <v>17</v>
      </c>
      <c r="S27" s="10" t="s">
        <v>18</v>
      </c>
      <c r="T27" s="10" t="s">
        <v>19</v>
      </c>
      <c r="U27" s="10" t="s">
        <v>20</v>
      </c>
      <c r="V27" s="13"/>
      <c r="W27" s="136" t="s">
        <v>688</v>
      </c>
      <c r="X27" s="14" t="s">
        <v>22</v>
      </c>
      <c r="Y27" s="15" t="s">
        <v>23</v>
      </c>
      <c r="Z27" s="5"/>
      <c r="AB27">
        <v>9</v>
      </c>
      <c r="AC27" s="16" t="s">
        <v>161</v>
      </c>
      <c r="AD27" s="58">
        <f>+AB27*10</f>
        <v>90</v>
      </c>
      <c r="AF27">
        <v>17</v>
      </c>
      <c r="AG27" s="16" t="s">
        <v>161</v>
      </c>
      <c r="AH27" s="58">
        <f>+AF27*10</f>
        <v>170</v>
      </c>
      <c r="AJ27" s="61" t="s">
        <v>173</v>
      </c>
      <c r="AK27" s="62" t="s">
        <v>174</v>
      </c>
      <c r="AM27" s="16" t="s">
        <v>161</v>
      </c>
      <c r="AN27" s="58">
        <f>+AL27*10</f>
        <v>0</v>
      </c>
    </row>
    <row r="28" spans="1:40" x14ac:dyDescent="0.25">
      <c r="A28" s="16">
        <v>1</v>
      </c>
      <c r="B28" s="92">
        <v>45216</v>
      </c>
      <c r="C28" s="31" t="s">
        <v>364</v>
      </c>
      <c r="D28" s="196">
        <v>5553838178</v>
      </c>
      <c r="E28" s="32" t="s">
        <v>408</v>
      </c>
      <c r="F28" s="39" t="s">
        <v>790</v>
      </c>
      <c r="G28" s="39" t="s">
        <v>1778</v>
      </c>
      <c r="H28" s="122">
        <v>200</v>
      </c>
      <c r="I28" s="32">
        <v>126</v>
      </c>
      <c r="J28" s="20">
        <v>14</v>
      </c>
      <c r="K28" s="21">
        <f>U28-J28-O28</f>
        <v>0</v>
      </c>
      <c r="L28" s="21">
        <f t="shared" ref="L28:L46" si="5">+I28+J28</f>
        <v>140</v>
      </c>
      <c r="M28" s="21">
        <f t="shared" ref="M28:M46" si="6">+H28-L28</f>
        <v>60</v>
      </c>
      <c r="N28" s="21"/>
      <c r="O28" s="21"/>
      <c r="P28" s="5"/>
      <c r="Q28" s="21">
        <v>200</v>
      </c>
      <c r="R28" s="16"/>
      <c r="S28" s="21">
        <f t="shared" ref="S28:S46" si="7">+Q28+R28</f>
        <v>200</v>
      </c>
      <c r="T28" s="21">
        <v>214</v>
      </c>
      <c r="U28" s="78">
        <f>T28-S28-O28</f>
        <v>14</v>
      </c>
      <c r="V28" s="13"/>
      <c r="W28" s="147"/>
      <c r="X28" s="23"/>
      <c r="Y28" s="333"/>
      <c r="Z28" s="5"/>
      <c r="AB28">
        <v>106</v>
      </c>
      <c r="AC28" s="59" t="s">
        <v>162</v>
      </c>
      <c r="AD28" s="18">
        <f>+AB28*1</f>
        <v>106</v>
      </c>
      <c r="AF28">
        <v>150</v>
      </c>
      <c r="AG28" s="59" t="s">
        <v>162</v>
      </c>
      <c r="AH28" s="18">
        <f>+AF28*1</f>
        <v>150</v>
      </c>
      <c r="AJ28" s="16"/>
      <c r="AK28" s="16"/>
      <c r="AM28" s="59" t="s">
        <v>162</v>
      </c>
      <c r="AN28" s="18">
        <f>+AL28*1</f>
        <v>0</v>
      </c>
    </row>
    <row r="29" spans="1:40" x14ac:dyDescent="0.25">
      <c r="A29" s="26">
        <v>2</v>
      </c>
      <c r="B29" s="92">
        <v>45216</v>
      </c>
      <c r="C29" s="31" t="s">
        <v>608</v>
      </c>
      <c r="D29" s="32">
        <v>5553181586</v>
      </c>
      <c r="E29" s="32" t="s">
        <v>106</v>
      </c>
      <c r="F29" s="32" t="s">
        <v>558</v>
      </c>
      <c r="G29" s="39" t="s">
        <v>1779</v>
      </c>
      <c r="H29" s="122">
        <v>114</v>
      </c>
      <c r="I29" s="32">
        <v>100</v>
      </c>
      <c r="J29" s="20">
        <v>14</v>
      </c>
      <c r="K29" s="21">
        <f t="shared" ref="K29:K46" si="8">U29-J29-O29</f>
        <v>-228</v>
      </c>
      <c r="L29" s="21">
        <f t="shared" si="5"/>
        <v>114</v>
      </c>
      <c r="M29" s="21">
        <f t="shared" si="6"/>
        <v>0</v>
      </c>
      <c r="N29" s="21"/>
      <c r="O29" s="21">
        <v>114</v>
      </c>
      <c r="P29" s="5"/>
      <c r="Q29" s="21">
        <v>200</v>
      </c>
      <c r="R29" s="16"/>
      <c r="S29" s="21">
        <f t="shared" si="7"/>
        <v>200</v>
      </c>
      <c r="T29" s="21">
        <v>214</v>
      </c>
      <c r="U29" s="78">
        <f t="shared" ref="U29:U46" si="9">T29-S29-O29</f>
        <v>-100</v>
      </c>
      <c r="V29" s="140"/>
      <c r="W29" s="147"/>
      <c r="X29" s="23"/>
      <c r="Y29" s="334"/>
      <c r="Z29" s="5"/>
      <c r="AB29">
        <v>20</v>
      </c>
      <c r="AC29" s="16" t="s">
        <v>163</v>
      </c>
      <c r="AD29" s="60">
        <f>+AB29*5</f>
        <v>100</v>
      </c>
      <c r="AF29">
        <v>41</v>
      </c>
      <c r="AG29" s="16" t="s">
        <v>163</v>
      </c>
      <c r="AH29" s="60">
        <f>+AF29*5</f>
        <v>205</v>
      </c>
      <c r="AJ29" s="16"/>
      <c r="AK29" s="16"/>
      <c r="AM29" s="16" t="s">
        <v>163</v>
      </c>
      <c r="AN29" s="60">
        <f>+AL29*5</f>
        <v>0</v>
      </c>
    </row>
    <row r="30" spans="1:40" x14ac:dyDescent="0.25">
      <c r="A30" s="143">
        <v>3</v>
      </c>
      <c r="B30" s="92">
        <v>45216</v>
      </c>
      <c r="C30" s="31" t="s">
        <v>1780</v>
      </c>
      <c r="D30" s="32">
        <v>5544422302</v>
      </c>
      <c r="E30" s="32" t="s">
        <v>408</v>
      </c>
      <c r="F30" s="32" t="s">
        <v>333</v>
      </c>
      <c r="G30" s="39" t="s">
        <v>1781</v>
      </c>
      <c r="H30" s="122">
        <v>250</v>
      </c>
      <c r="I30" s="32">
        <v>202</v>
      </c>
      <c r="J30" s="20">
        <v>14</v>
      </c>
      <c r="K30" s="21">
        <f t="shared" si="8"/>
        <v>1</v>
      </c>
      <c r="L30" s="21">
        <f t="shared" si="5"/>
        <v>216</v>
      </c>
      <c r="M30" s="21">
        <f t="shared" si="6"/>
        <v>34</v>
      </c>
      <c r="N30" s="21"/>
      <c r="O30" s="21"/>
      <c r="P30" s="5"/>
      <c r="Q30" s="21">
        <v>500</v>
      </c>
      <c r="R30" s="16"/>
      <c r="S30" s="21">
        <f t="shared" si="7"/>
        <v>500</v>
      </c>
      <c r="T30" s="21">
        <v>515</v>
      </c>
      <c r="U30" s="78">
        <f t="shared" si="9"/>
        <v>15</v>
      </c>
      <c r="V30" s="140"/>
      <c r="W30" s="147"/>
      <c r="X30" s="23"/>
      <c r="Y30" s="334"/>
      <c r="Z30" s="5"/>
      <c r="AB30">
        <v>1</v>
      </c>
      <c r="AC30" s="16" t="s">
        <v>164</v>
      </c>
      <c r="AD30" s="18">
        <f>+AB30*200</f>
        <v>200</v>
      </c>
      <c r="AF30">
        <v>1</v>
      </c>
      <c r="AG30" s="16" t="s">
        <v>164</v>
      </c>
      <c r="AH30" s="18">
        <f>+AF30*200</f>
        <v>200</v>
      </c>
      <c r="AJ30" s="16"/>
      <c r="AK30" s="16"/>
      <c r="AM30" s="16" t="s">
        <v>164</v>
      </c>
      <c r="AN30" s="18">
        <f>+AL30*200</f>
        <v>0</v>
      </c>
    </row>
    <row r="31" spans="1:40" x14ac:dyDescent="0.25">
      <c r="A31" s="143">
        <v>4</v>
      </c>
      <c r="B31" s="92">
        <v>45216</v>
      </c>
      <c r="C31" s="31" t="s">
        <v>1782</v>
      </c>
      <c r="D31" s="32">
        <v>5539245551</v>
      </c>
      <c r="E31" s="32" t="s">
        <v>1784</v>
      </c>
      <c r="F31" s="32" t="s">
        <v>1148</v>
      </c>
      <c r="G31" s="39" t="s">
        <v>1783</v>
      </c>
      <c r="H31" s="122">
        <v>52</v>
      </c>
      <c r="I31" s="32">
        <v>9</v>
      </c>
      <c r="J31" s="20">
        <v>12</v>
      </c>
      <c r="K31" s="21">
        <f t="shared" si="8"/>
        <v>0</v>
      </c>
      <c r="L31" s="21">
        <f t="shared" si="5"/>
        <v>21</v>
      </c>
      <c r="M31" s="21">
        <f t="shared" si="6"/>
        <v>31</v>
      </c>
      <c r="N31" s="21"/>
      <c r="O31" s="21"/>
      <c r="P31" s="5"/>
      <c r="Q31" s="21">
        <v>40</v>
      </c>
      <c r="R31" s="16"/>
      <c r="S31" s="21">
        <f t="shared" si="7"/>
        <v>40</v>
      </c>
      <c r="T31" s="21">
        <v>52</v>
      </c>
      <c r="U31" s="78">
        <f t="shared" si="9"/>
        <v>12</v>
      </c>
      <c r="V31" s="140"/>
      <c r="W31" s="147"/>
      <c r="X31" s="23"/>
      <c r="Y31" s="334"/>
      <c r="Z31" s="5"/>
      <c r="AB31">
        <v>1</v>
      </c>
      <c r="AC31" s="16" t="s">
        <v>165</v>
      </c>
      <c r="AD31" s="18">
        <f>+AB31*100</f>
        <v>100</v>
      </c>
      <c r="AG31" s="16" t="s">
        <v>165</v>
      </c>
      <c r="AH31" s="18">
        <f>+AF31*100</f>
        <v>0</v>
      </c>
      <c r="AJ31" s="16"/>
      <c r="AK31" s="16"/>
      <c r="AM31" s="16" t="s">
        <v>165</v>
      </c>
      <c r="AN31" s="18">
        <f>+AL31*100</f>
        <v>0</v>
      </c>
    </row>
    <row r="32" spans="1:40" x14ac:dyDescent="0.25">
      <c r="A32" s="143">
        <v>5</v>
      </c>
      <c r="B32" s="92">
        <v>45216</v>
      </c>
      <c r="C32" s="31" t="s">
        <v>255</v>
      </c>
      <c r="D32" s="32"/>
      <c r="E32" s="32" t="s">
        <v>1786</v>
      </c>
      <c r="F32" s="32" t="s">
        <v>1785</v>
      </c>
      <c r="G32" s="32" t="s">
        <v>1787</v>
      </c>
      <c r="H32" s="122">
        <v>500</v>
      </c>
      <c r="I32" s="32">
        <v>266</v>
      </c>
      <c r="J32" s="20">
        <v>15</v>
      </c>
      <c r="K32" s="21">
        <f t="shared" si="8"/>
        <v>0</v>
      </c>
      <c r="L32" s="21">
        <f t="shared" si="5"/>
        <v>281</v>
      </c>
      <c r="M32" s="21">
        <f t="shared" si="6"/>
        <v>219</v>
      </c>
      <c r="N32" s="21"/>
      <c r="O32" s="21"/>
      <c r="P32" s="5"/>
      <c r="Q32" s="16">
        <v>500</v>
      </c>
      <c r="R32" s="16"/>
      <c r="S32" s="21">
        <f t="shared" si="7"/>
        <v>500</v>
      </c>
      <c r="T32" s="21">
        <v>515</v>
      </c>
      <c r="U32" s="78">
        <f t="shared" si="9"/>
        <v>15</v>
      </c>
      <c r="V32" s="140"/>
      <c r="W32" s="147"/>
      <c r="X32" s="23"/>
      <c r="Y32" s="334"/>
      <c r="Z32" s="5"/>
      <c r="AB32">
        <v>3</v>
      </c>
      <c r="AC32" s="16" t="s">
        <v>166</v>
      </c>
      <c r="AD32" s="18">
        <f>+AB32*50</f>
        <v>150</v>
      </c>
      <c r="AF32">
        <v>1</v>
      </c>
      <c r="AG32" s="16" t="s">
        <v>166</v>
      </c>
      <c r="AH32" s="18">
        <f>+AF32*50</f>
        <v>50</v>
      </c>
      <c r="AJ32" s="16"/>
      <c r="AK32" s="16"/>
      <c r="AM32" s="16" t="s">
        <v>166</v>
      </c>
      <c r="AN32" s="18">
        <f>+AL32*50</f>
        <v>0</v>
      </c>
    </row>
    <row r="33" spans="1:40" x14ac:dyDescent="0.25">
      <c r="A33" s="143">
        <v>6</v>
      </c>
      <c r="B33" s="92">
        <v>45216</v>
      </c>
      <c r="C33" s="31" t="s">
        <v>650</v>
      </c>
      <c r="D33" s="32"/>
      <c r="E33" s="32"/>
      <c r="F33" s="32" t="s">
        <v>1789</v>
      </c>
      <c r="G33" s="39" t="s">
        <v>1788</v>
      </c>
      <c r="H33" s="39">
        <v>150</v>
      </c>
      <c r="I33" s="42">
        <v>130</v>
      </c>
      <c r="J33" s="20">
        <v>10</v>
      </c>
      <c r="K33" s="21">
        <f t="shared" si="8"/>
        <v>-260</v>
      </c>
      <c r="L33" s="21">
        <f t="shared" si="5"/>
        <v>140</v>
      </c>
      <c r="M33" s="21">
        <f t="shared" si="6"/>
        <v>10</v>
      </c>
      <c r="N33" s="21"/>
      <c r="O33" s="21">
        <v>130</v>
      </c>
      <c r="P33" s="5"/>
      <c r="Q33" s="16">
        <v>200</v>
      </c>
      <c r="R33" s="16"/>
      <c r="S33" s="21">
        <f t="shared" si="7"/>
        <v>200</v>
      </c>
      <c r="T33" s="16">
        <v>210</v>
      </c>
      <c r="U33" s="78">
        <f t="shared" si="9"/>
        <v>-120</v>
      </c>
      <c r="V33" s="140"/>
      <c r="W33" s="147"/>
      <c r="X33" s="23"/>
      <c r="Y33" s="334"/>
      <c r="Z33" s="5"/>
      <c r="AB33">
        <v>3</v>
      </c>
      <c r="AC33" s="16" t="s">
        <v>167</v>
      </c>
      <c r="AD33" s="18">
        <f>+AB33*20</f>
        <v>60</v>
      </c>
      <c r="AF33">
        <v>2</v>
      </c>
      <c r="AG33" s="16" t="s">
        <v>167</v>
      </c>
      <c r="AH33" s="18">
        <f>+AF33*20</f>
        <v>40</v>
      </c>
      <c r="AJ33" s="16"/>
      <c r="AK33" s="16"/>
      <c r="AM33" s="16" t="s">
        <v>167</v>
      </c>
      <c r="AN33" s="18">
        <f>+AL33*20</f>
        <v>0</v>
      </c>
    </row>
    <row r="34" spans="1:40" x14ac:dyDescent="0.25">
      <c r="A34" s="143">
        <v>7</v>
      </c>
      <c r="B34" s="92">
        <v>45216</v>
      </c>
      <c r="C34" s="31" t="s">
        <v>1711</v>
      </c>
      <c r="D34" s="32">
        <v>5620167396</v>
      </c>
      <c r="E34" s="32" t="s">
        <v>1791</v>
      </c>
      <c r="F34" s="32" t="s">
        <v>558</v>
      </c>
      <c r="G34" s="39" t="s">
        <v>1790</v>
      </c>
      <c r="H34" s="122"/>
      <c r="I34" s="42">
        <v>92</v>
      </c>
      <c r="J34" s="20">
        <v>10</v>
      </c>
      <c r="K34" s="21">
        <f t="shared" si="8"/>
        <v>4</v>
      </c>
      <c r="L34" s="21">
        <f t="shared" si="5"/>
        <v>102</v>
      </c>
      <c r="M34" s="21">
        <f t="shared" si="6"/>
        <v>-102</v>
      </c>
      <c r="N34" s="21"/>
      <c r="O34" s="21"/>
      <c r="P34" s="5"/>
      <c r="Q34" s="16">
        <v>150</v>
      </c>
      <c r="R34" s="16"/>
      <c r="S34" s="21">
        <f t="shared" si="7"/>
        <v>150</v>
      </c>
      <c r="T34" s="16">
        <v>164</v>
      </c>
      <c r="U34" s="78">
        <f t="shared" si="9"/>
        <v>14</v>
      </c>
      <c r="V34" s="140"/>
      <c r="W34" s="147"/>
      <c r="X34" s="23"/>
      <c r="Y34" s="334"/>
      <c r="Z34" s="5"/>
      <c r="AC34" s="16" t="s">
        <v>171</v>
      </c>
      <c r="AD34" s="18">
        <f>+AB34*500</f>
        <v>0</v>
      </c>
      <c r="AG34" s="16" t="s">
        <v>171</v>
      </c>
      <c r="AH34" s="18">
        <f>+AF34*500</f>
        <v>0</v>
      </c>
      <c r="AJ34" s="16"/>
      <c r="AK34" s="16"/>
      <c r="AM34" s="16" t="s">
        <v>171</v>
      </c>
      <c r="AN34" s="18">
        <f>+AL34*500</f>
        <v>0</v>
      </c>
    </row>
    <row r="35" spans="1:40" x14ac:dyDescent="0.25">
      <c r="A35" s="143">
        <v>8</v>
      </c>
      <c r="B35" s="92">
        <v>45216</v>
      </c>
      <c r="C35" s="31" t="s">
        <v>195</v>
      </c>
      <c r="D35" s="123"/>
      <c r="E35" s="123" t="s">
        <v>1792</v>
      </c>
      <c r="F35" s="123" t="s">
        <v>1241</v>
      </c>
      <c r="G35" s="39" t="s">
        <v>667</v>
      </c>
      <c r="H35" s="122">
        <v>32</v>
      </c>
      <c r="I35" s="32">
        <v>22</v>
      </c>
      <c r="J35" s="20">
        <v>10</v>
      </c>
      <c r="K35" s="21">
        <f t="shared" si="8"/>
        <v>5</v>
      </c>
      <c r="L35" s="21">
        <f t="shared" si="5"/>
        <v>32</v>
      </c>
      <c r="M35" s="21">
        <f t="shared" si="6"/>
        <v>0</v>
      </c>
      <c r="N35" s="21"/>
      <c r="O35" s="21"/>
      <c r="P35" s="5"/>
      <c r="Q35" s="16">
        <v>0</v>
      </c>
      <c r="R35" s="16"/>
      <c r="S35" s="21">
        <v>0</v>
      </c>
      <c r="T35" s="16">
        <v>32</v>
      </c>
      <c r="U35" s="78">
        <v>15</v>
      </c>
      <c r="V35" s="140"/>
      <c r="W35" s="147"/>
      <c r="X35" s="23"/>
      <c r="Y35" s="334"/>
      <c r="Z35" s="5"/>
      <c r="AC35" s="16" t="s">
        <v>168</v>
      </c>
      <c r="AD35" s="18">
        <f>+AB35*1000</f>
        <v>0</v>
      </c>
      <c r="AG35" s="16" t="s">
        <v>168</v>
      </c>
      <c r="AH35" s="18">
        <f>+AF35*1000</f>
        <v>0</v>
      </c>
      <c r="AJ35" s="16"/>
      <c r="AK35" s="16"/>
      <c r="AM35" s="16" t="s">
        <v>168</v>
      </c>
      <c r="AN35" s="18">
        <f>+AL35*1000</f>
        <v>0</v>
      </c>
    </row>
    <row r="36" spans="1:40" x14ac:dyDescent="0.25">
      <c r="A36" s="143">
        <v>9</v>
      </c>
      <c r="B36" s="92">
        <v>45216</v>
      </c>
      <c r="C36" s="31" t="s">
        <v>44</v>
      </c>
      <c r="D36" s="32"/>
      <c r="E36" s="32" t="s">
        <v>1769</v>
      </c>
      <c r="F36" s="32" t="s">
        <v>729</v>
      </c>
      <c r="G36" s="39" t="s">
        <v>1793</v>
      </c>
      <c r="H36" s="39">
        <v>500</v>
      </c>
      <c r="I36" s="40">
        <v>355</v>
      </c>
      <c r="J36" s="20">
        <v>20</v>
      </c>
      <c r="K36" s="21">
        <f t="shared" si="8"/>
        <v>0</v>
      </c>
      <c r="L36" s="21">
        <f t="shared" si="5"/>
        <v>375</v>
      </c>
      <c r="M36" s="21">
        <f t="shared" si="6"/>
        <v>125</v>
      </c>
      <c r="N36" s="21"/>
      <c r="O36" s="21"/>
      <c r="P36" s="5"/>
      <c r="Q36" s="16">
        <v>500</v>
      </c>
      <c r="R36" s="16"/>
      <c r="S36" s="21">
        <f t="shared" si="7"/>
        <v>500</v>
      </c>
      <c r="T36" s="16">
        <v>520</v>
      </c>
      <c r="U36" s="78">
        <f t="shared" si="9"/>
        <v>20</v>
      </c>
      <c r="V36" s="140"/>
      <c r="W36" s="147"/>
      <c r="X36" s="23"/>
      <c r="Y36" s="334"/>
      <c r="Z36" s="5"/>
      <c r="AC36" s="26"/>
      <c r="AD36" s="58"/>
      <c r="AG36" s="26"/>
      <c r="AH36" s="58"/>
      <c r="AJ36" s="16"/>
      <c r="AK36" s="16"/>
      <c r="AM36" s="26"/>
      <c r="AN36" s="58"/>
    </row>
    <row r="37" spans="1:40" x14ac:dyDescent="0.25">
      <c r="A37" s="143">
        <v>10</v>
      </c>
      <c r="B37" s="92">
        <v>45216</v>
      </c>
      <c r="C37" s="31" t="s">
        <v>906</v>
      </c>
      <c r="D37" s="32"/>
      <c r="E37" s="32" t="s">
        <v>106</v>
      </c>
      <c r="F37" s="32" t="s">
        <v>908</v>
      </c>
      <c r="G37" s="39" t="s">
        <v>1795</v>
      </c>
      <c r="H37" s="122">
        <v>100</v>
      </c>
      <c r="I37" s="42">
        <v>84</v>
      </c>
      <c r="J37" s="20">
        <v>14</v>
      </c>
      <c r="K37" s="21">
        <f t="shared" si="8"/>
        <v>-168</v>
      </c>
      <c r="L37" s="21">
        <f t="shared" si="5"/>
        <v>98</v>
      </c>
      <c r="M37" s="21">
        <f t="shared" si="6"/>
        <v>2</v>
      </c>
      <c r="N37" s="21"/>
      <c r="O37" s="21">
        <v>84</v>
      </c>
      <c r="P37" s="5"/>
      <c r="Q37" s="16">
        <v>100</v>
      </c>
      <c r="R37" s="16"/>
      <c r="S37" s="21">
        <f t="shared" si="7"/>
        <v>100</v>
      </c>
      <c r="T37" s="16">
        <v>114</v>
      </c>
      <c r="U37" s="78">
        <f t="shared" si="9"/>
        <v>-70</v>
      </c>
      <c r="V37" s="140"/>
      <c r="W37" s="147"/>
      <c r="X37" s="23"/>
      <c r="Y37" s="334"/>
      <c r="Z37" s="5"/>
      <c r="AC37" s="16" t="s">
        <v>169</v>
      </c>
      <c r="AD37" s="18">
        <f>SUM(AD27:AD36)</f>
        <v>806</v>
      </c>
      <c r="AG37" s="16" t="s">
        <v>169</v>
      </c>
      <c r="AH37" s="18">
        <f>SUM(AH27:AH36)</f>
        <v>815</v>
      </c>
      <c r="AJ37" s="16"/>
      <c r="AK37" s="16"/>
      <c r="AM37" s="16" t="s">
        <v>169</v>
      </c>
      <c r="AN37" s="18"/>
    </row>
    <row r="38" spans="1:40" x14ac:dyDescent="0.25">
      <c r="A38" s="197">
        <v>11</v>
      </c>
      <c r="B38" s="198">
        <v>45216</v>
      </c>
      <c r="C38" s="199" t="s">
        <v>195</v>
      </c>
      <c r="D38" s="200"/>
      <c r="E38" s="201" t="s">
        <v>106</v>
      </c>
      <c r="F38" s="201" t="s">
        <v>1241</v>
      </c>
      <c r="G38" s="202" t="s">
        <v>1794</v>
      </c>
      <c r="H38" s="203">
        <v>40</v>
      </c>
      <c r="I38" s="204">
        <v>20</v>
      </c>
      <c r="J38" s="205">
        <v>10</v>
      </c>
      <c r="K38" s="206">
        <f t="shared" si="8"/>
        <v>-10</v>
      </c>
      <c r="L38" s="206">
        <f t="shared" si="5"/>
        <v>30</v>
      </c>
      <c r="M38" s="206">
        <f t="shared" si="6"/>
        <v>10</v>
      </c>
      <c r="N38" s="21"/>
      <c r="O38" s="21"/>
      <c r="P38" s="5"/>
      <c r="Q38" s="16"/>
      <c r="R38" s="16"/>
      <c r="S38" s="21">
        <f t="shared" si="7"/>
        <v>0</v>
      </c>
      <c r="T38" s="16"/>
      <c r="U38" s="78">
        <f t="shared" si="9"/>
        <v>0</v>
      </c>
      <c r="V38" s="140"/>
      <c r="W38" s="147"/>
      <c r="X38" s="23"/>
      <c r="Y38" s="334"/>
      <c r="Z38" s="5"/>
      <c r="AJ38" s="16"/>
      <c r="AK38" s="16"/>
      <c r="AM38" s="16"/>
      <c r="AN38" s="16"/>
    </row>
    <row r="39" spans="1:40" x14ac:dyDescent="0.25">
      <c r="A39" s="143">
        <v>12</v>
      </c>
      <c r="B39" s="92">
        <v>45216</v>
      </c>
      <c r="C39" s="32" t="s">
        <v>860</v>
      </c>
      <c r="D39" s="32"/>
      <c r="E39" s="124" t="s">
        <v>106</v>
      </c>
      <c r="F39" s="123" t="s">
        <v>1640</v>
      </c>
      <c r="G39" s="124" t="s">
        <v>1796</v>
      </c>
      <c r="H39" s="39">
        <v>100</v>
      </c>
      <c r="I39" s="42">
        <v>74</v>
      </c>
      <c r="J39" s="20">
        <v>14</v>
      </c>
      <c r="K39" s="21"/>
      <c r="L39" s="21">
        <f t="shared" si="5"/>
        <v>88</v>
      </c>
      <c r="M39" s="21">
        <f t="shared" si="6"/>
        <v>12</v>
      </c>
      <c r="N39" s="21"/>
      <c r="O39" s="21">
        <v>74</v>
      </c>
      <c r="P39" s="5"/>
      <c r="Q39" s="45">
        <v>100</v>
      </c>
      <c r="R39" s="44"/>
      <c r="S39" s="21">
        <f t="shared" si="7"/>
        <v>100</v>
      </c>
      <c r="T39" s="45">
        <v>114</v>
      </c>
      <c r="U39" s="78">
        <f t="shared" si="9"/>
        <v>-60</v>
      </c>
      <c r="V39" s="140"/>
      <c r="W39" s="147"/>
      <c r="X39" s="23"/>
      <c r="Y39" s="334"/>
      <c r="Z39" s="5"/>
      <c r="AJ39" s="63" t="s">
        <v>169</v>
      </c>
      <c r="AK39" s="63">
        <f>+SUM(AJ28:AJ38)-SUM(AK28:AK38)</f>
        <v>0</v>
      </c>
      <c r="AM39" s="63" t="s">
        <v>169</v>
      </c>
      <c r="AN39" s="85">
        <f>+SUM(AM27:AM38)-SUM(AN28:AN38)</f>
        <v>0</v>
      </c>
    </row>
    <row r="40" spans="1:40" x14ac:dyDescent="0.25">
      <c r="A40" s="143">
        <v>13</v>
      </c>
      <c r="B40" s="92">
        <v>45216</v>
      </c>
      <c r="C40" s="31" t="s">
        <v>1797</v>
      </c>
      <c r="D40" s="32"/>
      <c r="E40" s="32" t="s">
        <v>1798</v>
      </c>
      <c r="F40" s="32" t="s">
        <v>1799</v>
      </c>
      <c r="G40" s="39" t="s">
        <v>1800</v>
      </c>
      <c r="H40" s="39">
        <v>200</v>
      </c>
      <c r="I40" s="42">
        <v>83</v>
      </c>
      <c r="J40" s="108">
        <v>14</v>
      </c>
      <c r="K40" s="21">
        <f t="shared" si="8"/>
        <v>0</v>
      </c>
      <c r="L40" s="21">
        <f t="shared" si="5"/>
        <v>97</v>
      </c>
      <c r="M40" s="21">
        <f t="shared" si="6"/>
        <v>103</v>
      </c>
      <c r="N40" s="21"/>
      <c r="O40" s="21"/>
      <c r="P40" s="5"/>
      <c r="Q40" s="43">
        <v>200</v>
      </c>
      <c r="R40" s="32"/>
      <c r="S40" s="21">
        <f t="shared" si="7"/>
        <v>200</v>
      </c>
      <c r="T40" s="43">
        <v>214</v>
      </c>
      <c r="U40" s="78">
        <f t="shared" si="9"/>
        <v>14</v>
      </c>
      <c r="V40" s="140"/>
      <c r="W40" s="147"/>
      <c r="X40" s="23"/>
      <c r="Y40" s="334"/>
      <c r="Z40" s="5"/>
      <c r="AH40" s="83"/>
    </row>
    <row r="41" spans="1:40" x14ac:dyDescent="0.25">
      <c r="A41" s="143">
        <v>14</v>
      </c>
      <c r="B41" s="92">
        <v>45216</v>
      </c>
      <c r="C41" s="31" t="s">
        <v>627</v>
      </c>
      <c r="D41" s="32"/>
      <c r="E41" s="32" t="s">
        <v>106</v>
      </c>
      <c r="F41" s="32" t="s">
        <v>1667</v>
      </c>
      <c r="G41" s="39" t="s">
        <v>1801</v>
      </c>
      <c r="H41" s="39">
        <v>140</v>
      </c>
      <c r="I41" s="42"/>
      <c r="J41" s="108">
        <v>10</v>
      </c>
      <c r="K41" s="21">
        <f t="shared" si="8"/>
        <v>-430</v>
      </c>
      <c r="L41" s="21">
        <f t="shared" si="5"/>
        <v>10</v>
      </c>
      <c r="M41" s="21">
        <f t="shared" si="6"/>
        <v>130</v>
      </c>
      <c r="N41" s="21"/>
      <c r="O41" s="21">
        <v>140</v>
      </c>
      <c r="P41" s="5"/>
      <c r="Q41" s="43">
        <v>140</v>
      </c>
      <c r="R41" s="43"/>
      <c r="S41" s="21">
        <f t="shared" si="7"/>
        <v>140</v>
      </c>
      <c r="T41" s="43"/>
      <c r="U41" s="78">
        <f t="shared" si="9"/>
        <v>-280</v>
      </c>
      <c r="V41" s="140"/>
      <c r="W41" s="147"/>
      <c r="X41" s="23"/>
      <c r="Y41" s="334"/>
      <c r="Z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40" x14ac:dyDescent="0.25">
      <c r="A42" s="143">
        <v>15</v>
      </c>
      <c r="B42" s="92">
        <v>45216</v>
      </c>
      <c r="C42" s="127" t="s">
        <v>1803</v>
      </c>
      <c r="D42" s="32"/>
      <c r="E42" s="32" t="s">
        <v>1769</v>
      </c>
      <c r="F42" s="128"/>
      <c r="G42" s="129" t="s">
        <v>1802</v>
      </c>
      <c r="H42" s="39">
        <v>220</v>
      </c>
      <c r="I42" s="42"/>
      <c r="J42" s="108">
        <v>10</v>
      </c>
      <c r="K42" s="21">
        <f t="shared" si="8"/>
        <v>-230</v>
      </c>
      <c r="L42" s="21">
        <f t="shared" si="5"/>
        <v>10</v>
      </c>
      <c r="M42" s="21">
        <f t="shared" si="6"/>
        <v>210</v>
      </c>
      <c r="N42" s="21"/>
      <c r="O42" s="21"/>
      <c r="P42" s="5"/>
      <c r="Q42" s="43">
        <v>220</v>
      </c>
      <c r="R42" s="43"/>
      <c r="S42" s="21">
        <f t="shared" si="7"/>
        <v>220</v>
      </c>
      <c r="T42" s="43"/>
      <c r="U42" s="78">
        <f t="shared" si="9"/>
        <v>-220</v>
      </c>
      <c r="V42" s="140"/>
      <c r="W42" s="147"/>
      <c r="X42" s="23"/>
      <c r="Y42" s="334"/>
      <c r="Z42" s="5"/>
      <c r="AC42" s="5"/>
      <c r="AD42" s="134" t="s">
        <v>20</v>
      </c>
      <c r="AE42" s="338">
        <v>861</v>
      </c>
      <c r="AF42" s="341" t="s">
        <v>686</v>
      </c>
      <c r="AG42" s="134" t="s">
        <v>20</v>
      </c>
      <c r="AH42" s="338">
        <v>93</v>
      </c>
      <c r="AI42" s="341" t="s">
        <v>687</v>
      </c>
      <c r="AJ42" s="134" t="s">
        <v>20</v>
      </c>
      <c r="AK42" s="338"/>
      <c r="AL42" s="5"/>
    </row>
    <row r="43" spans="1:40" x14ac:dyDescent="0.25">
      <c r="A43" s="143">
        <v>16</v>
      </c>
      <c r="B43" s="92">
        <v>45216</v>
      </c>
      <c r="C43" s="31"/>
      <c r="D43" s="32"/>
      <c r="E43" s="32"/>
      <c r="F43" s="32"/>
      <c r="G43" s="39"/>
      <c r="H43" s="39"/>
      <c r="I43" s="42"/>
      <c r="J43" s="43">
        <v>10</v>
      </c>
      <c r="K43" s="21">
        <f t="shared" si="8"/>
        <v>-10</v>
      </c>
      <c r="L43" s="21">
        <f t="shared" si="5"/>
        <v>10</v>
      </c>
      <c r="M43" s="21">
        <f t="shared" si="6"/>
        <v>-10</v>
      </c>
      <c r="N43" s="21"/>
      <c r="O43" s="21"/>
      <c r="P43" s="5"/>
      <c r="Q43" s="43"/>
      <c r="R43" s="32"/>
      <c r="S43" s="21">
        <f t="shared" si="7"/>
        <v>0</v>
      </c>
      <c r="T43" s="131"/>
      <c r="U43" s="78">
        <f t="shared" si="9"/>
        <v>0</v>
      </c>
      <c r="V43" s="140"/>
      <c r="W43" s="147"/>
      <c r="X43" s="23"/>
      <c r="Y43" s="334"/>
      <c r="Z43" s="5"/>
      <c r="AC43" s="5" t="s">
        <v>685</v>
      </c>
      <c r="AD43" s="115" t="s">
        <v>684</v>
      </c>
      <c r="AE43" s="339"/>
      <c r="AF43" s="341"/>
      <c r="AG43" s="115" t="s">
        <v>684</v>
      </c>
      <c r="AH43" s="339"/>
      <c r="AI43" s="341"/>
      <c r="AJ43" s="115" t="s">
        <v>684</v>
      </c>
      <c r="AK43" s="339"/>
      <c r="AL43" s="5"/>
    </row>
    <row r="44" spans="1:40" x14ac:dyDescent="0.25">
      <c r="A44" s="143">
        <v>17</v>
      </c>
      <c r="B44" s="92">
        <v>45216</v>
      </c>
      <c r="C44" s="31"/>
      <c r="D44" s="32"/>
      <c r="E44" s="32"/>
      <c r="F44" s="32"/>
      <c r="G44" s="39"/>
      <c r="H44" s="39"/>
      <c r="I44" s="42"/>
      <c r="J44" s="43">
        <v>10</v>
      </c>
      <c r="K44" s="21">
        <f t="shared" si="8"/>
        <v>-10</v>
      </c>
      <c r="L44" s="21">
        <f t="shared" si="5"/>
        <v>10</v>
      </c>
      <c r="M44" s="21">
        <f t="shared" si="6"/>
        <v>-10</v>
      </c>
      <c r="N44" s="21"/>
      <c r="O44" s="21"/>
      <c r="P44" s="5"/>
      <c r="Q44" s="43"/>
      <c r="R44" s="32"/>
      <c r="S44" s="21">
        <f t="shared" si="7"/>
        <v>0</v>
      </c>
      <c r="T44" s="132"/>
      <c r="U44" s="78">
        <f t="shared" si="9"/>
        <v>0</v>
      </c>
      <c r="V44" s="140"/>
      <c r="W44" s="147"/>
      <c r="X44" s="23"/>
      <c r="Y44" s="340"/>
      <c r="Z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40" x14ac:dyDescent="0.25">
      <c r="A45" s="143">
        <v>18</v>
      </c>
      <c r="B45" s="92">
        <v>45216</v>
      </c>
      <c r="C45" s="31"/>
      <c r="D45" s="32"/>
      <c r="E45" s="32"/>
      <c r="F45" s="32"/>
      <c r="G45" s="39"/>
      <c r="H45" s="39"/>
      <c r="I45" s="42"/>
      <c r="J45" s="43">
        <v>10</v>
      </c>
      <c r="K45" s="21">
        <f t="shared" si="8"/>
        <v>-10</v>
      </c>
      <c r="L45" s="21">
        <f t="shared" si="5"/>
        <v>10</v>
      </c>
      <c r="M45" s="21">
        <f t="shared" si="6"/>
        <v>-10</v>
      </c>
      <c r="N45" s="21"/>
      <c r="O45" s="21"/>
      <c r="P45" s="5"/>
      <c r="Q45" s="135"/>
      <c r="R45" s="104"/>
      <c r="S45" s="21">
        <f t="shared" si="7"/>
        <v>0</v>
      </c>
      <c r="T45" s="131"/>
      <c r="U45" s="78">
        <f t="shared" si="9"/>
        <v>0</v>
      </c>
      <c r="V45" s="140"/>
      <c r="W45" s="138"/>
      <c r="X45" s="32"/>
      <c r="Z45" s="5"/>
    </row>
    <row r="46" spans="1:40" x14ac:dyDescent="0.25">
      <c r="A46" s="143">
        <v>19</v>
      </c>
      <c r="B46" s="92">
        <v>45216</v>
      </c>
      <c r="C46" s="31"/>
      <c r="D46" s="32"/>
      <c r="E46" s="32"/>
      <c r="F46" s="32"/>
      <c r="G46" s="39"/>
      <c r="H46" s="39"/>
      <c r="I46" s="42"/>
      <c r="J46" s="43">
        <v>10</v>
      </c>
      <c r="K46" s="21">
        <f t="shared" si="8"/>
        <v>-10</v>
      </c>
      <c r="L46" s="21">
        <f t="shared" si="5"/>
        <v>10</v>
      </c>
      <c r="M46" s="21">
        <f t="shared" si="6"/>
        <v>-10</v>
      </c>
      <c r="N46" s="21"/>
      <c r="O46" s="21"/>
      <c r="P46" s="5"/>
      <c r="Q46" s="32"/>
      <c r="R46" s="32"/>
      <c r="S46" s="21">
        <f t="shared" si="7"/>
        <v>0</v>
      </c>
      <c r="T46" s="32"/>
      <c r="U46" s="78">
        <f t="shared" si="9"/>
        <v>0</v>
      </c>
      <c r="V46" s="140"/>
      <c r="W46" s="138"/>
      <c r="X46" s="32"/>
      <c r="Z46" s="5"/>
    </row>
    <row r="47" spans="1:4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22">
        <f>SUM(O29:O41)</f>
        <v>542</v>
      </c>
      <c r="P47" s="5"/>
      <c r="Q47" s="5"/>
      <c r="R47" s="5"/>
      <c r="S47" s="5"/>
      <c r="T47" s="5"/>
      <c r="U47" s="5"/>
      <c r="V47" s="141"/>
      <c r="W47" s="5"/>
      <c r="X47" s="5"/>
      <c r="Y47" s="5"/>
      <c r="Z47" s="5"/>
    </row>
    <row r="53" spans="1:40" x14ac:dyDescent="0.25">
      <c r="H53" t="s">
        <v>1805</v>
      </c>
    </row>
    <row r="56" spans="1:40" x14ac:dyDescent="0.25">
      <c r="A56" s="1" t="s">
        <v>0</v>
      </c>
      <c r="B56" s="1"/>
      <c r="C56" s="1"/>
      <c r="D56" s="1"/>
      <c r="E56" s="1"/>
      <c r="F56" s="1"/>
      <c r="G56" s="1"/>
      <c r="H56" s="1"/>
      <c r="I56" s="1" t="s">
        <v>148</v>
      </c>
      <c r="J56" s="1"/>
      <c r="K56" s="1"/>
      <c r="L56" s="1"/>
      <c r="M56" s="1"/>
      <c r="N56" s="1"/>
      <c r="O56" s="1"/>
      <c r="P56" s="1"/>
      <c r="Q56" s="1"/>
      <c r="R56" s="1"/>
      <c r="S56" s="342" t="s">
        <v>1</v>
      </c>
      <c r="T56" s="342"/>
      <c r="U56" s="5"/>
      <c r="V56" s="139"/>
      <c r="W56" s="1"/>
      <c r="X56" s="1"/>
      <c r="Y56" s="1"/>
      <c r="Z56" s="5"/>
      <c r="AC56" s="335" t="s">
        <v>160</v>
      </c>
      <c r="AD56" s="336"/>
      <c r="AG56" s="335" t="s">
        <v>170</v>
      </c>
      <c r="AH56" s="336"/>
      <c r="AJ56" s="337" t="s">
        <v>172</v>
      </c>
      <c r="AK56" s="337"/>
      <c r="AM56" s="337" t="s">
        <v>681</v>
      </c>
      <c r="AN56" s="337"/>
    </row>
    <row r="57" spans="1:40" ht="90" x14ac:dyDescent="0.25">
      <c r="A57" s="6" t="s">
        <v>2</v>
      </c>
      <c r="B57" s="7" t="s">
        <v>3</v>
      </c>
      <c r="C57" s="7" t="s">
        <v>4</v>
      </c>
      <c r="D57" s="6" t="s">
        <v>5</v>
      </c>
      <c r="E57" s="6" t="s">
        <v>6</v>
      </c>
      <c r="F57" s="6" t="s">
        <v>7</v>
      </c>
      <c r="G57" s="6" t="s">
        <v>8</v>
      </c>
      <c r="H57" s="8" t="s">
        <v>9</v>
      </c>
      <c r="I57" s="9" t="s">
        <v>10</v>
      </c>
      <c r="J57" s="8" t="s">
        <v>11</v>
      </c>
      <c r="K57" s="10" t="s">
        <v>12</v>
      </c>
      <c r="L57" s="10" t="s">
        <v>13</v>
      </c>
      <c r="M57" s="11" t="s">
        <v>14</v>
      </c>
      <c r="N57" s="10" t="s">
        <v>691</v>
      </c>
      <c r="O57" s="10" t="s">
        <v>28</v>
      </c>
      <c r="P57" s="5"/>
      <c r="Q57" s="10" t="s">
        <v>16</v>
      </c>
      <c r="R57" s="10" t="s">
        <v>17</v>
      </c>
      <c r="S57" s="10" t="s">
        <v>18</v>
      </c>
      <c r="T57" s="10" t="s">
        <v>19</v>
      </c>
      <c r="U57" s="10" t="s">
        <v>20</v>
      </c>
      <c r="V57" s="13"/>
      <c r="W57" s="136" t="s">
        <v>688</v>
      </c>
      <c r="X57" s="14" t="s">
        <v>22</v>
      </c>
      <c r="Y57" s="15" t="s">
        <v>23</v>
      </c>
      <c r="Z57" s="5"/>
      <c r="AB57">
        <v>10</v>
      </c>
      <c r="AC57" s="16" t="s">
        <v>161</v>
      </c>
      <c r="AD57" s="58">
        <f>+AB57*10</f>
        <v>100</v>
      </c>
      <c r="AF57">
        <v>3</v>
      </c>
      <c r="AG57" s="16" t="s">
        <v>161</v>
      </c>
      <c r="AH57" s="58">
        <f>+AF57*10</f>
        <v>30</v>
      </c>
      <c r="AJ57" s="61" t="s">
        <v>173</v>
      </c>
      <c r="AK57" s="62" t="s">
        <v>174</v>
      </c>
      <c r="AM57" s="16" t="s">
        <v>161</v>
      </c>
      <c r="AN57" s="58">
        <f>+AL57*10</f>
        <v>0</v>
      </c>
    </row>
    <row r="58" spans="1:40" x14ac:dyDescent="0.25">
      <c r="A58" s="16">
        <v>1</v>
      </c>
      <c r="B58" s="92">
        <v>45217</v>
      </c>
      <c r="C58" s="31" t="s">
        <v>30</v>
      </c>
      <c r="D58" s="32">
        <v>5615394688</v>
      </c>
      <c r="E58" s="32" t="s">
        <v>485</v>
      </c>
      <c r="F58" s="39" t="s">
        <v>1086</v>
      </c>
      <c r="G58" s="39" t="s">
        <v>1804</v>
      </c>
      <c r="H58" s="122"/>
      <c r="I58" s="32">
        <v>40</v>
      </c>
      <c r="J58" s="20">
        <v>22</v>
      </c>
      <c r="K58" s="21">
        <f>U58-J58-O58</f>
        <v>0</v>
      </c>
      <c r="L58" s="21">
        <f t="shared" ref="L58:L81" si="10">+I58+J58</f>
        <v>62</v>
      </c>
      <c r="M58" s="21">
        <f t="shared" ref="M58:M81" si="11">+H58-L58</f>
        <v>-62</v>
      </c>
      <c r="N58" s="21"/>
      <c r="O58" s="21"/>
      <c r="P58" s="5"/>
      <c r="Q58" s="21">
        <v>250</v>
      </c>
      <c r="R58" s="16"/>
      <c r="S58" s="21">
        <f t="shared" ref="S58:S81" si="12">+Q58+R58</f>
        <v>250</v>
      </c>
      <c r="T58" s="21">
        <v>272</v>
      </c>
      <c r="U58" s="78">
        <f>T58-S58-O58</f>
        <v>22</v>
      </c>
      <c r="V58" s="13"/>
      <c r="W58" s="147"/>
      <c r="X58" s="23"/>
      <c r="Y58" s="333"/>
      <c r="Z58" s="5"/>
      <c r="AB58">
        <v>53</v>
      </c>
      <c r="AC58" s="59" t="s">
        <v>162</v>
      </c>
      <c r="AD58" s="18">
        <f>+AB58*1</f>
        <v>53</v>
      </c>
      <c r="AF58">
        <v>73</v>
      </c>
      <c r="AG58" s="59" t="s">
        <v>162</v>
      </c>
      <c r="AH58" s="18">
        <f>+AF58*1</f>
        <v>73</v>
      </c>
      <c r="AJ58" s="16"/>
      <c r="AK58" s="16"/>
      <c r="AM58" s="59" t="s">
        <v>162</v>
      </c>
      <c r="AN58" s="18">
        <f>+AL58*1</f>
        <v>0</v>
      </c>
    </row>
    <row r="59" spans="1:40" x14ac:dyDescent="0.25">
      <c r="A59" s="26">
        <v>2</v>
      </c>
      <c r="B59" s="92">
        <v>45217</v>
      </c>
      <c r="C59" s="31" t="s">
        <v>1806</v>
      </c>
      <c r="D59" s="32">
        <v>5589529270</v>
      </c>
      <c r="E59" s="32" t="s">
        <v>1484</v>
      </c>
      <c r="F59" s="32" t="s">
        <v>1483</v>
      </c>
      <c r="G59" s="39" t="s">
        <v>1807</v>
      </c>
      <c r="H59" s="122"/>
      <c r="I59" s="32">
        <v>443</v>
      </c>
      <c r="J59" s="20">
        <v>30</v>
      </c>
      <c r="K59" s="21">
        <f t="shared" ref="K59:K81" si="13">U59-J59-O59</f>
        <v>0</v>
      </c>
      <c r="L59" s="21">
        <f t="shared" si="10"/>
        <v>473</v>
      </c>
      <c r="M59" s="21">
        <f t="shared" si="11"/>
        <v>-473</v>
      </c>
      <c r="N59" s="21"/>
      <c r="O59" s="21"/>
      <c r="P59" s="5"/>
      <c r="Q59" s="21">
        <v>500</v>
      </c>
      <c r="R59" s="16"/>
      <c r="S59" s="21">
        <f t="shared" si="12"/>
        <v>500</v>
      </c>
      <c r="T59" s="21">
        <v>530</v>
      </c>
      <c r="U59" s="78">
        <f t="shared" ref="U59:U81" si="14">T59-S59-O59</f>
        <v>30</v>
      </c>
      <c r="V59" s="140"/>
      <c r="W59" s="147"/>
      <c r="X59" s="23"/>
      <c r="Y59" s="334"/>
      <c r="Z59" s="5"/>
      <c r="AB59">
        <v>24</v>
      </c>
      <c r="AC59" s="16" t="s">
        <v>163</v>
      </c>
      <c r="AD59" s="60">
        <f>+AB59*5</f>
        <v>120</v>
      </c>
      <c r="AF59">
        <v>22</v>
      </c>
      <c r="AG59" s="16" t="s">
        <v>163</v>
      </c>
      <c r="AH59" s="60">
        <f>+AF59*5</f>
        <v>110</v>
      </c>
      <c r="AJ59" s="16"/>
      <c r="AK59" s="16"/>
      <c r="AM59" s="16" t="s">
        <v>163</v>
      </c>
      <c r="AN59" s="60">
        <f>+AL59*5</f>
        <v>0</v>
      </c>
    </row>
    <row r="60" spans="1:40" x14ac:dyDescent="0.25">
      <c r="A60" s="197">
        <v>3</v>
      </c>
      <c r="B60" s="198">
        <v>45217</v>
      </c>
      <c r="C60" s="199" t="s">
        <v>1808</v>
      </c>
      <c r="D60" s="207">
        <v>5625771181</v>
      </c>
      <c r="E60" s="207" t="s">
        <v>394</v>
      </c>
      <c r="F60" s="207" t="s">
        <v>1809</v>
      </c>
      <c r="G60" s="202" t="s">
        <v>1810</v>
      </c>
      <c r="H60" s="203" t="s">
        <v>148</v>
      </c>
      <c r="I60" s="207">
        <v>18</v>
      </c>
      <c r="J60" s="205">
        <v>10</v>
      </c>
      <c r="K60" s="206">
        <f t="shared" si="13"/>
        <v>-10</v>
      </c>
      <c r="L60" s="206">
        <f t="shared" si="10"/>
        <v>28</v>
      </c>
      <c r="M60" s="206" t="e">
        <f t="shared" si="11"/>
        <v>#VALUE!</v>
      </c>
      <c r="N60" s="206"/>
      <c r="O60" s="206"/>
      <c r="P60" s="208"/>
      <c r="Q60" s="206"/>
      <c r="R60" s="209"/>
      <c r="S60" s="206">
        <f t="shared" si="12"/>
        <v>0</v>
      </c>
      <c r="T60" s="206"/>
      <c r="U60" s="210">
        <f t="shared" si="14"/>
        <v>0</v>
      </c>
      <c r="V60" s="140"/>
      <c r="W60" s="147"/>
      <c r="X60" s="23"/>
      <c r="Y60" s="334"/>
      <c r="Z60" s="5"/>
      <c r="AC60" s="16" t="s">
        <v>164</v>
      </c>
      <c r="AD60" s="18">
        <f>+AB60*200</f>
        <v>0</v>
      </c>
      <c r="AG60" s="16" t="s">
        <v>164</v>
      </c>
      <c r="AH60" s="18">
        <f>+AF60*200</f>
        <v>0</v>
      </c>
      <c r="AJ60" s="16"/>
      <c r="AK60" s="16"/>
      <c r="AM60" s="16" t="s">
        <v>164</v>
      </c>
      <c r="AN60" s="18">
        <f>+AL60*200</f>
        <v>0</v>
      </c>
    </row>
    <row r="61" spans="1:40" x14ac:dyDescent="0.25">
      <c r="A61" s="143">
        <v>4</v>
      </c>
      <c r="B61" s="92">
        <v>45217</v>
      </c>
      <c r="C61" s="31" t="s">
        <v>1811</v>
      </c>
      <c r="D61" s="32">
        <v>5546392505</v>
      </c>
      <c r="E61" s="32" t="s">
        <v>242</v>
      </c>
      <c r="F61" s="32" t="s">
        <v>1812</v>
      </c>
      <c r="G61" s="39" t="s">
        <v>1813</v>
      </c>
      <c r="H61" s="122"/>
      <c r="I61" s="32">
        <v>137</v>
      </c>
      <c r="J61" s="20">
        <v>14</v>
      </c>
      <c r="K61" s="21">
        <f t="shared" si="13"/>
        <v>0</v>
      </c>
      <c r="L61" s="21">
        <f t="shared" si="10"/>
        <v>151</v>
      </c>
      <c r="M61" s="21">
        <f t="shared" si="11"/>
        <v>-151</v>
      </c>
      <c r="N61" s="21"/>
      <c r="O61" s="21"/>
      <c r="P61" s="5"/>
      <c r="Q61" s="21">
        <v>100</v>
      </c>
      <c r="R61" s="16"/>
      <c r="S61" s="21">
        <f t="shared" si="12"/>
        <v>100</v>
      </c>
      <c r="T61" s="21">
        <v>114</v>
      </c>
      <c r="U61" s="78">
        <f t="shared" si="14"/>
        <v>14</v>
      </c>
      <c r="V61" s="140"/>
      <c r="W61" s="147"/>
      <c r="X61" s="23"/>
      <c r="Y61" s="334"/>
      <c r="Z61" s="5"/>
      <c r="AB61">
        <v>1</v>
      </c>
      <c r="AC61" s="16" t="s">
        <v>165</v>
      </c>
      <c r="AD61" s="18">
        <f>+AB61*100</f>
        <v>100</v>
      </c>
      <c r="AG61" s="16" t="s">
        <v>165</v>
      </c>
      <c r="AH61" s="18">
        <f>+AF61*100</f>
        <v>0</v>
      </c>
      <c r="AJ61" s="16"/>
      <c r="AK61" s="16"/>
      <c r="AM61" s="16" t="s">
        <v>165</v>
      </c>
      <c r="AN61" s="18">
        <f>+AL61*100</f>
        <v>0</v>
      </c>
    </row>
    <row r="62" spans="1:40" x14ac:dyDescent="0.25">
      <c r="A62" s="143">
        <v>5</v>
      </c>
      <c r="B62" s="92">
        <v>45217</v>
      </c>
      <c r="C62" s="31" t="s">
        <v>203</v>
      </c>
      <c r="D62" s="32">
        <v>5578861024</v>
      </c>
      <c r="E62" s="32" t="s">
        <v>1371</v>
      </c>
      <c r="F62" s="32" t="s">
        <v>1148</v>
      </c>
      <c r="G62" s="32" t="s">
        <v>1814</v>
      </c>
      <c r="H62" s="122"/>
      <c r="I62" s="32">
        <v>55</v>
      </c>
      <c r="J62" s="20">
        <v>14</v>
      </c>
      <c r="K62" s="21">
        <f t="shared" si="13"/>
        <v>0</v>
      </c>
      <c r="L62" s="21">
        <f t="shared" si="10"/>
        <v>69</v>
      </c>
      <c r="M62" s="21">
        <f t="shared" si="11"/>
        <v>-69</v>
      </c>
      <c r="N62" s="21"/>
      <c r="O62" s="21"/>
      <c r="P62" s="5"/>
      <c r="Q62" s="16">
        <v>200</v>
      </c>
      <c r="R62" s="16"/>
      <c r="S62" s="21">
        <f t="shared" si="12"/>
        <v>200</v>
      </c>
      <c r="T62" s="21">
        <v>214</v>
      </c>
      <c r="U62" s="78">
        <f t="shared" si="14"/>
        <v>14</v>
      </c>
      <c r="V62" s="140"/>
      <c r="W62" s="147"/>
      <c r="X62" s="23"/>
      <c r="Y62" s="334"/>
      <c r="Z62" s="5"/>
      <c r="AC62" s="16" t="s">
        <v>166</v>
      </c>
      <c r="AD62" s="18">
        <f>+AB62*50</f>
        <v>0</v>
      </c>
      <c r="AF62">
        <v>1</v>
      </c>
      <c r="AG62" s="16" t="s">
        <v>166</v>
      </c>
      <c r="AH62" s="18">
        <f>+AF62*50</f>
        <v>50</v>
      </c>
      <c r="AJ62" s="16"/>
      <c r="AK62" s="16"/>
      <c r="AM62" s="16" t="s">
        <v>166</v>
      </c>
      <c r="AN62" s="18">
        <f>+AL62*50</f>
        <v>0</v>
      </c>
    </row>
    <row r="63" spans="1:40" x14ac:dyDescent="0.25">
      <c r="A63" s="143">
        <v>6</v>
      </c>
      <c r="B63" s="92">
        <v>45217</v>
      </c>
      <c r="C63" s="31" t="s">
        <v>1042</v>
      </c>
      <c r="D63" s="32">
        <v>5568676408</v>
      </c>
      <c r="E63" s="32" t="s">
        <v>242</v>
      </c>
      <c r="F63" s="32" t="s">
        <v>1815</v>
      </c>
      <c r="G63" s="39" t="s">
        <v>1816</v>
      </c>
      <c r="H63" s="39">
        <v>500</v>
      </c>
      <c r="I63" s="42">
        <v>149</v>
      </c>
      <c r="J63" s="20">
        <v>14</v>
      </c>
      <c r="K63" s="21">
        <f t="shared" si="13"/>
        <v>0</v>
      </c>
      <c r="L63" s="21">
        <f t="shared" si="10"/>
        <v>163</v>
      </c>
      <c r="M63" s="21">
        <f t="shared" si="11"/>
        <v>337</v>
      </c>
      <c r="N63" s="21"/>
      <c r="O63" s="21"/>
      <c r="P63" s="5"/>
      <c r="Q63" s="16">
        <v>500</v>
      </c>
      <c r="R63" s="16"/>
      <c r="S63" s="21">
        <f t="shared" si="12"/>
        <v>500</v>
      </c>
      <c r="T63" s="16">
        <v>514</v>
      </c>
      <c r="U63" s="78">
        <f t="shared" si="14"/>
        <v>14</v>
      </c>
      <c r="V63" s="140"/>
      <c r="W63" s="147"/>
      <c r="X63" s="23"/>
      <c r="Y63" s="334"/>
      <c r="Z63" s="5"/>
      <c r="AC63" s="16" t="s">
        <v>167</v>
      </c>
      <c r="AD63" s="18">
        <f>+AB63*20</f>
        <v>0</v>
      </c>
      <c r="AF63">
        <v>2</v>
      </c>
      <c r="AG63" s="16" t="s">
        <v>167</v>
      </c>
      <c r="AH63" s="18">
        <f>+AF63*20</f>
        <v>40</v>
      </c>
      <c r="AJ63" s="16"/>
      <c r="AK63" s="16"/>
      <c r="AM63" s="16" t="s">
        <v>167</v>
      </c>
      <c r="AN63" s="18">
        <f>+AL63*20</f>
        <v>0</v>
      </c>
    </row>
    <row r="64" spans="1:40" x14ac:dyDescent="0.25">
      <c r="A64" s="143">
        <v>7</v>
      </c>
      <c r="B64" s="92">
        <v>45217</v>
      </c>
      <c r="C64" s="31" t="s">
        <v>403</v>
      </c>
      <c r="D64" s="32">
        <v>5618718638</v>
      </c>
      <c r="E64" s="32" t="s">
        <v>404</v>
      </c>
      <c r="F64" s="32" t="s">
        <v>1784</v>
      </c>
      <c r="G64" s="39" t="s">
        <v>1818</v>
      </c>
      <c r="H64" s="122"/>
      <c r="I64" s="42">
        <v>745</v>
      </c>
      <c r="J64" s="20">
        <v>20</v>
      </c>
      <c r="K64" s="21">
        <f t="shared" si="13"/>
        <v>4</v>
      </c>
      <c r="L64" s="21">
        <f t="shared" si="10"/>
        <v>765</v>
      </c>
      <c r="M64" s="21">
        <f t="shared" si="11"/>
        <v>-765</v>
      </c>
      <c r="N64" s="21"/>
      <c r="O64" s="21"/>
      <c r="P64" s="5"/>
      <c r="Q64" s="16">
        <v>200</v>
      </c>
      <c r="R64" s="16"/>
      <c r="S64" s="21">
        <f t="shared" si="12"/>
        <v>200</v>
      </c>
      <c r="T64" s="16">
        <v>224</v>
      </c>
      <c r="U64" s="78">
        <f t="shared" si="14"/>
        <v>24</v>
      </c>
      <c r="V64" s="140"/>
      <c r="W64" s="147"/>
      <c r="X64" s="23"/>
      <c r="Y64" s="334"/>
      <c r="Z64" s="5"/>
      <c r="AC64" s="16" t="s">
        <v>171</v>
      </c>
      <c r="AD64" s="18">
        <f>+AB64*500</f>
        <v>0</v>
      </c>
      <c r="AF64">
        <v>1</v>
      </c>
      <c r="AG64" s="16" t="s">
        <v>171</v>
      </c>
      <c r="AH64" s="18">
        <f>+AF64*500</f>
        <v>500</v>
      </c>
      <c r="AJ64" s="16"/>
      <c r="AK64" s="16"/>
      <c r="AM64" s="16" t="s">
        <v>171</v>
      </c>
      <c r="AN64" s="18">
        <f>+AL64*500</f>
        <v>0</v>
      </c>
    </row>
    <row r="65" spans="1:40" x14ac:dyDescent="0.25">
      <c r="A65" s="143">
        <v>8</v>
      </c>
      <c r="B65" s="92">
        <v>45217</v>
      </c>
      <c r="C65" s="31" t="s">
        <v>1817</v>
      </c>
      <c r="D65" s="123">
        <v>5543534413</v>
      </c>
      <c r="E65" s="123" t="s">
        <v>1820</v>
      </c>
      <c r="F65" s="123" t="s">
        <v>1149</v>
      </c>
      <c r="G65" s="39" t="s">
        <v>1819</v>
      </c>
      <c r="H65" s="122"/>
      <c r="I65" s="32">
        <v>89</v>
      </c>
      <c r="J65" s="20">
        <v>16</v>
      </c>
      <c r="K65" s="21">
        <f t="shared" si="13"/>
        <v>-2</v>
      </c>
      <c r="L65" s="21">
        <f t="shared" si="10"/>
        <v>105</v>
      </c>
      <c r="M65" s="21">
        <f t="shared" si="11"/>
        <v>-105</v>
      </c>
      <c r="N65" s="21"/>
      <c r="O65" s="21"/>
      <c r="P65" s="5"/>
      <c r="Q65" s="16"/>
      <c r="R65" s="16"/>
      <c r="S65" s="21">
        <f t="shared" si="12"/>
        <v>0</v>
      </c>
      <c r="T65" s="16">
        <v>14</v>
      </c>
      <c r="U65" s="78">
        <f t="shared" si="14"/>
        <v>14</v>
      </c>
      <c r="V65" s="140"/>
      <c r="W65" s="147"/>
      <c r="X65" s="23"/>
      <c r="Y65" s="334"/>
      <c r="Z65" s="5"/>
      <c r="AA65">
        <v>57.5</v>
      </c>
      <c r="AC65" s="16" t="s">
        <v>168</v>
      </c>
      <c r="AD65" s="18">
        <f>+AB65*1000</f>
        <v>0</v>
      </c>
      <c r="AG65" s="16" t="s">
        <v>168</v>
      </c>
      <c r="AH65" s="18">
        <f>+AF65*1000</f>
        <v>0</v>
      </c>
      <c r="AJ65" s="16"/>
      <c r="AK65" s="16"/>
      <c r="AM65" s="16" t="s">
        <v>168</v>
      </c>
      <c r="AN65" s="18">
        <f>+AL65*1000</f>
        <v>0</v>
      </c>
    </row>
    <row r="66" spans="1:40" x14ac:dyDescent="0.25">
      <c r="A66" s="143">
        <v>9</v>
      </c>
      <c r="B66" s="92">
        <v>45217</v>
      </c>
      <c r="C66" s="31" t="s">
        <v>1780</v>
      </c>
      <c r="D66" s="32">
        <v>5544422402</v>
      </c>
      <c r="E66" s="32" t="s">
        <v>1371</v>
      </c>
      <c r="F66" s="32" t="s">
        <v>740</v>
      </c>
      <c r="G66" s="39" t="s">
        <v>1821</v>
      </c>
      <c r="H66" s="39">
        <v>200</v>
      </c>
      <c r="I66" s="40">
        <v>85</v>
      </c>
      <c r="J66" s="20">
        <v>10</v>
      </c>
      <c r="K66" s="21">
        <f t="shared" si="13"/>
        <v>4</v>
      </c>
      <c r="L66" s="21">
        <f t="shared" si="10"/>
        <v>95</v>
      </c>
      <c r="M66" s="21">
        <f t="shared" si="11"/>
        <v>105</v>
      </c>
      <c r="N66" s="21"/>
      <c r="O66" s="21"/>
      <c r="P66" s="5"/>
      <c r="Q66" s="16">
        <v>200</v>
      </c>
      <c r="R66" s="16"/>
      <c r="S66" s="21">
        <f t="shared" si="12"/>
        <v>200</v>
      </c>
      <c r="T66" s="16">
        <v>214</v>
      </c>
      <c r="U66" s="78">
        <f t="shared" si="14"/>
        <v>14</v>
      </c>
      <c r="V66" s="140"/>
      <c r="W66" s="147"/>
      <c r="X66" s="23"/>
      <c r="Y66" s="334"/>
      <c r="Z66" s="5"/>
      <c r="AC66" s="26"/>
      <c r="AD66" s="58"/>
      <c r="AG66" s="26"/>
      <c r="AH66" s="58"/>
      <c r="AJ66" s="16"/>
      <c r="AK66" s="16"/>
      <c r="AM66" s="26"/>
      <c r="AN66" s="58"/>
    </row>
    <row r="67" spans="1:40" x14ac:dyDescent="0.25">
      <c r="A67" s="143">
        <v>10</v>
      </c>
      <c r="B67" s="92">
        <v>45217</v>
      </c>
      <c r="C67" s="31" t="s">
        <v>1822</v>
      </c>
      <c r="D67" s="32">
        <v>5626155524</v>
      </c>
      <c r="E67" s="32"/>
      <c r="F67" s="32" t="s">
        <v>1823</v>
      </c>
      <c r="G67" s="39" t="s">
        <v>1824</v>
      </c>
      <c r="H67" s="122">
        <v>430</v>
      </c>
      <c r="I67" s="42">
        <v>395</v>
      </c>
      <c r="J67" s="20">
        <v>10</v>
      </c>
      <c r="K67" s="21">
        <f t="shared" si="13"/>
        <v>-410</v>
      </c>
      <c r="L67" s="21">
        <f t="shared" si="10"/>
        <v>405</v>
      </c>
      <c r="M67" s="21">
        <f t="shared" si="11"/>
        <v>25</v>
      </c>
      <c r="N67" s="21">
        <v>430</v>
      </c>
      <c r="O67" s="21"/>
      <c r="P67" s="5"/>
      <c r="Q67" s="16">
        <v>400</v>
      </c>
      <c r="R67" s="16"/>
      <c r="S67" s="21">
        <f t="shared" si="12"/>
        <v>400</v>
      </c>
      <c r="T67" s="16"/>
      <c r="U67" s="78">
        <f t="shared" si="14"/>
        <v>-400</v>
      </c>
      <c r="V67" s="140"/>
      <c r="W67" s="147"/>
      <c r="X67" s="23"/>
      <c r="Y67" s="334"/>
      <c r="Z67" s="5"/>
      <c r="AC67" s="16" t="s">
        <v>169</v>
      </c>
      <c r="AD67" s="18">
        <f>SUM(AD57:AD66)</f>
        <v>373</v>
      </c>
      <c r="AG67" s="16" t="s">
        <v>169</v>
      </c>
      <c r="AH67" s="18">
        <f>SUM(AH57:AH66)</f>
        <v>803</v>
      </c>
      <c r="AJ67" s="16"/>
      <c r="AK67" s="16"/>
      <c r="AM67" s="16" t="s">
        <v>169</v>
      </c>
      <c r="AN67" s="18"/>
    </row>
    <row r="68" spans="1:40" x14ac:dyDescent="0.25">
      <c r="A68" s="143">
        <v>11</v>
      </c>
      <c r="B68" s="92">
        <v>45217</v>
      </c>
      <c r="C68" s="31" t="s">
        <v>225</v>
      </c>
      <c r="D68" s="124">
        <v>5610020620</v>
      </c>
      <c r="E68" s="123" t="s">
        <v>52</v>
      </c>
      <c r="F68" s="123" t="s">
        <v>729</v>
      </c>
      <c r="G68" s="39" t="s">
        <v>1825</v>
      </c>
      <c r="H68" s="122">
        <v>200</v>
      </c>
      <c r="I68" s="42">
        <v>46</v>
      </c>
      <c r="J68" s="20">
        <v>10</v>
      </c>
      <c r="K68" s="21">
        <v>4</v>
      </c>
      <c r="L68" s="21">
        <f t="shared" si="10"/>
        <v>56</v>
      </c>
      <c r="M68" s="21">
        <f t="shared" si="11"/>
        <v>144</v>
      </c>
      <c r="N68" s="21"/>
      <c r="O68" s="21">
        <v>200</v>
      </c>
      <c r="P68" s="5"/>
      <c r="Q68" s="16"/>
      <c r="R68" s="16"/>
      <c r="S68" s="21">
        <f t="shared" si="12"/>
        <v>0</v>
      </c>
      <c r="T68" s="16"/>
      <c r="U68" s="78">
        <f t="shared" si="14"/>
        <v>-200</v>
      </c>
      <c r="V68" s="140"/>
      <c r="W68" s="147"/>
      <c r="X68" s="23"/>
      <c r="Y68" s="334"/>
      <c r="Z68" s="5"/>
      <c r="AJ68" s="16"/>
      <c r="AK68" s="16"/>
      <c r="AM68" s="16"/>
      <c r="AN68" s="16"/>
    </row>
    <row r="69" spans="1:40" x14ac:dyDescent="0.25">
      <c r="A69" s="143">
        <v>12</v>
      </c>
      <c r="B69" s="92">
        <v>45217</v>
      </c>
      <c r="C69" s="32" t="s">
        <v>1826</v>
      </c>
      <c r="D69" s="32">
        <v>5612853273</v>
      </c>
      <c r="E69" s="124" t="s">
        <v>52</v>
      </c>
      <c r="F69" s="123" t="s">
        <v>1527</v>
      </c>
      <c r="G69" s="39" t="s">
        <v>1827</v>
      </c>
      <c r="H69" s="39">
        <v>200</v>
      </c>
      <c r="I69" s="42">
        <v>98</v>
      </c>
      <c r="J69" s="20">
        <v>14</v>
      </c>
      <c r="K69" s="21">
        <f t="shared" si="13"/>
        <v>-400</v>
      </c>
      <c r="L69" s="21">
        <f t="shared" si="10"/>
        <v>112</v>
      </c>
      <c r="M69" s="21">
        <f t="shared" si="11"/>
        <v>88</v>
      </c>
      <c r="N69" s="21"/>
      <c r="O69" s="21">
        <v>200</v>
      </c>
      <c r="P69" s="5"/>
      <c r="Q69" s="45">
        <v>200</v>
      </c>
      <c r="R69" s="44"/>
      <c r="S69" s="21">
        <f t="shared" si="12"/>
        <v>200</v>
      </c>
      <c r="T69" s="45">
        <v>214</v>
      </c>
      <c r="U69" s="78">
        <f t="shared" si="14"/>
        <v>-186</v>
      </c>
      <c r="V69" s="140"/>
      <c r="W69" s="147"/>
      <c r="X69" s="23"/>
      <c r="Y69" s="334"/>
      <c r="Z69" s="5"/>
      <c r="AJ69" s="63" t="s">
        <v>169</v>
      </c>
      <c r="AK69" s="63">
        <f>+SUM(AJ58:AJ68)-SUM(AK58:AK68)</f>
        <v>0</v>
      </c>
      <c r="AM69" s="63" t="s">
        <v>169</v>
      </c>
      <c r="AN69" s="85">
        <f>+SUM(AM57:AM68)-SUM(AN58:AN68)</f>
        <v>0</v>
      </c>
    </row>
    <row r="70" spans="1:40" x14ac:dyDescent="0.25">
      <c r="A70" s="143">
        <v>13</v>
      </c>
      <c r="B70" s="92">
        <v>45217</v>
      </c>
      <c r="C70" s="31" t="s">
        <v>815</v>
      </c>
      <c r="D70" s="32">
        <v>5572135350</v>
      </c>
      <c r="E70" s="32" t="s">
        <v>394</v>
      </c>
      <c r="F70" s="32" t="s">
        <v>1828</v>
      </c>
      <c r="G70" s="39" t="s">
        <v>1829</v>
      </c>
      <c r="H70" s="39">
        <v>200</v>
      </c>
      <c r="I70" s="42">
        <v>70</v>
      </c>
      <c r="J70" s="108">
        <v>14</v>
      </c>
      <c r="K70" s="21">
        <f t="shared" si="13"/>
        <v>0</v>
      </c>
      <c r="L70" s="21">
        <f t="shared" si="10"/>
        <v>84</v>
      </c>
      <c r="M70" s="21">
        <f t="shared" si="11"/>
        <v>116</v>
      </c>
      <c r="N70" s="21"/>
      <c r="O70" s="21"/>
      <c r="P70" s="5"/>
      <c r="Q70" s="43">
        <v>200</v>
      </c>
      <c r="R70" s="32"/>
      <c r="S70" s="21">
        <f t="shared" si="12"/>
        <v>200</v>
      </c>
      <c r="T70" s="43">
        <v>214</v>
      </c>
      <c r="U70" s="78">
        <f t="shared" si="14"/>
        <v>14</v>
      </c>
      <c r="V70" s="140"/>
      <c r="W70" s="147"/>
      <c r="X70" s="23"/>
      <c r="Y70" s="334"/>
      <c r="Z70" s="5"/>
      <c r="AH70" s="83"/>
    </row>
    <row r="71" spans="1:40" x14ac:dyDescent="0.25">
      <c r="A71" s="143">
        <v>14</v>
      </c>
      <c r="B71" s="92">
        <v>45217</v>
      </c>
      <c r="C71" s="31" t="s">
        <v>1830</v>
      </c>
      <c r="D71" s="32">
        <v>5527614858</v>
      </c>
      <c r="E71" s="32" t="s">
        <v>52</v>
      </c>
      <c r="F71" s="32">
        <v>834</v>
      </c>
      <c r="G71" s="32" t="s">
        <v>1831</v>
      </c>
      <c r="H71" s="39">
        <v>50</v>
      </c>
      <c r="I71" s="42">
        <v>40</v>
      </c>
      <c r="J71" s="108">
        <v>10</v>
      </c>
      <c r="K71" s="21">
        <v>2</v>
      </c>
      <c r="L71" s="21">
        <f t="shared" si="10"/>
        <v>50</v>
      </c>
      <c r="M71" s="21">
        <f t="shared" si="11"/>
        <v>0</v>
      </c>
      <c r="N71" s="21">
        <v>42</v>
      </c>
      <c r="O71" s="21">
        <v>50</v>
      </c>
      <c r="P71" s="5"/>
      <c r="Q71" s="43">
        <v>50</v>
      </c>
      <c r="R71" s="43"/>
      <c r="S71" s="21">
        <f t="shared" si="12"/>
        <v>50</v>
      </c>
      <c r="T71" s="43">
        <v>60</v>
      </c>
      <c r="U71" s="78">
        <f t="shared" si="14"/>
        <v>-40</v>
      </c>
      <c r="V71" s="140"/>
      <c r="W71" s="147"/>
      <c r="X71" s="23"/>
      <c r="Y71" s="334"/>
      <c r="Z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40" x14ac:dyDescent="0.25">
      <c r="A72" s="143">
        <v>15</v>
      </c>
      <c r="B72" s="92">
        <v>45217</v>
      </c>
      <c r="C72" s="127" t="s">
        <v>1061</v>
      </c>
      <c r="D72" s="32">
        <v>5530181574</v>
      </c>
      <c r="E72" s="32"/>
      <c r="F72" s="128">
        <v>844</v>
      </c>
      <c r="G72" s="129" t="s">
        <v>1840</v>
      </c>
      <c r="H72" s="39">
        <v>150</v>
      </c>
      <c r="I72" s="42">
        <v>106</v>
      </c>
      <c r="J72" s="108">
        <v>14</v>
      </c>
      <c r="K72" s="21">
        <f t="shared" si="13"/>
        <v>0</v>
      </c>
      <c r="L72" s="21">
        <f t="shared" si="10"/>
        <v>120</v>
      </c>
      <c r="M72" s="21">
        <f t="shared" si="11"/>
        <v>30</v>
      </c>
      <c r="N72" s="21"/>
      <c r="O72" s="21"/>
      <c r="P72" s="5"/>
      <c r="Q72" s="43">
        <v>150</v>
      </c>
      <c r="R72" s="43"/>
      <c r="S72" s="21">
        <f t="shared" si="12"/>
        <v>150</v>
      </c>
      <c r="T72" s="43">
        <v>164</v>
      </c>
      <c r="U72" s="78">
        <f t="shared" si="14"/>
        <v>14</v>
      </c>
      <c r="V72" s="140"/>
      <c r="W72" s="147"/>
      <c r="X72" s="23"/>
      <c r="Y72" s="334"/>
      <c r="Z72" s="5"/>
      <c r="AC72" s="5"/>
      <c r="AD72" s="134" t="s">
        <v>20</v>
      </c>
      <c r="AE72" s="338"/>
      <c r="AF72" s="341" t="s">
        <v>686</v>
      </c>
      <c r="AG72" s="134" t="s">
        <v>20</v>
      </c>
      <c r="AH72" s="338">
        <v>157.5</v>
      </c>
      <c r="AI72" s="341" t="s">
        <v>687</v>
      </c>
      <c r="AJ72" s="134" t="s">
        <v>20</v>
      </c>
      <c r="AK72" s="338"/>
      <c r="AL72" s="5"/>
    </row>
    <row r="73" spans="1:40" x14ac:dyDescent="0.25">
      <c r="A73" s="143">
        <v>16</v>
      </c>
      <c r="B73" s="92">
        <v>45217</v>
      </c>
      <c r="C73" s="31" t="s">
        <v>1832</v>
      </c>
      <c r="D73" s="32">
        <v>5611728082</v>
      </c>
      <c r="E73" s="32"/>
      <c r="F73" s="32" t="s">
        <v>773</v>
      </c>
      <c r="G73" s="39" t="s">
        <v>1841</v>
      </c>
      <c r="H73" s="39">
        <v>500</v>
      </c>
      <c r="I73" s="42">
        <v>145</v>
      </c>
      <c r="J73" s="43">
        <v>10</v>
      </c>
      <c r="K73" s="21">
        <f t="shared" si="13"/>
        <v>5</v>
      </c>
      <c r="L73" s="21">
        <f t="shared" si="10"/>
        <v>155</v>
      </c>
      <c r="M73" s="21">
        <f t="shared" si="11"/>
        <v>345</v>
      </c>
      <c r="N73" s="21">
        <v>148</v>
      </c>
      <c r="O73" s="21"/>
      <c r="P73" s="5"/>
      <c r="Q73" s="43">
        <v>150</v>
      </c>
      <c r="R73" s="32"/>
      <c r="S73" s="21">
        <f t="shared" si="12"/>
        <v>150</v>
      </c>
      <c r="T73" s="131">
        <v>165</v>
      </c>
      <c r="U73" s="78">
        <f t="shared" si="14"/>
        <v>15</v>
      </c>
      <c r="V73" s="140"/>
      <c r="W73" s="147"/>
      <c r="X73" s="23"/>
      <c r="Y73" s="334"/>
      <c r="Z73" s="5"/>
      <c r="AC73" s="5" t="s">
        <v>685</v>
      </c>
      <c r="AD73" s="115" t="s">
        <v>684</v>
      </c>
      <c r="AE73" s="339"/>
      <c r="AF73" s="341"/>
      <c r="AG73" s="115" t="s">
        <v>684</v>
      </c>
      <c r="AH73" s="339"/>
      <c r="AI73" s="341"/>
      <c r="AJ73" s="115" t="s">
        <v>684</v>
      </c>
      <c r="AK73" s="339"/>
      <c r="AL73" s="5"/>
    </row>
    <row r="74" spans="1:40" x14ac:dyDescent="0.25">
      <c r="A74" s="143">
        <v>17</v>
      </c>
      <c r="B74" s="92">
        <v>45217</v>
      </c>
      <c r="C74" s="31" t="s">
        <v>1518</v>
      </c>
      <c r="D74" s="32">
        <v>5510080515</v>
      </c>
      <c r="E74" s="32"/>
      <c r="F74" s="32" t="s">
        <v>1837</v>
      </c>
      <c r="G74" s="39" t="s">
        <v>1839</v>
      </c>
      <c r="H74" s="39">
        <v>500</v>
      </c>
      <c r="I74" s="42"/>
      <c r="J74" s="43">
        <v>10</v>
      </c>
      <c r="K74" s="21">
        <f t="shared" si="13"/>
        <v>-10</v>
      </c>
      <c r="L74" s="21">
        <f t="shared" si="10"/>
        <v>10</v>
      </c>
      <c r="M74" s="21">
        <f t="shared" si="11"/>
        <v>490</v>
      </c>
      <c r="N74" s="21"/>
      <c r="O74" s="21"/>
      <c r="P74" s="5"/>
      <c r="Q74" s="43"/>
      <c r="R74" s="32"/>
      <c r="S74" s="21">
        <f t="shared" si="12"/>
        <v>0</v>
      </c>
      <c r="T74" s="132"/>
      <c r="U74" s="78">
        <f t="shared" si="14"/>
        <v>0</v>
      </c>
      <c r="V74" s="140"/>
      <c r="W74" s="147"/>
      <c r="X74" s="23"/>
      <c r="Y74" s="340"/>
      <c r="Z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40" x14ac:dyDescent="0.25">
      <c r="A75" s="143">
        <v>18</v>
      </c>
      <c r="B75" s="92">
        <v>45217</v>
      </c>
      <c r="C75" s="31" t="s">
        <v>1833</v>
      </c>
      <c r="D75" s="32" t="s">
        <v>1834</v>
      </c>
      <c r="E75" s="32"/>
      <c r="F75" s="32" t="s">
        <v>1838</v>
      </c>
      <c r="G75" s="39" t="s">
        <v>1842</v>
      </c>
      <c r="H75" s="39">
        <v>500</v>
      </c>
      <c r="I75" s="42"/>
      <c r="J75" s="43">
        <v>10</v>
      </c>
      <c r="K75" s="21">
        <f t="shared" si="13"/>
        <v>-10</v>
      </c>
      <c r="L75" s="21">
        <f t="shared" si="10"/>
        <v>10</v>
      </c>
      <c r="M75" s="21">
        <f t="shared" si="11"/>
        <v>490</v>
      </c>
      <c r="N75" s="21"/>
      <c r="O75" s="21"/>
      <c r="P75" s="5"/>
      <c r="Q75" s="135"/>
      <c r="R75" s="104"/>
      <c r="S75" s="21">
        <f t="shared" si="12"/>
        <v>0</v>
      </c>
      <c r="T75" s="131"/>
      <c r="U75" s="78">
        <f t="shared" si="14"/>
        <v>0</v>
      </c>
      <c r="V75" s="140"/>
      <c r="W75" s="138"/>
      <c r="X75" s="32"/>
      <c r="Z75" s="5"/>
    </row>
    <row r="76" spans="1:40" x14ac:dyDescent="0.25">
      <c r="A76" s="143">
        <v>19</v>
      </c>
      <c r="B76" s="92">
        <v>45217</v>
      </c>
      <c r="C76" s="31" t="s">
        <v>1836</v>
      </c>
      <c r="D76" s="32">
        <v>5515394688</v>
      </c>
      <c r="E76" s="32" t="s">
        <v>992</v>
      </c>
      <c r="F76" s="32" t="s">
        <v>1493</v>
      </c>
      <c r="G76" s="39" t="s">
        <v>1835</v>
      </c>
      <c r="H76" s="39">
        <v>500</v>
      </c>
      <c r="I76" s="42">
        <v>18</v>
      </c>
      <c r="J76" s="43">
        <v>10</v>
      </c>
      <c r="K76" s="21">
        <f>U76-J76-O76</f>
        <v>0</v>
      </c>
      <c r="L76" s="21">
        <f>+I76+J76</f>
        <v>28</v>
      </c>
      <c r="M76" s="21">
        <f>+H76-L76</f>
        <v>472</v>
      </c>
      <c r="N76" s="21"/>
      <c r="O76" s="21"/>
      <c r="P76" s="5"/>
      <c r="Q76" s="32">
        <v>18</v>
      </c>
      <c r="R76" s="32"/>
      <c r="S76" s="21">
        <f>+Q76+R76</f>
        <v>18</v>
      </c>
      <c r="T76" s="32">
        <v>28</v>
      </c>
      <c r="U76" s="78">
        <f>T76-S76-O76</f>
        <v>10</v>
      </c>
      <c r="V76" s="140"/>
      <c r="W76" s="138"/>
      <c r="X76" s="32"/>
      <c r="Z76" s="5"/>
    </row>
    <row r="77" spans="1:40" x14ac:dyDescent="0.25">
      <c r="A77" s="143">
        <v>20</v>
      </c>
      <c r="B77" s="92">
        <v>45217</v>
      </c>
      <c r="C77" s="31" t="s">
        <v>1843</v>
      </c>
      <c r="D77" s="32">
        <v>5545383189</v>
      </c>
      <c r="E77" s="32" t="s">
        <v>1844</v>
      </c>
      <c r="F77" s="32" t="s">
        <v>1845</v>
      </c>
      <c r="G77" s="39" t="s">
        <v>1846</v>
      </c>
      <c r="H77" s="39">
        <v>500</v>
      </c>
      <c r="I77" s="42"/>
      <c r="J77" s="43">
        <v>10</v>
      </c>
      <c r="K77" s="21">
        <f>U77-J77-O77</f>
        <v>-10</v>
      </c>
      <c r="L77" s="21">
        <f>+I77+J77</f>
        <v>10</v>
      </c>
      <c r="M77" s="21">
        <f>+H77-L77</f>
        <v>490</v>
      </c>
      <c r="N77" s="21"/>
      <c r="O77" s="21"/>
      <c r="P77" s="5"/>
      <c r="Q77" s="32"/>
      <c r="R77" s="32"/>
      <c r="S77" s="21">
        <f>+Q77+R77</f>
        <v>0</v>
      </c>
      <c r="T77" s="32"/>
      <c r="U77" s="78">
        <f>T77-S77-O77</f>
        <v>0</v>
      </c>
      <c r="V77" s="141"/>
      <c r="W77" s="5"/>
      <c r="X77" s="5"/>
      <c r="Y77" s="5"/>
      <c r="Z77" s="5"/>
    </row>
    <row r="78" spans="1:40" x14ac:dyDescent="0.25">
      <c r="A78" s="143">
        <v>21</v>
      </c>
      <c r="B78" s="92">
        <v>45217</v>
      </c>
      <c r="C78" s="31"/>
      <c r="D78" s="32"/>
      <c r="E78" s="32"/>
      <c r="F78" s="32"/>
      <c r="G78" s="39"/>
      <c r="H78" s="39"/>
      <c r="I78" s="42"/>
      <c r="J78" s="43">
        <v>10</v>
      </c>
      <c r="K78" s="21">
        <f>U78-J78-O78</f>
        <v>-10</v>
      </c>
      <c r="L78" s="21">
        <f>+I78+J78</f>
        <v>10</v>
      </c>
      <c r="M78" s="21">
        <f>+H78-L78</f>
        <v>-10</v>
      </c>
      <c r="N78" s="21"/>
      <c r="O78" s="21"/>
      <c r="P78" s="5"/>
      <c r="Q78" s="32"/>
      <c r="R78" s="32"/>
      <c r="S78" s="21">
        <f>+Q78+R78</f>
        <v>0</v>
      </c>
      <c r="T78" s="32"/>
      <c r="U78" s="78">
        <f>T78-S78-O78</f>
        <v>0</v>
      </c>
    </row>
    <row r="79" spans="1:40" x14ac:dyDescent="0.25">
      <c r="A79" s="143">
        <v>22</v>
      </c>
      <c r="B79" s="92">
        <v>45217</v>
      </c>
      <c r="C79" s="31"/>
      <c r="D79" s="32"/>
      <c r="E79" s="32"/>
      <c r="F79" s="32"/>
      <c r="G79" s="39"/>
      <c r="H79" s="39"/>
      <c r="I79" s="42"/>
      <c r="J79" s="43">
        <v>10</v>
      </c>
      <c r="K79" s="21">
        <f>U79-J79-O79</f>
        <v>-10</v>
      </c>
      <c r="L79" s="21">
        <f>+I79+J79</f>
        <v>10</v>
      </c>
      <c r="M79" s="21">
        <f>+H79-L79</f>
        <v>-10</v>
      </c>
      <c r="N79" s="21"/>
      <c r="O79" s="21"/>
      <c r="P79" s="5"/>
      <c r="Q79" s="32"/>
      <c r="R79" s="32"/>
      <c r="S79" s="21">
        <f>+Q79+R79</f>
        <v>0</v>
      </c>
      <c r="T79" s="32"/>
      <c r="U79" s="78">
        <f>T79-S79-O79</f>
        <v>0</v>
      </c>
    </row>
    <row r="80" spans="1:40" x14ac:dyDescent="0.25">
      <c r="A80" s="143">
        <v>23</v>
      </c>
      <c r="B80" s="92">
        <v>45217</v>
      </c>
      <c r="C80" s="31"/>
      <c r="D80" s="32"/>
      <c r="E80" s="32"/>
      <c r="F80" s="32"/>
      <c r="G80" s="39"/>
      <c r="H80" s="39"/>
      <c r="I80" s="42"/>
      <c r="J80" s="43">
        <v>10</v>
      </c>
      <c r="K80" s="21">
        <f>U80-J80-O80</f>
        <v>-10</v>
      </c>
      <c r="L80" s="21">
        <f>+I80+J80</f>
        <v>10</v>
      </c>
      <c r="M80" s="21">
        <f>+H80-L80</f>
        <v>-10</v>
      </c>
      <c r="N80" s="21"/>
      <c r="O80" s="21"/>
      <c r="P80" s="5"/>
      <c r="Q80" s="32"/>
      <c r="R80" s="32"/>
      <c r="S80" s="21">
        <f>+Q80+R80</f>
        <v>0</v>
      </c>
      <c r="T80" s="32"/>
      <c r="U80" s="78">
        <f>T80-S80-O80</f>
        <v>0</v>
      </c>
    </row>
    <row r="81" spans="1:40" x14ac:dyDescent="0.25">
      <c r="A81" s="143">
        <v>24</v>
      </c>
      <c r="B81" s="92">
        <v>45217</v>
      </c>
      <c r="C81" s="31"/>
      <c r="D81" s="32"/>
      <c r="E81" s="32"/>
      <c r="F81" s="32"/>
      <c r="G81" s="39"/>
      <c r="H81" s="39"/>
      <c r="I81" s="42"/>
      <c r="J81" s="43">
        <v>10</v>
      </c>
      <c r="K81" s="21">
        <f t="shared" si="13"/>
        <v>-10</v>
      </c>
      <c r="L81" s="21">
        <f t="shared" si="10"/>
        <v>10</v>
      </c>
      <c r="M81" s="21">
        <f t="shared" si="11"/>
        <v>-10</v>
      </c>
      <c r="N81" s="21"/>
      <c r="O81" s="21"/>
      <c r="P81" s="5"/>
      <c r="Q81" s="32"/>
      <c r="R81" s="32"/>
      <c r="S81" s="21">
        <f t="shared" si="12"/>
        <v>0</v>
      </c>
      <c r="T81" s="32"/>
      <c r="U81" s="78">
        <f t="shared" si="14"/>
        <v>0</v>
      </c>
    </row>
    <row r="82" spans="1:40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22">
        <f>SUM(O68:O81)</f>
        <v>450</v>
      </c>
      <c r="P82" s="5"/>
      <c r="Q82" s="5"/>
      <c r="R82" s="5"/>
      <c r="S82" s="5"/>
      <c r="T82" s="5"/>
      <c r="U82" s="5"/>
    </row>
    <row r="88" spans="1:40" x14ac:dyDescent="0.25">
      <c r="A88" s="1" t="s">
        <v>0</v>
      </c>
      <c r="B88" s="1"/>
      <c r="C88" s="1"/>
      <c r="D88" s="1"/>
      <c r="E88" s="1"/>
      <c r="F88" s="1"/>
      <c r="G88" s="1"/>
      <c r="H88" s="1"/>
      <c r="I88" s="1" t="s">
        <v>148</v>
      </c>
      <c r="J88" s="1"/>
      <c r="K88" s="1"/>
      <c r="L88" s="1"/>
      <c r="M88" s="1"/>
      <c r="N88" s="1"/>
      <c r="O88" s="1"/>
      <c r="P88" s="1"/>
      <c r="Q88" s="1"/>
      <c r="R88" s="1"/>
      <c r="S88" s="342" t="s">
        <v>1</v>
      </c>
      <c r="T88" s="342"/>
      <c r="U88" s="5"/>
      <c r="V88" s="139"/>
      <c r="W88" s="1"/>
      <c r="X88" s="1"/>
      <c r="Y88" s="1"/>
      <c r="Z88" s="5"/>
      <c r="AC88" s="335" t="s">
        <v>160</v>
      </c>
      <c r="AD88" s="336"/>
      <c r="AG88" s="335" t="s">
        <v>170</v>
      </c>
      <c r="AH88" s="336"/>
      <c r="AJ88" s="337" t="s">
        <v>172</v>
      </c>
      <c r="AK88" s="337"/>
      <c r="AM88" s="337" t="s">
        <v>681</v>
      </c>
      <c r="AN88" s="337"/>
    </row>
    <row r="89" spans="1:40" ht="90" x14ac:dyDescent="0.25">
      <c r="A89" s="6" t="s">
        <v>2</v>
      </c>
      <c r="B89" s="7" t="s">
        <v>3</v>
      </c>
      <c r="C89" s="7" t="s">
        <v>4</v>
      </c>
      <c r="D89" s="6" t="s">
        <v>5</v>
      </c>
      <c r="E89" s="6" t="s">
        <v>6</v>
      </c>
      <c r="F89" s="6" t="s">
        <v>7</v>
      </c>
      <c r="G89" s="6" t="s">
        <v>8</v>
      </c>
      <c r="H89" s="8" t="s">
        <v>9</v>
      </c>
      <c r="I89" s="9" t="s">
        <v>10</v>
      </c>
      <c r="J89" s="8" t="s">
        <v>11</v>
      </c>
      <c r="K89" s="10" t="s">
        <v>12</v>
      </c>
      <c r="L89" s="10" t="s">
        <v>13</v>
      </c>
      <c r="M89" s="11" t="s">
        <v>14</v>
      </c>
      <c r="N89" s="10" t="s">
        <v>691</v>
      </c>
      <c r="O89" s="10" t="s">
        <v>28</v>
      </c>
      <c r="P89" s="5"/>
      <c r="Q89" s="10" t="s">
        <v>16</v>
      </c>
      <c r="R89" s="10" t="s">
        <v>17</v>
      </c>
      <c r="S89" s="10" t="s">
        <v>18</v>
      </c>
      <c r="T89" s="10" t="s">
        <v>19</v>
      </c>
      <c r="U89" s="10" t="s">
        <v>20</v>
      </c>
      <c r="V89" s="13"/>
      <c r="W89" s="136" t="s">
        <v>688</v>
      </c>
      <c r="X89" s="14" t="s">
        <v>22</v>
      </c>
      <c r="Y89" s="15" t="s">
        <v>23</v>
      </c>
      <c r="Z89" s="5"/>
      <c r="AB89">
        <v>1</v>
      </c>
      <c r="AC89" s="16" t="s">
        <v>161</v>
      </c>
      <c r="AD89" s="58">
        <f>+AB89*10</f>
        <v>10</v>
      </c>
      <c r="AF89">
        <v>5</v>
      </c>
      <c r="AG89" s="16" t="s">
        <v>161</v>
      </c>
      <c r="AH89" s="58">
        <f>+AF89*10</f>
        <v>50</v>
      </c>
      <c r="AJ89" s="61" t="s">
        <v>173</v>
      </c>
      <c r="AK89" s="62" t="s">
        <v>174</v>
      </c>
      <c r="AM89" s="16" t="s">
        <v>161</v>
      </c>
      <c r="AN89" s="58">
        <f>+AL89*10</f>
        <v>0</v>
      </c>
    </row>
    <row r="90" spans="1:40" x14ac:dyDescent="0.25">
      <c r="A90" s="16">
        <v>1</v>
      </c>
      <c r="B90" s="92">
        <v>45218</v>
      </c>
      <c r="C90" s="32" t="s">
        <v>1483</v>
      </c>
      <c r="D90" s="32">
        <v>5589529270</v>
      </c>
      <c r="E90" s="32" t="s">
        <v>1847</v>
      </c>
      <c r="F90" s="32" t="s">
        <v>1483</v>
      </c>
      <c r="G90" s="39" t="s">
        <v>1229</v>
      </c>
      <c r="H90" s="122">
        <v>230</v>
      </c>
      <c r="I90" s="32">
        <v>200</v>
      </c>
      <c r="J90" s="20">
        <v>30</v>
      </c>
      <c r="K90" s="21">
        <v>10</v>
      </c>
      <c r="L90" s="21">
        <f t="shared" ref="L90:L108" si="15">+I90+J90</f>
        <v>230</v>
      </c>
      <c r="M90" s="21">
        <f t="shared" ref="M90:M108" si="16">+H90-L90</f>
        <v>0</v>
      </c>
      <c r="N90" s="21"/>
      <c r="O90" s="21"/>
      <c r="P90" s="5"/>
      <c r="Q90" s="21">
        <v>500</v>
      </c>
      <c r="R90" s="16"/>
      <c r="S90" s="21">
        <f t="shared" ref="S90:S108" si="17">+Q90+R90</f>
        <v>500</v>
      </c>
      <c r="T90" s="21">
        <v>530</v>
      </c>
      <c r="U90" s="78">
        <f>T90-S90-O90</f>
        <v>30</v>
      </c>
      <c r="V90" s="13"/>
      <c r="W90" s="147"/>
      <c r="X90" s="23"/>
      <c r="Y90" s="333"/>
      <c r="Z90" s="5"/>
      <c r="AB90">
        <v>30</v>
      </c>
      <c r="AC90" s="59" t="s">
        <v>162</v>
      </c>
      <c r="AD90" s="18">
        <f>+AB90*1</f>
        <v>30</v>
      </c>
      <c r="AF90">
        <v>82</v>
      </c>
      <c r="AG90" s="59" t="s">
        <v>162</v>
      </c>
      <c r="AH90" s="18">
        <f>+AF90*1</f>
        <v>82</v>
      </c>
      <c r="AJ90" s="16"/>
      <c r="AK90" s="16"/>
      <c r="AM90" s="59" t="s">
        <v>162</v>
      </c>
      <c r="AN90" s="18">
        <f>+AL90*1</f>
        <v>0</v>
      </c>
    </row>
    <row r="91" spans="1:40" x14ac:dyDescent="0.25">
      <c r="A91" s="211">
        <v>2</v>
      </c>
      <c r="B91" s="92">
        <v>45218</v>
      </c>
      <c r="C91" s="212" t="s">
        <v>520</v>
      </c>
      <c r="D91" s="213">
        <v>5562236073</v>
      </c>
      <c r="E91" s="213" t="s">
        <v>1848</v>
      </c>
      <c r="F91" s="213"/>
      <c r="G91" s="214" t="s">
        <v>1849</v>
      </c>
      <c r="H91" s="215">
        <v>264</v>
      </c>
      <c r="I91" s="213">
        <v>240</v>
      </c>
      <c r="J91" s="216">
        <v>24</v>
      </c>
      <c r="K91" s="217">
        <f>U91-J91-O91</f>
        <v>0</v>
      </c>
      <c r="L91" s="217">
        <f t="shared" si="15"/>
        <v>264</v>
      </c>
      <c r="M91" s="217">
        <f t="shared" si="16"/>
        <v>0</v>
      </c>
      <c r="N91" s="217">
        <v>264</v>
      </c>
      <c r="O91" s="217"/>
      <c r="P91" s="218"/>
      <c r="Q91" s="217">
        <v>500</v>
      </c>
      <c r="R91" s="219"/>
      <c r="S91" s="217">
        <f t="shared" si="17"/>
        <v>500</v>
      </c>
      <c r="T91" s="217">
        <f>260+264</f>
        <v>524</v>
      </c>
      <c r="U91" s="221">
        <f t="shared" ref="U91:U108" si="18">T91-S91-O91</f>
        <v>24</v>
      </c>
      <c r="V91" s="220"/>
      <c r="W91" s="147"/>
      <c r="X91" s="23"/>
      <c r="Y91" s="334"/>
      <c r="Z91" s="5"/>
      <c r="AB91">
        <v>13</v>
      </c>
      <c r="AC91" s="16" t="s">
        <v>163</v>
      </c>
      <c r="AD91" s="60">
        <f>+AB91*5</f>
        <v>65</v>
      </c>
      <c r="AF91">
        <v>16</v>
      </c>
      <c r="AG91" s="16" t="s">
        <v>163</v>
      </c>
      <c r="AH91" s="60">
        <f>+AF91*5</f>
        <v>80</v>
      </c>
      <c r="AJ91" s="16"/>
      <c r="AK91" s="16"/>
      <c r="AM91" s="16" t="s">
        <v>163</v>
      </c>
      <c r="AN91" s="60">
        <f>+AL91*5</f>
        <v>0</v>
      </c>
    </row>
    <row r="92" spans="1:40" x14ac:dyDescent="0.25">
      <c r="A92" s="143">
        <v>3</v>
      </c>
      <c r="B92" s="92">
        <v>45218</v>
      </c>
      <c r="C92" s="31" t="s">
        <v>1780</v>
      </c>
      <c r="D92" s="32">
        <v>5544422402</v>
      </c>
      <c r="E92" s="32" t="s">
        <v>1850</v>
      </c>
      <c r="F92" s="32" t="s">
        <v>1851</v>
      </c>
      <c r="G92" s="39" t="s">
        <v>1852</v>
      </c>
      <c r="H92" s="122">
        <v>200</v>
      </c>
      <c r="I92" s="32">
        <v>173</v>
      </c>
      <c r="J92" s="20">
        <v>14</v>
      </c>
      <c r="K92" s="21">
        <v>25</v>
      </c>
      <c r="L92" s="21">
        <f t="shared" si="15"/>
        <v>187</v>
      </c>
      <c r="M92" s="21">
        <f t="shared" si="16"/>
        <v>13</v>
      </c>
      <c r="N92" s="21"/>
      <c r="O92" s="21"/>
      <c r="P92" s="5"/>
      <c r="Q92" s="21">
        <v>200</v>
      </c>
      <c r="R92" s="16"/>
      <c r="S92" s="21">
        <f t="shared" si="17"/>
        <v>200</v>
      </c>
      <c r="T92" s="21">
        <v>214</v>
      </c>
      <c r="U92" s="78">
        <f t="shared" si="18"/>
        <v>14</v>
      </c>
      <c r="V92" s="140"/>
      <c r="W92" s="147"/>
      <c r="X92" s="23"/>
      <c r="Y92" s="334"/>
      <c r="Z92" s="5"/>
      <c r="AC92" s="16" t="s">
        <v>164</v>
      </c>
      <c r="AD92" s="18">
        <f>+AB92*200</f>
        <v>0</v>
      </c>
      <c r="AF92">
        <v>1</v>
      </c>
      <c r="AG92" s="16" t="s">
        <v>164</v>
      </c>
      <c r="AH92" s="18">
        <f>+AF92*200</f>
        <v>200</v>
      </c>
      <c r="AJ92" s="16"/>
      <c r="AK92" s="16"/>
      <c r="AM92" s="16" t="s">
        <v>164</v>
      </c>
      <c r="AN92" s="18">
        <f>+AL92*200</f>
        <v>0</v>
      </c>
    </row>
    <row r="93" spans="1:40" x14ac:dyDescent="0.25">
      <c r="A93" s="143">
        <v>4</v>
      </c>
      <c r="B93" s="92">
        <v>45218</v>
      </c>
      <c r="C93" s="31" t="s">
        <v>1853</v>
      </c>
      <c r="D93" s="32"/>
      <c r="E93" s="32" t="s">
        <v>76</v>
      </c>
      <c r="F93" s="32" t="s">
        <v>1858</v>
      </c>
      <c r="G93" s="39" t="s">
        <v>1854</v>
      </c>
      <c r="H93" s="122">
        <v>500</v>
      </c>
      <c r="I93" s="32">
        <v>223</v>
      </c>
      <c r="J93" s="20">
        <v>10</v>
      </c>
      <c r="K93" s="21">
        <v>0</v>
      </c>
      <c r="L93" s="21">
        <f t="shared" si="15"/>
        <v>233</v>
      </c>
      <c r="M93" s="21">
        <f t="shared" si="16"/>
        <v>267</v>
      </c>
      <c r="N93" s="21"/>
      <c r="O93" s="21"/>
      <c r="P93" s="5"/>
      <c r="Q93" s="21">
        <v>500</v>
      </c>
      <c r="R93" s="16"/>
      <c r="S93" s="21">
        <f t="shared" si="17"/>
        <v>500</v>
      </c>
      <c r="T93" s="21">
        <v>401</v>
      </c>
      <c r="U93" s="78">
        <f t="shared" si="18"/>
        <v>-99</v>
      </c>
      <c r="V93" s="140"/>
      <c r="W93" s="147"/>
      <c r="X93" s="23"/>
      <c r="Y93" s="334"/>
      <c r="Z93" s="5"/>
      <c r="AB93">
        <v>400</v>
      </c>
      <c r="AC93" s="16" t="s">
        <v>165</v>
      </c>
      <c r="AD93" s="18">
        <f>+AB93*100</f>
        <v>40000</v>
      </c>
      <c r="AF93">
        <v>2</v>
      </c>
      <c r="AG93" s="16" t="s">
        <v>165</v>
      </c>
      <c r="AH93" s="18">
        <f>+AF93*100</f>
        <v>200</v>
      </c>
      <c r="AJ93" s="16"/>
      <c r="AK93" s="16"/>
      <c r="AM93" s="16" t="s">
        <v>165</v>
      </c>
      <c r="AN93" s="18">
        <f>+AL93*100</f>
        <v>0</v>
      </c>
    </row>
    <row r="94" spans="1:40" x14ac:dyDescent="0.25">
      <c r="A94" s="222">
        <v>5</v>
      </c>
      <c r="B94" s="92">
        <v>45218</v>
      </c>
      <c r="C94" s="212" t="s">
        <v>1743</v>
      </c>
      <c r="D94" s="213"/>
      <c r="E94" s="213" t="s">
        <v>106</v>
      </c>
      <c r="F94" s="213" t="s">
        <v>1350</v>
      </c>
      <c r="G94" s="213" t="s">
        <v>1855</v>
      </c>
      <c r="H94" s="215">
        <v>500</v>
      </c>
      <c r="I94" s="213">
        <v>114</v>
      </c>
      <c r="J94" s="216">
        <v>14</v>
      </c>
      <c r="K94" s="217"/>
      <c r="L94" s="217">
        <f t="shared" si="15"/>
        <v>128</v>
      </c>
      <c r="M94" s="217">
        <f t="shared" si="16"/>
        <v>372</v>
      </c>
      <c r="N94" s="217">
        <v>117</v>
      </c>
      <c r="O94" s="217">
        <v>114</v>
      </c>
      <c r="P94" s="218"/>
      <c r="Q94" s="219"/>
      <c r="R94" s="219"/>
      <c r="S94" s="217">
        <f t="shared" si="17"/>
        <v>0</v>
      </c>
      <c r="T94" s="217"/>
      <c r="U94" s="223">
        <f t="shared" si="18"/>
        <v>-114</v>
      </c>
      <c r="V94" s="140"/>
      <c r="W94" s="147"/>
      <c r="X94" s="23"/>
      <c r="Y94" s="334"/>
      <c r="Z94" s="5"/>
      <c r="AC94" s="16" t="s">
        <v>166</v>
      </c>
      <c r="AD94" s="18">
        <f>+AB94*50</f>
        <v>0</v>
      </c>
      <c r="AF94">
        <v>3</v>
      </c>
      <c r="AG94" s="16" t="s">
        <v>166</v>
      </c>
      <c r="AH94" s="18">
        <f>+AF94*50</f>
        <v>150</v>
      </c>
      <c r="AJ94" s="16"/>
      <c r="AK94" s="16"/>
      <c r="AM94" s="16" t="s">
        <v>166</v>
      </c>
      <c r="AN94" s="18">
        <f>+AL94*50</f>
        <v>0</v>
      </c>
    </row>
    <row r="95" spans="1:40" x14ac:dyDescent="0.25">
      <c r="A95" s="143">
        <v>6</v>
      </c>
      <c r="B95" s="92">
        <v>45218</v>
      </c>
      <c r="C95" s="31" t="s">
        <v>30</v>
      </c>
      <c r="D95" s="32">
        <v>5615394688</v>
      </c>
      <c r="E95" s="32" t="s">
        <v>1606</v>
      </c>
      <c r="F95" s="32" t="s">
        <v>1856</v>
      </c>
      <c r="G95" s="39" t="s">
        <v>1857</v>
      </c>
      <c r="H95" s="39"/>
      <c r="I95" s="42">
        <v>57</v>
      </c>
      <c r="J95" s="20">
        <v>12</v>
      </c>
      <c r="K95" s="21">
        <v>10</v>
      </c>
      <c r="L95" s="21">
        <f t="shared" si="15"/>
        <v>69</v>
      </c>
      <c r="M95" s="21">
        <f t="shared" si="16"/>
        <v>-69</v>
      </c>
      <c r="N95" s="21"/>
      <c r="O95" s="21">
        <v>48</v>
      </c>
      <c r="P95" s="5"/>
      <c r="Q95" s="16">
        <v>100</v>
      </c>
      <c r="R95" s="16"/>
      <c r="S95" s="21">
        <f t="shared" si="17"/>
        <v>100</v>
      </c>
      <c r="T95" s="16">
        <v>112</v>
      </c>
      <c r="U95" s="78">
        <f t="shared" si="18"/>
        <v>-36</v>
      </c>
      <c r="V95" s="140"/>
      <c r="W95" s="147"/>
      <c r="X95" s="23"/>
      <c r="Y95" s="334"/>
      <c r="Z95" s="5"/>
      <c r="AC95" s="16" t="s">
        <v>167</v>
      </c>
      <c r="AD95" s="18">
        <f>+AB95*20</f>
        <v>0</v>
      </c>
      <c r="AF95">
        <v>1</v>
      </c>
      <c r="AG95" s="16" t="s">
        <v>167</v>
      </c>
      <c r="AH95" s="18">
        <f>+AF95*20</f>
        <v>20</v>
      </c>
      <c r="AJ95" s="16"/>
      <c r="AK95" s="16"/>
      <c r="AM95" s="16" t="s">
        <v>167</v>
      </c>
      <c r="AN95" s="18">
        <f>+AL95*20</f>
        <v>0</v>
      </c>
    </row>
    <row r="96" spans="1:40" x14ac:dyDescent="0.25">
      <c r="A96" s="143">
        <v>7</v>
      </c>
      <c r="B96" s="92">
        <v>45218</v>
      </c>
      <c r="C96" s="31" t="s">
        <v>913</v>
      </c>
      <c r="D96" s="32">
        <v>5530508709</v>
      </c>
      <c r="E96" s="32" t="s">
        <v>106</v>
      </c>
      <c r="F96" s="32" t="s">
        <v>1148</v>
      </c>
      <c r="G96" s="39" t="s">
        <v>1859</v>
      </c>
      <c r="H96" s="122">
        <v>500</v>
      </c>
      <c r="I96" s="42">
        <v>48</v>
      </c>
      <c r="J96" s="20">
        <v>12</v>
      </c>
      <c r="K96" s="21">
        <v>15</v>
      </c>
      <c r="L96" s="21">
        <f t="shared" si="15"/>
        <v>60</v>
      </c>
      <c r="M96" s="21">
        <f t="shared" si="16"/>
        <v>440</v>
      </c>
      <c r="N96" s="21"/>
      <c r="O96" s="21"/>
      <c r="P96" s="5"/>
      <c r="Q96" s="16">
        <v>500</v>
      </c>
      <c r="R96" s="16"/>
      <c r="S96" s="21">
        <f t="shared" si="17"/>
        <v>500</v>
      </c>
      <c r="T96" s="16">
        <v>512</v>
      </c>
      <c r="U96" s="78">
        <f t="shared" si="18"/>
        <v>12</v>
      </c>
      <c r="V96" s="140"/>
      <c r="W96" s="147"/>
      <c r="X96" s="23"/>
      <c r="Y96" s="334"/>
      <c r="Z96" s="5"/>
      <c r="AC96" s="16" t="s">
        <v>171</v>
      </c>
      <c r="AD96" s="18">
        <f>+AB96*500</f>
        <v>0</v>
      </c>
      <c r="AG96" s="16" t="s">
        <v>171</v>
      </c>
      <c r="AH96" s="18">
        <f>+AF96*500</f>
        <v>0</v>
      </c>
      <c r="AJ96" s="16"/>
      <c r="AK96" s="16"/>
      <c r="AM96" s="16" t="s">
        <v>171</v>
      </c>
      <c r="AN96" s="18">
        <f>+AL96*500</f>
        <v>0</v>
      </c>
    </row>
    <row r="97" spans="1:40" x14ac:dyDescent="0.25">
      <c r="A97" s="143">
        <v>8</v>
      </c>
      <c r="B97" s="92">
        <v>45218</v>
      </c>
      <c r="C97" s="31" t="s">
        <v>571</v>
      </c>
      <c r="D97" s="123"/>
      <c r="E97" s="123" t="s">
        <v>1862</v>
      </c>
      <c r="F97" s="123" t="s">
        <v>571</v>
      </c>
      <c r="G97" s="39" t="s">
        <v>667</v>
      </c>
      <c r="H97" s="122">
        <v>32</v>
      </c>
      <c r="I97" s="32">
        <v>22</v>
      </c>
      <c r="J97" s="20">
        <v>10</v>
      </c>
      <c r="K97" s="21">
        <v>0</v>
      </c>
      <c r="L97" s="21">
        <f t="shared" si="15"/>
        <v>32</v>
      </c>
      <c r="M97" s="21">
        <f t="shared" si="16"/>
        <v>0</v>
      </c>
      <c r="N97" s="21"/>
      <c r="O97" s="21"/>
      <c r="P97" s="5"/>
      <c r="Q97" s="16"/>
      <c r="R97" s="16"/>
      <c r="S97" s="21">
        <f t="shared" si="17"/>
        <v>0</v>
      </c>
      <c r="T97" s="16">
        <v>42</v>
      </c>
      <c r="U97" s="78">
        <f t="shared" si="18"/>
        <v>42</v>
      </c>
      <c r="V97" s="140"/>
      <c r="W97" s="147"/>
      <c r="X97" s="23"/>
      <c r="Y97" s="334"/>
      <c r="Z97" s="5"/>
      <c r="AC97" s="16" t="s">
        <v>168</v>
      </c>
      <c r="AD97" s="18">
        <f>+AB97*1000</f>
        <v>0</v>
      </c>
      <c r="AG97" s="16" t="s">
        <v>168</v>
      </c>
      <c r="AH97" s="18">
        <f>+AF97*1000</f>
        <v>0</v>
      </c>
      <c r="AJ97" s="16"/>
      <c r="AK97" s="16"/>
      <c r="AM97" s="16" t="s">
        <v>168</v>
      </c>
      <c r="AN97" s="18">
        <f>+AL97*1000</f>
        <v>0</v>
      </c>
    </row>
    <row r="98" spans="1:40" x14ac:dyDescent="0.25">
      <c r="A98" s="143">
        <v>9</v>
      </c>
      <c r="B98" s="92">
        <v>45218</v>
      </c>
      <c r="C98" s="31" t="s">
        <v>913</v>
      </c>
      <c r="D98" s="32">
        <v>5530508709</v>
      </c>
      <c r="E98" s="32" t="s">
        <v>106</v>
      </c>
      <c r="F98" s="32" t="s">
        <v>1148</v>
      </c>
      <c r="G98" s="39" t="s">
        <v>1860</v>
      </c>
      <c r="H98" s="39">
        <v>100</v>
      </c>
      <c r="I98" s="40">
        <v>88</v>
      </c>
      <c r="J98" s="20">
        <v>10</v>
      </c>
      <c r="K98" s="21">
        <v>15</v>
      </c>
      <c r="L98" s="21">
        <f t="shared" si="15"/>
        <v>98</v>
      </c>
      <c r="M98" s="21">
        <f t="shared" si="16"/>
        <v>2</v>
      </c>
      <c r="N98" s="21"/>
      <c r="O98" s="21">
        <v>88</v>
      </c>
      <c r="P98" s="5"/>
      <c r="Q98" s="16">
        <v>500</v>
      </c>
      <c r="R98" s="16"/>
      <c r="S98" s="21">
        <f t="shared" si="17"/>
        <v>500</v>
      </c>
      <c r="T98" s="16">
        <v>512</v>
      </c>
      <c r="U98" s="78">
        <f t="shared" si="18"/>
        <v>-76</v>
      </c>
      <c r="V98" s="140"/>
      <c r="W98" s="147"/>
      <c r="X98" s="23"/>
      <c r="Y98" s="334"/>
      <c r="Z98" s="5"/>
      <c r="AC98" s="26"/>
      <c r="AD98" s="58"/>
      <c r="AG98" s="26"/>
      <c r="AH98" s="58"/>
      <c r="AJ98" s="16"/>
      <c r="AK98" s="16"/>
      <c r="AM98" s="26"/>
      <c r="AN98" s="58"/>
    </row>
    <row r="99" spans="1:40" x14ac:dyDescent="0.25">
      <c r="A99" s="41">
        <v>10</v>
      </c>
      <c r="B99" s="92">
        <v>45218</v>
      </c>
      <c r="C99" s="31" t="s">
        <v>255</v>
      </c>
      <c r="D99" s="32">
        <v>5620167396</v>
      </c>
      <c r="E99" s="32" t="s">
        <v>1865</v>
      </c>
      <c r="F99" s="32" t="s">
        <v>1272</v>
      </c>
      <c r="G99" s="39" t="s">
        <v>1861</v>
      </c>
      <c r="H99" s="122">
        <v>100</v>
      </c>
      <c r="I99" s="42">
        <v>78</v>
      </c>
      <c r="J99" s="20">
        <v>12</v>
      </c>
      <c r="K99" s="21">
        <v>10</v>
      </c>
      <c r="L99" s="21">
        <f t="shared" si="15"/>
        <v>90</v>
      </c>
      <c r="M99" s="21">
        <f t="shared" si="16"/>
        <v>10</v>
      </c>
      <c r="N99" s="21"/>
      <c r="O99" s="21"/>
      <c r="P99" s="5"/>
      <c r="Q99" s="16"/>
      <c r="R99" s="16"/>
      <c r="S99" s="21">
        <f t="shared" si="17"/>
        <v>0</v>
      </c>
      <c r="T99" s="16">
        <v>12</v>
      </c>
      <c r="U99" s="78">
        <f t="shared" si="18"/>
        <v>12</v>
      </c>
      <c r="V99" s="140"/>
      <c r="W99" s="147"/>
      <c r="X99" s="23"/>
      <c r="Y99" s="334"/>
      <c r="Z99" s="5"/>
      <c r="AC99" s="16" t="s">
        <v>169</v>
      </c>
      <c r="AD99" s="18">
        <f>SUM(AD89:AD98)</f>
        <v>40105</v>
      </c>
      <c r="AG99" s="16" t="s">
        <v>169</v>
      </c>
      <c r="AH99" s="18">
        <f>SUM(AH89:AH98)</f>
        <v>782</v>
      </c>
      <c r="AJ99" s="16"/>
      <c r="AK99" s="16"/>
      <c r="AM99" s="16" t="s">
        <v>169</v>
      </c>
      <c r="AN99" s="18"/>
    </row>
    <row r="100" spans="1:40" x14ac:dyDescent="0.25">
      <c r="A100" s="143">
        <v>11</v>
      </c>
      <c r="B100" s="92">
        <v>45218</v>
      </c>
      <c r="C100" s="31" t="s">
        <v>1866</v>
      </c>
      <c r="D100" s="124">
        <v>5620167336</v>
      </c>
      <c r="E100" s="123" t="s">
        <v>1867</v>
      </c>
      <c r="F100" s="123" t="s">
        <v>911</v>
      </c>
      <c r="G100" s="39" t="s">
        <v>1868</v>
      </c>
      <c r="H100" s="122">
        <v>200</v>
      </c>
      <c r="I100" s="42">
        <v>170</v>
      </c>
      <c r="J100" s="20">
        <v>10</v>
      </c>
      <c r="K100" s="21">
        <f>U100-J100-O100</f>
        <v>-290</v>
      </c>
      <c r="L100" s="21">
        <f t="shared" si="15"/>
        <v>180</v>
      </c>
      <c r="M100" s="21">
        <f t="shared" si="16"/>
        <v>20</v>
      </c>
      <c r="N100" s="21"/>
      <c r="O100" s="21">
        <v>140</v>
      </c>
      <c r="P100" s="5"/>
      <c r="Q100" s="16"/>
      <c r="R100" s="16"/>
      <c r="S100" s="21">
        <f t="shared" si="17"/>
        <v>0</v>
      </c>
      <c r="T100" s="16"/>
      <c r="U100" s="78">
        <f t="shared" si="18"/>
        <v>-140</v>
      </c>
      <c r="V100" s="140"/>
      <c r="W100" s="147"/>
      <c r="X100" s="23"/>
      <c r="Y100" s="334"/>
      <c r="Z100" s="5"/>
      <c r="AJ100" s="16"/>
      <c r="AK100" s="16"/>
      <c r="AM100" s="16"/>
      <c r="AN100" s="16"/>
    </row>
    <row r="101" spans="1:40" x14ac:dyDescent="0.25">
      <c r="A101" s="143">
        <v>12</v>
      </c>
      <c r="B101" s="92">
        <v>45218</v>
      </c>
      <c r="C101" s="32" t="s">
        <v>134</v>
      </c>
      <c r="D101" s="32">
        <v>1234567892</v>
      </c>
      <c r="E101" s="124" t="s">
        <v>41</v>
      </c>
      <c r="F101" s="123" t="s">
        <v>1870</v>
      </c>
      <c r="G101" s="39" t="s">
        <v>1869</v>
      </c>
      <c r="H101" s="39">
        <v>200</v>
      </c>
      <c r="I101" s="42"/>
      <c r="J101" s="20">
        <v>10</v>
      </c>
      <c r="K101" s="21">
        <f>U101-J101-O101</f>
        <v>-10</v>
      </c>
      <c r="L101" s="21">
        <f t="shared" si="15"/>
        <v>10</v>
      </c>
      <c r="M101" s="21">
        <f t="shared" si="16"/>
        <v>190</v>
      </c>
      <c r="N101" s="21"/>
      <c r="O101" s="21"/>
      <c r="P101" s="5"/>
      <c r="Q101" s="45"/>
      <c r="R101" s="44"/>
      <c r="S101" s="21">
        <f t="shared" si="17"/>
        <v>0</v>
      </c>
      <c r="T101" s="45"/>
      <c r="U101" s="78">
        <f t="shared" si="18"/>
        <v>0</v>
      </c>
      <c r="V101" s="140"/>
      <c r="W101" s="147"/>
      <c r="X101" s="23"/>
      <c r="Y101" s="334"/>
      <c r="Z101" s="5"/>
      <c r="AJ101" s="63" t="s">
        <v>169</v>
      </c>
      <c r="AK101" s="63">
        <f>+SUM(AJ90:AJ100)-SUM(AK90:AK100)</f>
        <v>0</v>
      </c>
      <c r="AM101" s="63" t="s">
        <v>169</v>
      </c>
      <c r="AN101" s="85">
        <f>+SUM(AM89:AM100)-SUM(AN90:AN100)</f>
        <v>0</v>
      </c>
    </row>
    <row r="102" spans="1:40" x14ac:dyDescent="0.25">
      <c r="A102" s="143">
        <v>13</v>
      </c>
      <c r="B102" s="92">
        <v>45218</v>
      </c>
      <c r="C102" s="31" t="s">
        <v>1843</v>
      </c>
      <c r="D102" s="32">
        <v>5545383189</v>
      </c>
      <c r="E102" s="32" t="s">
        <v>1872</v>
      </c>
      <c r="F102" s="32" t="s">
        <v>994</v>
      </c>
      <c r="G102" s="39" t="s">
        <v>1871</v>
      </c>
      <c r="H102" s="39">
        <v>250</v>
      </c>
      <c r="I102" s="42">
        <v>210</v>
      </c>
      <c r="J102" s="108">
        <v>20</v>
      </c>
      <c r="K102" s="21">
        <v>0</v>
      </c>
      <c r="L102" s="21">
        <f t="shared" si="15"/>
        <v>230</v>
      </c>
      <c r="M102" s="21">
        <f t="shared" si="16"/>
        <v>20</v>
      </c>
      <c r="N102" s="21"/>
      <c r="O102" s="21"/>
      <c r="P102" s="5"/>
      <c r="Q102" s="43"/>
      <c r="R102" s="32"/>
      <c r="S102" s="21">
        <f t="shared" si="17"/>
        <v>0</v>
      </c>
      <c r="T102" s="43"/>
      <c r="U102" s="78">
        <f t="shared" si="18"/>
        <v>0</v>
      </c>
      <c r="V102" s="140"/>
      <c r="W102" s="147"/>
      <c r="X102" s="23"/>
      <c r="Y102" s="334"/>
      <c r="Z102" s="5"/>
      <c r="AH102" s="83"/>
    </row>
    <row r="103" spans="1:40" x14ac:dyDescent="0.25">
      <c r="A103" s="143">
        <v>14</v>
      </c>
      <c r="B103" s="92">
        <v>45218</v>
      </c>
      <c r="C103" s="31" t="s">
        <v>1873</v>
      </c>
      <c r="D103" s="32">
        <v>5630381453</v>
      </c>
      <c r="E103" s="32" t="s">
        <v>52</v>
      </c>
      <c r="F103" s="32" t="s">
        <v>1876</v>
      </c>
      <c r="G103" s="39" t="s">
        <v>1874</v>
      </c>
      <c r="H103" s="39">
        <v>200</v>
      </c>
      <c r="I103" s="42">
        <v>47</v>
      </c>
      <c r="J103" s="108">
        <v>12</v>
      </c>
      <c r="K103" s="21">
        <v>0</v>
      </c>
      <c r="L103" s="21">
        <f t="shared" si="15"/>
        <v>59</v>
      </c>
      <c r="M103" s="21">
        <f t="shared" si="16"/>
        <v>141</v>
      </c>
      <c r="N103" s="21"/>
      <c r="O103" s="21">
        <v>47</v>
      </c>
      <c r="P103" s="5"/>
      <c r="Q103" s="43"/>
      <c r="R103" s="43"/>
      <c r="S103" s="21">
        <f t="shared" si="17"/>
        <v>0</v>
      </c>
      <c r="T103" s="43"/>
      <c r="U103" s="78">
        <f t="shared" si="18"/>
        <v>-47</v>
      </c>
      <c r="V103" s="140"/>
      <c r="W103" s="147"/>
      <c r="X103" s="23"/>
      <c r="Y103" s="334"/>
      <c r="Z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40" x14ac:dyDescent="0.25">
      <c r="A104" s="143">
        <v>15</v>
      </c>
      <c r="B104" s="92">
        <v>45218</v>
      </c>
      <c r="C104" s="127" t="s">
        <v>483</v>
      </c>
      <c r="D104" s="32"/>
      <c r="E104" s="32" t="s">
        <v>52</v>
      </c>
      <c r="F104" s="128" t="s">
        <v>220</v>
      </c>
      <c r="G104" s="129" t="s">
        <v>1875</v>
      </c>
      <c r="H104" s="39">
        <v>200</v>
      </c>
      <c r="I104" s="42">
        <v>136</v>
      </c>
      <c r="J104" s="108">
        <v>10</v>
      </c>
      <c r="K104" s="21">
        <f>U104-J104-O104</f>
        <v>-282</v>
      </c>
      <c r="L104" s="21">
        <f t="shared" si="15"/>
        <v>146</v>
      </c>
      <c r="M104" s="21">
        <f t="shared" si="16"/>
        <v>54</v>
      </c>
      <c r="N104" s="21"/>
      <c r="O104" s="21">
        <v>136</v>
      </c>
      <c r="P104" s="5"/>
      <c r="Q104" s="43"/>
      <c r="R104" s="43"/>
      <c r="S104" s="21">
        <f t="shared" si="17"/>
        <v>0</v>
      </c>
      <c r="T104" s="43"/>
      <c r="U104" s="78">
        <f t="shared" si="18"/>
        <v>-136</v>
      </c>
      <c r="V104" s="140"/>
      <c r="W104" s="147"/>
      <c r="X104" s="23"/>
      <c r="Y104" s="334"/>
      <c r="Z104" s="5"/>
      <c r="AC104" s="5"/>
      <c r="AD104" s="134" t="s">
        <v>20</v>
      </c>
      <c r="AE104" s="338"/>
      <c r="AF104" s="341" t="s">
        <v>686</v>
      </c>
      <c r="AG104" s="134" t="s">
        <v>20</v>
      </c>
      <c r="AH104" s="338">
        <v>84</v>
      </c>
      <c r="AI104" s="341" t="s">
        <v>687</v>
      </c>
      <c r="AJ104" s="134" t="s">
        <v>20</v>
      </c>
      <c r="AK104" s="338"/>
      <c r="AL104" s="5"/>
    </row>
    <row r="105" spans="1:40" x14ac:dyDescent="0.25">
      <c r="A105" s="143">
        <v>16</v>
      </c>
      <c r="B105" s="92">
        <v>45218</v>
      </c>
      <c r="C105" s="31"/>
      <c r="D105" s="32"/>
      <c r="E105" s="32"/>
      <c r="F105" s="32"/>
      <c r="G105" s="39"/>
      <c r="H105" s="39"/>
      <c r="I105" s="42"/>
      <c r="J105" s="43">
        <v>10</v>
      </c>
      <c r="K105" s="21">
        <f>U105-J105-O105</f>
        <v>-10</v>
      </c>
      <c r="L105" s="21">
        <f t="shared" si="15"/>
        <v>10</v>
      </c>
      <c r="M105" s="21">
        <f t="shared" si="16"/>
        <v>-10</v>
      </c>
      <c r="N105" s="21"/>
      <c r="O105" s="21"/>
      <c r="P105" s="5"/>
      <c r="Q105" s="43"/>
      <c r="R105" s="32"/>
      <c r="S105" s="21">
        <f t="shared" si="17"/>
        <v>0</v>
      </c>
      <c r="T105" s="131"/>
      <c r="U105" s="78">
        <f t="shared" si="18"/>
        <v>0</v>
      </c>
      <c r="V105" s="140"/>
      <c r="W105" s="147"/>
      <c r="X105" s="23"/>
      <c r="Y105" s="334"/>
      <c r="Z105" s="5"/>
      <c r="AC105" s="5" t="s">
        <v>685</v>
      </c>
      <c r="AD105" s="115" t="s">
        <v>684</v>
      </c>
      <c r="AE105" s="339"/>
      <c r="AF105" s="341"/>
      <c r="AG105" s="115" t="s">
        <v>684</v>
      </c>
      <c r="AH105" s="339"/>
      <c r="AI105" s="341"/>
      <c r="AJ105" s="115" t="s">
        <v>684</v>
      </c>
      <c r="AK105" s="339"/>
      <c r="AL105" s="5"/>
    </row>
    <row r="106" spans="1:40" x14ac:dyDescent="0.25">
      <c r="A106" s="143">
        <v>17</v>
      </c>
      <c r="B106" s="92">
        <v>45218</v>
      </c>
      <c r="C106" s="31"/>
      <c r="D106" s="32"/>
      <c r="E106" s="32"/>
      <c r="F106" s="32"/>
      <c r="G106" s="39"/>
      <c r="H106" s="39"/>
      <c r="I106" s="42"/>
      <c r="J106" s="43">
        <v>10</v>
      </c>
      <c r="K106" s="21">
        <f>U106-J106-O106</f>
        <v>-10</v>
      </c>
      <c r="L106" s="21">
        <f t="shared" si="15"/>
        <v>10</v>
      </c>
      <c r="M106" s="21">
        <f t="shared" si="16"/>
        <v>-10</v>
      </c>
      <c r="N106" s="21"/>
      <c r="O106" s="21"/>
      <c r="P106" s="5"/>
      <c r="Q106" s="43"/>
      <c r="R106" s="32"/>
      <c r="S106" s="21">
        <f t="shared" si="17"/>
        <v>0</v>
      </c>
      <c r="T106" s="132"/>
      <c r="U106" s="78">
        <f t="shared" si="18"/>
        <v>0</v>
      </c>
      <c r="V106" s="140"/>
      <c r="W106" s="147"/>
      <c r="X106" s="23"/>
      <c r="Y106" s="340"/>
      <c r="Z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40" x14ac:dyDescent="0.25">
      <c r="A107" s="143">
        <v>18</v>
      </c>
      <c r="B107" s="92">
        <v>45218</v>
      </c>
      <c r="C107" s="31"/>
      <c r="D107" s="32"/>
      <c r="E107" s="32"/>
      <c r="F107" s="32"/>
      <c r="G107" s="39"/>
      <c r="H107" s="39"/>
      <c r="I107" s="42"/>
      <c r="J107" s="43">
        <v>10</v>
      </c>
      <c r="K107" s="21">
        <f>U107-J107-O107</f>
        <v>-10</v>
      </c>
      <c r="L107" s="21">
        <f t="shared" si="15"/>
        <v>10</v>
      </c>
      <c r="M107" s="21">
        <f t="shared" si="16"/>
        <v>-10</v>
      </c>
      <c r="N107" s="21"/>
      <c r="O107" s="21"/>
      <c r="P107" s="5"/>
      <c r="Q107" s="135"/>
      <c r="R107" s="104"/>
      <c r="S107" s="21">
        <f t="shared" si="17"/>
        <v>0</v>
      </c>
      <c r="T107" s="131"/>
      <c r="U107" s="78">
        <f t="shared" si="18"/>
        <v>0</v>
      </c>
      <c r="V107" s="140"/>
      <c r="W107" s="138"/>
      <c r="X107" s="32"/>
      <c r="Z107" s="5"/>
    </row>
    <row r="108" spans="1:40" x14ac:dyDescent="0.25">
      <c r="A108" s="143">
        <v>19</v>
      </c>
      <c r="B108" s="92">
        <v>45218</v>
      </c>
      <c r="C108" s="31"/>
      <c r="D108" s="32"/>
      <c r="E108" s="32"/>
      <c r="F108" s="32"/>
      <c r="G108" s="39"/>
      <c r="H108" s="39"/>
      <c r="I108" s="42"/>
      <c r="J108" s="43">
        <v>10</v>
      </c>
      <c r="K108" s="21">
        <f>U108-J108-O108</f>
        <v>-10</v>
      </c>
      <c r="L108" s="21">
        <f t="shared" si="15"/>
        <v>10</v>
      </c>
      <c r="M108" s="21">
        <f t="shared" si="16"/>
        <v>-10</v>
      </c>
      <c r="N108" s="21"/>
      <c r="O108" s="21"/>
      <c r="P108" s="5"/>
      <c r="Q108" s="32"/>
      <c r="R108" s="32"/>
      <c r="S108" s="21">
        <f t="shared" si="17"/>
        <v>0</v>
      </c>
      <c r="T108" s="32"/>
      <c r="U108" s="78">
        <f t="shared" si="18"/>
        <v>0</v>
      </c>
      <c r="V108" s="140"/>
      <c r="W108" s="138"/>
      <c r="X108" s="32"/>
      <c r="Z108" s="5"/>
    </row>
    <row r="109" spans="1:40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22">
        <f>SUM(O94:O104)</f>
        <v>573</v>
      </c>
      <c r="P109" s="5"/>
      <c r="Q109" s="5"/>
      <c r="R109" s="5"/>
      <c r="S109" s="5"/>
      <c r="T109" s="5"/>
      <c r="U109" s="5"/>
      <c r="V109" s="141"/>
      <c r="W109" s="5"/>
      <c r="X109" s="5"/>
      <c r="Y109" s="5"/>
      <c r="Z109" s="5"/>
    </row>
    <row r="110" spans="1:40" x14ac:dyDescent="0.25">
      <c r="J110" t="s">
        <v>1863</v>
      </c>
      <c r="K110">
        <v>131</v>
      </c>
    </row>
    <row r="111" spans="1:40" x14ac:dyDescent="0.25">
      <c r="J111" t="s">
        <v>1864</v>
      </c>
    </row>
    <row r="115" spans="1:40" x14ac:dyDescent="0.25">
      <c r="A115" s="1" t="s">
        <v>0</v>
      </c>
      <c r="B115" s="1"/>
      <c r="C115" s="1"/>
      <c r="D115" s="1"/>
      <c r="E115" s="1"/>
      <c r="F115" s="1"/>
      <c r="G115" s="1"/>
      <c r="H115" s="1"/>
      <c r="I115" s="1" t="s">
        <v>148</v>
      </c>
      <c r="J115" s="1"/>
      <c r="K115" s="1"/>
      <c r="L115" s="1"/>
      <c r="M115" s="1"/>
      <c r="N115" s="1"/>
      <c r="O115" s="1"/>
      <c r="P115" s="1"/>
      <c r="Q115" s="1"/>
      <c r="R115" s="1"/>
      <c r="S115" s="342" t="s">
        <v>1</v>
      </c>
      <c r="T115" s="342"/>
      <c r="U115" s="5"/>
      <c r="V115" s="139"/>
      <c r="W115" s="1"/>
      <c r="X115" s="1"/>
      <c r="Y115" s="1"/>
      <c r="Z115" s="5"/>
      <c r="AC115" s="335" t="s">
        <v>160</v>
      </c>
      <c r="AD115" s="336"/>
      <c r="AG115" s="335" t="s">
        <v>170</v>
      </c>
      <c r="AH115" s="336"/>
      <c r="AJ115" s="337" t="s">
        <v>172</v>
      </c>
      <c r="AK115" s="337"/>
      <c r="AM115" s="337" t="s">
        <v>681</v>
      </c>
      <c r="AN115" s="337"/>
    </row>
    <row r="116" spans="1:40" ht="90" x14ac:dyDescent="0.25">
      <c r="A116" s="6" t="s">
        <v>2</v>
      </c>
      <c r="B116" s="7" t="s">
        <v>3</v>
      </c>
      <c r="C116" s="7" t="s">
        <v>4</v>
      </c>
      <c r="D116" s="6" t="s">
        <v>5</v>
      </c>
      <c r="E116" s="6" t="s">
        <v>6</v>
      </c>
      <c r="F116" s="6" t="s">
        <v>7</v>
      </c>
      <c r="G116" s="6" t="s">
        <v>8</v>
      </c>
      <c r="H116" s="8" t="s">
        <v>9</v>
      </c>
      <c r="I116" s="9" t="s">
        <v>10</v>
      </c>
      <c r="J116" s="8" t="s">
        <v>11</v>
      </c>
      <c r="K116" s="10" t="s">
        <v>1883</v>
      </c>
      <c r="L116" s="10" t="s">
        <v>13</v>
      </c>
      <c r="M116" s="11" t="s">
        <v>14</v>
      </c>
      <c r="N116" s="10" t="s">
        <v>691</v>
      </c>
      <c r="O116" s="10" t="s">
        <v>28</v>
      </c>
      <c r="P116" s="5"/>
      <c r="Q116" s="10" t="s">
        <v>16</v>
      </c>
      <c r="R116" s="10" t="s">
        <v>17</v>
      </c>
      <c r="S116" s="10" t="s">
        <v>18</v>
      </c>
      <c r="T116" s="10" t="s">
        <v>19</v>
      </c>
      <c r="U116" s="10" t="s">
        <v>20</v>
      </c>
      <c r="V116" s="13"/>
      <c r="W116" s="136" t="s">
        <v>688</v>
      </c>
      <c r="X116" s="14" t="s">
        <v>22</v>
      </c>
      <c r="Y116" s="15" t="s">
        <v>23</v>
      </c>
      <c r="Z116" s="5"/>
      <c r="AB116">
        <v>11</v>
      </c>
      <c r="AC116" s="16" t="s">
        <v>161</v>
      </c>
      <c r="AD116" s="58">
        <f>+AB116*10</f>
        <v>110</v>
      </c>
      <c r="AF116">
        <v>9</v>
      </c>
      <c r="AG116" s="16" t="s">
        <v>161</v>
      </c>
      <c r="AH116" s="58">
        <f>+AF116*10</f>
        <v>90</v>
      </c>
      <c r="AJ116" s="61" t="s">
        <v>173</v>
      </c>
      <c r="AK116" s="62" t="s">
        <v>174</v>
      </c>
      <c r="AM116" s="16" t="s">
        <v>161</v>
      </c>
      <c r="AN116" s="58">
        <f>+AL116*10</f>
        <v>0</v>
      </c>
    </row>
    <row r="117" spans="1:40" x14ac:dyDescent="0.25">
      <c r="A117" s="16">
        <v>1</v>
      </c>
      <c r="B117" s="92">
        <v>45219</v>
      </c>
      <c r="C117" s="31" t="s">
        <v>1746</v>
      </c>
      <c r="D117" s="32">
        <v>5612853273</v>
      </c>
      <c r="E117" s="32" t="s">
        <v>1609</v>
      </c>
      <c r="F117" s="39" t="s">
        <v>1746</v>
      </c>
      <c r="G117" s="39" t="s">
        <v>1877</v>
      </c>
      <c r="H117" s="122">
        <v>260</v>
      </c>
      <c r="I117" s="32">
        <v>166</v>
      </c>
      <c r="J117" s="20">
        <v>24</v>
      </c>
      <c r="K117" s="21">
        <v>30</v>
      </c>
      <c r="L117" s="21">
        <f t="shared" ref="L117:L135" si="19">+I117+J117</f>
        <v>190</v>
      </c>
      <c r="M117" s="21">
        <f t="shared" ref="M117:M135" si="20">+H117-L117</f>
        <v>70</v>
      </c>
      <c r="N117" s="21"/>
      <c r="O117" s="21"/>
      <c r="P117" s="5"/>
      <c r="Q117" s="21">
        <v>200</v>
      </c>
      <c r="R117" s="16"/>
      <c r="S117" s="21">
        <f t="shared" ref="S117:S135" si="21">+Q117+R117</f>
        <v>200</v>
      </c>
      <c r="T117" s="21">
        <v>224</v>
      </c>
      <c r="U117" s="78">
        <f>T117-S117-O117</f>
        <v>24</v>
      </c>
      <c r="V117" s="13"/>
      <c r="W117" s="147"/>
      <c r="X117" s="23"/>
      <c r="Y117" s="333"/>
      <c r="Z117" s="5"/>
      <c r="AB117">
        <v>82.5</v>
      </c>
      <c r="AC117" s="59" t="s">
        <v>162</v>
      </c>
      <c r="AD117" s="18">
        <f>+AB117*1</f>
        <v>82.5</v>
      </c>
      <c r="AF117">
        <v>100</v>
      </c>
      <c r="AG117" s="59" t="s">
        <v>162</v>
      </c>
      <c r="AH117" s="18">
        <f>+AF117*1</f>
        <v>100</v>
      </c>
      <c r="AJ117" s="16"/>
      <c r="AK117" s="16">
        <v>300</v>
      </c>
      <c r="AM117" s="59" t="s">
        <v>162</v>
      </c>
      <c r="AN117" s="18">
        <f>+AL117*1</f>
        <v>0</v>
      </c>
    </row>
    <row r="118" spans="1:40" x14ac:dyDescent="0.25">
      <c r="A118" s="26">
        <v>2</v>
      </c>
      <c r="B118" s="92">
        <v>45219</v>
      </c>
      <c r="C118" s="31" t="s">
        <v>1879</v>
      </c>
      <c r="D118" s="32">
        <v>953128630</v>
      </c>
      <c r="E118" s="32" t="s">
        <v>408</v>
      </c>
      <c r="F118" s="32" t="s">
        <v>1878</v>
      </c>
      <c r="G118" s="39" t="s">
        <v>1880</v>
      </c>
      <c r="H118" s="122">
        <v>200</v>
      </c>
      <c r="I118" s="32">
        <v>152</v>
      </c>
      <c r="J118" s="20">
        <v>14</v>
      </c>
      <c r="K118" s="21"/>
      <c r="L118" s="21">
        <f t="shared" si="19"/>
        <v>166</v>
      </c>
      <c r="M118" s="21">
        <f t="shared" si="20"/>
        <v>34</v>
      </c>
      <c r="N118" s="21"/>
      <c r="O118" s="21"/>
      <c r="P118" s="5"/>
      <c r="Q118" s="21"/>
      <c r="R118" s="16"/>
      <c r="S118" s="21">
        <f t="shared" si="21"/>
        <v>0</v>
      </c>
      <c r="T118" s="21">
        <v>14</v>
      </c>
      <c r="U118" s="78">
        <f t="shared" ref="U118:U135" si="22">T118-S118-O118</f>
        <v>14</v>
      </c>
      <c r="V118" s="140"/>
      <c r="W118" s="147"/>
      <c r="X118" s="23"/>
      <c r="Y118" s="334"/>
      <c r="Z118" s="5"/>
      <c r="AB118">
        <v>28</v>
      </c>
      <c r="AC118" s="16" t="s">
        <v>163</v>
      </c>
      <c r="AD118" s="60">
        <f>+AB118*5</f>
        <v>140</v>
      </c>
      <c r="AF118">
        <v>29</v>
      </c>
      <c r="AG118" s="16" t="s">
        <v>163</v>
      </c>
      <c r="AH118" s="60">
        <f>+AF118*5</f>
        <v>145</v>
      </c>
      <c r="AJ118" s="16"/>
      <c r="AK118" s="16"/>
      <c r="AM118" s="16" t="s">
        <v>163</v>
      </c>
      <c r="AN118" s="60">
        <f>+AL118*5</f>
        <v>0</v>
      </c>
    </row>
    <row r="119" spans="1:40" x14ac:dyDescent="0.25">
      <c r="A119" s="143">
        <v>3</v>
      </c>
      <c r="B119" s="92">
        <v>45219</v>
      </c>
      <c r="C119" s="31" t="s">
        <v>608</v>
      </c>
      <c r="D119" s="32">
        <v>5553181586</v>
      </c>
      <c r="E119" s="32" t="s">
        <v>76</v>
      </c>
      <c r="F119" s="32" t="s">
        <v>1881</v>
      </c>
      <c r="G119" s="39" t="s">
        <v>1882</v>
      </c>
      <c r="H119" s="122">
        <v>200</v>
      </c>
      <c r="I119" s="32">
        <v>128</v>
      </c>
      <c r="J119" s="20">
        <v>14</v>
      </c>
      <c r="K119" s="21">
        <v>10</v>
      </c>
      <c r="L119" s="21">
        <f t="shared" si="19"/>
        <v>142</v>
      </c>
      <c r="M119" s="21">
        <f t="shared" si="20"/>
        <v>58</v>
      </c>
      <c r="N119" s="21"/>
      <c r="O119" s="21"/>
      <c r="P119" s="5"/>
      <c r="Q119" s="21">
        <v>200</v>
      </c>
      <c r="R119" s="16"/>
      <c r="S119" s="21">
        <f t="shared" si="21"/>
        <v>200</v>
      </c>
      <c r="T119" s="21">
        <v>214</v>
      </c>
      <c r="U119" s="78">
        <f t="shared" si="22"/>
        <v>14</v>
      </c>
      <c r="V119" s="140"/>
      <c r="W119" s="147"/>
      <c r="X119" s="23"/>
      <c r="Y119" s="334"/>
      <c r="Z119" s="5"/>
      <c r="AB119">
        <v>1</v>
      </c>
      <c r="AC119" s="16" t="s">
        <v>164</v>
      </c>
      <c r="AD119" s="18">
        <f>+AB119*200</f>
        <v>200</v>
      </c>
      <c r="AF119">
        <v>2</v>
      </c>
      <c r="AG119" s="16" t="s">
        <v>164</v>
      </c>
      <c r="AH119" s="18">
        <f>+AF119*200</f>
        <v>400</v>
      </c>
      <c r="AJ119" s="16"/>
      <c r="AK119" s="16"/>
      <c r="AM119" s="16" t="s">
        <v>164</v>
      </c>
      <c r="AN119" s="18">
        <f>+AL119*200</f>
        <v>0</v>
      </c>
    </row>
    <row r="120" spans="1:40" x14ac:dyDescent="0.25">
      <c r="A120" s="143">
        <v>4</v>
      </c>
      <c r="B120" s="92">
        <v>45219</v>
      </c>
      <c r="C120" s="31" t="s">
        <v>842</v>
      </c>
      <c r="D120" s="32">
        <v>5565395702</v>
      </c>
      <c r="E120" s="32" t="s">
        <v>1884</v>
      </c>
      <c r="F120" s="32" t="s">
        <v>1885</v>
      </c>
      <c r="G120" s="39" t="s">
        <v>1886</v>
      </c>
      <c r="H120" s="122">
        <v>500</v>
      </c>
      <c r="I120" s="32">
        <v>408</v>
      </c>
      <c r="J120" s="20">
        <v>50</v>
      </c>
      <c r="K120" s="21">
        <v>42</v>
      </c>
      <c r="L120" s="21">
        <f t="shared" si="19"/>
        <v>458</v>
      </c>
      <c r="M120" s="21">
        <f t="shared" si="20"/>
        <v>42</v>
      </c>
      <c r="N120" s="21"/>
      <c r="O120" s="21"/>
      <c r="P120" s="5"/>
      <c r="Q120" s="21"/>
      <c r="R120" s="16"/>
      <c r="S120" s="21">
        <f t="shared" si="21"/>
        <v>0</v>
      </c>
      <c r="T120" s="21">
        <v>50</v>
      </c>
      <c r="U120" s="78">
        <f t="shared" si="22"/>
        <v>50</v>
      </c>
      <c r="V120" s="140"/>
      <c r="W120" s="147"/>
      <c r="X120" s="23"/>
      <c r="Y120" s="334"/>
      <c r="Z120" s="5"/>
      <c r="AB120">
        <v>1</v>
      </c>
      <c r="AC120" s="16" t="s">
        <v>165</v>
      </c>
      <c r="AD120" s="18">
        <f>+AB120*100</f>
        <v>100</v>
      </c>
      <c r="AF120">
        <v>1</v>
      </c>
      <c r="AG120" s="16" t="s">
        <v>165</v>
      </c>
      <c r="AH120" s="18">
        <f>+AF120*100</f>
        <v>100</v>
      </c>
      <c r="AJ120" s="16"/>
      <c r="AK120" s="16"/>
      <c r="AM120" s="16" t="s">
        <v>165</v>
      </c>
      <c r="AN120" s="18">
        <f>+AL120*100</f>
        <v>0</v>
      </c>
    </row>
    <row r="121" spans="1:40" x14ac:dyDescent="0.25">
      <c r="A121" s="143">
        <v>5</v>
      </c>
      <c r="B121" s="92">
        <v>45219</v>
      </c>
      <c r="C121" s="31" t="s">
        <v>1033</v>
      </c>
      <c r="D121" s="32">
        <v>5516609716</v>
      </c>
      <c r="E121" s="32" t="s">
        <v>106</v>
      </c>
      <c r="F121" s="32" t="s">
        <v>918</v>
      </c>
      <c r="G121" s="32" t="s">
        <v>1887</v>
      </c>
      <c r="H121" s="122">
        <v>66</v>
      </c>
      <c r="I121" s="32">
        <v>54</v>
      </c>
      <c r="J121" s="20">
        <v>12</v>
      </c>
      <c r="K121" s="21"/>
      <c r="L121" s="21">
        <f t="shared" si="19"/>
        <v>66</v>
      </c>
      <c r="M121" s="21">
        <f t="shared" si="20"/>
        <v>0</v>
      </c>
      <c r="N121" s="21"/>
      <c r="O121" s="21">
        <v>54</v>
      </c>
      <c r="P121" s="5"/>
      <c r="Q121" s="16">
        <v>200</v>
      </c>
      <c r="R121" s="16"/>
      <c r="S121" s="21">
        <f t="shared" si="21"/>
        <v>200</v>
      </c>
      <c r="T121" s="21">
        <v>212</v>
      </c>
      <c r="U121" s="78">
        <f t="shared" si="22"/>
        <v>-42</v>
      </c>
      <c r="V121" s="140"/>
      <c r="W121" s="147"/>
      <c r="X121" s="23"/>
      <c r="Y121" s="334"/>
      <c r="Z121" s="5"/>
      <c r="AB121">
        <v>6</v>
      </c>
      <c r="AC121" s="16" t="s">
        <v>166</v>
      </c>
      <c r="AD121" s="18">
        <f>+AB121*50</f>
        <v>300</v>
      </c>
      <c r="AF121">
        <v>1</v>
      </c>
      <c r="AG121" s="16" t="s">
        <v>166</v>
      </c>
      <c r="AH121" s="18">
        <f>+AF121*50</f>
        <v>50</v>
      </c>
      <c r="AJ121" s="16"/>
      <c r="AK121" s="16"/>
      <c r="AM121" s="16" t="s">
        <v>166</v>
      </c>
      <c r="AN121" s="18">
        <f>+AL121*50</f>
        <v>0</v>
      </c>
    </row>
    <row r="122" spans="1:40" x14ac:dyDescent="0.25">
      <c r="A122" s="143">
        <v>6</v>
      </c>
      <c r="B122" s="92">
        <v>45219</v>
      </c>
      <c r="C122" s="31" t="s">
        <v>571</v>
      </c>
      <c r="D122" s="32">
        <v>5629985003</v>
      </c>
      <c r="E122" s="32" t="s">
        <v>1889</v>
      </c>
      <c r="F122" s="32" t="s">
        <v>571</v>
      </c>
      <c r="G122" s="39" t="s">
        <v>1888</v>
      </c>
      <c r="H122" s="39">
        <v>200</v>
      </c>
      <c r="I122" s="42">
        <v>150</v>
      </c>
      <c r="J122" s="20">
        <v>10</v>
      </c>
      <c r="K122" s="21">
        <v>3</v>
      </c>
      <c r="L122" s="21">
        <f t="shared" si="19"/>
        <v>160</v>
      </c>
      <c r="M122" s="21">
        <f t="shared" si="20"/>
        <v>40</v>
      </c>
      <c r="N122" s="21"/>
      <c r="O122" s="21">
        <v>140</v>
      </c>
      <c r="P122" s="5"/>
      <c r="Q122" s="16">
        <v>200</v>
      </c>
      <c r="R122" s="16"/>
      <c r="S122" s="21">
        <f t="shared" si="21"/>
        <v>200</v>
      </c>
      <c r="T122" s="16">
        <v>236</v>
      </c>
      <c r="U122" s="78">
        <f t="shared" si="22"/>
        <v>-104</v>
      </c>
      <c r="V122" s="140"/>
      <c r="W122" s="147"/>
      <c r="X122" s="23"/>
      <c r="Y122" s="334"/>
      <c r="Z122" s="5"/>
      <c r="AB122">
        <v>2</v>
      </c>
      <c r="AC122" s="16" t="s">
        <v>167</v>
      </c>
      <c r="AD122" s="18">
        <f>+AB122*20</f>
        <v>40</v>
      </c>
      <c r="AF122">
        <v>4</v>
      </c>
      <c r="AG122" s="16" t="s">
        <v>167</v>
      </c>
      <c r="AH122" s="18">
        <f>+AF122*20</f>
        <v>80</v>
      </c>
      <c r="AJ122" s="16"/>
      <c r="AK122" s="16"/>
      <c r="AM122" s="16" t="s">
        <v>167</v>
      </c>
      <c r="AN122" s="18">
        <f>+AL122*20</f>
        <v>0</v>
      </c>
    </row>
    <row r="123" spans="1:40" x14ac:dyDescent="0.25">
      <c r="A123" s="143">
        <v>7</v>
      </c>
      <c r="B123" s="92">
        <v>45219</v>
      </c>
      <c r="C123" s="31" t="s">
        <v>1890</v>
      </c>
      <c r="D123" s="32">
        <v>5629877337</v>
      </c>
      <c r="E123" s="32" t="s">
        <v>52</v>
      </c>
      <c r="F123" s="32" t="s">
        <v>1891</v>
      </c>
      <c r="G123" s="39" t="s">
        <v>1892</v>
      </c>
      <c r="H123" s="122">
        <v>100</v>
      </c>
      <c r="I123" s="42">
        <v>49</v>
      </c>
      <c r="J123" s="20">
        <v>12</v>
      </c>
      <c r="K123" s="21">
        <v>20</v>
      </c>
      <c r="L123" s="21">
        <f t="shared" si="19"/>
        <v>61</v>
      </c>
      <c r="M123" s="21">
        <f t="shared" si="20"/>
        <v>39</v>
      </c>
      <c r="N123" s="21"/>
      <c r="O123" s="21">
        <v>49</v>
      </c>
      <c r="P123" s="5"/>
      <c r="Q123" s="16">
        <v>100</v>
      </c>
      <c r="R123" s="16"/>
      <c r="S123" s="21">
        <f t="shared" si="21"/>
        <v>100</v>
      </c>
      <c r="T123" s="16">
        <v>110</v>
      </c>
      <c r="U123" s="78">
        <f t="shared" si="22"/>
        <v>-39</v>
      </c>
      <c r="V123" s="140"/>
      <c r="W123" s="147"/>
      <c r="X123" s="23"/>
      <c r="Y123" s="334"/>
      <c r="Z123" s="5"/>
      <c r="AC123" s="16" t="s">
        <v>171</v>
      </c>
      <c r="AD123" s="18">
        <f>+AB123*500</f>
        <v>0</v>
      </c>
      <c r="AF123">
        <v>1</v>
      </c>
      <c r="AG123" s="16" t="s">
        <v>171</v>
      </c>
      <c r="AH123" s="18">
        <f>+AF123*500</f>
        <v>500</v>
      </c>
      <c r="AJ123" s="16"/>
      <c r="AK123" s="16"/>
      <c r="AM123" s="16" t="s">
        <v>171</v>
      </c>
      <c r="AN123" s="18">
        <f>+AL123*500</f>
        <v>0</v>
      </c>
    </row>
    <row r="124" spans="1:40" x14ac:dyDescent="0.25">
      <c r="A124" s="143">
        <v>8</v>
      </c>
      <c r="B124" s="92">
        <v>45219</v>
      </c>
      <c r="C124" s="31" t="s">
        <v>1893</v>
      </c>
      <c r="D124" s="123"/>
      <c r="E124" s="123" t="s">
        <v>992</v>
      </c>
      <c r="F124" s="123" t="s">
        <v>1895</v>
      </c>
      <c r="G124" s="39" t="s">
        <v>1894</v>
      </c>
      <c r="H124" s="122">
        <v>500</v>
      </c>
      <c r="I124" s="32">
        <v>136</v>
      </c>
      <c r="J124" s="20">
        <v>10</v>
      </c>
      <c r="K124" s="21"/>
      <c r="L124" s="21">
        <f t="shared" si="19"/>
        <v>146</v>
      </c>
      <c r="M124" s="21">
        <f t="shared" si="20"/>
        <v>354</v>
      </c>
      <c r="N124" s="21"/>
      <c r="O124" s="21"/>
      <c r="P124" s="5"/>
      <c r="Q124" s="16">
        <v>500</v>
      </c>
      <c r="R124" s="16"/>
      <c r="S124" s="21">
        <f t="shared" si="21"/>
        <v>500</v>
      </c>
      <c r="T124" s="16">
        <v>510</v>
      </c>
      <c r="U124" s="78">
        <f t="shared" si="22"/>
        <v>10</v>
      </c>
      <c r="V124" s="140"/>
      <c r="W124" s="147"/>
      <c r="X124" s="23"/>
      <c r="Y124" s="334"/>
      <c r="Z124" s="5"/>
      <c r="AC124" s="16" t="s">
        <v>168</v>
      </c>
      <c r="AD124" s="18">
        <f>+AB124*1000</f>
        <v>0</v>
      </c>
      <c r="AG124" s="16" t="s">
        <v>168</v>
      </c>
      <c r="AH124" s="18">
        <f>+AF124*1000</f>
        <v>0</v>
      </c>
      <c r="AJ124" s="16"/>
      <c r="AK124" s="16"/>
      <c r="AM124" s="16" t="s">
        <v>168</v>
      </c>
      <c r="AN124" s="18">
        <f>+AL124*1000</f>
        <v>0</v>
      </c>
    </row>
    <row r="125" spans="1:40" x14ac:dyDescent="0.25">
      <c r="A125" s="143">
        <v>9</v>
      </c>
      <c r="B125" s="92">
        <v>45219</v>
      </c>
      <c r="C125" s="31" t="s">
        <v>1896</v>
      </c>
      <c r="D125" s="32">
        <v>5536542200</v>
      </c>
      <c r="E125" s="32" t="s">
        <v>52</v>
      </c>
      <c r="F125" s="32" t="s">
        <v>996</v>
      </c>
      <c r="G125" s="39" t="s">
        <v>1897</v>
      </c>
      <c r="H125" s="39">
        <v>137</v>
      </c>
      <c r="I125" s="40">
        <v>123</v>
      </c>
      <c r="J125" s="20">
        <v>14</v>
      </c>
      <c r="K125" s="21">
        <v>10</v>
      </c>
      <c r="L125" s="21">
        <f t="shared" si="19"/>
        <v>137</v>
      </c>
      <c r="M125" s="21">
        <f t="shared" si="20"/>
        <v>0</v>
      </c>
      <c r="N125" s="21"/>
      <c r="O125" s="21">
        <v>123</v>
      </c>
      <c r="P125" s="5"/>
      <c r="Q125" s="16">
        <v>123</v>
      </c>
      <c r="R125" s="16"/>
      <c r="S125" s="21">
        <f t="shared" si="21"/>
        <v>123</v>
      </c>
      <c r="T125" s="16">
        <v>137</v>
      </c>
      <c r="U125" s="78">
        <f t="shared" si="22"/>
        <v>-109</v>
      </c>
      <c r="V125" s="140"/>
      <c r="W125" s="147"/>
      <c r="X125" s="23"/>
      <c r="Y125" s="334"/>
      <c r="Z125" s="5"/>
      <c r="AC125" s="26"/>
      <c r="AD125" s="58"/>
      <c r="AG125" s="26"/>
      <c r="AH125" s="58"/>
      <c r="AJ125" s="16"/>
      <c r="AK125" s="16"/>
      <c r="AM125" s="26"/>
      <c r="AN125" s="58"/>
    </row>
    <row r="126" spans="1:40" x14ac:dyDescent="0.25">
      <c r="A126" s="143">
        <v>10</v>
      </c>
      <c r="B126" s="92">
        <v>45219</v>
      </c>
      <c r="C126" s="31" t="s">
        <v>571</v>
      </c>
      <c r="D126" s="32"/>
      <c r="E126" s="32" t="s">
        <v>52</v>
      </c>
      <c r="F126" s="32" t="s">
        <v>571</v>
      </c>
      <c r="G126" s="39" t="s">
        <v>1898</v>
      </c>
      <c r="H126" s="122">
        <v>500</v>
      </c>
      <c r="I126" s="42">
        <v>51</v>
      </c>
      <c r="J126" s="20">
        <v>10</v>
      </c>
      <c r="K126" s="21"/>
      <c r="L126" s="21">
        <f t="shared" si="19"/>
        <v>61</v>
      </c>
      <c r="M126" s="21">
        <f t="shared" si="20"/>
        <v>439</v>
      </c>
      <c r="N126" s="21"/>
      <c r="O126" s="21">
        <v>51</v>
      </c>
      <c r="P126" s="5"/>
      <c r="Q126" s="16">
        <v>500</v>
      </c>
      <c r="R126" s="16"/>
      <c r="S126" s="21">
        <f t="shared" si="21"/>
        <v>500</v>
      </c>
      <c r="T126" s="16">
        <v>510</v>
      </c>
      <c r="U126" s="78">
        <f t="shared" si="22"/>
        <v>-41</v>
      </c>
      <c r="V126" s="140"/>
      <c r="W126" s="147"/>
      <c r="X126" s="23"/>
      <c r="Y126" s="334"/>
      <c r="Z126" s="5"/>
      <c r="AC126" s="16" t="s">
        <v>169</v>
      </c>
      <c r="AD126" s="18">
        <f>SUM(AD116:AD125)</f>
        <v>972.5</v>
      </c>
      <c r="AG126" s="16" t="s">
        <v>169</v>
      </c>
      <c r="AH126" s="18">
        <f>SUM(AH116:AH125)</f>
        <v>1465</v>
      </c>
      <c r="AJ126" s="16"/>
      <c r="AK126" s="16"/>
      <c r="AM126" s="16" t="s">
        <v>169</v>
      </c>
      <c r="AN126" s="18"/>
    </row>
    <row r="127" spans="1:40" x14ac:dyDescent="0.25">
      <c r="A127" s="143">
        <v>11</v>
      </c>
      <c r="B127" s="92">
        <v>45219</v>
      </c>
      <c r="C127" s="31" t="s">
        <v>1899</v>
      </c>
      <c r="D127" s="124"/>
      <c r="E127" s="123" t="s">
        <v>52</v>
      </c>
      <c r="F127" s="123" t="s">
        <v>1527</v>
      </c>
      <c r="G127" s="39" t="s">
        <v>1900</v>
      </c>
      <c r="H127" s="122">
        <v>200</v>
      </c>
      <c r="I127" s="42">
        <v>110</v>
      </c>
      <c r="J127" s="20">
        <v>10</v>
      </c>
      <c r="K127" s="21"/>
      <c r="L127" s="21">
        <f t="shared" si="19"/>
        <v>120</v>
      </c>
      <c r="M127" s="21">
        <f t="shared" si="20"/>
        <v>80</v>
      </c>
      <c r="N127" s="21"/>
      <c r="O127" s="21">
        <v>110</v>
      </c>
      <c r="P127" s="5"/>
      <c r="Q127" s="16">
        <v>200</v>
      </c>
      <c r="R127" s="16"/>
      <c r="S127" s="21">
        <f t="shared" si="21"/>
        <v>200</v>
      </c>
      <c r="T127" s="16">
        <v>210</v>
      </c>
      <c r="U127" s="78">
        <f t="shared" si="22"/>
        <v>-100</v>
      </c>
      <c r="V127" s="140"/>
      <c r="W127" s="147"/>
      <c r="X127" s="23"/>
      <c r="Y127" s="334"/>
      <c r="Z127" s="5"/>
      <c r="AJ127" s="16"/>
      <c r="AK127" s="16"/>
      <c r="AM127" s="16"/>
      <c r="AN127" s="16"/>
    </row>
    <row r="128" spans="1:40" x14ac:dyDescent="0.25">
      <c r="A128" s="143">
        <v>12</v>
      </c>
      <c r="B128" s="92">
        <v>45219</v>
      </c>
      <c r="C128" s="32"/>
      <c r="D128" s="32"/>
      <c r="E128" s="124"/>
      <c r="F128" s="123"/>
      <c r="G128" s="39"/>
      <c r="H128" s="39"/>
      <c r="I128" s="42"/>
      <c r="J128" s="20">
        <v>10</v>
      </c>
      <c r="K128" s="21">
        <f t="shared" ref="K128:K135" si="23">U128-J128-O128</f>
        <v>-10</v>
      </c>
      <c r="L128" s="21">
        <f t="shared" si="19"/>
        <v>10</v>
      </c>
      <c r="M128" s="21">
        <f t="shared" si="20"/>
        <v>-10</v>
      </c>
      <c r="N128" s="21"/>
      <c r="O128" s="21"/>
      <c r="P128" s="5"/>
      <c r="Q128" s="45"/>
      <c r="R128" s="44"/>
      <c r="S128" s="21">
        <f t="shared" si="21"/>
        <v>0</v>
      </c>
      <c r="T128" s="45"/>
      <c r="U128" s="78">
        <f t="shared" si="22"/>
        <v>0</v>
      </c>
      <c r="V128" s="140"/>
      <c r="W128" s="147"/>
      <c r="X128" s="23"/>
      <c r="Y128" s="334"/>
      <c r="Z128" s="5"/>
      <c r="AJ128" s="63" t="s">
        <v>169</v>
      </c>
      <c r="AK128" s="63">
        <f>+SUM(AJ117:AJ127)-SUM(AK117:AK127)</f>
        <v>-300</v>
      </c>
      <c r="AM128" s="63" t="s">
        <v>169</v>
      </c>
      <c r="AN128" s="85">
        <f>+SUM(AM116:AM127)-SUM(AN117:AN127)</f>
        <v>0</v>
      </c>
    </row>
    <row r="129" spans="1:40" x14ac:dyDescent="0.25">
      <c r="A129" s="143">
        <v>13</v>
      </c>
      <c r="B129" s="92">
        <v>45219</v>
      </c>
      <c r="C129" s="31"/>
      <c r="D129" s="32"/>
      <c r="E129" s="32"/>
      <c r="F129" s="32"/>
      <c r="G129" s="39"/>
      <c r="H129" s="39"/>
      <c r="I129" s="42"/>
      <c r="J129" s="108">
        <v>10</v>
      </c>
      <c r="K129" s="21">
        <f t="shared" si="23"/>
        <v>-10</v>
      </c>
      <c r="L129" s="21">
        <f t="shared" si="19"/>
        <v>10</v>
      </c>
      <c r="M129" s="21">
        <f t="shared" si="20"/>
        <v>-10</v>
      </c>
      <c r="N129" s="21"/>
      <c r="O129" s="21"/>
      <c r="P129" s="5"/>
      <c r="Q129" s="43"/>
      <c r="R129" s="32"/>
      <c r="S129" s="21">
        <f t="shared" si="21"/>
        <v>0</v>
      </c>
      <c r="T129" s="43"/>
      <c r="U129" s="78">
        <f t="shared" si="22"/>
        <v>0</v>
      </c>
      <c r="V129" s="140"/>
      <c r="W129" s="147"/>
      <c r="X129" s="23"/>
      <c r="Y129" s="334"/>
      <c r="Z129" s="5"/>
      <c r="AH129" s="83"/>
    </row>
    <row r="130" spans="1:40" x14ac:dyDescent="0.25">
      <c r="A130" s="143">
        <v>14</v>
      </c>
      <c r="B130" s="92">
        <v>45219</v>
      </c>
      <c r="C130" s="31"/>
      <c r="D130" s="32"/>
      <c r="E130" s="32"/>
      <c r="F130" s="32"/>
      <c r="G130" s="39"/>
      <c r="H130" s="39"/>
      <c r="I130" s="42"/>
      <c r="J130" s="108">
        <v>10</v>
      </c>
      <c r="K130" s="21">
        <f t="shared" si="23"/>
        <v>-10</v>
      </c>
      <c r="L130" s="21">
        <f t="shared" si="19"/>
        <v>10</v>
      </c>
      <c r="M130" s="21">
        <f t="shared" si="20"/>
        <v>-10</v>
      </c>
      <c r="N130" s="21"/>
      <c r="O130" s="21"/>
      <c r="P130" s="5"/>
      <c r="Q130" s="43"/>
      <c r="R130" s="43"/>
      <c r="S130" s="21">
        <f t="shared" si="21"/>
        <v>0</v>
      </c>
      <c r="T130" s="43"/>
      <c r="U130" s="78">
        <f t="shared" si="22"/>
        <v>0</v>
      </c>
      <c r="V130" s="140"/>
      <c r="W130" s="147"/>
      <c r="X130" s="23"/>
      <c r="Y130" s="334"/>
      <c r="Z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40" x14ac:dyDescent="0.25">
      <c r="A131" s="143">
        <v>15</v>
      </c>
      <c r="B131" s="92">
        <v>45219</v>
      </c>
      <c r="C131" s="127"/>
      <c r="D131" s="32"/>
      <c r="E131" s="32"/>
      <c r="F131" s="128"/>
      <c r="G131" s="129"/>
      <c r="H131" s="39"/>
      <c r="I131" s="42"/>
      <c r="J131" s="108">
        <v>10</v>
      </c>
      <c r="K131" s="21">
        <f t="shared" si="23"/>
        <v>-10</v>
      </c>
      <c r="L131" s="21">
        <f t="shared" si="19"/>
        <v>10</v>
      </c>
      <c r="M131" s="21">
        <f t="shared" si="20"/>
        <v>-10</v>
      </c>
      <c r="N131" s="21"/>
      <c r="O131" s="21"/>
      <c r="P131" s="5"/>
      <c r="Q131" s="43"/>
      <c r="R131" s="43"/>
      <c r="S131" s="21">
        <f t="shared" si="21"/>
        <v>0</v>
      </c>
      <c r="T131" s="43"/>
      <c r="U131" s="78">
        <f t="shared" si="22"/>
        <v>0</v>
      </c>
      <c r="V131" s="140"/>
      <c r="W131" s="147"/>
      <c r="X131" s="23"/>
      <c r="Y131" s="334"/>
      <c r="Z131" s="5"/>
      <c r="AC131" s="5"/>
      <c r="AD131" s="134" t="s">
        <v>20</v>
      </c>
      <c r="AE131" s="338"/>
      <c r="AF131" s="341" t="s">
        <v>686</v>
      </c>
      <c r="AG131" s="134" t="s">
        <v>20</v>
      </c>
      <c r="AH131" s="338">
        <v>109.5</v>
      </c>
      <c r="AI131" s="341" t="s">
        <v>687</v>
      </c>
      <c r="AJ131" s="134" t="s">
        <v>20</v>
      </c>
      <c r="AK131" s="338"/>
      <c r="AL131" s="5"/>
    </row>
    <row r="132" spans="1:40" x14ac:dyDescent="0.25">
      <c r="A132" s="143">
        <v>16</v>
      </c>
      <c r="B132" s="92">
        <v>45219</v>
      </c>
      <c r="C132" s="31"/>
      <c r="D132" s="32"/>
      <c r="E132" s="32"/>
      <c r="F132" s="32"/>
      <c r="G132" s="39"/>
      <c r="H132" s="39"/>
      <c r="I132" s="42"/>
      <c r="J132" s="43">
        <v>10</v>
      </c>
      <c r="K132" s="21">
        <f t="shared" si="23"/>
        <v>-10</v>
      </c>
      <c r="L132" s="21">
        <f t="shared" si="19"/>
        <v>10</v>
      </c>
      <c r="M132" s="21">
        <f t="shared" si="20"/>
        <v>-10</v>
      </c>
      <c r="N132" s="21"/>
      <c r="O132" s="21"/>
      <c r="P132" s="5"/>
      <c r="Q132" s="43"/>
      <c r="R132" s="32"/>
      <c r="S132" s="21">
        <f t="shared" si="21"/>
        <v>0</v>
      </c>
      <c r="T132" s="131"/>
      <c r="U132" s="78">
        <f t="shared" si="22"/>
        <v>0</v>
      </c>
      <c r="V132" s="140"/>
      <c r="W132" s="147"/>
      <c r="X132" s="23"/>
      <c r="Y132" s="334"/>
      <c r="Z132" s="5"/>
      <c r="AC132" s="5" t="s">
        <v>685</v>
      </c>
      <c r="AD132" s="115" t="s">
        <v>684</v>
      </c>
      <c r="AE132" s="339"/>
      <c r="AF132" s="341"/>
      <c r="AG132" s="115" t="s">
        <v>684</v>
      </c>
      <c r="AH132" s="339"/>
      <c r="AI132" s="341"/>
      <c r="AJ132" s="115" t="s">
        <v>684</v>
      </c>
      <c r="AK132" s="339"/>
      <c r="AL132" s="5"/>
    </row>
    <row r="133" spans="1:40" x14ac:dyDescent="0.25">
      <c r="A133" s="143">
        <v>17</v>
      </c>
      <c r="B133" s="92">
        <v>45219</v>
      </c>
      <c r="C133" s="31"/>
      <c r="D133" s="32"/>
      <c r="E133" s="32"/>
      <c r="F133" s="32"/>
      <c r="G133" s="39"/>
      <c r="H133" s="39"/>
      <c r="I133" s="42"/>
      <c r="J133" s="43">
        <v>10</v>
      </c>
      <c r="K133" s="21">
        <f t="shared" si="23"/>
        <v>-10</v>
      </c>
      <c r="L133" s="21">
        <f t="shared" si="19"/>
        <v>10</v>
      </c>
      <c r="M133" s="21">
        <f t="shared" si="20"/>
        <v>-10</v>
      </c>
      <c r="N133" s="21"/>
      <c r="O133" s="21"/>
      <c r="P133" s="5"/>
      <c r="Q133" s="43"/>
      <c r="R133" s="32"/>
      <c r="S133" s="21">
        <f t="shared" si="21"/>
        <v>0</v>
      </c>
      <c r="T133" s="132"/>
      <c r="U133" s="78">
        <f t="shared" si="22"/>
        <v>0</v>
      </c>
      <c r="V133" s="140"/>
      <c r="W133" s="147"/>
      <c r="X133" s="23"/>
      <c r="Y133" s="340"/>
      <c r="Z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40" x14ac:dyDescent="0.25">
      <c r="A134" s="143">
        <v>18</v>
      </c>
      <c r="B134" s="92">
        <v>45219</v>
      </c>
      <c r="C134" s="31"/>
      <c r="D134" s="32"/>
      <c r="E134" s="32"/>
      <c r="F134" s="32"/>
      <c r="G134" s="39"/>
      <c r="H134" s="39"/>
      <c r="I134" s="42"/>
      <c r="J134" s="43">
        <v>10</v>
      </c>
      <c r="K134" s="21">
        <f t="shared" si="23"/>
        <v>-10</v>
      </c>
      <c r="L134" s="21">
        <f t="shared" si="19"/>
        <v>10</v>
      </c>
      <c r="M134" s="21">
        <f t="shared" si="20"/>
        <v>-10</v>
      </c>
      <c r="N134" s="21"/>
      <c r="O134" s="21"/>
      <c r="P134" s="5"/>
      <c r="Q134" s="135"/>
      <c r="R134" s="104"/>
      <c r="S134" s="21">
        <f t="shared" si="21"/>
        <v>0</v>
      </c>
      <c r="T134" s="131"/>
      <c r="U134" s="78">
        <f t="shared" si="22"/>
        <v>0</v>
      </c>
      <c r="V134" s="140"/>
      <c r="W134" s="138"/>
      <c r="X134" s="32"/>
      <c r="Z134" s="5"/>
    </row>
    <row r="135" spans="1:40" x14ac:dyDescent="0.25">
      <c r="A135" s="143">
        <v>19</v>
      </c>
      <c r="B135" s="92">
        <v>45219</v>
      </c>
      <c r="C135" s="31"/>
      <c r="D135" s="32"/>
      <c r="E135" s="32"/>
      <c r="F135" s="32"/>
      <c r="G135" s="39"/>
      <c r="H135" s="39"/>
      <c r="I135" s="42"/>
      <c r="J135" s="43">
        <v>10</v>
      </c>
      <c r="K135" s="21">
        <f t="shared" si="23"/>
        <v>-10</v>
      </c>
      <c r="L135" s="21">
        <f t="shared" si="19"/>
        <v>10</v>
      </c>
      <c r="M135" s="21">
        <f t="shared" si="20"/>
        <v>-10</v>
      </c>
      <c r="N135" s="21"/>
      <c r="O135" s="21"/>
      <c r="P135" s="5"/>
      <c r="Q135" s="32"/>
      <c r="R135" s="32"/>
      <c r="S135" s="21">
        <f t="shared" si="21"/>
        <v>0</v>
      </c>
      <c r="T135" s="32"/>
      <c r="U135" s="78">
        <f t="shared" si="22"/>
        <v>0</v>
      </c>
      <c r="V135" s="140"/>
      <c r="W135" s="138"/>
      <c r="X135" s="32"/>
      <c r="Z135" s="5"/>
    </row>
    <row r="136" spans="1:40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22">
        <f>SUM(O117:O135)</f>
        <v>527</v>
      </c>
      <c r="P136" s="5"/>
      <c r="Q136" s="5"/>
      <c r="R136" s="5"/>
      <c r="S136" s="5"/>
      <c r="T136" s="5"/>
      <c r="U136" s="5"/>
      <c r="V136" s="141"/>
      <c r="W136" s="5"/>
      <c r="X136" s="5"/>
      <c r="Y136" s="5"/>
      <c r="Z136" s="5"/>
    </row>
    <row r="137" spans="1:40" x14ac:dyDescent="0.25">
      <c r="S137">
        <v>13</v>
      </c>
    </row>
    <row r="138" spans="1:40" x14ac:dyDescent="0.25">
      <c r="A138" t="s">
        <v>1928</v>
      </c>
      <c r="S138">
        <f>+S137+110</f>
        <v>123</v>
      </c>
    </row>
    <row r="139" spans="1:40" x14ac:dyDescent="0.25">
      <c r="A139" s="1" t="s">
        <v>0</v>
      </c>
      <c r="B139" s="1"/>
      <c r="C139" s="1"/>
      <c r="D139" s="1"/>
      <c r="E139" s="1"/>
      <c r="F139" s="1"/>
      <c r="G139" s="1"/>
      <c r="H139" s="1"/>
      <c r="I139" s="1" t="s">
        <v>148</v>
      </c>
      <c r="J139" s="1"/>
      <c r="K139" s="1"/>
      <c r="L139" s="1"/>
      <c r="M139" s="1"/>
      <c r="N139" s="1"/>
      <c r="O139" s="1"/>
      <c r="P139" s="1"/>
      <c r="Q139" s="1"/>
      <c r="R139" s="1"/>
      <c r="S139" s="342" t="s">
        <v>1</v>
      </c>
      <c r="T139" s="342"/>
      <c r="U139" s="5"/>
      <c r="V139" s="139"/>
      <c r="W139" s="1"/>
      <c r="X139" s="1"/>
      <c r="Y139" s="1"/>
      <c r="Z139" s="5"/>
      <c r="AC139" s="335" t="s">
        <v>160</v>
      </c>
      <c r="AD139" s="336"/>
      <c r="AG139" s="335" t="s">
        <v>170</v>
      </c>
      <c r="AH139" s="336"/>
      <c r="AJ139" s="337" t="s">
        <v>172</v>
      </c>
      <c r="AK139" s="337"/>
      <c r="AM139" s="337" t="s">
        <v>681</v>
      </c>
      <c r="AN139" s="337"/>
    </row>
    <row r="140" spans="1:40" ht="90" x14ac:dyDescent="0.25">
      <c r="A140" s="6" t="s">
        <v>2</v>
      </c>
      <c r="B140" s="7" t="s">
        <v>3</v>
      </c>
      <c r="C140" s="7" t="s">
        <v>4</v>
      </c>
      <c r="D140" s="6" t="s">
        <v>5</v>
      </c>
      <c r="E140" s="6" t="s">
        <v>6</v>
      </c>
      <c r="F140" s="6" t="s">
        <v>7</v>
      </c>
      <c r="G140" s="6" t="s">
        <v>8</v>
      </c>
      <c r="H140" s="8" t="s">
        <v>9</v>
      </c>
      <c r="I140" s="9" t="s">
        <v>10</v>
      </c>
      <c r="J140" s="8" t="s">
        <v>11</v>
      </c>
      <c r="K140" s="10" t="s">
        <v>12</v>
      </c>
      <c r="L140" s="10" t="s">
        <v>13</v>
      </c>
      <c r="M140" s="11" t="s">
        <v>14</v>
      </c>
      <c r="N140" s="10" t="s">
        <v>691</v>
      </c>
      <c r="O140" s="10" t="s">
        <v>28</v>
      </c>
      <c r="P140" s="5"/>
      <c r="Q140" s="10" t="s">
        <v>16</v>
      </c>
      <c r="R140" s="10" t="s">
        <v>17</v>
      </c>
      <c r="S140" s="10" t="s">
        <v>18</v>
      </c>
      <c r="T140" s="10" t="s">
        <v>19</v>
      </c>
      <c r="U140" s="10" t="s">
        <v>20</v>
      </c>
      <c r="V140" s="13"/>
      <c r="W140" s="136" t="s">
        <v>688</v>
      </c>
      <c r="X140" s="14" t="s">
        <v>22</v>
      </c>
      <c r="Y140" s="15" t="s">
        <v>23</v>
      </c>
      <c r="Z140" s="5"/>
      <c r="AB140">
        <v>9</v>
      </c>
      <c r="AC140" s="16" t="s">
        <v>161</v>
      </c>
      <c r="AD140" s="58">
        <f>+AB140*10</f>
        <v>90</v>
      </c>
      <c r="AF140">
        <v>6</v>
      </c>
      <c r="AG140" s="16" t="s">
        <v>161</v>
      </c>
      <c r="AH140" s="58">
        <f>+AF140*10</f>
        <v>60</v>
      </c>
      <c r="AJ140" s="61" t="s">
        <v>173</v>
      </c>
      <c r="AK140" s="62" t="s">
        <v>174</v>
      </c>
      <c r="AM140" s="16" t="s">
        <v>161</v>
      </c>
      <c r="AN140" s="58">
        <f>+AL140*10</f>
        <v>0</v>
      </c>
    </row>
    <row r="141" spans="1:40" x14ac:dyDescent="0.25">
      <c r="A141" s="16">
        <v>1</v>
      </c>
      <c r="B141" s="92">
        <v>45220</v>
      </c>
      <c r="C141" s="31" t="s">
        <v>1901</v>
      </c>
      <c r="D141" s="32">
        <v>5613533377</v>
      </c>
      <c r="E141" s="32" t="s">
        <v>1902</v>
      </c>
      <c r="F141" s="39" t="s">
        <v>1903</v>
      </c>
      <c r="G141" s="39" t="s">
        <v>1008</v>
      </c>
      <c r="H141" s="122">
        <v>23</v>
      </c>
      <c r="I141" s="32">
        <v>17</v>
      </c>
      <c r="J141" s="20">
        <v>10</v>
      </c>
      <c r="K141" s="21">
        <f>U141-J141-O141</f>
        <v>13</v>
      </c>
      <c r="L141" s="21">
        <f t="shared" ref="L141:L159" si="24">+I141+J141</f>
        <v>27</v>
      </c>
      <c r="M141" s="21">
        <f t="shared" ref="M141:M159" si="25">+H141-L141</f>
        <v>-4</v>
      </c>
      <c r="N141" s="21"/>
      <c r="O141" s="21"/>
      <c r="P141" s="5"/>
      <c r="Q141" s="21">
        <v>100</v>
      </c>
      <c r="R141" s="16"/>
      <c r="S141" s="21">
        <f t="shared" ref="S141:S159" si="26">+Q141+R141</f>
        <v>100</v>
      </c>
      <c r="T141" s="21">
        <v>123</v>
      </c>
      <c r="U141" s="78">
        <f>T141-S141-O141</f>
        <v>23</v>
      </c>
      <c r="V141" s="13"/>
      <c r="W141" s="147"/>
      <c r="X141" s="23"/>
      <c r="Y141" s="333"/>
      <c r="Z141" s="5"/>
      <c r="AB141">
        <v>100</v>
      </c>
      <c r="AC141" s="59" t="s">
        <v>162</v>
      </c>
      <c r="AD141" s="18">
        <f>+AB141*1</f>
        <v>100</v>
      </c>
      <c r="AF141">
        <v>64</v>
      </c>
      <c r="AG141" s="59" t="s">
        <v>162</v>
      </c>
      <c r="AH141" s="18">
        <f>+AF141*1</f>
        <v>64</v>
      </c>
      <c r="AJ141" s="16"/>
      <c r="AK141" s="16"/>
      <c r="AM141" s="59" t="s">
        <v>162</v>
      </c>
      <c r="AN141" s="18">
        <f>+AL141*1</f>
        <v>0</v>
      </c>
    </row>
    <row r="142" spans="1:40" x14ac:dyDescent="0.25">
      <c r="A142" s="26">
        <v>2</v>
      </c>
      <c r="B142" s="92">
        <v>45220</v>
      </c>
      <c r="C142" s="31" t="s">
        <v>913</v>
      </c>
      <c r="D142" s="32">
        <v>5530508709</v>
      </c>
      <c r="E142" s="32" t="s">
        <v>106</v>
      </c>
      <c r="F142" s="32" t="s">
        <v>1148</v>
      </c>
      <c r="G142" s="39" t="s">
        <v>1904</v>
      </c>
      <c r="H142" s="122">
        <v>200</v>
      </c>
      <c r="I142" s="32">
        <v>115</v>
      </c>
      <c r="J142" s="20">
        <v>15</v>
      </c>
      <c r="K142" s="21">
        <f t="shared" ref="K142:K156" si="27">U142-J142-O142</f>
        <v>-220</v>
      </c>
      <c r="L142" s="21">
        <f t="shared" si="24"/>
        <v>130</v>
      </c>
      <c r="M142" s="21">
        <f t="shared" si="25"/>
        <v>70</v>
      </c>
      <c r="N142" s="21"/>
      <c r="O142" s="21">
        <v>115</v>
      </c>
      <c r="P142" s="5"/>
      <c r="Q142" s="21">
        <v>200</v>
      </c>
      <c r="R142" s="16"/>
      <c r="S142" s="21">
        <f t="shared" si="26"/>
        <v>200</v>
      </c>
      <c r="T142" s="21">
        <v>225</v>
      </c>
      <c r="U142" s="78">
        <f t="shared" ref="U142:U159" si="28">T142-S142-O142</f>
        <v>-90</v>
      </c>
      <c r="V142" s="140"/>
      <c r="W142" s="147"/>
      <c r="X142" s="23"/>
      <c r="Y142" s="334"/>
      <c r="Z142" s="5"/>
      <c r="AB142">
        <v>30</v>
      </c>
      <c r="AC142" s="16" t="s">
        <v>163</v>
      </c>
      <c r="AD142" s="60">
        <f>+AB142*5</f>
        <v>150</v>
      </c>
      <c r="AF142">
        <v>7</v>
      </c>
      <c r="AG142" s="16" t="s">
        <v>163</v>
      </c>
      <c r="AH142" s="60">
        <f>+AF142*5</f>
        <v>35</v>
      </c>
      <c r="AJ142" s="16"/>
      <c r="AK142" s="16"/>
      <c r="AM142" s="16" t="s">
        <v>163</v>
      </c>
      <c r="AN142" s="60">
        <f>+AL142*5</f>
        <v>0</v>
      </c>
    </row>
    <row r="143" spans="1:40" x14ac:dyDescent="0.25">
      <c r="A143" s="143">
        <v>3</v>
      </c>
      <c r="B143" s="92">
        <v>45220</v>
      </c>
      <c r="C143" s="31" t="s">
        <v>913</v>
      </c>
      <c r="D143" s="32">
        <v>5530508709</v>
      </c>
      <c r="E143" s="32" t="s">
        <v>106</v>
      </c>
      <c r="F143" s="32" t="s">
        <v>1148</v>
      </c>
      <c r="G143" s="39" t="s">
        <v>1905</v>
      </c>
      <c r="H143" s="122">
        <v>50</v>
      </c>
      <c r="I143" s="32">
        <v>26</v>
      </c>
      <c r="J143" s="20">
        <v>15</v>
      </c>
      <c r="K143" s="21">
        <f t="shared" si="27"/>
        <v>-43</v>
      </c>
      <c r="L143" s="21">
        <f t="shared" si="24"/>
        <v>41</v>
      </c>
      <c r="M143" s="21">
        <f t="shared" si="25"/>
        <v>9</v>
      </c>
      <c r="N143" s="21"/>
      <c r="O143" s="21">
        <v>26</v>
      </c>
      <c r="P143" s="5"/>
      <c r="Q143" s="21">
        <v>26</v>
      </c>
      <c r="R143" s="16"/>
      <c r="S143" s="21">
        <f t="shared" si="26"/>
        <v>26</v>
      </c>
      <c r="T143" s="21">
        <v>50</v>
      </c>
      <c r="U143" s="78">
        <f t="shared" si="28"/>
        <v>-2</v>
      </c>
      <c r="V143" s="140"/>
      <c r="W143" s="147"/>
      <c r="X143" s="23"/>
      <c r="Y143" s="334"/>
      <c r="Z143" s="5"/>
      <c r="AB143">
        <v>1</v>
      </c>
      <c r="AC143" s="16" t="s">
        <v>164</v>
      </c>
      <c r="AD143" s="18">
        <f>+AB143*200</f>
        <v>200</v>
      </c>
      <c r="AF143">
        <v>1</v>
      </c>
      <c r="AG143" s="16" t="s">
        <v>164</v>
      </c>
      <c r="AH143" s="18">
        <f>+AF143*200</f>
        <v>200</v>
      </c>
      <c r="AJ143" s="16"/>
      <c r="AK143" s="16"/>
      <c r="AM143" s="16" t="s">
        <v>164</v>
      </c>
      <c r="AN143" s="18">
        <f>+AL143*200</f>
        <v>0</v>
      </c>
    </row>
    <row r="144" spans="1:40" x14ac:dyDescent="0.25">
      <c r="A144" s="143">
        <v>4</v>
      </c>
      <c r="B144" s="92">
        <v>45220</v>
      </c>
      <c r="C144" s="31" t="s">
        <v>1907</v>
      </c>
      <c r="D144" s="32"/>
      <c r="E144" s="32" t="s">
        <v>106</v>
      </c>
      <c r="F144" s="32" t="s">
        <v>524</v>
      </c>
      <c r="G144" s="39" t="s">
        <v>1906</v>
      </c>
      <c r="H144" s="122">
        <v>237</v>
      </c>
      <c r="I144" s="32">
        <v>180</v>
      </c>
      <c r="J144" s="20">
        <v>15</v>
      </c>
      <c r="K144" s="21">
        <f t="shared" si="27"/>
        <v>-328</v>
      </c>
      <c r="L144" s="21">
        <f t="shared" si="24"/>
        <v>195</v>
      </c>
      <c r="M144" s="21">
        <f t="shared" si="25"/>
        <v>42</v>
      </c>
      <c r="N144" s="21"/>
      <c r="O144" s="21">
        <v>180</v>
      </c>
      <c r="P144" s="5"/>
      <c r="Q144" s="21">
        <v>200</v>
      </c>
      <c r="R144" s="16"/>
      <c r="S144" s="21">
        <f t="shared" si="26"/>
        <v>200</v>
      </c>
      <c r="T144" s="21">
        <v>247</v>
      </c>
      <c r="U144" s="78">
        <f t="shared" si="28"/>
        <v>-133</v>
      </c>
      <c r="V144" s="140"/>
      <c r="W144" s="147"/>
      <c r="X144" s="23"/>
      <c r="Y144" s="334"/>
      <c r="Z144" s="5"/>
      <c r="AB144">
        <v>1</v>
      </c>
      <c r="AC144" s="16" t="s">
        <v>165</v>
      </c>
      <c r="AD144" s="18">
        <f>+AB144*100</f>
        <v>100</v>
      </c>
      <c r="AF144">
        <v>1</v>
      </c>
      <c r="AG144" s="16" t="s">
        <v>165</v>
      </c>
      <c r="AH144" s="18">
        <f>+AF144*100</f>
        <v>100</v>
      </c>
      <c r="AJ144" s="16"/>
      <c r="AK144" s="16"/>
      <c r="AM144" s="16" t="s">
        <v>165</v>
      </c>
      <c r="AN144" s="18">
        <f>+AL144*100</f>
        <v>0</v>
      </c>
    </row>
    <row r="145" spans="1:40" x14ac:dyDescent="0.25">
      <c r="A145" s="143">
        <v>5</v>
      </c>
      <c r="B145" s="92">
        <v>45220</v>
      </c>
      <c r="C145" s="31" t="s">
        <v>715</v>
      </c>
      <c r="D145" s="32">
        <v>5522759975</v>
      </c>
      <c r="E145" s="32" t="s">
        <v>38</v>
      </c>
      <c r="F145" s="32" t="s">
        <v>1908</v>
      </c>
      <c r="G145" s="32" t="s">
        <v>1909</v>
      </c>
      <c r="H145" s="122">
        <v>200</v>
      </c>
      <c r="I145" s="32">
        <v>170</v>
      </c>
      <c r="J145" s="20">
        <v>15</v>
      </c>
      <c r="K145" s="21">
        <v>15</v>
      </c>
      <c r="L145" s="21">
        <f t="shared" si="24"/>
        <v>185</v>
      </c>
      <c r="M145" s="21">
        <f t="shared" si="25"/>
        <v>15</v>
      </c>
      <c r="N145" s="21"/>
      <c r="O145" s="21"/>
      <c r="P145" s="5"/>
      <c r="Q145" s="16">
        <v>200</v>
      </c>
      <c r="R145" s="16"/>
      <c r="S145" s="21">
        <f t="shared" si="26"/>
        <v>200</v>
      </c>
      <c r="T145" s="21">
        <v>215</v>
      </c>
      <c r="U145" s="78">
        <f t="shared" si="28"/>
        <v>15</v>
      </c>
      <c r="V145" s="140"/>
      <c r="W145" s="147"/>
      <c r="X145" s="23"/>
      <c r="Y145" s="334"/>
      <c r="Z145" s="5"/>
      <c r="AB145">
        <v>2</v>
      </c>
      <c r="AC145" s="16" t="s">
        <v>166</v>
      </c>
      <c r="AD145" s="18">
        <f>+AB145*50</f>
        <v>100</v>
      </c>
      <c r="AF145">
        <v>3</v>
      </c>
      <c r="AG145" s="16" t="s">
        <v>166</v>
      </c>
      <c r="AH145" s="18">
        <f>+AF145*50</f>
        <v>150</v>
      </c>
      <c r="AJ145" s="16"/>
      <c r="AK145" s="16"/>
      <c r="AM145" s="16" t="s">
        <v>166</v>
      </c>
      <c r="AN145" s="18">
        <f>+AL145*50</f>
        <v>0</v>
      </c>
    </row>
    <row r="146" spans="1:40" x14ac:dyDescent="0.25">
      <c r="A146" s="143">
        <v>6</v>
      </c>
      <c r="B146" s="92">
        <v>45220</v>
      </c>
      <c r="C146" s="31" t="s">
        <v>913</v>
      </c>
      <c r="D146" s="32">
        <v>5530508709</v>
      </c>
      <c r="E146" s="32" t="s">
        <v>106</v>
      </c>
      <c r="F146" s="32" t="s">
        <v>1301</v>
      </c>
      <c r="G146" s="39" t="s">
        <v>1910</v>
      </c>
      <c r="H146" s="39">
        <v>200</v>
      </c>
      <c r="I146" s="42">
        <v>174</v>
      </c>
      <c r="J146" s="20">
        <v>15</v>
      </c>
      <c r="K146" s="21">
        <v>0</v>
      </c>
      <c r="L146" s="21">
        <f t="shared" si="24"/>
        <v>189</v>
      </c>
      <c r="M146" s="21">
        <f t="shared" si="25"/>
        <v>11</v>
      </c>
      <c r="N146" s="21"/>
      <c r="O146" s="21">
        <v>174</v>
      </c>
      <c r="P146" s="5"/>
      <c r="Q146" s="16">
        <v>200</v>
      </c>
      <c r="R146" s="16"/>
      <c r="S146" s="21">
        <f t="shared" si="26"/>
        <v>200</v>
      </c>
      <c r="T146" s="16"/>
      <c r="U146" s="78">
        <f t="shared" si="28"/>
        <v>-374</v>
      </c>
      <c r="V146" s="140"/>
      <c r="W146" s="147"/>
      <c r="X146" s="23"/>
      <c r="Y146" s="334"/>
      <c r="Z146" s="5"/>
      <c r="AB146">
        <v>2</v>
      </c>
      <c r="AC146" s="16" t="s">
        <v>167</v>
      </c>
      <c r="AD146" s="18">
        <f>+AB146*20</f>
        <v>40</v>
      </c>
      <c r="AF146">
        <v>7</v>
      </c>
      <c r="AG146" s="16" t="s">
        <v>167</v>
      </c>
      <c r="AH146" s="18">
        <f>+AF146*20</f>
        <v>140</v>
      </c>
      <c r="AJ146" s="16"/>
      <c r="AK146" s="16"/>
      <c r="AM146" s="16" t="s">
        <v>167</v>
      </c>
      <c r="AN146" s="18">
        <f>+AL146*20</f>
        <v>0</v>
      </c>
    </row>
    <row r="147" spans="1:40" x14ac:dyDescent="0.25">
      <c r="A147" s="143">
        <v>7</v>
      </c>
      <c r="B147" s="92">
        <v>45220</v>
      </c>
      <c r="C147" s="31" t="s">
        <v>2644</v>
      </c>
      <c r="D147" s="32">
        <v>5537803548</v>
      </c>
      <c r="E147" s="32" t="s">
        <v>106</v>
      </c>
      <c r="F147" s="32" t="s">
        <v>1911</v>
      </c>
      <c r="G147" s="32">
        <v>5523279972</v>
      </c>
      <c r="H147" s="122">
        <v>200</v>
      </c>
      <c r="I147" s="42">
        <v>173</v>
      </c>
      <c r="J147" s="20">
        <v>14</v>
      </c>
      <c r="K147" s="21">
        <f t="shared" si="27"/>
        <v>-514</v>
      </c>
      <c r="L147" s="21">
        <f t="shared" si="24"/>
        <v>187</v>
      </c>
      <c r="M147" s="21">
        <f t="shared" si="25"/>
        <v>13</v>
      </c>
      <c r="N147" s="21"/>
      <c r="O147" s="21">
        <v>150</v>
      </c>
      <c r="P147" s="5"/>
      <c r="Q147" s="16">
        <v>200</v>
      </c>
      <c r="R147" s="16"/>
      <c r="S147" s="21">
        <f t="shared" si="26"/>
        <v>200</v>
      </c>
      <c r="T147" s="16"/>
      <c r="U147" s="78">
        <f t="shared" si="28"/>
        <v>-350</v>
      </c>
      <c r="V147" s="140"/>
      <c r="W147" s="147"/>
      <c r="X147" s="23"/>
      <c r="Y147" s="334"/>
      <c r="Z147" s="5"/>
      <c r="AB147">
        <v>1</v>
      </c>
      <c r="AC147" s="16" t="s">
        <v>171</v>
      </c>
      <c r="AD147" s="18">
        <f>+AB147*500</f>
        <v>500</v>
      </c>
      <c r="AF147">
        <v>1</v>
      </c>
      <c r="AG147" s="16" t="s">
        <v>171</v>
      </c>
      <c r="AH147" s="18">
        <f>+AF147*500</f>
        <v>500</v>
      </c>
      <c r="AJ147" s="16"/>
      <c r="AK147" s="16"/>
      <c r="AM147" s="16" t="s">
        <v>171</v>
      </c>
      <c r="AN147" s="18">
        <f>+AL147*500</f>
        <v>0</v>
      </c>
    </row>
    <row r="148" spans="1:40" x14ac:dyDescent="0.25">
      <c r="A148" s="143">
        <v>8</v>
      </c>
      <c r="B148" s="92">
        <v>45220</v>
      </c>
      <c r="C148" s="31" t="s">
        <v>1912</v>
      </c>
      <c r="D148" s="123">
        <v>5510080515</v>
      </c>
      <c r="E148" s="123" t="s">
        <v>106</v>
      </c>
      <c r="F148" s="123" t="s">
        <v>1913</v>
      </c>
      <c r="G148" s="39" t="s">
        <v>1914</v>
      </c>
      <c r="H148" s="122">
        <v>200</v>
      </c>
      <c r="I148" s="32">
        <v>312</v>
      </c>
      <c r="J148" s="20">
        <v>10</v>
      </c>
      <c r="K148" s="21">
        <f t="shared" si="27"/>
        <v>-834</v>
      </c>
      <c r="L148" s="21">
        <f t="shared" si="24"/>
        <v>322</v>
      </c>
      <c r="M148" s="21">
        <f t="shared" si="25"/>
        <v>-122</v>
      </c>
      <c r="N148" s="21"/>
      <c r="O148" s="21">
        <v>312</v>
      </c>
      <c r="P148" s="5"/>
      <c r="Q148" s="16">
        <v>200</v>
      </c>
      <c r="R148" s="16"/>
      <c r="S148" s="21">
        <f t="shared" si="26"/>
        <v>200</v>
      </c>
      <c r="T148" s="16"/>
      <c r="U148" s="78">
        <f t="shared" si="28"/>
        <v>-512</v>
      </c>
      <c r="V148" s="140"/>
      <c r="W148" s="147"/>
      <c r="X148" s="23"/>
      <c r="Y148" s="334"/>
      <c r="Z148" s="5"/>
      <c r="AC148" s="16" t="s">
        <v>168</v>
      </c>
      <c r="AD148" s="18">
        <f>+AB148*1000</f>
        <v>0</v>
      </c>
      <c r="AG148" s="16" t="s">
        <v>168</v>
      </c>
      <c r="AH148" s="18">
        <f>+AF148*1000</f>
        <v>0</v>
      </c>
      <c r="AJ148" s="16"/>
      <c r="AK148" s="16"/>
      <c r="AM148" s="16" t="s">
        <v>168</v>
      </c>
      <c r="AN148" s="18">
        <f>+AL148*1000</f>
        <v>0</v>
      </c>
    </row>
    <row r="149" spans="1:40" x14ac:dyDescent="0.25">
      <c r="A149" s="143">
        <v>9</v>
      </c>
      <c r="B149" s="92">
        <v>45220</v>
      </c>
      <c r="C149" s="31" t="s">
        <v>1915</v>
      </c>
      <c r="D149" s="32"/>
      <c r="E149" s="32" t="s">
        <v>106</v>
      </c>
      <c r="F149" s="32" t="s">
        <v>269</v>
      </c>
      <c r="G149" s="39" t="s">
        <v>1916</v>
      </c>
      <c r="H149" s="39"/>
      <c r="I149" s="40">
        <v>43</v>
      </c>
      <c r="J149" s="20">
        <v>10</v>
      </c>
      <c r="K149" s="21">
        <f t="shared" si="27"/>
        <v>-86</v>
      </c>
      <c r="L149" s="21">
        <f t="shared" si="24"/>
        <v>53</v>
      </c>
      <c r="M149" s="21">
        <f t="shared" si="25"/>
        <v>-53</v>
      </c>
      <c r="N149" s="21"/>
      <c r="O149" s="21">
        <v>43</v>
      </c>
      <c r="P149" s="5"/>
      <c r="Q149" s="16">
        <v>100</v>
      </c>
      <c r="R149" s="16"/>
      <c r="S149" s="21">
        <f t="shared" si="26"/>
        <v>100</v>
      </c>
      <c r="T149" s="16">
        <v>110</v>
      </c>
      <c r="U149" s="78">
        <f t="shared" si="28"/>
        <v>-33</v>
      </c>
      <c r="V149" s="140"/>
      <c r="W149" s="147"/>
      <c r="X149" s="23"/>
      <c r="Y149" s="334"/>
      <c r="Z149" s="5"/>
      <c r="AC149" s="26"/>
      <c r="AD149" s="58"/>
      <c r="AG149" s="26"/>
      <c r="AH149" s="58"/>
      <c r="AJ149" s="16"/>
      <c r="AK149" s="16"/>
      <c r="AM149" s="26"/>
      <c r="AN149" s="58"/>
    </row>
    <row r="150" spans="1:40" x14ac:dyDescent="0.25">
      <c r="A150" s="143">
        <v>10</v>
      </c>
      <c r="B150" s="92">
        <v>45220</v>
      </c>
      <c r="C150" s="31" t="s">
        <v>1920</v>
      </c>
      <c r="D150" s="32">
        <v>5565375468</v>
      </c>
      <c r="E150" s="32" t="s">
        <v>106</v>
      </c>
      <c r="F150" s="32" t="s">
        <v>1919</v>
      </c>
      <c r="G150" s="39" t="s">
        <v>1917</v>
      </c>
      <c r="H150" s="122"/>
      <c r="I150" s="42">
        <v>25</v>
      </c>
      <c r="J150" s="20">
        <v>10</v>
      </c>
      <c r="K150" s="21">
        <f t="shared" si="27"/>
        <v>-40</v>
      </c>
      <c r="L150" s="21">
        <f t="shared" si="24"/>
        <v>35</v>
      </c>
      <c r="M150" s="21">
        <f t="shared" si="25"/>
        <v>-35</v>
      </c>
      <c r="N150" s="21"/>
      <c r="O150" s="21">
        <v>25</v>
      </c>
      <c r="P150" s="5"/>
      <c r="Q150" s="16">
        <v>100</v>
      </c>
      <c r="R150" s="16"/>
      <c r="S150" s="21">
        <f t="shared" si="26"/>
        <v>100</v>
      </c>
      <c r="T150" s="16">
        <v>120</v>
      </c>
      <c r="U150" s="78">
        <f t="shared" si="28"/>
        <v>-5</v>
      </c>
      <c r="V150" s="140"/>
      <c r="W150" s="147"/>
      <c r="X150" s="23"/>
      <c r="Y150" s="334"/>
      <c r="Z150" s="5"/>
      <c r="AC150" s="16" t="s">
        <v>169</v>
      </c>
      <c r="AD150" s="18">
        <f>SUM(AD140:AD149)</f>
        <v>1280</v>
      </c>
      <c r="AG150" s="16" t="s">
        <v>169</v>
      </c>
      <c r="AH150" s="18">
        <f>SUM(AH140:AH149)</f>
        <v>1249</v>
      </c>
      <c r="AJ150" s="16"/>
      <c r="AK150" s="16"/>
      <c r="AM150" s="16" t="s">
        <v>169</v>
      </c>
      <c r="AN150" s="18"/>
    </row>
    <row r="151" spans="1:40" x14ac:dyDescent="0.25">
      <c r="A151" s="143">
        <v>11</v>
      </c>
      <c r="B151" s="92">
        <v>45220</v>
      </c>
      <c r="C151" s="31" t="s">
        <v>1746</v>
      </c>
      <c r="D151" s="124">
        <v>5612853273</v>
      </c>
      <c r="E151" s="123" t="s">
        <v>106</v>
      </c>
      <c r="F151" s="123" t="s">
        <v>1610</v>
      </c>
      <c r="G151" s="39" t="s">
        <v>1918</v>
      </c>
      <c r="H151" s="122"/>
      <c r="I151" s="42">
        <v>92</v>
      </c>
      <c r="J151" s="20">
        <v>12</v>
      </c>
      <c r="K151" s="21">
        <f t="shared" si="27"/>
        <v>-186</v>
      </c>
      <c r="L151" s="21">
        <f t="shared" si="24"/>
        <v>104</v>
      </c>
      <c r="M151" s="21">
        <f t="shared" si="25"/>
        <v>-104</v>
      </c>
      <c r="N151" s="21"/>
      <c r="O151" s="21">
        <v>92</v>
      </c>
      <c r="P151" s="5"/>
      <c r="Q151" s="16">
        <v>100</v>
      </c>
      <c r="R151" s="16"/>
      <c r="S151" s="21">
        <f t="shared" si="26"/>
        <v>100</v>
      </c>
      <c r="T151" s="16">
        <v>110</v>
      </c>
      <c r="U151" s="78">
        <f t="shared" si="28"/>
        <v>-82</v>
      </c>
      <c r="V151" s="140"/>
      <c r="W151" s="147"/>
      <c r="X151" s="23"/>
      <c r="Y151" s="334"/>
      <c r="Z151" s="5"/>
      <c r="AJ151" s="16"/>
      <c r="AK151" s="16"/>
      <c r="AM151" s="16"/>
      <c r="AN151" s="16"/>
    </row>
    <row r="152" spans="1:40" x14ac:dyDescent="0.25">
      <c r="A152" s="143">
        <v>12</v>
      </c>
      <c r="B152" s="92">
        <v>45220</v>
      </c>
      <c r="C152" s="32" t="s">
        <v>650</v>
      </c>
      <c r="D152" s="32">
        <v>5526260701</v>
      </c>
      <c r="E152" s="124" t="s">
        <v>106</v>
      </c>
      <c r="F152" s="123" t="s">
        <v>1921</v>
      </c>
      <c r="G152" s="39" t="s">
        <v>1008</v>
      </c>
      <c r="H152" s="39"/>
      <c r="I152" s="42">
        <v>52</v>
      </c>
      <c r="J152" s="20">
        <v>10</v>
      </c>
      <c r="K152" s="21">
        <f t="shared" si="27"/>
        <v>-54</v>
      </c>
      <c r="L152" s="21">
        <f t="shared" si="24"/>
        <v>62</v>
      </c>
      <c r="M152" s="21">
        <f t="shared" si="25"/>
        <v>-62</v>
      </c>
      <c r="N152" s="21"/>
      <c r="O152" s="21">
        <v>52</v>
      </c>
      <c r="P152" s="5"/>
      <c r="Q152" s="45">
        <v>200</v>
      </c>
      <c r="R152" s="44"/>
      <c r="S152" s="21">
        <f t="shared" si="26"/>
        <v>200</v>
      </c>
      <c r="T152" s="45">
        <v>260</v>
      </c>
      <c r="U152" s="78">
        <f t="shared" si="28"/>
        <v>8</v>
      </c>
      <c r="V152" s="140"/>
      <c r="W152" s="147"/>
      <c r="X152" s="23"/>
      <c r="Y152" s="334"/>
      <c r="Z152" s="5"/>
      <c r="AJ152" s="63" t="s">
        <v>169</v>
      </c>
      <c r="AK152" s="63">
        <f>+SUM(AJ141:AJ151)-SUM(AK141:AK151)</f>
        <v>0</v>
      </c>
      <c r="AM152" s="63" t="s">
        <v>169</v>
      </c>
      <c r="AN152" s="85">
        <f>+SUM(AM140:AM151)-SUM(AN141:AN151)</f>
        <v>0</v>
      </c>
    </row>
    <row r="153" spans="1:40" x14ac:dyDescent="0.25">
      <c r="A153" s="143">
        <v>13</v>
      </c>
      <c r="B153" s="92">
        <v>45220</v>
      </c>
      <c r="C153" s="31" t="s">
        <v>872</v>
      </c>
      <c r="D153" s="32">
        <v>5564121405</v>
      </c>
      <c r="E153" s="32" t="s">
        <v>106</v>
      </c>
      <c r="F153" s="32" t="s">
        <v>558</v>
      </c>
      <c r="G153" s="39" t="s">
        <v>1922</v>
      </c>
      <c r="H153" s="39"/>
      <c r="I153" s="42"/>
      <c r="J153" s="108">
        <v>10</v>
      </c>
      <c r="K153" s="21">
        <f t="shared" si="27"/>
        <v>0</v>
      </c>
      <c r="L153" s="21">
        <f t="shared" si="24"/>
        <v>10</v>
      </c>
      <c r="M153" s="21">
        <f t="shared" si="25"/>
        <v>-10</v>
      </c>
      <c r="N153" s="21"/>
      <c r="O153" s="21"/>
      <c r="P153" s="5"/>
      <c r="Q153" s="43">
        <v>400</v>
      </c>
      <c r="R153" s="32"/>
      <c r="S153" s="21">
        <f t="shared" si="26"/>
        <v>400</v>
      </c>
      <c r="T153" s="43">
        <v>410</v>
      </c>
      <c r="U153" s="78">
        <f t="shared" si="28"/>
        <v>10</v>
      </c>
      <c r="V153" s="140"/>
      <c r="W153" s="147"/>
      <c r="X153" s="23"/>
      <c r="Y153" s="334"/>
      <c r="Z153" s="5"/>
      <c r="AH153" s="83"/>
    </row>
    <row r="154" spans="1:40" x14ac:dyDescent="0.25">
      <c r="A154" s="143">
        <v>14</v>
      </c>
      <c r="B154" s="92">
        <v>45220</v>
      </c>
      <c r="C154" s="31" t="s">
        <v>1923</v>
      </c>
      <c r="D154" s="32">
        <v>5560863021</v>
      </c>
      <c r="E154" s="32" t="s">
        <v>106</v>
      </c>
      <c r="F154" s="32" t="s">
        <v>150</v>
      </c>
      <c r="G154" s="39" t="s">
        <v>1924</v>
      </c>
      <c r="H154" s="39"/>
      <c r="I154" s="42">
        <v>275</v>
      </c>
      <c r="J154" s="108">
        <v>10</v>
      </c>
      <c r="K154" s="21">
        <f t="shared" si="27"/>
        <v>-550</v>
      </c>
      <c r="L154" s="21">
        <f t="shared" si="24"/>
        <v>285</v>
      </c>
      <c r="M154" s="21">
        <f t="shared" si="25"/>
        <v>-285</v>
      </c>
      <c r="N154" s="21"/>
      <c r="O154" s="21">
        <v>275</v>
      </c>
      <c r="P154" s="5"/>
      <c r="Q154" s="43">
        <v>200</v>
      </c>
      <c r="R154" s="43"/>
      <c r="S154" s="21">
        <f t="shared" si="26"/>
        <v>200</v>
      </c>
      <c r="T154" s="43">
        <v>210</v>
      </c>
      <c r="U154" s="78">
        <f t="shared" si="28"/>
        <v>-265</v>
      </c>
      <c r="V154" s="140"/>
      <c r="W154" s="147"/>
      <c r="X154" s="23"/>
      <c r="Y154" s="334"/>
      <c r="Z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40" x14ac:dyDescent="0.25">
      <c r="A155" s="143">
        <v>15</v>
      </c>
      <c r="B155" s="92">
        <v>45220</v>
      </c>
      <c r="C155" s="127" t="s">
        <v>1912</v>
      </c>
      <c r="D155" s="32">
        <v>5510080515</v>
      </c>
      <c r="E155" s="32" t="s">
        <v>1925</v>
      </c>
      <c r="F155" s="128" t="s">
        <v>524</v>
      </c>
      <c r="G155" s="129" t="s">
        <v>1926</v>
      </c>
      <c r="H155" s="39"/>
      <c r="I155" s="42">
        <v>150</v>
      </c>
      <c r="J155" s="108">
        <v>10</v>
      </c>
      <c r="K155" s="21">
        <f t="shared" si="27"/>
        <v>630</v>
      </c>
      <c r="L155" s="21">
        <f t="shared" si="24"/>
        <v>160</v>
      </c>
      <c r="M155" s="21">
        <f t="shared" si="25"/>
        <v>-160</v>
      </c>
      <c r="N155" s="21"/>
      <c r="O155" s="21"/>
      <c r="P155" s="5"/>
      <c r="Q155" s="43"/>
      <c r="R155" s="43"/>
      <c r="S155" s="21">
        <f t="shared" si="26"/>
        <v>0</v>
      </c>
      <c r="T155" s="43">
        <v>640</v>
      </c>
      <c r="U155" s="78">
        <f t="shared" si="28"/>
        <v>640</v>
      </c>
      <c r="V155" s="140"/>
      <c r="W155" s="147"/>
      <c r="X155" s="23"/>
      <c r="Y155" s="334"/>
      <c r="Z155" s="5"/>
      <c r="AC155" s="5"/>
      <c r="AD155" s="134" t="s">
        <v>20</v>
      </c>
      <c r="AE155" s="338"/>
      <c r="AF155" s="341" t="s">
        <v>686</v>
      </c>
      <c r="AG155" s="134" t="s">
        <v>20</v>
      </c>
      <c r="AH155" s="338"/>
      <c r="AI155" s="341" t="s">
        <v>687</v>
      </c>
      <c r="AJ155" s="134" t="s">
        <v>20</v>
      </c>
      <c r="AK155" s="338"/>
      <c r="AL155" s="5"/>
    </row>
    <row r="156" spans="1:40" x14ac:dyDescent="0.25">
      <c r="A156" s="143">
        <v>16</v>
      </c>
      <c r="B156" s="92">
        <v>45220</v>
      </c>
      <c r="C156" s="31" t="s">
        <v>255</v>
      </c>
      <c r="D156" s="32">
        <v>5625982564</v>
      </c>
      <c r="E156" s="32" t="s">
        <v>106</v>
      </c>
      <c r="F156" s="32" t="s">
        <v>52</v>
      </c>
      <c r="G156" s="39"/>
      <c r="H156" s="39">
        <v>500</v>
      </c>
      <c r="I156" s="42"/>
      <c r="J156" s="43">
        <v>10</v>
      </c>
      <c r="K156" s="21">
        <f t="shared" si="27"/>
        <v>-10</v>
      </c>
      <c r="L156" s="21">
        <f t="shared" si="24"/>
        <v>10</v>
      </c>
      <c r="M156" s="21">
        <f t="shared" si="25"/>
        <v>490</v>
      </c>
      <c r="N156" s="21"/>
      <c r="O156" s="21"/>
      <c r="P156" s="5"/>
      <c r="Q156" s="43"/>
      <c r="R156" s="32"/>
      <c r="S156" s="21">
        <f t="shared" si="26"/>
        <v>0</v>
      </c>
      <c r="T156" s="131"/>
      <c r="U156" s="78">
        <f t="shared" si="28"/>
        <v>0</v>
      </c>
      <c r="V156" s="140"/>
      <c r="W156" s="147"/>
      <c r="X156" s="23"/>
      <c r="Y156" s="334"/>
      <c r="Z156" s="5"/>
      <c r="AC156" s="5" t="s">
        <v>685</v>
      </c>
      <c r="AD156" s="115" t="s">
        <v>684</v>
      </c>
      <c r="AE156" s="339"/>
      <c r="AF156" s="341"/>
      <c r="AG156" s="115" t="s">
        <v>684</v>
      </c>
      <c r="AH156" s="339"/>
      <c r="AI156" s="341"/>
      <c r="AJ156" s="115" t="s">
        <v>684</v>
      </c>
      <c r="AK156" s="339"/>
      <c r="AL156" s="5"/>
    </row>
    <row r="157" spans="1:40" x14ac:dyDescent="0.25">
      <c r="A157" s="143">
        <v>17</v>
      </c>
      <c r="B157" s="92">
        <v>45220</v>
      </c>
      <c r="C157" s="31" t="s">
        <v>913</v>
      </c>
      <c r="D157" s="32"/>
      <c r="E157" s="32" t="s">
        <v>52</v>
      </c>
      <c r="F157" s="32" t="s">
        <v>98</v>
      </c>
      <c r="G157" s="39" t="s">
        <v>1929</v>
      </c>
      <c r="H157" s="39">
        <v>250</v>
      </c>
      <c r="I157" s="42"/>
      <c r="J157" s="43">
        <v>10</v>
      </c>
      <c r="K157" s="21">
        <v>0</v>
      </c>
      <c r="L157" s="21">
        <f t="shared" si="24"/>
        <v>10</v>
      </c>
      <c r="M157" s="21">
        <f t="shared" si="25"/>
        <v>240</v>
      </c>
      <c r="N157" s="21"/>
      <c r="O157" s="21"/>
      <c r="P157" s="5"/>
      <c r="Q157" s="43">
        <v>250</v>
      </c>
      <c r="R157" s="32"/>
      <c r="S157" s="21">
        <f t="shared" si="26"/>
        <v>250</v>
      </c>
      <c r="T157" s="132"/>
      <c r="U157" s="78">
        <f t="shared" si="28"/>
        <v>-250</v>
      </c>
      <c r="V157" s="140"/>
      <c r="W157" s="147"/>
      <c r="X157" s="23"/>
      <c r="Y157" s="340"/>
      <c r="Z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40" x14ac:dyDescent="0.25">
      <c r="A158" s="143">
        <v>18</v>
      </c>
      <c r="B158" s="92">
        <v>45220</v>
      </c>
      <c r="C158" s="31" t="s">
        <v>872</v>
      </c>
      <c r="D158" s="32"/>
      <c r="E158" s="32" t="s">
        <v>1930</v>
      </c>
      <c r="F158" s="32" t="s">
        <v>1366</v>
      </c>
      <c r="G158" s="39" t="s">
        <v>1931</v>
      </c>
      <c r="H158" s="39">
        <v>1300</v>
      </c>
      <c r="I158" s="42">
        <v>1265</v>
      </c>
      <c r="J158" s="43">
        <v>20</v>
      </c>
      <c r="K158" s="21">
        <v>30</v>
      </c>
      <c r="L158" s="21">
        <f t="shared" si="24"/>
        <v>1285</v>
      </c>
      <c r="M158" s="21">
        <f t="shared" si="25"/>
        <v>15</v>
      </c>
      <c r="N158" s="21"/>
      <c r="O158" s="21">
        <v>400</v>
      </c>
      <c r="P158" s="5"/>
      <c r="Q158" s="135">
        <v>1300</v>
      </c>
      <c r="R158" s="104"/>
      <c r="S158" s="21">
        <f t="shared" si="26"/>
        <v>1300</v>
      </c>
      <c r="T158" s="131"/>
      <c r="U158" s="78">
        <f t="shared" si="28"/>
        <v>-1700</v>
      </c>
      <c r="V158" s="140"/>
      <c r="W158" s="138"/>
      <c r="X158" s="32"/>
      <c r="Z158" s="5"/>
    </row>
    <row r="159" spans="1:40" x14ac:dyDescent="0.25">
      <c r="A159" s="143">
        <v>19</v>
      </c>
      <c r="B159" s="92">
        <v>45220</v>
      </c>
      <c r="C159" s="31" t="s">
        <v>1629</v>
      </c>
      <c r="D159" s="32"/>
      <c r="E159" s="32" t="s">
        <v>52</v>
      </c>
      <c r="F159" s="32" t="s">
        <v>1630</v>
      </c>
      <c r="G159" s="39" t="s">
        <v>1932</v>
      </c>
      <c r="H159" s="39">
        <v>250</v>
      </c>
      <c r="I159" s="42"/>
      <c r="J159" s="43">
        <v>10</v>
      </c>
      <c r="K159" s="21">
        <v>0</v>
      </c>
      <c r="L159" s="21">
        <f t="shared" si="24"/>
        <v>10</v>
      </c>
      <c r="M159" s="21">
        <f t="shared" si="25"/>
        <v>240</v>
      </c>
      <c r="N159" s="21"/>
      <c r="O159" s="21"/>
      <c r="P159" s="5"/>
      <c r="Q159" s="32"/>
      <c r="R159" s="32"/>
      <c r="S159" s="21">
        <f t="shared" si="26"/>
        <v>0</v>
      </c>
      <c r="T159" s="32"/>
      <c r="U159" s="78">
        <f t="shared" si="28"/>
        <v>0</v>
      </c>
      <c r="V159" s="140"/>
      <c r="W159" s="138"/>
      <c r="X159" s="32"/>
      <c r="Z159" s="5"/>
    </row>
    <row r="160" spans="1:40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22">
        <f>SUM(O142:O158)</f>
        <v>1844</v>
      </c>
      <c r="P160" s="5"/>
      <c r="Q160" s="5"/>
      <c r="R160" s="5"/>
      <c r="S160" s="5"/>
      <c r="T160" s="5"/>
      <c r="U160" s="5"/>
      <c r="V160" s="141"/>
      <c r="W160" s="5"/>
      <c r="X160" s="5"/>
      <c r="Y160" s="5"/>
      <c r="Z160" s="5"/>
      <c r="AB160" t="s">
        <v>1937</v>
      </c>
    </row>
    <row r="162" spans="1:40" x14ac:dyDescent="0.25">
      <c r="H162" t="s">
        <v>1927</v>
      </c>
    </row>
    <row r="163" spans="1:40" x14ac:dyDescent="0.25">
      <c r="H163" s="83">
        <f>312+I155</f>
        <v>462</v>
      </c>
      <c r="J163" s="83">
        <f>+H163-H164</f>
        <v>-178</v>
      </c>
    </row>
    <row r="164" spans="1:40" x14ac:dyDescent="0.25">
      <c r="H164">
        <v>640</v>
      </c>
    </row>
    <row r="170" spans="1:40" x14ac:dyDescent="0.25">
      <c r="A170" s="1" t="s">
        <v>0</v>
      </c>
      <c r="B170" s="1"/>
      <c r="C170" s="1"/>
      <c r="D170" s="1"/>
      <c r="E170" s="1"/>
      <c r="F170" s="1"/>
      <c r="G170" s="1"/>
      <c r="H170" s="1"/>
      <c r="I170" s="1" t="s">
        <v>148</v>
      </c>
      <c r="J170" s="1"/>
      <c r="K170" s="1"/>
      <c r="L170" s="1"/>
      <c r="M170" s="1"/>
      <c r="N170" s="1"/>
      <c r="O170" s="1"/>
      <c r="P170" s="1"/>
      <c r="Q170" s="1"/>
      <c r="R170" s="1"/>
      <c r="S170" s="342" t="s">
        <v>1</v>
      </c>
      <c r="T170" s="342"/>
      <c r="U170" s="5"/>
      <c r="V170" s="139"/>
      <c r="W170" s="1"/>
      <c r="X170" s="1"/>
      <c r="Y170" s="1"/>
      <c r="Z170" s="5"/>
      <c r="AC170" s="335" t="s">
        <v>160</v>
      </c>
      <c r="AD170" s="336"/>
      <c r="AG170" s="335" t="s">
        <v>170</v>
      </c>
      <c r="AH170" s="336"/>
      <c r="AJ170" s="337" t="s">
        <v>172</v>
      </c>
      <c r="AK170" s="337"/>
      <c r="AM170" s="337" t="s">
        <v>681</v>
      </c>
      <c r="AN170" s="337"/>
    </row>
    <row r="171" spans="1:40" ht="90" x14ac:dyDescent="0.25">
      <c r="A171" s="6" t="s">
        <v>2</v>
      </c>
      <c r="B171" s="7" t="s">
        <v>3</v>
      </c>
      <c r="C171" s="7" t="s">
        <v>4</v>
      </c>
      <c r="D171" s="6" t="s">
        <v>5</v>
      </c>
      <c r="E171" s="6" t="s">
        <v>6</v>
      </c>
      <c r="F171" s="6" t="s">
        <v>7</v>
      </c>
      <c r="G171" s="6" t="s">
        <v>8</v>
      </c>
      <c r="H171" s="8" t="s">
        <v>9</v>
      </c>
      <c r="I171" s="9" t="s">
        <v>10</v>
      </c>
      <c r="J171" s="8" t="s">
        <v>11</v>
      </c>
      <c r="K171" s="10" t="s">
        <v>12</v>
      </c>
      <c r="L171" s="10" t="s">
        <v>13</v>
      </c>
      <c r="M171" s="11" t="s">
        <v>14</v>
      </c>
      <c r="N171" s="10" t="s">
        <v>691</v>
      </c>
      <c r="O171" s="10" t="s">
        <v>28</v>
      </c>
      <c r="P171" s="5"/>
      <c r="Q171" s="10" t="s">
        <v>16</v>
      </c>
      <c r="R171" s="10" t="s">
        <v>17</v>
      </c>
      <c r="S171" s="10" t="s">
        <v>18</v>
      </c>
      <c r="T171" s="10" t="s">
        <v>19</v>
      </c>
      <c r="U171" s="10" t="s">
        <v>20</v>
      </c>
      <c r="V171" s="13"/>
      <c r="W171" s="136" t="s">
        <v>688</v>
      </c>
      <c r="X171" s="14" t="s">
        <v>22</v>
      </c>
      <c r="Y171" s="15" t="s">
        <v>23</v>
      </c>
      <c r="Z171" s="5"/>
      <c r="AB171">
        <v>4</v>
      </c>
      <c r="AC171" s="16" t="s">
        <v>161</v>
      </c>
      <c r="AD171" s="58">
        <f>+AB171*10</f>
        <v>40</v>
      </c>
      <c r="AF171">
        <v>4</v>
      </c>
      <c r="AG171" s="16" t="s">
        <v>161</v>
      </c>
      <c r="AH171" s="58">
        <f>+AF171*10</f>
        <v>40</v>
      </c>
      <c r="AJ171" s="61" t="s">
        <v>173</v>
      </c>
      <c r="AK171" s="62" t="s">
        <v>174</v>
      </c>
      <c r="AM171" s="16" t="s">
        <v>161</v>
      </c>
      <c r="AN171" s="58">
        <f>+AL171*10</f>
        <v>0</v>
      </c>
    </row>
    <row r="172" spans="1:40" x14ac:dyDescent="0.25">
      <c r="A172" s="16">
        <v>1</v>
      </c>
      <c r="B172" s="92">
        <v>45221</v>
      </c>
      <c r="C172" s="31" t="s">
        <v>319</v>
      </c>
      <c r="D172" s="32"/>
      <c r="E172" s="32" t="s">
        <v>52</v>
      </c>
      <c r="F172" s="39" t="s">
        <v>142</v>
      </c>
      <c r="G172" s="39" t="s">
        <v>1933</v>
      </c>
      <c r="H172" s="122">
        <v>500</v>
      </c>
      <c r="I172" s="32"/>
      <c r="J172" s="20">
        <v>0</v>
      </c>
      <c r="K172" s="21">
        <f>U172-J172-O172</f>
        <v>-240</v>
      </c>
      <c r="L172" s="21">
        <f t="shared" ref="L172:L190" si="29">+I172+J172</f>
        <v>0</v>
      </c>
      <c r="M172" s="21">
        <f t="shared" ref="M172:M190" si="30">+H172-L172</f>
        <v>500</v>
      </c>
      <c r="N172" s="21"/>
      <c r="O172" s="21">
        <v>120</v>
      </c>
      <c r="P172" s="5"/>
      <c r="Q172" s="21"/>
      <c r="R172" s="16"/>
      <c r="S172" s="21">
        <f t="shared" ref="S172:S190" si="31">+Q172+R172</f>
        <v>0</v>
      </c>
      <c r="T172" s="21"/>
      <c r="U172" s="78">
        <f>T172-S172-O172</f>
        <v>-120</v>
      </c>
      <c r="V172" s="13"/>
      <c r="W172" s="147"/>
      <c r="X172" s="23"/>
      <c r="Y172" s="333"/>
      <c r="Z172" s="5"/>
      <c r="AB172">
        <v>63.5</v>
      </c>
      <c r="AC172" s="59" t="s">
        <v>162</v>
      </c>
      <c r="AD172" s="18">
        <f>+AB172*1</f>
        <v>63.5</v>
      </c>
      <c r="AF172">
        <v>77.5</v>
      </c>
      <c r="AG172" s="59" t="s">
        <v>162</v>
      </c>
      <c r="AH172" s="18">
        <f>+AF172*1</f>
        <v>77.5</v>
      </c>
      <c r="AJ172" s="16"/>
      <c r="AK172" s="16"/>
      <c r="AM172" s="59" t="s">
        <v>162</v>
      </c>
      <c r="AN172" s="18">
        <f>+AL172*1</f>
        <v>0</v>
      </c>
    </row>
    <row r="173" spans="1:40" x14ac:dyDescent="0.25">
      <c r="A173" s="26" t="s">
        <v>1938</v>
      </c>
      <c r="B173" s="92">
        <v>45221</v>
      </c>
      <c r="C173" s="31" t="s">
        <v>1934</v>
      </c>
      <c r="D173" s="32">
        <v>5615394688</v>
      </c>
      <c r="E173" s="32" t="s">
        <v>106</v>
      </c>
      <c r="F173" s="32" t="s">
        <v>1351</v>
      </c>
      <c r="G173" s="39" t="s">
        <v>1935</v>
      </c>
      <c r="H173" s="122"/>
      <c r="I173" s="32">
        <v>63</v>
      </c>
      <c r="J173" s="20">
        <v>12</v>
      </c>
      <c r="K173" s="21">
        <f t="shared" ref="K173:K190" si="32">U173-J173-O173</f>
        <v>-122</v>
      </c>
      <c r="L173" s="21">
        <f t="shared" si="29"/>
        <v>75</v>
      </c>
      <c r="M173" s="21">
        <f t="shared" si="30"/>
        <v>-75</v>
      </c>
      <c r="N173" s="21"/>
      <c r="O173" s="21">
        <v>63</v>
      </c>
      <c r="P173" s="5"/>
      <c r="Q173" s="21">
        <v>500</v>
      </c>
      <c r="R173" s="16"/>
      <c r="S173" s="21">
        <f t="shared" si="31"/>
        <v>500</v>
      </c>
      <c r="T173" s="21">
        <v>516</v>
      </c>
      <c r="U173" s="78">
        <f t="shared" ref="U173:U190" si="33">T173-S173-O173</f>
        <v>-47</v>
      </c>
      <c r="V173" s="140"/>
      <c r="W173" s="147"/>
      <c r="X173" s="23"/>
      <c r="Y173" s="334"/>
      <c r="Z173" s="5"/>
      <c r="AB173">
        <v>8</v>
      </c>
      <c r="AC173" s="16" t="s">
        <v>163</v>
      </c>
      <c r="AD173" s="60">
        <f>+AB173*5</f>
        <v>40</v>
      </c>
      <c r="AF173">
        <v>11</v>
      </c>
      <c r="AG173" s="16" t="s">
        <v>163</v>
      </c>
      <c r="AH173" s="60">
        <f>+AF173*5</f>
        <v>55</v>
      </c>
      <c r="AJ173" s="16"/>
      <c r="AK173" s="16"/>
      <c r="AM173" s="16" t="s">
        <v>163</v>
      </c>
      <c r="AN173" s="60">
        <f>+AL173*5</f>
        <v>0</v>
      </c>
    </row>
    <row r="174" spans="1:40" x14ac:dyDescent="0.25">
      <c r="A174" s="143">
        <v>3</v>
      </c>
      <c r="B174" s="92">
        <v>45221</v>
      </c>
      <c r="C174" s="31" t="s">
        <v>627</v>
      </c>
      <c r="D174" s="32">
        <v>5537803548</v>
      </c>
      <c r="E174" s="32"/>
      <c r="F174" s="32" t="s">
        <v>1667</v>
      </c>
      <c r="G174" s="39" t="s">
        <v>52</v>
      </c>
      <c r="H174" s="122">
        <v>500</v>
      </c>
      <c r="I174" s="32">
        <v>124</v>
      </c>
      <c r="J174" s="20">
        <v>10</v>
      </c>
      <c r="K174" s="21">
        <f t="shared" si="32"/>
        <v>-758</v>
      </c>
      <c r="L174" s="21">
        <f t="shared" si="29"/>
        <v>134</v>
      </c>
      <c r="M174" s="21">
        <f t="shared" si="30"/>
        <v>366</v>
      </c>
      <c r="N174" s="21"/>
      <c r="O174" s="21">
        <v>124</v>
      </c>
      <c r="P174" s="5"/>
      <c r="Q174" s="21">
        <v>500</v>
      </c>
      <c r="R174" s="16"/>
      <c r="S174" s="21">
        <f t="shared" si="31"/>
        <v>500</v>
      </c>
      <c r="T174" s="21"/>
      <c r="U174" s="78">
        <f t="shared" si="33"/>
        <v>-624</v>
      </c>
      <c r="V174" s="140"/>
      <c r="W174" s="147"/>
      <c r="X174" s="23"/>
      <c r="Y174" s="334"/>
      <c r="Z174" s="5"/>
      <c r="AC174" s="16" t="s">
        <v>164</v>
      </c>
      <c r="AD174" s="18">
        <f>+AB174*200</f>
        <v>0</v>
      </c>
      <c r="AG174" s="16" t="s">
        <v>164</v>
      </c>
      <c r="AH174" s="18">
        <f>+AF174*200</f>
        <v>0</v>
      </c>
      <c r="AJ174" s="16"/>
      <c r="AK174" s="16"/>
      <c r="AM174" s="16" t="s">
        <v>164</v>
      </c>
      <c r="AN174" s="18">
        <f>+AL174*200</f>
        <v>0</v>
      </c>
    </row>
    <row r="175" spans="1:40" x14ac:dyDescent="0.25">
      <c r="A175" s="143">
        <v>4</v>
      </c>
      <c r="B175" s="92">
        <v>45221</v>
      </c>
      <c r="C175" s="31" t="s">
        <v>1939</v>
      </c>
      <c r="D175" s="32">
        <v>5615394688</v>
      </c>
      <c r="E175" s="32" t="s">
        <v>1944</v>
      </c>
      <c r="F175" s="32" t="s">
        <v>1940</v>
      </c>
      <c r="G175" s="39" t="s">
        <v>1941</v>
      </c>
      <c r="H175" s="122">
        <v>500</v>
      </c>
      <c r="I175" s="32">
        <v>29</v>
      </c>
      <c r="J175" s="20">
        <v>10</v>
      </c>
      <c r="K175" s="21">
        <v>0</v>
      </c>
      <c r="L175" s="21">
        <f t="shared" si="29"/>
        <v>39</v>
      </c>
      <c r="M175" s="21">
        <f t="shared" si="30"/>
        <v>461</v>
      </c>
      <c r="N175" s="21"/>
      <c r="O175" s="21">
        <v>29</v>
      </c>
      <c r="P175" s="5"/>
      <c r="Q175" s="21">
        <v>500</v>
      </c>
      <c r="R175" s="16"/>
      <c r="S175" s="21">
        <f t="shared" si="31"/>
        <v>500</v>
      </c>
      <c r="T175" s="21">
        <v>510</v>
      </c>
      <c r="U175" s="78">
        <f t="shared" si="33"/>
        <v>-19</v>
      </c>
      <c r="V175" s="140"/>
      <c r="W175" s="147"/>
      <c r="X175" s="23"/>
      <c r="Y175" s="334"/>
      <c r="Z175" s="5"/>
      <c r="AB175">
        <v>1</v>
      </c>
      <c r="AC175" s="16" t="s">
        <v>165</v>
      </c>
      <c r="AD175" s="18">
        <f>+AB175*100</f>
        <v>100</v>
      </c>
      <c r="AF175">
        <v>2</v>
      </c>
      <c r="AG175" s="16" t="s">
        <v>165</v>
      </c>
      <c r="AH175" s="18">
        <f>+AF175*100</f>
        <v>200</v>
      </c>
      <c r="AJ175" s="16"/>
      <c r="AK175" s="16"/>
      <c r="AM175" s="16" t="s">
        <v>165</v>
      </c>
      <c r="AN175" s="18">
        <f>+AL175*100</f>
        <v>0</v>
      </c>
    </row>
    <row r="176" spans="1:40" x14ac:dyDescent="0.25">
      <c r="A176" s="143">
        <v>5</v>
      </c>
      <c r="B176" s="92">
        <v>45221</v>
      </c>
      <c r="C176" s="31" t="s">
        <v>1942</v>
      </c>
      <c r="D176" s="32">
        <v>5564121405</v>
      </c>
      <c r="E176" s="32" t="s">
        <v>1943</v>
      </c>
      <c r="F176" s="32" t="s">
        <v>1948</v>
      </c>
      <c r="G176" s="32" t="s">
        <v>1949</v>
      </c>
      <c r="H176" s="122">
        <v>500</v>
      </c>
      <c r="I176" s="32">
        <v>73</v>
      </c>
      <c r="J176" s="20">
        <v>10</v>
      </c>
      <c r="K176" s="21">
        <v>29</v>
      </c>
      <c r="L176" s="21">
        <f t="shared" si="29"/>
        <v>83</v>
      </c>
      <c r="M176" s="21">
        <f t="shared" si="30"/>
        <v>417</v>
      </c>
      <c r="N176" s="21"/>
      <c r="O176" s="21">
        <v>73</v>
      </c>
      <c r="P176" s="5"/>
      <c r="Q176" s="16">
        <v>500</v>
      </c>
      <c r="R176" s="16"/>
      <c r="S176" s="21">
        <f t="shared" si="31"/>
        <v>500</v>
      </c>
      <c r="T176" s="21">
        <v>528</v>
      </c>
      <c r="U176" s="78">
        <f t="shared" si="33"/>
        <v>-45</v>
      </c>
      <c r="V176" s="140"/>
      <c r="W176" s="147"/>
      <c r="X176" s="23"/>
      <c r="Y176" s="334"/>
      <c r="Z176" s="5"/>
      <c r="AB176">
        <v>2</v>
      </c>
      <c r="AC176" s="16" t="s">
        <v>166</v>
      </c>
      <c r="AD176" s="18">
        <f>+AB176*50</f>
        <v>100</v>
      </c>
      <c r="AG176" s="16" t="s">
        <v>166</v>
      </c>
      <c r="AH176" s="18">
        <f>+AF176*50</f>
        <v>0</v>
      </c>
      <c r="AJ176" s="16"/>
      <c r="AK176" s="16"/>
      <c r="AM176" s="16" t="s">
        <v>166</v>
      </c>
      <c r="AN176" s="18">
        <f>+AL176*50</f>
        <v>0</v>
      </c>
    </row>
    <row r="177" spans="1:40" x14ac:dyDescent="0.25">
      <c r="A177" s="143">
        <v>6</v>
      </c>
      <c r="B177" s="92">
        <v>45221</v>
      </c>
      <c r="C177" s="31" t="s">
        <v>1947</v>
      </c>
      <c r="D177" s="32">
        <v>5615589545</v>
      </c>
      <c r="E177" s="32" t="s">
        <v>52</v>
      </c>
      <c r="F177" s="32" t="s">
        <v>1946</v>
      </c>
      <c r="G177" s="39" t="s">
        <v>1945</v>
      </c>
      <c r="H177" s="39">
        <v>100</v>
      </c>
      <c r="I177" s="42">
        <v>50</v>
      </c>
      <c r="J177" s="20">
        <v>10</v>
      </c>
      <c r="K177" s="21">
        <f t="shared" si="32"/>
        <v>-100</v>
      </c>
      <c r="L177" s="21">
        <f t="shared" si="29"/>
        <v>60</v>
      </c>
      <c r="M177" s="21">
        <f t="shared" si="30"/>
        <v>40</v>
      </c>
      <c r="N177" s="21"/>
      <c r="O177" s="21">
        <v>50</v>
      </c>
      <c r="P177" s="5"/>
      <c r="Q177" s="16">
        <v>100</v>
      </c>
      <c r="R177" s="16"/>
      <c r="S177" s="21">
        <f t="shared" si="31"/>
        <v>100</v>
      </c>
      <c r="T177" s="16">
        <v>110</v>
      </c>
      <c r="U177" s="78">
        <f t="shared" si="33"/>
        <v>-40</v>
      </c>
      <c r="V177" s="140"/>
      <c r="W177" s="147"/>
      <c r="X177" s="23"/>
      <c r="Y177" s="334"/>
      <c r="Z177" s="5"/>
      <c r="AB177">
        <v>7</v>
      </c>
      <c r="AC177" s="16" t="s">
        <v>167</v>
      </c>
      <c r="AD177" s="18">
        <f>+AB177*20</f>
        <v>140</v>
      </c>
      <c r="AF177">
        <v>4</v>
      </c>
      <c r="AG177" s="16" t="s">
        <v>167</v>
      </c>
      <c r="AH177" s="18">
        <f>+AF177*20</f>
        <v>80</v>
      </c>
      <c r="AJ177" s="16"/>
      <c r="AK177" s="16"/>
      <c r="AM177" s="16" t="s">
        <v>167</v>
      </c>
      <c r="AN177" s="18">
        <f>+AL177*20</f>
        <v>0</v>
      </c>
    </row>
    <row r="178" spans="1:40" x14ac:dyDescent="0.25">
      <c r="A178" s="143">
        <v>7</v>
      </c>
      <c r="B178" s="92">
        <v>45221</v>
      </c>
      <c r="C178" s="31" t="s">
        <v>1746</v>
      </c>
      <c r="D178" s="32"/>
      <c r="E178" s="32" t="s">
        <v>106</v>
      </c>
      <c r="F178" s="32" t="s">
        <v>1746</v>
      </c>
      <c r="G178" s="39" t="s">
        <v>1950</v>
      </c>
      <c r="H178" s="122">
        <v>100</v>
      </c>
      <c r="I178" s="42">
        <v>48</v>
      </c>
      <c r="J178" s="20">
        <v>10</v>
      </c>
      <c r="K178" s="21">
        <f t="shared" si="32"/>
        <v>-56</v>
      </c>
      <c r="L178" s="21">
        <f t="shared" si="29"/>
        <v>58</v>
      </c>
      <c r="M178" s="21">
        <f t="shared" si="30"/>
        <v>42</v>
      </c>
      <c r="N178" s="21"/>
      <c r="O178" s="21">
        <v>48</v>
      </c>
      <c r="P178" s="5"/>
      <c r="Q178" s="16">
        <v>100</v>
      </c>
      <c r="R178" s="16"/>
      <c r="S178" s="21">
        <f t="shared" si="31"/>
        <v>100</v>
      </c>
      <c r="T178" s="16">
        <v>150</v>
      </c>
      <c r="U178" s="78">
        <f t="shared" si="33"/>
        <v>2</v>
      </c>
      <c r="V178" s="140"/>
      <c r="W178" s="147"/>
      <c r="X178" s="23"/>
      <c r="Y178" s="334"/>
      <c r="Z178" s="5"/>
      <c r="AB178">
        <v>1</v>
      </c>
      <c r="AC178" s="16" t="s">
        <v>171</v>
      </c>
      <c r="AD178" s="18">
        <f>+AB178*500</f>
        <v>500</v>
      </c>
      <c r="AF178">
        <v>1</v>
      </c>
      <c r="AG178" s="16" t="s">
        <v>171</v>
      </c>
      <c r="AH178" s="18">
        <f>+AF178*500</f>
        <v>500</v>
      </c>
      <c r="AJ178" s="16"/>
      <c r="AK178" s="16"/>
      <c r="AM178" s="16" t="s">
        <v>171</v>
      </c>
      <c r="AN178" s="18">
        <f>+AL178*500</f>
        <v>0</v>
      </c>
    </row>
    <row r="179" spans="1:40" x14ac:dyDescent="0.25">
      <c r="A179" s="143">
        <v>8</v>
      </c>
      <c r="B179" s="92">
        <v>45221</v>
      </c>
      <c r="C179" s="31" t="s">
        <v>1951</v>
      </c>
      <c r="D179" s="123">
        <v>9531286830</v>
      </c>
      <c r="E179" s="123" t="s">
        <v>52</v>
      </c>
      <c r="F179" s="123" t="s">
        <v>1952</v>
      </c>
      <c r="G179" s="39" t="s">
        <v>1953</v>
      </c>
      <c r="H179" s="122">
        <v>250</v>
      </c>
      <c r="I179" s="32">
        <v>118</v>
      </c>
      <c r="J179" s="20">
        <v>10</v>
      </c>
      <c r="K179" s="21">
        <v>10</v>
      </c>
      <c r="L179" s="21">
        <f t="shared" si="29"/>
        <v>128</v>
      </c>
      <c r="M179" s="21">
        <f t="shared" si="30"/>
        <v>122</v>
      </c>
      <c r="N179" s="21"/>
      <c r="O179" s="21">
        <v>118</v>
      </c>
      <c r="P179" s="5"/>
      <c r="Q179" s="16">
        <v>250</v>
      </c>
      <c r="R179" s="16"/>
      <c r="S179" s="21">
        <f t="shared" si="31"/>
        <v>250</v>
      </c>
      <c r="T179" s="16">
        <v>270</v>
      </c>
      <c r="U179" s="78">
        <f t="shared" si="33"/>
        <v>-98</v>
      </c>
      <c r="V179" s="140"/>
      <c r="W179" s="147"/>
      <c r="X179" s="23"/>
      <c r="Y179" s="334"/>
      <c r="Z179" s="5"/>
      <c r="AC179" s="16" t="s">
        <v>168</v>
      </c>
      <c r="AD179" s="18">
        <f>+AB179*1000</f>
        <v>0</v>
      </c>
      <c r="AG179" s="16" t="s">
        <v>168</v>
      </c>
      <c r="AH179" s="18">
        <f>+AF179*1000</f>
        <v>0</v>
      </c>
      <c r="AJ179" s="16"/>
      <c r="AK179" s="16"/>
      <c r="AM179" s="16" t="s">
        <v>168</v>
      </c>
      <c r="AN179" s="18">
        <f>+AL179*1000</f>
        <v>0</v>
      </c>
    </row>
    <row r="180" spans="1:40" x14ac:dyDescent="0.25">
      <c r="A180" s="143">
        <v>9</v>
      </c>
      <c r="B180" s="92">
        <v>45221</v>
      </c>
      <c r="C180" s="31" t="s">
        <v>1954</v>
      </c>
      <c r="D180" s="32" t="s">
        <v>1955</v>
      </c>
      <c r="E180" s="32" t="s">
        <v>52</v>
      </c>
      <c r="F180" s="32" t="s">
        <v>1956</v>
      </c>
      <c r="G180" s="39" t="s">
        <v>1957</v>
      </c>
      <c r="H180" s="39">
        <v>460</v>
      </c>
      <c r="I180" s="40">
        <v>74</v>
      </c>
      <c r="J180" s="20">
        <v>10</v>
      </c>
      <c r="K180" s="21">
        <v>0</v>
      </c>
      <c r="L180" s="21">
        <f t="shared" si="29"/>
        <v>84</v>
      </c>
      <c r="M180" s="21">
        <f t="shared" si="30"/>
        <v>376</v>
      </c>
      <c r="N180" s="21"/>
      <c r="O180" s="21">
        <v>74</v>
      </c>
      <c r="P180" s="5"/>
      <c r="Q180" s="16"/>
      <c r="R180" s="16"/>
      <c r="S180" s="21">
        <f t="shared" si="31"/>
        <v>0</v>
      </c>
      <c r="T180" s="16"/>
      <c r="U180" s="78">
        <f t="shared" si="33"/>
        <v>-74</v>
      </c>
      <c r="V180" s="140"/>
      <c r="W180" s="147"/>
      <c r="X180" s="23"/>
      <c r="Y180" s="334"/>
      <c r="Z180" s="5"/>
      <c r="AC180" s="26"/>
      <c r="AD180" s="58"/>
      <c r="AG180" s="26"/>
      <c r="AH180" s="58"/>
      <c r="AJ180" s="16"/>
      <c r="AK180" s="16"/>
      <c r="AM180" s="26"/>
      <c r="AN180" s="58"/>
    </row>
    <row r="181" spans="1:40" x14ac:dyDescent="0.25">
      <c r="A181" s="143">
        <v>10</v>
      </c>
      <c r="B181" s="92">
        <v>45221</v>
      </c>
      <c r="C181" s="31" t="s">
        <v>37</v>
      </c>
      <c r="D181" s="32">
        <v>5554180818</v>
      </c>
      <c r="E181" s="32" t="s">
        <v>52</v>
      </c>
      <c r="F181" s="32" t="s">
        <v>237</v>
      </c>
      <c r="G181" s="39" t="s">
        <v>1958</v>
      </c>
      <c r="H181" s="122">
        <v>500</v>
      </c>
      <c r="I181" s="42">
        <v>186</v>
      </c>
      <c r="J181" s="20">
        <v>10</v>
      </c>
      <c r="K181" s="21">
        <f t="shared" si="32"/>
        <v>-382</v>
      </c>
      <c r="L181" s="21">
        <f t="shared" si="29"/>
        <v>196</v>
      </c>
      <c r="M181" s="21">
        <f t="shared" si="30"/>
        <v>304</v>
      </c>
      <c r="N181" s="21"/>
      <c r="O181" s="21">
        <v>186</v>
      </c>
      <c r="P181" s="5"/>
      <c r="Q181" s="16"/>
      <c r="R181" s="16"/>
      <c r="S181" s="21">
        <f t="shared" si="31"/>
        <v>0</v>
      </c>
      <c r="T181" s="16"/>
      <c r="U181" s="78">
        <f t="shared" si="33"/>
        <v>-186</v>
      </c>
      <c r="V181" s="140"/>
      <c r="W181" s="147"/>
      <c r="X181" s="23"/>
      <c r="Y181" s="334"/>
      <c r="Z181" s="5"/>
      <c r="AC181" s="16" t="s">
        <v>169</v>
      </c>
      <c r="AD181" s="18">
        <f>SUM(AD171:AD180)</f>
        <v>983.5</v>
      </c>
      <c r="AG181" s="16" t="s">
        <v>169</v>
      </c>
      <c r="AH181" s="18">
        <f>SUM(AH171:AH180)</f>
        <v>952.5</v>
      </c>
      <c r="AJ181" s="16"/>
      <c r="AK181" s="16"/>
      <c r="AM181" s="16" t="s">
        <v>169</v>
      </c>
      <c r="AN181" s="18"/>
    </row>
    <row r="182" spans="1:40" x14ac:dyDescent="0.25">
      <c r="A182" s="143">
        <v>11</v>
      </c>
      <c r="B182" s="92">
        <v>45221</v>
      </c>
      <c r="C182" s="31" t="s">
        <v>1053</v>
      </c>
      <c r="D182" s="124"/>
      <c r="E182" s="123" t="s">
        <v>106</v>
      </c>
      <c r="F182" s="123" t="s">
        <v>1053</v>
      </c>
      <c r="G182" s="39" t="s">
        <v>1960</v>
      </c>
      <c r="H182" s="122"/>
      <c r="I182" s="42"/>
      <c r="J182" s="20">
        <v>10</v>
      </c>
      <c r="K182" s="21">
        <f t="shared" si="32"/>
        <v>-252</v>
      </c>
      <c r="L182" s="21">
        <f t="shared" si="29"/>
        <v>10</v>
      </c>
      <c r="M182" s="21">
        <f t="shared" si="30"/>
        <v>-10</v>
      </c>
      <c r="N182" s="21"/>
      <c r="O182" s="21">
        <v>132</v>
      </c>
      <c r="P182" s="5"/>
      <c r="Q182" s="16">
        <v>200</v>
      </c>
      <c r="R182" s="16"/>
      <c r="S182" s="21">
        <f t="shared" si="31"/>
        <v>200</v>
      </c>
      <c r="T182" s="16">
        <v>222</v>
      </c>
      <c r="U182" s="78">
        <f t="shared" si="33"/>
        <v>-110</v>
      </c>
      <c r="V182" s="140"/>
      <c r="W182" s="147"/>
      <c r="X182" s="23"/>
      <c r="Y182" s="334"/>
      <c r="Z182" s="5"/>
      <c r="AJ182" s="16"/>
      <c r="AK182" s="16"/>
      <c r="AM182" s="16"/>
      <c r="AN182" s="16"/>
    </row>
    <row r="183" spans="1:40" x14ac:dyDescent="0.25">
      <c r="A183" s="143">
        <v>12</v>
      </c>
      <c r="B183" s="92">
        <v>45221</v>
      </c>
      <c r="C183" s="32" t="s">
        <v>868</v>
      </c>
      <c r="D183" s="32">
        <v>5572135350</v>
      </c>
      <c r="E183" s="124" t="s">
        <v>106</v>
      </c>
      <c r="F183" s="123" t="s">
        <v>1961</v>
      </c>
      <c r="G183" s="39" t="s">
        <v>1959</v>
      </c>
      <c r="H183" s="39"/>
      <c r="I183" s="42">
        <v>180</v>
      </c>
      <c r="J183" s="20">
        <v>10</v>
      </c>
      <c r="K183" s="21">
        <f t="shared" si="32"/>
        <v>-350</v>
      </c>
      <c r="L183" s="21">
        <f t="shared" si="29"/>
        <v>190</v>
      </c>
      <c r="M183" s="21">
        <f t="shared" si="30"/>
        <v>-190</v>
      </c>
      <c r="N183" s="21"/>
      <c r="O183" s="21">
        <v>180</v>
      </c>
      <c r="P183" s="5"/>
      <c r="Q183" s="45">
        <v>200</v>
      </c>
      <c r="R183" s="44"/>
      <c r="S183" s="21">
        <f t="shared" si="31"/>
        <v>200</v>
      </c>
      <c r="T183" s="45">
        <v>220</v>
      </c>
      <c r="U183" s="78">
        <f t="shared" si="33"/>
        <v>-160</v>
      </c>
      <c r="V183" s="140"/>
      <c r="W183" s="147"/>
      <c r="X183" s="23"/>
      <c r="Y183" s="334"/>
      <c r="Z183" s="5"/>
      <c r="AJ183" s="63" t="s">
        <v>169</v>
      </c>
      <c r="AK183" s="63">
        <f>+SUM(AJ172:AJ182)-SUM(AK172:AK182)</f>
        <v>0</v>
      </c>
      <c r="AM183" s="63" t="s">
        <v>169</v>
      </c>
      <c r="AN183" s="85">
        <f>+SUM(AM171:AM182)-SUM(AN172:AN182)</f>
        <v>0</v>
      </c>
    </row>
    <row r="184" spans="1:40" x14ac:dyDescent="0.25">
      <c r="A184" s="143">
        <v>13</v>
      </c>
      <c r="B184" s="92">
        <v>45221</v>
      </c>
      <c r="C184" s="31" t="s">
        <v>1962</v>
      </c>
      <c r="D184" s="32">
        <v>5513017156</v>
      </c>
      <c r="E184" s="32" t="s">
        <v>106</v>
      </c>
      <c r="F184" s="32" t="s">
        <v>1963</v>
      </c>
      <c r="G184" s="39" t="s">
        <v>1964</v>
      </c>
      <c r="H184" s="39"/>
      <c r="I184" s="42">
        <v>157</v>
      </c>
      <c r="J184" s="108">
        <v>10</v>
      </c>
      <c r="K184" s="21">
        <f t="shared" si="32"/>
        <v>-314</v>
      </c>
      <c r="L184" s="21">
        <f t="shared" si="29"/>
        <v>167</v>
      </c>
      <c r="M184" s="21">
        <f t="shared" si="30"/>
        <v>-167</v>
      </c>
      <c r="N184" s="21"/>
      <c r="O184" s="21">
        <v>157</v>
      </c>
      <c r="P184" s="5"/>
      <c r="Q184" s="43"/>
      <c r="R184" s="32"/>
      <c r="S184" s="21">
        <f t="shared" si="31"/>
        <v>0</v>
      </c>
      <c r="T184" s="43">
        <v>10</v>
      </c>
      <c r="U184" s="78">
        <f t="shared" si="33"/>
        <v>-147</v>
      </c>
      <c r="V184" s="140"/>
      <c r="W184" s="147"/>
      <c r="X184" s="23"/>
      <c r="Y184" s="334"/>
      <c r="Z184" s="5"/>
      <c r="AH184" s="83"/>
    </row>
    <row r="185" spans="1:40" x14ac:dyDescent="0.25">
      <c r="A185" s="143">
        <v>14</v>
      </c>
      <c r="B185" s="92">
        <v>45221</v>
      </c>
      <c r="C185" s="31" t="s">
        <v>1965</v>
      </c>
      <c r="D185" s="32"/>
      <c r="E185" s="32" t="s">
        <v>106</v>
      </c>
      <c r="F185" s="32" t="s">
        <v>142</v>
      </c>
      <c r="G185" s="39" t="s">
        <v>1966</v>
      </c>
      <c r="H185" s="39"/>
      <c r="I185" s="42">
        <v>65</v>
      </c>
      <c r="J185" s="108">
        <v>10</v>
      </c>
      <c r="K185" s="21">
        <f t="shared" si="32"/>
        <v>-130</v>
      </c>
      <c r="L185" s="21">
        <f t="shared" si="29"/>
        <v>75</v>
      </c>
      <c r="M185" s="21">
        <f t="shared" si="30"/>
        <v>-75</v>
      </c>
      <c r="N185" s="21"/>
      <c r="O185" s="21">
        <v>65</v>
      </c>
      <c r="P185" s="5"/>
      <c r="Q185" s="43"/>
      <c r="R185" s="43"/>
      <c r="S185" s="21">
        <f t="shared" si="31"/>
        <v>0</v>
      </c>
      <c r="T185" s="43">
        <v>10</v>
      </c>
      <c r="U185" s="78">
        <f t="shared" si="33"/>
        <v>-55</v>
      </c>
      <c r="V185" s="140"/>
      <c r="W185" s="147"/>
      <c r="X185" s="23"/>
      <c r="Y185" s="334"/>
      <c r="Z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40" x14ac:dyDescent="0.25">
      <c r="A186" s="143">
        <v>15</v>
      </c>
      <c r="B186" s="92">
        <v>45221</v>
      </c>
      <c r="C186" s="127"/>
      <c r="D186" s="32"/>
      <c r="E186" s="32"/>
      <c r="F186" s="128"/>
      <c r="G186" s="129"/>
      <c r="H186" s="39"/>
      <c r="I186" s="42">
        <v>75</v>
      </c>
      <c r="J186" s="108">
        <v>10</v>
      </c>
      <c r="K186" s="21">
        <f t="shared" si="32"/>
        <v>-10</v>
      </c>
      <c r="L186" s="21">
        <f t="shared" si="29"/>
        <v>85</v>
      </c>
      <c r="M186" s="21">
        <f t="shared" si="30"/>
        <v>-85</v>
      </c>
      <c r="N186" s="21"/>
      <c r="O186" s="21"/>
      <c r="P186" s="5"/>
      <c r="Q186" s="43"/>
      <c r="R186" s="43"/>
      <c r="S186" s="21">
        <f t="shared" si="31"/>
        <v>0</v>
      </c>
      <c r="T186" s="43"/>
      <c r="U186" s="78">
        <f t="shared" si="33"/>
        <v>0</v>
      </c>
      <c r="V186" s="140"/>
      <c r="W186" s="147"/>
      <c r="X186" s="23"/>
      <c r="Y186" s="334"/>
      <c r="Z186" s="5"/>
      <c r="AC186" s="5"/>
      <c r="AD186" s="134" t="s">
        <v>20</v>
      </c>
      <c r="AE186" s="338"/>
      <c r="AF186" s="341" t="s">
        <v>686</v>
      </c>
      <c r="AG186" s="134" t="s">
        <v>20</v>
      </c>
      <c r="AH186" s="338">
        <v>198</v>
      </c>
      <c r="AI186" s="341" t="s">
        <v>687</v>
      </c>
      <c r="AJ186" s="134" t="s">
        <v>20</v>
      </c>
      <c r="AK186" s="338"/>
      <c r="AL186" s="5"/>
    </row>
    <row r="187" spans="1:40" x14ac:dyDescent="0.25">
      <c r="A187" s="143">
        <v>16</v>
      </c>
      <c r="B187" s="92">
        <v>45221</v>
      </c>
      <c r="C187" s="31"/>
      <c r="D187" s="32"/>
      <c r="E187" s="32"/>
      <c r="F187" s="32"/>
      <c r="G187" s="39"/>
      <c r="H187" s="39"/>
      <c r="I187" s="42"/>
      <c r="J187" s="43">
        <v>10</v>
      </c>
      <c r="K187" s="21">
        <f t="shared" si="32"/>
        <v>-10</v>
      </c>
      <c r="L187" s="21">
        <f t="shared" si="29"/>
        <v>10</v>
      </c>
      <c r="M187" s="21">
        <f t="shared" si="30"/>
        <v>-10</v>
      </c>
      <c r="N187" s="21"/>
      <c r="O187" s="21"/>
      <c r="P187" s="5"/>
      <c r="Q187" s="43"/>
      <c r="R187" s="32"/>
      <c r="S187" s="21">
        <f t="shared" si="31"/>
        <v>0</v>
      </c>
      <c r="T187" s="131"/>
      <c r="U187" s="78">
        <f t="shared" si="33"/>
        <v>0</v>
      </c>
      <c r="V187" s="140"/>
      <c r="W187" s="147"/>
      <c r="X187" s="23"/>
      <c r="Y187" s="334"/>
      <c r="Z187" s="5"/>
      <c r="AC187" s="5" t="s">
        <v>685</v>
      </c>
      <c r="AD187" s="115" t="s">
        <v>684</v>
      </c>
      <c r="AE187" s="339"/>
      <c r="AF187" s="341"/>
      <c r="AG187" s="115" t="s">
        <v>684</v>
      </c>
      <c r="AH187" s="339"/>
      <c r="AI187" s="341"/>
      <c r="AJ187" s="115" t="s">
        <v>684</v>
      </c>
      <c r="AK187" s="339"/>
      <c r="AL187" s="5"/>
    </row>
    <row r="188" spans="1:40" x14ac:dyDescent="0.25">
      <c r="A188" s="143">
        <v>17</v>
      </c>
      <c r="B188" s="92">
        <v>45221</v>
      </c>
      <c r="C188" s="31"/>
      <c r="D188" s="32"/>
      <c r="E188" s="32"/>
      <c r="F188" s="32"/>
      <c r="G188" s="39"/>
      <c r="H188" s="39"/>
      <c r="I188" s="42"/>
      <c r="J188" s="43">
        <v>10</v>
      </c>
      <c r="K188" s="21">
        <f t="shared" si="32"/>
        <v>-10</v>
      </c>
      <c r="L188" s="21">
        <f t="shared" si="29"/>
        <v>10</v>
      </c>
      <c r="M188" s="21">
        <f t="shared" si="30"/>
        <v>-10</v>
      </c>
      <c r="N188" s="21"/>
      <c r="O188" s="21"/>
      <c r="P188" s="5"/>
      <c r="Q188" s="43"/>
      <c r="R188" s="32"/>
      <c r="S188" s="21">
        <f t="shared" si="31"/>
        <v>0</v>
      </c>
      <c r="T188" s="132"/>
      <c r="U188" s="78">
        <f t="shared" si="33"/>
        <v>0</v>
      </c>
      <c r="V188" s="140"/>
      <c r="W188" s="147"/>
      <c r="X188" s="23"/>
      <c r="Y188" s="340"/>
      <c r="Z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40" x14ac:dyDescent="0.25">
      <c r="A189" s="143">
        <v>18</v>
      </c>
      <c r="B189" s="92">
        <v>45221</v>
      </c>
      <c r="C189" s="31"/>
      <c r="D189" s="32"/>
      <c r="E189" s="32"/>
      <c r="F189" s="32"/>
      <c r="G189" s="39"/>
      <c r="H189" s="39"/>
      <c r="I189" s="42"/>
      <c r="J189" s="43">
        <v>10</v>
      </c>
      <c r="K189" s="21">
        <f t="shared" si="32"/>
        <v>-10</v>
      </c>
      <c r="L189" s="21">
        <f t="shared" si="29"/>
        <v>10</v>
      </c>
      <c r="M189" s="21">
        <f t="shared" si="30"/>
        <v>-10</v>
      </c>
      <c r="N189" s="21"/>
      <c r="O189" s="21"/>
      <c r="P189" s="5"/>
      <c r="Q189" s="135"/>
      <c r="R189" s="104"/>
      <c r="S189" s="21">
        <f t="shared" si="31"/>
        <v>0</v>
      </c>
      <c r="T189" s="131"/>
      <c r="U189" s="78">
        <f t="shared" si="33"/>
        <v>0</v>
      </c>
      <c r="V189" s="140"/>
      <c r="W189" s="138"/>
      <c r="X189" s="32"/>
      <c r="Z189" s="5"/>
    </row>
    <row r="190" spans="1:40" x14ac:dyDescent="0.25">
      <c r="A190" s="143">
        <v>19</v>
      </c>
      <c r="B190" s="92">
        <v>45221</v>
      </c>
      <c r="C190" s="31"/>
      <c r="D190" s="32"/>
      <c r="E190" s="32"/>
      <c r="F190" s="32"/>
      <c r="G190" s="39"/>
      <c r="H190" s="39"/>
      <c r="I190" s="42"/>
      <c r="J190" s="43">
        <v>10</v>
      </c>
      <c r="K190" s="21">
        <f t="shared" si="32"/>
        <v>-10</v>
      </c>
      <c r="L190" s="21">
        <f t="shared" si="29"/>
        <v>10</v>
      </c>
      <c r="M190" s="21">
        <f t="shared" si="30"/>
        <v>-10</v>
      </c>
      <c r="N190" s="21"/>
      <c r="O190" s="21"/>
      <c r="P190" s="5"/>
      <c r="Q190" s="32"/>
      <c r="R190" s="32"/>
      <c r="S190" s="21">
        <f t="shared" si="31"/>
        <v>0</v>
      </c>
      <c r="T190" s="32"/>
      <c r="U190" s="78">
        <f t="shared" si="33"/>
        <v>0</v>
      </c>
      <c r="V190" s="140"/>
      <c r="W190" s="138"/>
      <c r="X190" s="32"/>
      <c r="Z190" s="5"/>
    </row>
    <row r="191" spans="1:40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22">
        <f>SUM(O172:O190)</f>
        <v>1419</v>
      </c>
      <c r="P191" s="5"/>
      <c r="Q191" s="5"/>
      <c r="R191" s="5"/>
      <c r="S191" s="5"/>
      <c r="T191" s="5"/>
      <c r="U191" s="5"/>
      <c r="V191" s="141"/>
      <c r="W191" s="5"/>
      <c r="X191" s="5"/>
      <c r="Y191" s="5"/>
      <c r="Z191" s="5"/>
    </row>
    <row r="194" spans="2:14" x14ac:dyDescent="0.25">
      <c r="M194">
        <v>97</v>
      </c>
    </row>
    <row r="195" spans="2:14" x14ac:dyDescent="0.25">
      <c r="M195">
        <v>300</v>
      </c>
    </row>
    <row r="196" spans="2:14" x14ac:dyDescent="0.25">
      <c r="F196">
        <f>70+28+59</f>
        <v>157</v>
      </c>
      <c r="M196">
        <v>65</v>
      </c>
      <c r="N196">
        <f>+M194+M195+M196</f>
        <v>462</v>
      </c>
    </row>
    <row r="197" spans="2:14" x14ac:dyDescent="0.25">
      <c r="H197" t="s">
        <v>1936</v>
      </c>
    </row>
    <row r="199" spans="2:14" x14ac:dyDescent="0.25">
      <c r="B199">
        <v>12.5</v>
      </c>
    </row>
    <row r="200" spans="2:14" x14ac:dyDescent="0.25">
      <c r="B200">
        <v>39.799999999999997</v>
      </c>
    </row>
    <row r="201" spans="2:14" x14ac:dyDescent="0.25">
      <c r="B201">
        <v>20.9</v>
      </c>
    </row>
    <row r="202" spans="2:14" x14ac:dyDescent="0.25">
      <c r="B202">
        <f>+B200-B201</f>
        <v>18.899999999999999</v>
      </c>
    </row>
  </sheetData>
  <mergeCells count="77">
    <mergeCell ref="AK155:AK156"/>
    <mergeCell ref="Y141:Y157"/>
    <mergeCell ref="AE155:AE156"/>
    <mergeCell ref="AF155:AF156"/>
    <mergeCell ref="AH155:AH156"/>
    <mergeCell ref="AI155:AI156"/>
    <mergeCell ref="S139:T139"/>
    <mergeCell ref="AC139:AD139"/>
    <mergeCell ref="AG139:AH139"/>
    <mergeCell ref="AJ139:AK139"/>
    <mergeCell ref="AM139:AN139"/>
    <mergeCell ref="AK104:AK105"/>
    <mergeCell ref="Y90:Y106"/>
    <mergeCell ref="AE104:AE105"/>
    <mergeCell ref="AF104:AF105"/>
    <mergeCell ref="AH104:AH105"/>
    <mergeCell ref="AI104:AI105"/>
    <mergeCell ref="S88:T88"/>
    <mergeCell ref="AC88:AD88"/>
    <mergeCell ref="AG88:AH88"/>
    <mergeCell ref="AJ88:AK88"/>
    <mergeCell ref="AM88:AN88"/>
    <mergeCell ref="AM1:AN1"/>
    <mergeCell ref="Y3:Y19"/>
    <mergeCell ref="AE17:AE18"/>
    <mergeCell ref="AF17:AF18"/>
    <mergeCell ref="AH17:AH18"/>
    <mergeCell ref="AI17:AI18"/>
    <mergeCell ref="AK17:AK18"/>
    <mergeCell ref="S1:T1"/>
    <mergeCell ref="AC1:AD1"/>
    <mergeCell ref="AG1:AH1"/>
    <mergeCell ref="AJ1:AK1"/>
    <mergeCell ref="S26:T26"/>
    <mergeCell ref="AC26:AD26"/>
    <mergeCell ref="AG26:AH26"/>
    <mergeCell ref="AJ26:AK26"/>
    <mergeCell ref="AM26:AN26"/>
    <mergeCell ref="Y28:Y44"/>
    <mergeCell ref="AE42:AE43"/>
    <mergeCell ref="AF42:AF43"/>
    <mergeCell ref="AH42:AH43"/>
    <mergeCell ref="AI42:AI43"/>
    <mergeCell ref="AK42:AK43"/>
    <mergeCell ref="S56:T56"/>
    <mergeCell ref="AC56:AD56"/>
    <mergeCell ref="AG56:AH56"/>
    <mergeCell ref="AJ56:AK56"/>
    <mergeCell ref="AM56:AN56"/>
    <mergeCell ref="AK72:AK73"/>
    <mergeCell ref="Y58:Y74"/>
    <mergeCell ref="AE72:AE73"/>
    <mergeCell ref="AF72:AF73"/>
    <mergeCell ref="AH72:AH73"/>
    <mergeCell ref="AI72:AI73"/>
    <mergeCell ref="S115:T115"/>
    <mergeCell ref="AC115:AD115"/>
    <mergeCell ref="AG115:AH115"/>
    <mergeCell ref="AJ115:AK115"/>
    <mergeCell ref="AM115:AN115"/>
    <mergeCell ref="AK131:AK132"/>
    <mergeCell ref="Y117:Y133"/>
    <mergeCell ref="AE131:AE132"/>
    <mergeCell ref="AF131:AF132"/>
    <mergeCell ref="AH131:AH132"/>
    <mergeCell ref="AI131:AI132"/>
    <mergeCell ref="S170:T170"/>
    <mergeCell ref="AC170:AD170"/>
    <mergeCell ref="AG170:AH170"/>
    <mergeCell ref="AJ170:AK170"/>
    <mergeCell ref="AM170:AN170"/>
    <mergeCell ref="AK186:AK187"/>
    <mergeCell ref="Y172:Y188"/>
    <mergeCell ref="AE186:AE187"/>
    <mergeCell ref="AF186:AF187"/>
    <mergeCell ref="AH186:AH187"/>
    <mergeCell ref="AI186:AI18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204"/>
  <sheetViews>
    <sheetView topLeftCell="A65" zoomScale="66" zoomScaleNormal="66" workbookViewId="0">
      <selection activeCell="F98" sqref="F98"/>
    </sheetView>
  </sheetViews>
  <sheetFormatPr baseColWidth="10" defaultRowHeight="15" x14ac:dyDescent="0.25"/>
  <cols>
    <col min="4" max="4" width="12" bestFit="1" customWidth="1"/>
    <col min="23" max="23" width="12.42578125" bestFit="1" customWidth="1"/>
    <col min="27" max="27" width="11.85546875" bestFit="1" customWidth="1"/>
  </cols>
  <sheetData>
    <row r="3" spans="1:40" x14ac:dyDescent="0.25">
      <c r="A3" s="1" t="s">
        <v>0</v>
      </c>
      <c r="B3" s="1"/>
      <c r="C3" s="1"/>
      <c r="D3" s="1"/>
      <c r="E3" s="1"/>
      <c r="F3" s="1"/>
      <c r="G3" s="1"/>
      <c r="H3" s="1"/>
      <c r="I3" s="1" t="s">
        <v>148</v>
      </c>
      <c r="J3" s="1"/>
      <c r="K3" s="1"/>
      <c r="L3" s="1"/>
      <c r="M3" s="1"/>
      <c r="N3" s="1"/>
      <c r="O3" s="1"/>
      <c r="P3" s="1"/>
      <c r="Q3" s="1"/>
      <c r="R3" s="1"/>
      <c r="S3" s="342" t="s">
        <v>1</v>
      </c>
      <c r="T3" s="342"/>
      <c r="U3" s="5"/>
      <c r="V3" s="139"/>
      <c r="W3" s="1"/>
      <c r="X3" s="1"/>
      <c r="Y3" s="1"/>
      <c r="Z3" s="5"/>
      <c r="AC3" s="335" t="s">
        <v>160</v>
      </c>
      <c r="AD3" s="336"/>
      <c r="AG3" s="335" t="s">
        <v>170</v>
      </c>
      <c r="AH3" s="336"/>
      <c r="AJ3" s="337" t="s">
        <v>172</v>
      </c>
      <c r="AK3" s="337"/>
      <c r="AM3" s="337" t="s">
        <v>681</v>
      </c>
      <c r="AN3" s="337"/>
    </row>
    <row r="4" spans="1:40" ht="90" x14ac:dyDescent="0.25">
      <c r="A4" s="6" t="s">
        <v>2</v>
      </c>
      <c r="B4" s="7" t="s">
        <v>3</v>
      </c>
      <c r="C4" s="7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8" t="s">
        <v>9</v>
      </c>
      <c r="I4" s="9" t="s">
        <v>10</v>
      </c>
      <c r="J4" s="8" t="s">
        <v>11</v>
      </c>
      <c r="K4" s="10" t="s">
        <v>12</v>
      </c>
      <c r="L4" s="10" t="s">
        <v>13</v>
      </c>
      <c r="M4" s="11" t="s">
        <v>14</v>
      </c>
      <c r="N4" s="10" t="s">
        <v>691</v>
      </c>
      <c r="O4" s="10" t="s">
        <v>28</v>
      </c>
      <c r="P4" s="5"/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3"/>
      <c r="W4" s="136" t="s">
        <v>688</v>
      </c>
      <c r="X4" s="14" t="s">
        <v>22</v>
      </c>
      <c r="Y4" s="15" t="s">
        <v>23</v>
      </c>
      <c r="Z4" s="5"/>
      <c r="AB4">
        <v>4</v>
      </c>
      <c r="AC4" s="16" t="s">
        <v>161</v>
      </c>
      <c r="AD4" s="58">
        <f>+AB4*10</f>
        <v>40</v>
      </c>
      <c r="AF4">
        <v>20</v>
      </c>
      <c r="AG4" s="16" t="s">
        <v>161</v>
      </c>
      <c r="AH4" s="58">
        <f>+AF4*10</f>
        <v>200</v>
      </c>
      <c r="AJ4" s="61" t="s">
        <v>173</v>
      </c>
      <c r="AK4" s="62" t="s">
        <v>174</v>
      </c>
      <c r="AM4" s="16" t="s">
        <v>161</v>
      </c>
      <c r="AN4" s="58">
        <f>+AL4*10</f>
        <v>0</v>
      </c>
    </row>
    <row r="5" spans="1:40" x14ac:dyDescent="0.25">
      <c r="A5" s="16">
        <v>1</v>
      </c>
      <c r="B5" s="92">
        <v>45222</v>
      </c>
      <c r="C5" s="31" t="s">
        <v>1483</v>
      </c>
      <c r="D5" s="32"/>
      <c r="E5" s="32" t="s">
        <v>1757</v>
      </c>
      <c r="F5" s="39" t="s">
        <v>1483</v>
      </c>
      <c r="G5" s="39" t="s">
        <v>1231</v>
      </c>
      <c r="H5" s="122"/>
      <c r="I5" s="32">
        <v>200</v>
      </c>
      <c r="J5" s="20">
        <v>30</v>
      </c>
      <c r="K5" s="21">
        <f>U5-J5-O5</f>
        <v>0</v>
      </c>
      <c r="L5" s="21">
        <f t="shared" ref="L5:L23" si="0">+I5+J5</f>
        <v>230</v>
      </c>
      <c r="M5" s="21">
        <f t="shared" ref="M5:M23" si="1">+H5-L5</f>
        <v>-230</v>
      </c>
      <c r="N5" s="21"/>
      <c r="O5" s="21"/>
      <c r="P5" s="5"/>
      <c r="Q5" s="21">
        <v>500</v>
      </c>
      <c r="R5" s="16"/>
      <c r="S5" s="21">
        <f t="shared" ref="S5:S23" si="2">+Q5+R5</f>
        <v>500</v>
      </c>
      <c r="T5" s="21">
        <v>530</v>
      </c>
      <c r="U5" s="78">
        <f>T5-S5-O5</f>
        <v>30</v>
      </c>
      <c r="V5" s="13"/>
      <c r="W5" s="243">
        <v>0.4236111111111111</v>
      </c>
      <c r="X5" s="23"/>
      <c r="Y5" s="333"/>
      <c r="Z5" s="5"/>
      <c r="AA5" s="27"/>
      <c r="AB5">
        <v>11.5</v>
      </c>
      <c r="AC5" s="59" t="s">
        <v>162</v>
      </c>
      <c r="AD5" s="18">
        <f>+AB5*1</f>
        <v>11.5</v>
      </c>
      <c r="AF5">
        <v>35</v>
      </c>
      <c r="AG5" s="59" t="s">
        <v>162</v>
      </c>
      <c r="AH5" s="18">
        <f>+AF5*1</f>
        <v>35</v>
      </c>
      <c r="AJ5" s="16"/>
      <c r="AK5" s="16"/>
      <c r="AM5" s="59" t="s">
        <v>162</v>
      </c>
      <c r="AN5" s="18">
        <f>+AL5*1</f>
        <v>0</v>
      </c>
    </row>
    <row r="6" spans="1:40" x14ac:dyDescent="0.25">
      <c r="A6" s="26">
        <v>2</v>
      </c>
      <c r="B6" s="92">
        <v>45222</v>
      </c>
      <c r="C6" s="31" t="s">
        <v>128</v>
      </c>
      <c r="D6" s="32">
        <v>5530181574</v>
      </c>
      <c r="E6" s="32" t="s">
        <v>1977</v>
      </c>
      <c r="F6" s="32">
        <v>844</v>
      </c>
      <c r="G6" s="39" t="s">
        <v>1969</v>
      </c>
      <c r="H6" s="122"/>
      <c r="I6" s="32">
        <v>174</v>
      </c>
      <c r="J6" s="20">
        <v>14</v>
      </c>
      <c r="K6" s="21">
        <f t="shared" ref="K6:K23" si="3">U6-J6-O6</f>
        <v>0</v>
      </c>
      <c r="L6" s="21">
        <f t="shared" si="0"/>
        <v>188</v>
      </c>
      <c r="M6" s="21">
        <f t="shared" si="1"/>
        <v>-188</v>
      </c>
      <c r="N6" s="21"/>
      <c r="O6" s="21"/>
      <c r="P6" s="5"/>
      <c r="Q6" s="21">
        <v>200</v>
      </c>
      <c r="R6" s="16"/>
      <c r="S6" s="21">
        <f t="shared" si="2"/>
        <v>200</v>
      </c>
      <c r="T6" s="21">
        <v>214</v>
      </c>
      <c r="U6" s="78">
        <f t="shared" ref="U6:U23" si="4">T6-S6-O6</f>
        <v>14</v>
      </c>
      <c r="V6" s="140"/>
      <c r="W6" s="147">
        <v>0.4548611111111111</v>
      </c>
      <c r="X6" s="23"/>
      <c r="Y6" s="334"/>
      <c r="Z6" s="5"/>
      <c r="AB6">
        <v>9</v>
      </c>
      <c r="AC6" s="16" t="s">
        <v>163</v>
      </c>
      <c r="AD6" s="60">
        <f>+AB6*5</f>
        <v>45</v>
      </c>
      <c r="AF6">
        <v>29</v>
      </c>
      <c r="AG6" s="16" t="s">
        <v>163</v>
      </c>
      <c r="AH6" s="60">
        <f>+AF6*5</f>
        <v>145</v>
      </c>
      <c r="AJ6" s="16"/>
      <c r="AK6" s="16"/>
      <c r="AM6" s="16" t="s">
        <v>163</v>
      </c>
      <c r="AN6" s="60">
        <f>+AL6*5</f>
        <v>0</v>
      </c>
    </row>
    <row r="7" spans="1:40" x14ac:dyDescent="0.25">
      <c r="A7" s="143">
        <v>3</v>
      </c>
      <c r="B7" s="92">
        <v>45222</v>
      </c>
      <c r="C7" s="31" t="s">
        <v>1967</v>
      </c>
      <c r="D7" s="32">
        <v>5519686816</v>
      </c>
      <c r="E7" s="32" t="s">
        <v>106</v>
      </c>
      <c r="F7" s="32" t="s">
        <v>1968</v>
      </c>
      <c r="G7" s="39" t="s">
        <v>1970</v>
      </c>
      <c r="H7" s="122"/>
      <c r="I7" s="32">
        <v>158</v>
      </c>
      <c r="J7" s="20">
        <v>14</v>
      </c>
      <c r="K7" s="21">
        <f t="shared" si="3"/>
        <v>0</v>
      </c>
      <c r="L7" s="21">
        <f t="shared" si="0"/>
        <v>172</v>
      </c>
      <c r="M7" s="21">
        <f t="shared" si="1"/>
        <v>-172</v>
      </c>
      <c r="N7" s="21"/>
      <c r="O7" s="21"/>
      <c r="P7" s="5"/>
      <c r="Q7" s="21">
        <v>200</v>
      </c>
      <c r="R7" s="16"/>
      <c r="S7" s="21">
        <f t="shared" si="2"/>
        <v>200</v>
      </c>
      <c r="T7" s="21">
        <v>214</v>
      </c>
      <c r="U7" s="78">
        <f t="shared" si="4"/>
        <v>14</v>
      </c>
      <c r="V7" s="140"/>
      <c r="W7" s="147">
        <v>0.4548611111111111</v>
      </c>
      <c r="X7" s="23"/>
      <c r="Y7" s="334"/>
      <c r="Z7" s="5"/>
      <c r="AB7">
        <v>1</v>
      </c>
      <c r="AC7" s="16" t="s">
        <v>164</v>
      </c>
      <c r="AD7" s="18">
        <f>+AB7*200</f>
        <v>200</v>
      </c>
      <c r="AG7" s="16" t="s">
        <v>164</v>
      </c>
      <c r="AH7" s="18">
        <f>+AF7*200</f>
        <v>0</v>
      </c>
      <c r="AJ7" s="16"/>
      <c r="AK7" s="16"/>
      <c r="AM7" s="16" t="s">
        <v>164</v>
      </c>
      <c r="AN7" s="18">
        <f>+AL7*200</f>
        <v>0</v>
      </c>
    </row>
    <row r="8" spans="1:40" x14ac:dyDescent="0.25">
      <c r="A8" s="143">
        <v>4</v>
      </c>
      <c r="B8" s="92">
        <v>45222</v>
      </c>
      <c r="C8" s="31" t="s">
        <v>1923</v>
      </c>
      <c r="D8" s="32">
        <v>5560863021</v>
      </c>
      <c r="E8" s="32" t="s">
        <v>106</v>
      </c>
      <c r="F8" s="32" t="s">
        <v>1971</v>
      </c>
      <c r="G8" s="39"/>
      <c r="H8" s="122">
        <v>500</v>
      </c>
      <c r="I8" s="32">
        <v>148</v>
      </c>
      <c r="J8" s="20">
        <v>15</v>
      </c>
      <c r="K8" s="21">
        <f t="shared" si="3"/>
        <v>-1</v>
      </c>
      <c r="L8" s="21">
        <f t="shared" si="0"/>
        <v>163</v>
      </c>
      <c r="M8" s="21">
        <f t="shared" si="1"/>
        <v>337</v>
      </c>
      <c r="N8" s="21"/>
      <c r="O8" s="21"/>
      <c r="P8" s="5"/>
      <c r="Q8" s="21">
        <v>500</v>
      </c>
      <c r="R8" s="16"/>
      <c r="S8" s="21">
        <f t="shared" si="2"/>
        <v>500</v>
      </c>
      <c r="T8" s="21">
        <v>514</v>
      </c>
      <c r="U8" s="78">
        <f t="shared" si="4"/>
        <v>14</v>
      </c>
      <c r="V8" s="140"/>
      <c r="W8" s="147"/>
      <c r="X8" s="23"/>
      <c r="Y8" s="334"/>
      <c r="Z8" s="5"/>
      <c r="AB8">
        <v>3</v>
      </c>
      <c r="AC8" s="16" t="s">
        <v>165</v>
      </c>
      <c r="AD8" s="18">
        <f>+AB8*100</f>
        <v>300</v>
      </c>
      <c r="AG8" s="16" t="s">
        <v>165</v>
      </c>
      <c r="AH8" s="18">
        <f>+AF8*100</f>
        <v>0</v>
      </c>
      <c r="AJ8" s="16"/>
      <c r="AK8" s="16"/>
      <c r="AM8" s="16" t="s">
        <v>165</v>
      </c>
      <c r="AN8" s="18">
        <f>+AL8*100</f>
        <v>0</v>
      </c>
    </row>
    <row r="9" spans="1:40" x14ac:dyDescent="0.25">
      <c r="A9" s="143">
        <v>5</v>
      </c>
      <c r="B9" s="92">
        <v>45222</v>
      </c>
      <c r="C9" s="31" t="s">
        <v>30</v>
      </c>
      <c r="D9" s="32">
        <v>5615394688</v>
      </c>
      <c r="E9" s="32" t="s">
        <v>76</v>
      </c>
      <c r="F9" s="32" t="s">
        <v>1086</v>
      </c>
      <c r="G9" s="32"/>
      <c r="H9" s="122"/>
      <c r="I9" s="32">
        <v>48</v>
      </c>
      <c r="J9" s="20">
        <v>12</v>
      </c>
      <c r="K9" s="21">
        <f t="shared" si="3"/>
        <v>2</v>
      </c>
      <c r="L9" s="21">
        <f t="shared" si="0"/>
        <v>60</v>
      </c>
      <c r="M9" s="21">
        <f t="shared" si="1"/>
        <v>-60</v>
      </c>
      <c r="N9" s="21">
        <v>30</v>
      </c>
      <c r="O9" s="21"/>
      <c r="P9" s="5"/>
      <c r="Q9" s="16">
        <v>500</v>
      </c>
      <c r="R9" s="16"/>
      <c r="S9" s="21">
        <f t="shared" si="2"/>
        <v>500</v>
      </c>
      <c r="T9" s="21">
        <v>514</v>
      </c>
      <c r="U9" s="78">
        <f t="shared" si="4"/>
        <v>14</v>
      </c>
      <c r="V9" s="140"/>
      <c r="W9" s="244">
        <f ca="1">TODAY()</f>
        <v>45308</v>
      </c>
      <c r="X9" s="23"/>
      <c r="Y9" s="334"/>
      <c r="Z9" s="5"/>
      <c r="AB9">
        <v>1</v>
      </c>
      <c r="AC9" s="16" t="s">
        <v>166</v>
      </c>
      <c r="AD9" s="18">
        <f>+AB9*50</f>
        <v>50</v>
      </c>
      <c r="AG9" s="16" t="s">
        <v>166</v>
      </c>
      <c r="AH9" s="18">
        <f>+AF9*50</f>
        <v>0</v>
      </c>
      <c r="AJ9" s="16"/>
      <c r="AK9" s="16"/>
      <c r="AM9" s="16" t="s">
        <v>166</v>
      </c>
      <c r="AN9" s="18">
        <f>+AL9*50</f>
        <v>0</v>
      </c>
    </row>
    <row r="10" spans="1:40" x14ac:dyDescent="0.25">
      <c r="A10" s="143">
        <v>6</v>
      </c>
      <c r="B10" s="92">
        <v>45222</v>
      </c>
      <c r="C10" s="31" t="s">
        <v>1483</v>
      </c>
      <c r="D10" s="32">
        <v>5589529270</v>
      </c>
      <c r="E10" s="32" t="s">
        <v>1978</v>
      </c>
      <c r="F10" s="32" t="s">
        <v>1483</v>
      </c>
      <c r="G10" s="39" t="s">
        <v>1972</v>
      </c>
      <c r="H10" s="122"/>
      <c r="I10" s="42">
        <v>578</v>
      </c>
      <c r="J10" s="20">
        <v>30</v>
      </c>
      <c r="K10" s="21">
        <f t="shared" si="3"/>
        <v>0</v>
      </c>
      <c r="L10" s="21">
        <f t="shared" si="0"/>
        <v>608</v>
      </c>
      <c r="M10" s="21">
        <f t="shared" si="1"/>
        <v>-608</v>
      </c>
      <c r="N10" s="21"/>
      <c r="O10" s="21"/>
      <c r="P10" s="5"/>
      <c r="Q10" s="16">
        <v>650</v>
      </c>
      <c r="R10" s="16"/>
      <c r="S10" s="21">
        <f>+Q10+R10</f>
        <v>650</v>
      </c>
      <c r="T10" s="16">
        <v>680</v>
      </c>
      <c r="U10" s="78">
        <f>T10-S10-O10</f>
        <v>30</v>
      </c>
      <c r="V10" s="140"/>
      <c r="W10" s="147">
        <v>0.43263888888888885</v>
      </c>
      <c r="X10" s="23"/>
      <c r="Y10" s="334"/>
      <c r="Z10" s="5"/>
      <c r="AB10">
        <v>2</v>
      </c>
      <c r="AC10" s="16" t="s">
        <v>167</v>
      </c>
      <c r="AD10" s="18">
        <f>+AB10*20</f>
        <v>40</v>
      </c>
      <c r="AG10" s="16" t="s">
        <v>167</v>
      </c>
      <c r="AH10" s="18">
        <f>+AF10*20</f>
        <v>0</v>
      </c>
      <c r="AJ10" s="16"/>
      <c r="AK10" s="16"/>
      <c r="AM10" s="16" t="s">
        <v>167</v>
      </c>
      <c r="AN10" s="18">
        <f>+AL10*20</f>
        <v>0</v>
      </c>
    </row>
    <row r="11" spans="1:40" x14ac:dyDescent="0.25">
      <c r="A11" s="143">
        <v>7</v>
      </c>
      <c r="B11" s="92">
        <v>45222</v>
      </c>
      <c r="C11" s="31" t="s">
        <v>1973</v>
      </c>
      <c r="D11" s="32">
        <v>5621699116</v>
      </c>
      <c r="E11" s="32" t="s">
        <v>106</v>
      </c>
      <c r="F11" s="32" t="s">
        <v>1651</v>
      </c>
      <c r="G11" s="39" t="s">
        <v>1974</v>
      </c>
      <c r="H11" s="122">
        <v>100</v>
      </c>
      <c r="I11" s="42">
        <v>75</v>
      </c>
      <c r="J11" s="20">
        <v>12</v>
      </c>
      <c r="K11" s="21">
        <f t="shared" si="3"/>
        <v>-2</v>
      </c>
      <c r="L11" s="21">
        <f t="shared" si="0"/>
        <v>87</v>
      </c>
      <c r="M11" s="21">
        <f t="shared" si="1"/>
        <v>13</v>
      </c>
      <c r="N11" s="21"/>
      <c r="O11" s="21"/>
      <c r="P11" s="5"/>
      <c r="Q11" s="16">
        <v>600</v>
      </c>
      <c r="R11" s="16"/>
      <c r="S11" s="21">
        <f t="shared" si="2"/>
        <v>600</v>
      </c>
      <c r="T11" s="16">
        <v>610</v>
      </c>
      <c r="U11" s="78">
        <f t="shared" si="4"/>
        <v>10</v>
      </c>
      <c r="V11" s="140"/>
      <c r="W11" s="147"/>
      <c r="X11" s="23"/>
      <c r="Y11" s="334"/>
      <c r="Z11" s="5"/>
      <c r="AC11" s="16" t="s">
        <v>171</v>
      </c>
      <c r="AD11" s="18">
        <f>+AB11*500</f>
        <v>0</v>
      </c>
      <c r="AG11" s="16" t="s">
        <v>171</v>
      </c>
      <c r="AH11" s="18">
        <f>+AF11*500</f>
        <v>0</v>
      </c>
      <c r="AJ11" s="16"/>
      <c r="AK11" s="16"/>
      <c r="AM11" s="16" t="s">
        <v>171</v>
      </c>
      <c r="AN11" s="18">
        <f>+AL11*500</f>
        <v>0</v>
      </c>
    </row>
    <row r="12" spans="1:40" x14ac:dyDescent="0.25">
      <c r="A12" s="143">
        <v>8</v>
      </c>
      <c r="B12" s="92">
        <v>45222</v>
      </c>
      <c r="C12" s="31" t="s">
        <v>125</v>
      </c>
      <c r="D12" s="123"/>
      <c r="E12" s="123"/>
      <c r="F12" s="123" t="s">
        <v>1976</v>
      </c>
      <c r="G12" s="39" t="s">
        <v>1975</v>
      </c>
      <c r="H12" s="122"/>
      <c r="I12" s="32">
        <v>112</v>
      </c>
      <c r="J12" s="20">
        <v>14</v>
      </c>
      <c r="K12" s="21">
        <f t="shared" si="3"/>
        <v>-2</v>
      </c>
      <c r="L12" s="21">
        <f t="shared" si="0"/>
        <v>126</v>
      </c>
      <c r="M12" s="21">
        <f t="shared" si="1"/>
        <v>-126</v>
      </c>
      <c r="N12" s="21"/>
      <c r="O12" s="21"/>
      <c r="P12" s="5"/>
      <c r="Q12" s="16"/>
      <c r="R12" s="16"/>
      <c r="S12" s="21">
        <f t="shared" si="2"/>
        <v>0</v>
      </c>
      <c r="T12" s="16">
        <v>12</v>
      </c>
      <c r="U12" s="78">
        <f t="shared" si="4"/>
        <v>12</v>
      </c>
      <c r="V12" s="140"/>
      <c r="W12" s="147"/>
      <c r="X12" s="23"/>
      <c r="Y12" s="334"/>
      <c r="Z12" s="5"/>
      <c r="AC12" s="16" t="s">
        <v>168</v>
      </c>
      <c r="AD12" s="18">
        <f>+AB12*1000</f>
        <v>0</v>
      </c>
      <c r="AG12" s="16" t="s">
        <v>168</v>
      </c>
      <c r="AH12" s="18">
        <f>+AF12*1000</f>
        <v>0</v>
      </c>
      <c r="AJ12" s="16"/>
      <c r="AK12" s="16"/>
      <c r="AM12" s="16" t="s">
        <v>168</v>
      </c>
      <c r="AN12" s="18">
        <f>+AL12*1000</f>
        <v>0</v>
      </c>
    </row>
    <row r="13" spans="1:40" x14ac:dyDescent="0.25">
      <c r="A13" s="143">
        <v>9</v>
      </c>
      <c r="B13" s="92">
        <v>45222</v>
      </c>
      <c r="C13" s="31" t="s">
        <v>1014</v>
      </c>
      <c r="D13" s="32">
        <v>5564121405</v>
      </c>
      <c r="E13" s="32" t="s">
        <v>1979</v>
      </c>
      <c r="F13" s="32" t="s">
        <v>52</v>
      </c>
      <c r="G13" s="39" t="s">
        <v>1983</v>
      </c>
      <c r="H13" s="39">
        <v>90</v>
      </c>
      <c r="I13" s="40">
        <v>85</v>
      </c>
      <c r="J13" s="20">
        <v>14</v>
      </c>
      <c r="K13" s="21">
        <v>15</v>
      </c>
      <c r="L13" s="21">
        <f t="shared" si="0"/>
        <v>99</v>
      </c>
      <c r="M13" s="21">
        <f t="shared" si="1"/>
        <v>-9</v>
      </c>
      <c r="N13" s="21"/>
      <c r="O13" s="21"/>
      <c r="P13" s="5"/>
      <c r="Q13" s="16">
        <v>100</v>
      </c>
      <c r="R13" s="16"/>
      <c r="S13" s="21">
        <f t="shared" si="2"/>
        <v>100</v>
      </c>
      <c r="T13" s="16">
        <v>115</v>
      </c>
      <c r="U13" s="78">
        <f t="shared" si="4"/>
        <v>15</v>
      </c>
      <c r="V13" s="140"/>
      <c r="W13" s="147"/>
      <c r="X13" s="23"/>
      <c r="Y13" s="334"/>
      <c r="Z13" s="5"/>
      <c r="AC13" s="26"/>
      <c r="AD13" s="58"/>
      <c r="AG13" s="26"/>
      <c r="AH13" s="58"/>
      <c r="AJ13" s="16"/>
      <c r="AK13" s="16"/>
      <c r="AM13" s="26"/>
      <c r="AN13" s="58"/>
    </row>
    <row r="14" spans="1:40" x14ac:dyDescent="0.25">
      <c r="A14" s="143">
        <v>10</v>
      </c>
      <c r="B14" s="92">
        <v>45222</v>
      </c>
      <c r="C14" s="31" t="s">
        <v>30</v>
      </c>
      <c r="D14" s="32">
        <v>5537803548</v>
      </c>
      <c r="E14" s="32" t="s">
        <v>1981</v>
      </c>
      <c r="F14" s="32" t="s">
        <v>1766</v>
      </c>
      <c r="G14" s="39" t="s">
        <v>1984</v>
      </c>
      <c r="H14" s="122">
        <v>400</v>
      </c>
      <c r="I14" s="42">
        <v>293</v>
      </c>
      <c r="J14" s="20">
        <v>35</v>
      </c>
      <c r="K14" s="21">
        <f t="shared" si="3"/>
        <v>0</v>
      </c>
      <c r="L14" s="21">
        <f t="shared" si="0"/>
        <v>328</v>
      </c>
      <c r="M14" s="21">
        <f t="shared" si="1"/>
        <v>72</v>
      </c>
      <c r="N14" s="21">
        <v>350</v>
      </c>
      <c r="O14" s="21"/>
      <c r="P14" s="5"/>
      <c r="Q14" s="16">
        <v>400</v>
      </c>
      <c r="R14" s="16"/>
      <c r="S14" s="21">
        <f t="shared" si="2"/>
        <v>400</v>
      </c>
      <c r="T14" s="16">
        <v>435</v>
      </c>
      <c r="U14" s="78">
        <f t="shared" si="4"/>
        <v>35</v>
      </c>
      <c r="V14" s="140"/>
      <c r="W14" s="147"/>
      <c r="X14" s="23"/>
      <c r="Y14" s="334"/>
      <c r="Z14" s="5"/>
      <c r="AC14" s="16" t="s">
        <v>169</v>
      </c>
      <c r="AD14" s="18">
        <f>SUM(AD4:AD13)</f>
        <v>686.5</v>
      </c>
      <c r="AG14" s="16" t="s">
        <v>169</v>
      </c>
      <c r="AH14" s="18">
        <f>SUM(AH4:AH13)</f>
        <v>380</v>
      </c>
      <c r="AJ14" s="16"/>
      <c r="AK14" s="16"/>
      <c r="AM14" s="16" t="s">
        <v>169</v>
      </c>
      <c r="AN14" s="18"/>
    </row>
    <row r="15" spans="1:40" x14ac:dyDescent="0.25">
      <c r="A15" s="143">
        <v>11</v>
      </c>
      <c r="B15" s="92">
        <v>45222</v>
      </c>
      <c r="C15" s="31" t="s">
        <v>1980</v>
      </c>
      <c r="D15" s="124">
        <v>5611728082</v>
      </c>
      <c r="E15" s="123" t="s">
        <v>38</v>
      </c>
      <c r="F15" s="123" t="s">
        <v>1982</v>
      </c>
      <c r="G15" s="39" t="s">
        <v>1985</v>
      </c>
      <c r="H15" s="122">
        <v>200</v>
      </c>
      <c r="I15" s="42">
        <v>90</v>
      </c>
      <c r="J15" s="20">
        <v>10</v>
      </c>
      <c r="K15" s="21">
        <f t="shared" si="3"/>
        <v>0</v>
      </c>
      <c r="L15" s="21">
        <f t="shared" si="0"/>
        <v>100</v>
      </c>
      <c r="M15" s="21">
        <f t="shared" si="1"/>
        <v>100</v>
      </c>
      <c r="N15" s="21">
        <v>100</v>
      </c>
      <c r="O15" s="21"/>
      <c r="P15" s="5"/>
      <c r="Q15" s="16">
        <v>100</v>
      </c>
      <c r="R15" s="16"/>
      <c r="S15" s="21">
        <f t="shared" si="2"/>
        <v>100</v>
      </c>
      <c r="T15" s="16">
        <v>110</v>
      </c>
      <c r="U15" s="78">
        <f t="shared" si="4"/>
        <v>10</v>
      </c>
      <c r="V15" s="140"/>
      <c r="W15" s="147"/>
      <c r="X15" s="23"/>
      <c r="Y15" s="334"/>
      <c r="Z15" s="5"/>
      <c r="AJ15" s="16"/>
      <c r="AK15" s="16"/>
      <c r="AM15" s="16"/>
      <c r="AN15" s="16"/>
    </row>
    <row r="16" spans="1:40" x14ac:dyDescent="0.25">
      <c r="A16" s="143">
        <v>12</v>
      </c>
      <c r="B16" s="92">
        <v>45222</v>
      </c>
      <c r="C16" s="32" t="s">
        <v>1986</v>
      </c>
      <c r="D16" s="32">
        <v>5560863021</v>
      </c>
      <c r="E16" s="124" t="s">
        <v>1245</v>
      </c>
      <c r="F16" s="123" t="s">
        <v>818</v>
      </c>
      <c r="G16" s="39" t="s">
        <v>1987</v>
      </c>
      <c r="H16" s="39">
        <v>200</v>
      </c>
      <c r="I16" s="42">
        <v>108</v>
      </c>
      <c r="J16" s="20">
        <v>14</v>
      </c>
      <c r="K16" s="21">
        <v>0</v>
      </c>
      <c r="L16" s="21">
        <f t="shared" si="0"/>
        <v>122</v>
      </c>
      <c r="M16" s="21">
        <f t="shared" si="1"/>
        <v>78</v>
      </c>
      <c r="N16" s="21"/>
      <c r="O16" s="21"/>
      <c r="P16" s="5"/>
      <c r="Q16" s="45">
        <v>200</v>
      </c>
      <c r="R16" s="44"/>
      <c r="S16" s="21">
        <f t="shared" si="2"/>
        <v>200</v>
      </c>
      <c r="T16" s="45">
        <v>214</v>
      </c>
      <c r="U16" s="78">
        <f t="shared" si="4"/>
        <v>14</v>
      </c>
      <c r="V16" s="140"/>
      <c r="W16" s="147"/>
      <c r="X16" s="23"/>
      <c r="Y16" s="334"/>
      <c r="Z16" s="5"/>
      <c r="AJ16" s="63" t="s">
        <v>169</v>
      </c>
      <c r="AK16" s="63">
        <f>+SUM(AJ5:AJ15)-SUM(AK5:AK15)</f>
        <v>0</v>
      </c>
      <c r="AM16" s="63" t="s">
        <v>169</v>
      </c>
      <c r="AN16" s="85">
        <f>+SUM(AM4:AM15)-SUM(AN5:AN15)</f>
        <v>0</v>
      </c>
    </row>
    <row r="17" spans="1:38" x14ac:dyDescent="0.25">
      <c r="A17" s="143">
        <v>13</v>
      </c>
      <c r="B17" s="92">
        <v>45222</v>
      </c>
      <c r="C17" s="31" t="s">
        <v>1629</v>
      </c>
      <c r="D17" s="32">
        <v>5572135350</v>
      </c>
      <c r="E17" s="32" t="s">
        <v>106</v>
      </c>
      <c r="F17" s="32" t="s">
        <v>1597</v>
      </c>
      <c r="G17" s="39" t="s">
        <v>1988</v>
      </c>
      <c r="H17" s="39">
        <v>150</v>
      </c>
      <c r="I17" s="42">
        <v>70</v>
      </c>
      <c r="J17" s="108">
        <v>12</v>
      </c>
      <c r="K17" s="21">
        <v>10</v>
      </c>
      <c r="L17" s="21">
        <f t="shared" si="0"/>
        <v>82</v>
      </c>
      <c r="M17" s="21">
        <f t="shared" si="1"/>
        <v>68</v>
      </c>
      <c r="N17" s="21">
        <v>70</v>
      </c>
      <c r="O17" s="21"/>
      <c r="P17" s="5"/>
      <c r="Q17" s="43">
        <v>150</v>
      </c>
      <c r="R17" s="32"/>
      <c r="S17" s="21">
        <f t="shared" si="2"/>
        <v>150</v>
      </c>
      <c r="T17" s="43">
        <v>160</v>
      </c>
      <c r="U17" s="78">
        <f t="shared" si="4"/>
        <v>10</v>
      </c>
      <c r="V17" s="140"/>
      <c r="W17" s="147"/>
      <c r="X17" s="23"/>
      <c r="Y17" s="334"/>
      <c r="Z17" s="5"/>
      <c r="AH17" s="83"/>
    </row>
    <row r="18" spans="1:38" x14ac:dyDescent="0.25">
      <c r="A18" s="143">
        <v>14</v>
      </c>
      <c r="B18" s="92">
        <v>45222</v>
      </c>
      <c r="C18" s="31" t="s">
        <v>1341</v>
      </c>
      <c r="D18" s="32">
        <v>9878767656</v>
      </c>
      <c r="E18" s="32" t="s">
        <v>1989</v>
      </c>
      <c r="F18" s="32" t="s">
        <v>729</v>
      </c>
      <c r="G18" s="39" t="s">
        <v>667</v>
      </c>
      <c r="H18" s="39">
        <v>32</v>
      </c>
      <c r="I18" s="42">
        <v>22</v>
      </c>
      <c r="J18" s="108">
        <v>10</v>
      </c>
      <c r="K18" s="21">
        <v>5</v>
      </c>
      <c r="L18" s="21">
        <f t="shared" si="0"/>
        <v>32</v>
      </c>
      <c r="M18" s="21">
        <v>37</v>
      </c>
      <c r="N18" s="21"/>
      <c r="O18" s="21"/>
      <c r="P18" s="5"/>
      <c r="Q18" s="43">
        <v>22</v>
      </c>
      <c r="R18" s="43"/>
      <c r="S18" s="21">
        <f t="shared" si="2"/>
        <v>22</v>
      </c>
      <c r="T18" s="43">
        <v>32</v>
      </c>
      <c r="U18" s="78">
        <f t="shared" si="4"/>
        <v>10</v>
      </c>
      <c r="V18" s="140"/>
      <c r="W18" s="147"/>
      <c r="X18" s="23"/>
      <c r="Y18" s="334"/>
      <c r="Z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5">
      <c r="A19" s="143">
        <v>15</v>
      </c>
      <c r="B19" s="92">
        <v>45222</v>
      </c>
      <c r="C19" s="127" t="s">
        <v>1990</v>
      </c>
      <c r="D19" s="32">
        <v>5547620056</v>
      </c>
      <c r="E19" s="32" t="s">
        <v>1991</v>
      </c>
      <c r="F19" s="128" t="s">
        <v>1992</v>
      </c>
      <c r="G19" s="129" t="s">
        <v>1993</v>
      </c>
      <c r="H19" s="39">
        <v>100</v>
      </c>
      <c r="I19" s="42">
        <v>29</v>
      </c>
      <c r="J19" s="108">
        <v>10</v>
      </c>
      <c r="K19" s="21">
        <f t="shared" si="3"/>
        <v>0</v>
      </c>
      <c r="L19" s="21">
        <f t="shared" si="0"/>
        <v>39</v>
      </c>
      <c r="M19" s="21">
        <f t="shared" si="1"/>
        <v>61</v>
      </c>
      <c r="N19" s="21"/>
      <c r="O19" s="21"/>
      <c r="P19" s="5"/>
      <c r="Q19" s="43">
        <v>100</v>
      </c>
      <c r="R19" s="43"/>
      <c r="S19" s="21">
        <f t="shared" si="2"/>
        <v>100</v>
      </c>
      <c r="T19" s="43">
        <v>110</v>
      </c>
      <c r="U19" s="78">
        <f t="shared" si="4"/>
        <v>10</v>
      </c>
      <c r="V19" s="140"/>
      <c r="W19" s="147"/>
      <c r="X19" s="23"/>
      <c r="Y19" s="334"/>
      <c r="Z19" s="5"/>
      <c r="AC19" s="5"/>
      <c r="AD19" s="134" t="s">
        <v>20</v>
      </c>
      <c r="AE19" s="338"/>
      <c r="AF19" s="341" t="s">
        <v>686</v>
      </c>
      <c r="AG19" s="134" t="s">
        <v>20</v>
      </c>
      <c r="AH19" s="338">
        <v>155</v>
      </c>
      <c r="AI19" s="341" t="s">
        <v>687</v>
      </c>
      <c r="AJ19" s="134" t="s">
        <v>20</v>
      </c>
      <c r="AK19" s="338"/>
      <c r="AL19" s="5"/>
    </row>
    <row r="20" spans="1:38" x14ac:dyDescent="0.25">
      <c r="A20" s="143">
        <v>16</v>
      </c>
      <c r="B20" s="92">
        <v>45222</v>
      </c>
      <c r="C20" s="31" t="s">
        <v>319</v>
      </c>
      <c r="D20" s="32">
        <v>5566776677</v>
      </c>
      <c r="E20" s="32" t="s">
        <v>106</v>
      </c>
      <c r="F20" s="32" t="s">
        <v>1508</v>
      </c>
      <c r="G20" s="39" t="s">
        <v>1994</v>
      </c>
      <c r="H20" s="39">
        <v>120</v>
      </c>
      <c r="I20" s="42">
        <v>87</v>
      </c>
      <c r="J20" s="43">
        <v>20</v>
      </c>
      <c r="K20" s="21">
        <v>5</v>
      </c>
      <c r="L20" s="21">
        <f t="shared" si="0"/>
        <v>107</v>
      </c>
      <c r="M20" s="21">
        <f t="shared" si="1"/>
        <v>13</v>
      </c>
      <c r="N20" s="21">
        <v>87</v>
      </c>
      <c r="O20" s="21"/>
      <c r="P20" s="5"/>
      <c r="Q20" s="43">
        <v>100</v>
      </c>
      <c r="R20" s="32"/>
      <c r="S20" s="21">
        <f t="shared" si="2"/>
        <v>100</v>
      </c>
      <c r="T20" s="131">
        <v>120</v>
      </c>
      <c r="U20" s="78">
        <f t="shared" si="4"/>
        <v>20</v>
      </c>
      <c r="V20" s="140"/>
      <c r="W20" s="147"/>
      <c r="X20" s="23"/>
      <c r="Y20" s="334"/>
      <c r="Z20" s="5"/>
      <c r="AC20" s="5" t="s">
        <v>685</v>
      </c>
      <c r="AD20" s="115" t="s">
        <v>684</v>
      </c>
      <c r="AE20" s="339"/>
      <c r="AF20" s="341"/>
      <c r="AG20" s="115" t="s">
        <v>684</v>
      </c>
      <c r="AH20" s="339"/>
      <c r="AI20" s="341"/>
      <c r="AJ20" s="115" t="s">
        <v>684</v>
      </c>
      <c r="AK20" s="339"/>
      <c r="AL20" s="5"/>
    </row>
    <row r="21" spans="1:38" x14ac:dyDescent="0.25">
      <c r="A21" s="143">
        <v>17</v>
      </c>
      <c r="B21" s="92">
        <v>45222</v>
      </c>
      <c r="C21" s="31"/>
      <c r="D21" s="32"/>
      <c r="E21" s="32"/>
      <c r="F21" s="32"/>
      <c r="G21" s="39"/>
      <c r="H21" s="39"/>
      <c r="I21" s="42"/>
      <c r="J21" s="43">
        <v>10</v>
      </c>
      <c r="K21" s="21">
        <f t="shared" si="3"/>
        <v>-10</v>
      </c>
      <c r="L21" s="21">
        <f t="shared" si="0"/>
        <v>10</v>
      </c>
      <c r="M21" s="21">
        <f t="shared" si="1"/>
        <v>-10</v>
      </c>
      <c r="N21" s="21"/>
      <c r="O21" s="21"/>
      <c r="P21" s="5"/>
      <c r="Q21" s="43"/>
      <c r="R21" s="32"/>
      <c r="S21" s="21">
        <f t="shared" si="2"/>
        <v>0</v>
      </c>
      <c r="T21" s="132"/>
      <c r="U21" s="78">
        <f t="shared" si="4"/>
        <v>0</v>
      </c>
      <c r="V21" s="140"/>
      <c r="W21" s="147"/>
      <c r="X21" s="23"/>
      <c r="Y21" s="340"/>
      <c r="Z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5">
      <c r="A22" s="143">
        <v>18</v>
      </c>
      <c r="B22" s="92">
        <v>45222</v>
      </c>
      <c r="C22" s="31"/>
      <c r="D22" s="32"/>
      <c r="E22" s="32"/>
      <c r="F22" s="32"/>
      <c r="G22" s="39"/>
      <c r="H22" s="39"/>
      <c r="I22" s="42"/>
      <c r="J22" s="43">
        <v>10</v>
      </c>
      <c r="K22" s="21">
        <f t="shared" si="3"/>
        <v>-10</v>
      </c>
      <c r="L22" s="21">
        <f t="shared" si="0"/>
        <v>10</v>
      </c>
      <c r="M22" s="21">
        <f t="shared" si="1"/>
        <v>-10</v>
      </c>
      <c r="N22" s="21"/>
      <c r="O22" s="21"/>
      <c r="P22" s="5"/>
      <c r="Q22" s="135"/>
      <c r="R22" s="104"/>
      <c r="S22" s="21">
        <f t="shared" si="2"/>
        <v>0</v>
      </c>
      <c r="T22" s="131"/>
      <c r="U22" s="78">
        <f t="shared" si="4"/>
        <v>0</v>
      </c>
      <c r="V22" s="140"/>
      <c r="W22" s="138"/>
      <c r="X22" s="32"/>
      <c r="Z22" s="5"/>
    </row>
    <row r="23" spans="1:38" x14ac:dyDescent="0.25">
      <c r="A23" s="143">
        <v>19</v>
      </c>
      <c r="B23" s="92">
        <v>45222</v>
      </c>
      <c r="C23" s="31"/>
      <c r="D23" s="32"/>
      <c r="E23" s="32"/>
      <c r="F23" s="32"/>
      <c r="G23" s="39"/>
      <c r="H23" s="39"/>
      <c r="I23" s="42"/>
      <c r="J23" s="43">
        <v>10</v>
      </c>
      <c r="K23" s="21">
        <f t="shared" si="3"/>
        <v>-10</v>
      </c>
      <c r="L23" s="21">
        <f t="shared" si="0"/>
        <v>10</v>
      </c>
      <c r="M23" s="21">
        <f t="shared" si="1"/>
        <v>-10</v>
      </c>
      <c r="N23" s="21"/>
      <c r="O23" s="21"/>
      <c r="P23" s="5"/>
      <c r="Q23" s="32"/>
      <c r="R23" s="32"/>
      <c r="S23" s="21">
        <f t="shared" si="2"/>
        <v>0</v>
      </c>
      <c r="T23" s="32"/>
      <c r="U23" s="78">
        <f t="shared" si="4"/>
        <v>0</v>
      </c>
      <c r="V23" s="140"/>
      <c r="W23" s="138"/>
      <c r="X23" s="32"/>
      <c r="Z23" s="5"/>
      <c r="AH23">
        <v>70</v>
      </c>
    </row>
    <row r="24" spans="1:38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22">
        <f>SUM(N9:N23)</f>
        <v>637</v>
      </c>
      <c r="O24" s="5"/>
      <c r="P24" s="5"/>
      <c r="Q24" s="5"/>
      <c r="R24" s="5"/>
      <c r="S24" s="5"/>
      <c r="T24" s="5"/>
      <c r="U24" s="5"/>
      <c r="V24" s="141"/>
      <c r="W24" s="5"/>
      <c r="X24" s="5"/>
      <c r="Y24" s="5"/>
      <c r="Z24" s="5"/>
      <c r="AH24">
        <v>50</v>
      </c>
    </row>
    <row r="25" spans="1:38" x14ac:dyDescent="0.25">
      <c r="AH25">
        <v>35</v>
      </c>
    </row>
    <row r="26" spans="1:38" x14ac:dyDescent="0.25">
      <c r="AH26">
        <f>+SUM(AH23:AH25)</f>
        <v>155</v>
      </c>
    </row>
    <row r="30" spans="1:38" x14ac:dyDescent="0.25">
      <c r="A30">
        <v>187</v>
      </c>
    </row>
    <row r="31" spans="1:38" x14ac:dyDescent="0.25">
      <c r="C31" t="s">
        <v>1999</v>
      </c>
    </row>
    <row r="33" spans="1:40" x14ac:dyDescent="0.25">
      <c r="A33" s="1" t="s">
        <v>0</v>
      </c>
      <c r="B33" s="1"/>
      <c r="C33" s="1"/>
      <c r="D33" s="1"/>
      <c r="E33" s="1"/>
      <c r="F33" s="1"/>
      <c r="G33" s="1"/>
      <c r="H33" s="1"/>
      <c r="I33" s="1" t="s">
        <v>148</v>
      </c>
      <c r="J33" s="1"/>
      <c r="K33" s="1"/>
      <c r="L33" s="1"/>
      <c r="M33" s="1"/>
      <c r="N33" s="1"/>
      <c r="O33" s="1"/>
      <c r="P33" s="1"/>
      <c r="Q33" s="1"/>
      <c r="R33" s="1"/>
      <c r="S33" s="342" t="s">
        <v>1</v>
      </c>
      <c r="T33" s="342"/>
      <c r="U33" s="5"/>
      <c r="V33" s="139"/>
      <c r="W33" s="1"/>
      <c r="X33" s="1"/>
      <c r="Y33" s="1"/>
      <c r="Z33" s="5"/>
      <c r="AC33" s="335" t="s">
        <v>160</v>
      </c>
      <c r="AD33" s="336"/>
      <c r="AG33" s="335" t="s">
        <v>170</v>
      </c>
      <c r="AH33" s="336"/>
      <c r="AJ33" s="337" t="s">
        <v>172</v>
      </c>
      <c r="AK33" s="337"/>
      <c r="AM33" s="337" t="s">
        <v>681</v>
      </c>
      <c r="AN33" s="337"/>
    </row>
    <row r="34" spans="1:40" ht="90" x14ac:dyDescent="0.25">
      <c r="A34" s="6" t="s">
        <v>2</v>
      </c>
      <c r="B34" s="7" t="s">
        <v>3</v>
      </c>
      <c r="C34" s="7" t="s">
        <v>4</v>
      </c>
      <c r="D34" s="6" t="s">
        <v>5</v>
      </c>
      <c r="E34" s="6" t="s">
        <v>6</v>
      </c>
      <c r="F34" s="6" t="s">
        <v>7</v>
      </c>
      <c r="G34" s="6" t="s">
        <v>8</v>
      </c>
      <c r="H34" s="8" t="s">
        <v>9</v>
      </c>
      <c r="I34" s="9" t="s">
        <v>10</v>
      </c>
      <c r="J34" s="8" t="s">
        <v>11</v>
      </c>
      <c r="K34" s="10" t="s">
        <v>12</v>
      </c>
      <c r="L34" s="10" t="s">
        <v>13</v>
      </c>
      <c r="M34" s="11" t="s">
        <v>14</v>
      </c>
      <c r="N34" s="10" t="s">
        <v>691</v>
      </c>
      <c r="O34" s="10" t="s">
        <v>28</v>
      </c>
      <c r="P34" s="5"/>
      <c r="Q34" s="10" t="s">
        <v>16</v>
      </c>
      <c r="R34" s="10" t="s">
        <v>17</v>
      </c>
      <c r="S34" s="10" t="s">
        <v>18</v>
      </c>
      <c r="T34" s="10" t="s">
        <v>19</v>
      </c>
      <c r="U34" s="10" t="s">
        <v>20</v>
      </c>
      <c r="V34" s="13"/>
      <c r="W34" s="136" t="s">
        <v>688</v>
      </c>
      <c r="X34" s="14" t="s">
        <v>22</v>
      </c>
      <c r="Y34" s="15" t="s">
        <v>23</v>
      </c>
      <c r="Z34" s="5"/>
      <c r="AB34">
        <v>20</v>
      </c>
      <c r="AC34" s="16" t="s">
        <v>161</v>
      </c>
      <c r="AD34" s="58">
        <f>+AB34*10</f>
        <v>200</v>
      </c>
      <c r="AF34">
        <v>19</v>
      </c>
      <c r="AG34" s="16" t="s">
        <v>161</v>
      </c>
      <c r="AH34" s="58">
        <f>+AF34*10</f>
        <v>190</v>
      </c>
      <c r="AJ34" s="61" t="s">
        <v>173</v>
      </c>
      <c r="AK34" s="62" t="s">
        <v>174</v>
      </c>
      <c r="AM34" s="16" t="s">
        <v>161</v>
      </c>
      <c r="AN34" s="58">
        <f>+AL34*10</f>
        <v>0</v>
      </c>
    </row>
    <row r="35" spans="1:40" x14ac:dyDescent="0.25">
      <c r="A35" s="16">
        <v>1</v>
      </c>
      <c r="B35" s="92">
        <v>45223</v>
      </c>
      <c r="C35" s="31" t="s">
        <v>1806</v>
      </c>
      <c r="D35" s="32"/>
      <c r="E35" s="32" t="s">
        <v>1997</v>
      </c>
      <c r="F35" s="39" t="s">
        <v>1483</v>
      </c>
      <c r="G35" s="39" t="s">
        <v>1996</v>
      </c>
      <c r="H35" s="122"/>
      <c r="I35" s="32">
        <v>817</v>
      </c>
      <c r="J35" s="20">
        <v>30</v>
      </c>
      <c r="K35" s="21">
        <f>U35-J35-O35</f>
        <v>0</v>
      </c>
      <c r="L35" s="21">
        <f t="shared" ref="L35:L53" si="5">+I35+J35</f>
        <v>847</v>
      </c>
      <c r="M35" s="21">
        <f t="shared" ref="M35:M53" si="6">+H35-L35</f>
        <v>-847</v>
      </c>
      <c r="N35" s="21"/>
      <c r="O35" s="21"/>
      <c r="P35" s="5"/>
      <c r="Q35" s="21">
        <v>600</v>
      </c>
      <c r="R35" s="16"/>
      <c r="S35" s="21">
        <f t="shared" ref="S35:S53" si="7">+Q35+R35</f>
        <v>600</v>
      </c>
      <c r="T35" s="21">
        <v>630</v>
      </c>
      <c r="U35" s="78">
        <f>T35-S35-O35</f>
        <v>30</v>
      </c>
      <c r="V35" s="13"/>
      <c r="W35" s="147"/>
      <c r="X35" s="23"/>
      <c r="Y35" s="333"/>
      <c r="Z35" s="5"/>
      <c r="AB35">
        <v>29</v>
      </c>
      <c r="AC35" s="59" t="s">
        <v>162</v>
      </c>
      <c r="AD35" s="18">
        <f>+AB35*1</f>
        <v>29</v>
      </c>
      <c r="AF35">
        <v>72</v>
      </c>
      <c r="AG35" s="59" t="s">
        <v>162</v>
      </c>
      <c r="AH35" s="18">
        <f>+AF35*1</f>
        <v>72</v>
      </c>
      <c r="AJ35" s="16">
        <v>300</v>
      </c>
      <c r="AK35" s="16"/>
      <c r="AM35" s="59" t="s">
        <v>162</v>
      </c>
      <c r="AN35" s="18">
        <f>+AL35*1</f>
        <v>0</v>
      </c>
    </row>
    <row r="36" spans="1:40" x14ac:dyDescent="0.25">
      <c r="A36" s="26">
        <v>2</v>
      </c>
      <c r="B36" s="92">
        <v>45223</v>
      </c>
      <c r="C36" s="31" t="s">
        <v>1806</v>
      </c>
      <c r="D36" s="32"/>
      <c r="E36" s="32" t="s">
        <v>1995</v>
      </c>
      <c r="F36" s="39" t="s">
        <v>1483</v>
      </c>
      <c r="G36" s="39" t="s">
        <v>1231</v>
      </c>
      <c r="H36" s="122"/>
      <c r="I36" s="32">
        <v>200</v>
      </c>
      <c r="J36" s="20">
        <v>30</v>
      </c>
      <c r="K36" s="21">
        <f>U36-J36-O36</f>
        <v>0</v>
      </c>
      <c r="L36" s="21">
        <f t="shared" si="5"/>
        <v>230</v>
      </c>
      <c r="M36" s="21">
        <f t="shared" si="6"/>
        <v>-230</v>
      </c>
      <c r="N36" s="21"/>
      <c r="O36" s="21"/>
      <c r="P36" s="5"/>
      <c r="Q36" s="21"/>
      <c r="R36" s="16"/>
      <c r="S36" s="21">
        <f t="shared" si="7"/>
        <v>0</v>
      </c>
      <c r="T36" s="21">
        <v>30</v>
      </c>
      <c r="U36" s="78">
        <f t="shared" ref="U36:U53" si="8">T36-S36-O36</f>
        <v>30</v>
      </c>
      <c r="V36" s="140"/>
      <c r="W36" s="147"/>
      <c r="X36" s="23"/>
      <c r="Y36" s="334"/>
      <c r="Z36" s="5"/>
      <c r="AB36">
        <v>35.5</v>
      </c>
      <c r="AC36" s="16" t="s">
        <v>163</v>
      </c>
      <c r="AD36" s="60">
        <f>+AB36*5</f>
        <v>177.5</v>
      </c>
      <c r="AF36">
        <v>27</v>
      </c>
      <c r="AG36" s="16" t="s">
        <v>163</v>
      </c>
      <c r="AH36" s="60">
        <f>+AF36*5</f>
        <v>135</v>
      </c>
      <c r="AJ36" s="16"/>
      <c r="AK36" s="16"/>
      <c r="AM36" s="16" t="s">
        <v>163</v>
      </c>
      <c r="AN36" s="60">
        <f>+AL36*5</f>
        <v>0</v>
      </c>
    </row>
    <row r="37" spans="1:40" x14ac:dyDescent="0.25">
      <c r="A37" s="143">
        <v>3</v>
      </c>
      <c r="B37" s="92">
        <v>45223</v>
      </c>
      <c r="C37" s="31" t="s">
        <v>842</v>
      </c>
      <c r="D37" s="32"/>
      <c r="E37" s="32" t="s">
        <v>106</v>
      </c>
      <c r="F37" s="32" t="s">
        <v>2003</v>
      </c>
      <c r="G37" s="39" t="s">
        <v>1998</v>
      </c>
      <c r="H37" s="122"/>
      <c r="I37" s="32">
        <v>96.5</v>
      </c>
      <c r="J37" s="20">
        <v>14</v>
      </c>
      <c r="K37" s="21">
        <v>20</v>
      </c>
      <c r="L37" s="21">
        <f t="shared" si="5"/>
        <v>110.5</v>
      </c>
      <c r="M37" s="21">
        <f t="shared" si="6"/>
        <v>-110.5</v>
      </c>
      <c r="N37" s="21">
        <v>131</v>
      </c>
      <c r="O37" s="21"/>
      <c r="P37" s="5"/>
      <c r="Q37" s="21">
        <v>200</v>
      </c>
      <c r="R37" s="16"/>
      <c r="S37" s="21">
        <f t="shared" si="7"/>
        <v>200</v>
      </c>
      <c r="T37" s="21">
        <v>214</v>
      </c>
      <c r="U37" s="78">
        <f t="shared" si="8"/>
        <v>14</v>
      </c>
      <c r="V37" s="140"/>
      <c r="W37" s="147"/>
      <c r="X37" s="23"/>
      <c r="Y37" s="334"/>
      <c r="Z37" s="5"/>
      <c r="AB37">
        <v>1</v>
      </c>
      <c r="AC37" s="16" t="s">
        <v>164</v>
      </c>
      <c r="AD37" s="18">
        <f>+AB37*200</f>
        <v>200</v>
      </c>
      <c r="AG37" s="16" t="s">
        <v>164</v>
      </c>
      <c r="AH37" s="18">
        <f>+AF37*200</f>
        <v>0</v>
      </c>
      <c r="AJ37" s="16"/>
      <c r="AK37" s="16"/>
      <c r="AM37" s="16" t="s">
        <v>164</v>
      </c>
      <c r="AN37" s="18">
        <f>+AL37*200</f>
        <v>0</v>
      </c>
    </row>
    <row r="38" spans="1:40" x14ac:dyDescent="0.25">
      <c r="A38" s="143">
        <v>4</v>
      </c>
      <c r="B38" s="92">
        <v>45223</v>
      </c>
      <c r="C38" s="31" t="s">
        <v>868</v>
      </c>
      <c r="D38" s="32"/>
      <c r="E38" s="32" t="s">
        <v>2002</v>
      </c>
      <c r="F38" s="32" t="s">
        <v>865</v>
      </c>
      <c r="G38" s="39" t="s">
        <v>2000</v>
      </c>
      <c r="H38" s="122"/>
      <c r="I38" s="32">
        <v>31</v>
      </c>
      <c r="J38" s="20">
        <v>12</v>
      </c>
      <c r="K38" s="21">
        <v>7</v>
      </c>
      <c r="L38" s="21">
        <f t="shared" si="5"/>
        <v>43</v>
      </c>
      <c r="M38" s="21">
        <f t="shared" si="6"/>
        <v>-43</v>
      </c>
      <c r="N38" s="21">
        <v>31</v>
      </c>
      <c r="O38" s="21"/>
      <c r="P38" s="5"/>
      <c r="Q38" s="21"/>
      <c r="R38" s="16"/>
      <c r="S38" s="21">
        <f t="shared" si="7"/>
        <v>0</v>
      </c>
      <c r="T38" s="21">
        <v>12</v>
      </c>
      <c r="U38" s="78">
        <f t="shared" si="8"/>
        <v>12</v>
      </c>
      <c r="V38" s="140"/>
      <c r="W38" s="147"/>
      <c r="X38" s="23"/>
      <c r="Y38" s="334"/>
      <c r="Z38" s="5"/>
      <c r="AC38" s="16" t="s">
        <v>165</v>
      </c>
      <c r="AD38" s="18">
        <f>+AB38*100</f>
        <v>0</v>
      </c>
      <c r="AG38" s="16" t="s">
        <v>165</v>
      </c>
      <c r="AH38" s="18">
        <f>+AF38*100</f>
        <v>0</v>
      </c>
      <c r="AJ38" s="16"/>
      <c r="AK38" s="16"/>
      <c r="AM38" s="16" t="s">
        <v>165</v>
      </c>
      <c r="AN38" s="18">
        <f>+AL38*100</f>
        <v>0</v>
      </c>
    </row>
    <row r="39" spans="1:40" x14ac:dyDescent="0.25">
      <c r="A39" s="143">
        <v>5</v>
      </c>
      <c r="B39" s="92">
        <v>45223</v>
      </c>
      <c r="C39" s="31" t="s">
        <v>364</v>
      </c>
      <c r="D39" s="32"/>
      <c r="E39" s="32" t="s">
        <v>408</v>
      </c>
      <c r="F39" s="32" t="s">
        <v>1056</v>
      </c>
      <c r="G39" s="32" t="s">
        <v>2001</v>
      </c>
      <c r="H39" s="122"/>
      <c r="I39" s="32">
        <v>307</v>
      </c>
      <c r="J39" s="20">
        <v>14</v>
      </c>
      <c r="K39" s="21">
        <v>20</v>
      </c>
      <c r="L39" s="21">
        <f t="shared" si="5"/>
        <v>321</v>
      </c>
      <c r="M39" s="21">
        <f t="shared" si="6"/>
        <v>-321</v>
      </c>
      <c r="N39" s="21"/>
      <c r="O39" s="21"/>
      <c r="P39" s="5"/>
      <c r="Q39" s="16">
        <v>500</v>
      </c>
      <c r="R39" s="16"/>
      <c r="S39" s="21">
        <f t="shared" si="7"/>
        <v>500</v>
      </c>
      <c r="T39" s="21">
        <v>514</v>
      </c>
      <c r="U39" s="78">
        <f t="shared" si="8"/>
        <v>14</v>
      </c>
      <c r="V39" s="140"/>
      <c r="W39" s="147"/>
      <c r="X39" s="23"/>
      <c r="Y39" s="334"/>
      <c r="Z39" s="5"/>
      <c r="AB39">
        <v>1</v>
      </c>
      <c r="AC39" s="16" t="s">
        <v>166</v>
      </c>
      <c r="AD39" s="18">
        <f>+AB39*50</f>
        <v>50</v>
      </c>
      <c r="AF39">
        <v>1</v>
      </c>
      <c r="AG39" s="16" t="s">
        <v>166</v>
      </c>
      <c r="AH39" s="18">
        <f>+AF39*50</f>
        <v>50</v>
      </c>
      <c r="AJ39" s="16"/>
      <c r="AK39" s="16"/>
      <c r="AM39" s="16" t="s">
        <v>166</v>
      </c>
      <c r="AN39" s="18">
        <f>+AL39*50</f>
        <v>0</v>
      </c>
    </row>
    <row r="40" spans="1:40" x14ac:dyDescent="0.25">
      <c r="A40" s="143">
        <v>6</v>
      </c>
      <c r="B40" s="92">
        <v>45223</v>
      </c>
      <c r="C40" s="31" t="s">
        <v>255</v>
      </c>
      <c r="D40" s="32"/>
      <c r="E40" s="32" t="s">
        <v>2005</v>
      </c>
      <c r="F40" s="32" t="s">
        <v>1651</v>
      </c>
      <c r="G40" s="39" t="s">
        <v>2004</v>
      </c>
      <c r="H40" s="39">
        <v>150</v>
      </c>
      <c r="I40" s="42">
        <v>264</v>
      </c>
      <c r="J40" s="20">
        <v>10</v>
      </c>
      <c r="K40" s="21"/>
      <c r="L40" s="21">
        <f t="shared" si="5"/>
        <v>274</v>
      </c>
      <c r="M40" s="21">
        <f t="shared" si="6"/>
        <v>-124</v>
      </c>
      <c r="N40" s="21"/>
      <c r="O40" s="21"/>
      <c r="P40" s="5"/>
      <c r="Q40" s="16">
        <v>150</v>
      </c>
      <c r="R40" s="16"/>
      <c r="S40" s="21">
        <f t="shared" si="7"/>
        <v>150</v>
      </c>
      <c r="T40" s="16">
        <v>164</v>
      </c>
      <c r="U40" s="78">
        <f t="shared" si="8"/>
        <v>14</v>
      </c>
      <c r="V40" s="140"/>
      <c r="W40" s="147"/>
      <c r="X40" s="23"/>
      <c r="Y40" s="334"/>
      <c r="Z40" s="5"/>
      <c r="AB40">
        <v>4</v>
      </c>
      <c r="AC40" s="16" t="s">
        <v>167</v>
      </c>
      <c r="AD40" s="18">
        <f>+AB40*20</f>
        <v>80</v>
      </c>
      <c r="AF40">
        <v>1</v>
      </c>
      <c r="AG40" s="16" t="s">
        <v>167</v>
      </c>
      <c r="AH40" s="18">
        <f>+AF40*20</f>
        <v>20</v>
      </c>
      <c r="AJ40" s="16"/>
      <c r="AK40" s="16"/>
      <c r="AM40" s="16" t="s">
        <v>167</v>
      </c>
      <c r="AN40" s="18">
        <f>+AL40*20</f>
        <v>0</v>
      </c>
    </row>
    <row r="41" spans="1:40" x14ac:dyDescent="0.25">
      <c r="A41" s="143">
        <v>7</v>
      </c>
      <c r="B41" s="92">
        <v>45223</v>
      </c>
      <c r="C41" s="31" t="s">
        <v>560</v>
      </c>
      <c r="D41" s="32"/>
      <c r="E41" s="32" t="s">
        <v>2007</v>
      </c>
      <c r="F41" s="32" t="s">
        <v>1613</v>
      </c>
      <c r="G41" s="39" t="s">
        <v>2006</v>
      </c>
      <c r="H41" s="122"/>
      <c r="I41" s="42">
        <v>216</v>
      </c>
      <c r="J41" s="20">
        <v>10</v>
      </c>
      <c r="K41" s="21">
        <v>10</v>
      </c>
      <c r="L41" s="21">
        <f t="shared" si="5"/>
        <v>226</v>
      </c>
      <c r="M41" s="21">
        <f t="shared" si="6"/>
        <v>-226</v>
      </c>
      <c r="N41" s="21"/>
      <c r="O41" s="21"/>
      <c r="P41" s="5"/>
      <c r="Q41" s="16">
        <v>300</v>
      </c>
      <c r="R41" s="16"/>
      <c r="S41" s="21">
        <f t="shared" si="7"/>
        <v>300</v>
      </c>
      <c r="T41" s="16">
        <v>310</v>
      </c>
      <c r="U41" s="78">
        <f t="shared" si="8"/>
        <v>10</v>
      </c>
      <c r="V41" s="140"/>
      <c r="W41" s="147"/>
      <c r="X41" s="23"/>
      <c r="Y41" s="334"/>
      <c r="Z41" s="5"/>
      <c r="AB41">
        <v>1</v>
      </c>
      <c r="AC41" s="16" t="s">
        <v>171</v>
      </c>
      <c r="AD41" s="18">
        <f>+AB41*500</f>
        <v>500</v>
      </c>
      <c r="AF41">
        <v>2</v>
      </c>
      <c r="AG41" s="16" t="s">
        <v>171</v>
      </c>
      <c r="AH41" s="18">
        <f>+AF41*500</f>
        <v>1000</v>
      </c>
      <c r="AJ41" s="16"/>
      <c r="AK41" s="16"/>
      <c r="AM41" s="16" t="s">
        <v>171</v>
      </c>
      <c r="AN41" s="18">
        <f>+AL41*500</f>
        <v>0</v>
      </c>
    </row>
    <row r="42" spans="1:40" x14ac:dyDescent="0.25">
      <c r="A42" s="143">
        <v>8</v>
      </c>
      <c r="B42" s="92">
        <v>45223</v>
      </c>
      <c r="C42" s="31" t="s">
        <v>2008</v>
      </c>
      <c r="D42" s="123"/>
      <c r="E42" s="123" t="s">
        <v>83</v>
      </c>
      <c r="F42" s="123" t="s">
        <v>2010</v>
      </c>
      <c r="G42" s="123" t="s">
        <v>2009</v>
      </c>
      <c r="H42" s="122"/>
      <c r="I42" s="32">
        <v>58</v>
      </c>
      <c r="J42" s="20">
        <v>12</v>
      </c>
      <c r="K42" s="21">
        <v>20</v>
      </c>
      <c r="L42" s="21">
        <f t="shared" si="5"/>
        <v>70</v>
      </c>
      <c r="M42" s="21">
        <f t="shared" si="6"/>
        <v>-70</v>
      </c>
      <c r="N42" s="21"/>
      <c r="O42" s="21"/>
      <c r="P42" s="5"/>
      <c r="Q42" s="16"/>
      <c r="R42" s="16"/>
      <c r="S42" s="21">
        <f t="shared" si="7"/>
        <v>0</v>
      </c>
      <c r="T42" s="16">
        <v>12</v>
      </c>
      <c r="U42" s="78">
        <f t="shared" si="8"/>
        <v>12</v>
      </c>
      <c r="V42" s="140"/>
      <c r="W42" s="147"/>
      <c r="X42" s="23"/>
      <c r="Y42" s="334"/>
      <c r="Z42" s="5"/>
      <c r="AC42" s="16" t="s">
        <v>168</v>
      </c>
      <c r="AD42" s="18">
        <f>+AB42*1000</f>
        <v>0</v>
      </c>
      <c r="AG42" s="16" t="s">
        <v>168</v>
      </c>
      <c r="AH42" s="18">
        <f>+AF42*1000</f>
        <v>0</v>
      </c>
      <c r="AJ42" s="16"/>
      <c r="AK42" s="16"/>
      <c r="AM42" s="16" t="s">
        <v>168</v>
      </c>
      <c r="AN42" s="18">
        <f>+AL42*1000</f>
        <v>0</v>
      </c>
    </row>
    <row r="43" spans="1:40" x14ac:dyDescent="0.25">
      <c r="A43" s="143">
        <v>9</v>
      </c>
      <c r="B43" s="92">
        <v>45223</v>
      </c>
      <c r="C43" s="31" t="s">
        <v>913</v>
      </c>
      <c r="D43" s="32"/>
      <c r="E43" s="32" t="s">
        <v>897</v>
      </c>
      <c r="F43" s="32"/>
      <c r="G43" s="39" t="s">
        <v>1745</v>
      </c>
      <c r="H43" s="39">
        <v>100</v>
      </c>
      <c r="I43" s="40">
        <v>57</v>
      </c>
      <c r="J43" s="20">
        <v>10</v>
      </c>
      <c r="K43" s="21"/>
      <c r="L43" s="21">
        <f t="shared" si="5"/>
        <v>67</v>
      </c>
      <c r="M43" s="21">
        <f t="shared" si="6"/>
        <v>33</v>
      </c>
      <c r="N43" s="21">
        <v>57</v>
      </c>
      <c r="O43" s="21"/>
      <c r="P43" s="5"/>
      <c r="Q43" s="16">
        <v>200</v>
      </c>
      <c r="R43" s="16"/>
      <c r="S43" s="21">
        <f t="shared" si="7"/>
        <v>200</v>
      </c>
      <c r="T43" s="16">
        <v>212</v>
      </c>
      <c r="U43" s="78">
        <f t="shared" si="8"/>
        <v>12</v>
      </c>
      <c r="V43" s="140"/>
      <c r="W43" s="147"/>
      <c r="X43" s="23"/>
      <c r="Y43" s="334"/>
      <c r="Z43" s="5"/>
      <c r="AC43" s="26"/>
      <c r="AD43" s="58"/>
      <c r="AG43" s="26"/>
      <c r="AH43" s="58"/>
      <c r="AJ43" s="16"/>
      <c r="AK43" s="16"/>
      <c r="AM43" s="26"/>
      <c r="AN43" s="58"/>
    </row>
    <row r="44" spans="1:40" x14ac:dyDescent="0.25">
      <c r="A44" s="143">
        <v>10</v>
      </c>
      <c r="B44" s="92">
        <v>45223</v>
      </c>
      <c r="C44" s="31" t="s">
        <v>1238</v>
      </c>
      <c r="D44" s="32">
        <v>5532536647</v>
      </c>
      <c r="E44" s="32" t="s">
        <v>134</v>
      </c>
      <c r="F44" s="32" t="s">
        <v>818</v>
      </c>
      <c r="G44" s="39" t="s">
        <v>2011</v>
      </c>
      <c r="H44" s="122">
        <v>137</v>
      </c>
      <c r="I44" s="42">
        <v>113</v>
      </c>
      <c r="J44" s="20">
        <v>14</v>
      </c>
      <c r="K44" s="21">
        <v>10</v>
      </c>
      <c r="L44" s="21">
        <f t="shared" si="5"/>
        <v>127</v>
      </c>
      <c r="M44" s="21">
        <v>0</v>
      </c>
      <c r="N44" s="21"/>
      <c r="O44" s="21"/>
      <c r="P44" s="5"/>
      <c r="Q44" s="16">
        <v>500</v>
      </c>
      <c r="R44" s="16"/>
      <c r="S44" s="21">
        <f t="shared" si="7"/>
        <v>500</v>
      </c>
      <c r="T44" s="16">
        <v>514</v>
      </c>
      <c r="U44" s="78">
        <f t="shared" si="8"/>
        <v>14</v>
      </c>
      <c r="V44" s="140"/>
      <c r="W44" s="147"/>
      <c r="X44" s="23"/>
      <c r="Y44" s="334"/>
      <c r="Z44" s="5"/>
      <c r="AC44" s="16" t="s">
        <v>169</v>
      </c>
      <c r="AD44" s="18">
        <f>SUM(AD34:AD43)</f>
        <v>1236.5</v>
      </c>
      <c r="AG44" s="16" t="s">
        <v>169</v>
      </c>
      <c r="AH44" s="18">
        <f>SUM(AH34:AH43)</f>
        <v>1467</v>
      </c>
      <c r="AJ44" s="16"/>
      <c r="AK44" s="16"/>
      <c r="AM44" s="16" t="s">
        <v>169</v>
      </c>
      <c r="AN44" s="18"/>
    </row>
    <row r="45" spans="1:40" x14ac:dyDescent="0.25">
      <c r="A45" s="143">
        <v>11</v>
      </c>
      <c r="B45" s="92">
        <v>45223</v>
      </c>
      <c r="C45" s="31" t="s">
        <v>2015</v>
      </c>
      <c r="D45" s="124">
        <v>5614311291</v>
      </c>
      <c r="E45" s="123" t="s">
        <v>2016</v>
      </c>
      <c r="F45" s="123" t="s">
        <v>2013</v>
      </c>
      <c r="G45" s="39" t="s">
        <v>2014</v>
      </c>
      <c r="H45" s="122">
        <v>200</v>
      </c>
      <c r="I45" s="42">
        <v>78</v>
      </c>
      <c r="J45" s="20">
        <v>12</v>
      </c>
      <c r="K45" s="21">
        <v>0</v>
      </c>
      <c r="L45" s="21">
        <f t="shared" si="5"/>
        <v>90</v>
      </c>
      <c r="M45" s="21">
        <f t="shared" si="6"/>
        <v>110</v>
      </c>
      <c r="N45" s="21"/>
      <c r="O45" s="21"/>
      <c r="P45" s="5"/>
      <c r="Q45" s="16">
        <v>200</v>
      </c>
      <c r="R45" s="16"/>
      <c r="S45" s="21">
        <f t="shared" si="7"/>
        <v>200</v>
      </c>
      <c r="T45" s="16">
        <v>212</v>
      </c>
      <c r="U45" s="78">
        <f t="shared" si="8"/>
        <v>12</v>
      </c>
      <c r="V45" s="140"/>
      <c r="W45" s="147"/>
      <c r="X45" s="23"/>
      <c r="Y45" s="334"/>
      <c r="Z45" s="5"/>
      <c r="AD45">
        <v>1280</v>
      </c>
      <c r="AJ45" s="16"/>
      <c r="AK45" s="16"/>
      <c r="AM45" s="16"/>
      <c r="AN45" s="16"/>
    </row>
    <row r="46" spans="1:40" x14ac:dyDescent="0.25">
      <c r="A46" s="143">
        <v>12</v>
      </c>
      <c r="B46" s="92">
        <v>45223</v>
      </c>
      <c r="C46" s="32" t="s">
        <v>1241</v>
      </c>
      <c r="D46" s="32">
        <v>5629985003</v>
      </c>
      <c r="E46" s="124" t="s">
        <v>38</v>
      </c>
      <c r="F46" s="123" t="s">
        <v>195</v>
      </c>
      <c r="G46" s="39" t="s">
        <v>2012</v>
      </c>
      <c r="H46" s="39">
        <v>200</v>
      </c>
      <c r="I46" s="42">
        <v>120</v>
      </c>
      <c r="J46" s="20">
        <v>14</v>
      </c>
      <c r="K46" s="21">
        <v>0</v>
      </c>
      <c r="L46" s="21">
        <f t="shared" si="5"/>
        <v>134</v>
      </c>
      <c r="M46" s="21">
        <f t="shared" si="6"/>
        <v>66</v>
      </c>
      <c r="N46" s="21"/>
      <c r="O46" s="21"/>
      <c r="P46" s="5"/>
      <c r="Q46" s="45">
        <v>200</v>
      </c>
      <c r="R46" s="44"/>
      <c r="S46" s="21">
        <f t="shared" si="7"/>
        <v>200</v>
      </c>
      <c r="T46" s="45"/>
      <c r="U46" s="78">
        <f t="shared" si="8"/>
        <v>-200</v>
      </c>
      <c r="V46" s="140"/>
      <c r="W46" s="147"/>
      <c r="X46" s="23"/>
      <c r="Y46" s="334"/>
      <c r="Z46" s="5"/>
      <c r="AJ46" s="63" t="s">
        <v>169</v>
      </c>
      <c r="AK46" s="63">
        <f>+SUM(AJ35:AJ45)-SUM(AK35:AK45)</f>
        <v>300</v>
      </c>
      <c r="AM46" s="63" t="s">
        <v>169</v>
      </c>
      <c r="AN46" s="85">
        <f>+SUM(AM34:AM45)-SUM(AN35:AN45)</f>
        <v>0</v>
      </c>
    </row>
    <row r="47" spans="1:40" x14ac:dyDescent="0.25">
      <c r="A47" s="143">
        <v>13</v>
      </c>
      <c r="B47" s="92">
        <v>45223</v>
      </c>
      <c r="C47" s="31" t="s">
        <v>1939</v>
      </c>
      <c r="D47" s="32">
        <v>5515394688</v>
      </c>
      <c r="E47" s="32" t="s">
        <v>106</v>
      </c>
      <c r="F47" s="32" t="s">
        <v>2017</v>
      </c>
      <c r="G47" s="39" t="s">
        <v>2018</v>
      </c>
      <c r="H47" s="39">
        <v>200</v>
      </c>
      <c r="I47" s="42">
        <v>58</v>
      </c>
      <c r="J47" s="108">
        <v>12</v>
      </c>
      <c r="K47" s="21">
        <f>U47-J47-O47</f>
        <v>10</v>
      </c>
      <c r="L47" s="21">
        <f t="shared" si="5"/>
        <v>70</v>
      </c>
      <c r="M47" s="21">
        <f t="shared" si="6"/>
        <v>130</v>
      </c>
      <c r="N47" s="21">
        <v>58</v>
      </c>
      <c r="O47" s="21"/>
      <c r="P47" s="5"/>
      <c r="Q47" s="43">
        <v>200</v>
      </c>
      <c r="R47" s="32"/>
      <c r="S47" s="21">
        <f t="shared" si="7"/>
        <v>200</v>
      </c>
      <c r="T47" s="43">
        <v>222</v>
      </c>
      <c r="U47" s="78">
        <f t="shared" si="8"/>
        <v>22</v>
      </c>
      <c r="V47" s="140"/>
      <c r="W47" s="147"/>
      <c r="X47" s="23"/>
      <c r="Y47" s="334"/>
      <c r="Z47" s="5"/>
      <c r="AH47" s="83"/>
    </row>
    <row r="48" spans="1:40" x14ac:dyDescent="0.25">
      <c r="A48" s="143">
        <v>14</v>
      </c>
      <c r="B48" s="92">
        <v>45223</v>
      </c>
      <c r="C48" s="31" t="s">
        <v>560</v>
      </c>
      <c r="D48" s="32"/>
      <c r="E48" s="32" t="s">
        <v>41</v>
      </c>
      <c r="F48" s="32" t="s">
        <v>220</v>
      </c>
      <c r="G48" s="39" t="s">
        <v>2019</v>
      </c>
      <c r="H48" s="39">
        <v>1000</v>
      </c>
      <c r="I48" s="42">
        <v>760</v>
      </c>
      <c r="J48" s="108">
        <v>10</v>
      </c>
      <c r="K48" s="21">
        <v>40</v>
      </c>
      <c r="L48" s="21">
        <f t="shared" si="5"/>
        <v>770</v>
      </c>
      <c r="M48" s="21">
        <f t="shared" si="6"/>
        <v>230</v>
      </c>
      <c r="N48" s="21"/>
      <c r="O48" s="21"/>
      <c r="P48" s="5"/>
      <c r="Q48" s="43">
        <v>700</v>
      </c>
      <c r="R48" s="43"/>
      <c r="S48" s="21">
        <f t="shared" si="7"/>
        <v>700</v>
      </c>
      <c r="T48" s="43">
        <v>720</v>
      </c>
      <c r="U48" s="78">
        <f t="shared" si="8"/>
        <v>20</v>
      </c>
      <c r="V48" s="140"/>
      <c r="W48" s="147"/>
      <c r="X48" s="23"/>
      <c r="Y48" s="334"/>
      <c r="Z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40" x14ac:dyDescent="0.25">
      <c r="A49" s="143">
        <v>15</v>
      </c>
      <c r="B49" s="92">
        <v>45223</v>
      </c>
      <c r="C49" s="127" t="s">
        <v>560</v>
      </c>
      <c r="D49" s="32"/>
      <c r="E49" s="32" t="s">
        <v>2020</v>
      </c>
      <c r="F49" s="128" t="s">
        <v>220</v>
      </c>
      <c r="G49" s="129" t="s">
        <v>2021</v>
      </c>
      <c r="H49" s="39">
        <v>100</v>
      </c>
      <c r="I49" s="42">
        <v>80</v>
      </c>
      <c r="J49" s="108">
        <v>10</v>
      </c>
      <c r="K49" s="21">
        <f>U49-J49-O49</f>
        <v>0</v>
      </c>
      <c r="L49" s="21">
        <f t="shared" si="5"/>
        <v>90</v>
      </c>
      <c r="M49" s="21">
        <f t="shared" si="6"/>
        <v>10</v>
      </c>
      <c r="N49" s="21"/>
      <c r="O49" s="21"/>
      <c r="P49" s="5"/>
      <c r="Q49" s="43">
        <v>100</v>
      </c>
      <c r="R49" s="43"/>
      <c r="S49" s="21">
        <f t="shared" si="7"/>
        <v>100</v>
      </c>
      <c r="T49" s="43">
        <v>110</v>
      </c>
      <c r="U49" s="78">
        <f t="shared" si="8"/>
        <v>10</v>
      </c>
      <c r="V49" s="140"/>
      <c r="W49" s="147"/>
      <c r="X49" s="23"/>
      <c r="Y49" s="334"/>
      <c r="Z49" s="5"/>
      <c r="AC49" s="5"/>
      <c r="AD49" s="134" t="s">
        <v>20</v>
      </c>
      <c r="AE49" s="338"/>
      <c r="AF49" s="341" t="s">
        <v>686</v>
      </c>
      <c r="AG49" s="134" t="s">
        <v>20</v>
      </c>
      <c r="AH49" s="338">
        <v>124.5</v>
      </c>
      <c r="AI49" s="341" t="s">
        <v>687</v>
      </c>
      <c r="AJ49" s="134" t="s">
        <v>20</v>
      </c>
      <c r="AK49" s="338"/>
      <c r="AL49" s="5"/>
    </row>
    <row r="50" spans="1:40" x14ac:dyDescent="0.25">
      <c r="A50" s="143">
        <v>16</v>
      </c>
      <c r="B50" s="92">
        <v>45223</v>
      </c>
      <c r="C50" s="31" t="s">
        <v>252</v>
      </c>
      <c r="D50" s="32"/>
      <c r="E50" s="32" t="s">
        <v>106</v>
      </c>
      <c r="F50" s="32" t="s">
        <v>1053</v>
      </c>
      <c r="G50" s="39" t="s">
        <v>2022</v>
      </c>
      <c r="H50" s="39">
        <v>500</v>
      </c>
      <c r="I50" s="42">
        <v>157</v>
      </c>
      <c r="J50" s="43">
        <v>30</v>
      </c>
      <c r="K50" s="21">
        <v>0</v>
      </c>
      <c r="L50" s="21">
        <f t="shared" si="5"/>
        <v>187</v>
      </c>
      <c r="M50" s="21">
        <f t="shared" si="6"/>
        <v>313</v>
      </c>
      <c r="N50" s="21">
        <v>157</v>
      </c>
      <c r="O50" s="21"/>
      <c r="P50" s="5"/>
      <c r="Q50" s="43">
        <v>200</v>
      </c>
      <c r="R50" s="32"/>
      <c r="S50" s="21">
        <f t="shared" si="7"/>
        <v>200</v>
      </c>
      <c r="T50" s="131">
        <v>230</v>
      </c>
      <c r="U50" s="78">
        <f t="shared" si="8"/>
        <v>30</v>
      </c>
      <c r="V50" s="140"/>
      <c r="W50" s="147"/>
      <c r="X50" s="23"/>
      <c r="Y50" s="334"/>
      <c r="Z50" s="5"/>
      <c r="AC50" s="5" t="s">
        <v>685</v>
      </c>
      <c r="AD50" s="115" t="s">
        <v>684</v>
      </c>
      <c r="AE50" s="339"/>
      <c r="AF50" s="341"/>
      <c r="AG50" s="115" t="s">
        <v>684</v>
      </c>
      <c r="AH50" s="339"/>
      <c r="AI50" s="341"/>
      <c r="AJ50" s="115" t="s">
        <v>684</v>
      </c>
      <c r="AK50" s="339"/>
      <c r="AL50" s="5"/>
    </row>
    <row r="51" spans="1:40" x14ac:dyDescent="0.25">
      <c r="A51" s="143">
        <v>17</v>
      </c>
      <c r="B51" s="92">
        <v>45223</v>
      </c>
      <c r="C51" s="31" t="s">
        <v>1450</v>
      </c>
      <c r="D51" s="32"/>
      <c r="E51" s="32" t="s">
        <v>106</v>
      </c>
      <c r="F51" s="32" t="s">
        <v>625</v>
      </c>
      <c r="G51" s="39" t="s">
        <v>2023</v>
      </c>
      <c r="H51" s="39">
        <v>100</v>
      </c>
      <c r="I51" s="42">
        <v>132</v>
      </c>
      <c r="J51" s="43">
        <v>10</v>
      </c>
      <c r="K51" s="21">
        <f>U51-J51-O51</f>
        <v>6</v>
      </c>
      <c r="L51" s="21">
        <f t="shared" si="5"/>
        <v>142</v>
      </c>
      <c r="M51" s="21">
        <f t="shared" si="6"/>
        <v>-42</v>
      </c>
      <c r="N51" s="21">
        <v>100</v>
      </c>
      <c r="O51" s="21"/>
      <c r="P51" s="5"/>
      <c r="Q51" s="43">
        <v>150</v>
      </c>
      <c r="R51" s="32"/>
      <c r="S51" s="21">
        <f t="shared" si="7"/>
        <v>150</v>
      </c>
      <c r="T51" s="132">
        <v>166</v>
      </c>
      <c r="U51" s="78">
        <f t="shared" si="8"/>
        <v>16</v>
      </c>
      <c r="V51" s="140"/>
      <c r="W51" s="147"/>
      <c r="X51" s="23"/>
      <c r="Y51" s="340"/>
      <c r="Z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40" x14ac:dyDescent="0.25">
      <c r="A52" s="143">
        <v>18</v>
      </c>
      <c r="B52" s="92">
        <v>45223</v>
      </c>
      <c r="C52" s="31" t="s">
        <v>2024</v>
      </c>
      <c r="D52" s="32"/>
      <c r="E52" s="32" t="s">
        <v>451</v>
      </c>
      <c r="F52" s="32" t="s">
        <v>2025</v>
      </c>
      <c r="G52" s="39" t="s">
        <v>2026</v>
      </c>
      <c r="H52" s="39">
        <v>200</v>
      </c>
      <c r="I52" s="42">
        <v>37</v>
      </c>
      <c r="J52" s="43">
        <v>10</v>
      </c>
      <c r="K52" s="21">
        <v>18</v>
      </c>
      <c r="L52" s="21">
        <v>0</v>
      </c>
      <c r="M52" s="21">
        <f t="shared" si="6"/>
        <v>200</v>
      </c>
      <c r="N52" s="21">
        <v>37</v>
      </c>
      <c r="O52" s="21"/>
      <c r="P52" s="5"/>
      <c r="Q52" s="135">
        <v>37</v>
      </c>
      <c r="R52" s="104"/>
      <c r="S52" s="21">
        <f t="shared" si="7"/>
        <v>37</v>
      </c>
      <c r="T52" s="131">
        <v>65</v>
      </c>
      <c r="U52" s="78">
        <f t="shared" si="8"/>
        <v>28</v>
      </c>
      <c r="V52" s="140"/>
      <c r="W52" s="138"/>
      <c r="X52" s="32"/>
      <c r="Z52" s="5"/>
    </row>
    <row r="53" spans="1:40" x14ac:dyDescent="0.25">
      <c r="A53" s="143">
        <v>19</v>
      </c>
      <c r="B53" s="92">
        <v>45223</v>
      </c>
      <c r="C53" s="31" t="s">
        <v>2027</v>
      </c>
      <c r="D53" s="32"/>
      <c r="E53" s="32" t="s">
        <v>451</v>
      </c>
      <c r="F53" s="32" t="s">
        <v>2028</v>
      </c>
      <c r="G53" s="39" t="s">
        <v>2029</v>
      </c>
      <c r="H53" s="39">
        <v>100</v>
      </c>
      <c r="I53" s="42"/>
      <c r="J53" s="43">
        <v>10</v>
      </c>
      <c r="K53" s="21">
        <f>U53-J53-O53</f>
        <v>0</v>
      </c>
      <c r="L53" s="21">
        <f t="shared" si="5"/>
        <v>10</v>
      </c>
      <c r="M53" s="21">
        <f t="shared" si="6"/>
        <v>90</v>
      </c>
      <c r="N53" s="21">
        <v>100</v>
      </c>
      <c r="O53" s="21"/>
      <c r="P53" s="5"/>
      <c r="Q53" s="32">
        <v>100</v>
      </c>
      <c r="R53" s="32"/>
      <c r="S53" s="21">
        <f t="shared" si="7"/>
        <v>100</v>
      </c>
      <c r="T53" s="32">
        <v>110</v>
      </c>
      <c r="U53" s="78">
        <f t="shared" si="8"/>
        <v>10</v>
      </c>
      <c r="V53" s="140"/>
      <c r="W53" s="138"/>
      <c r="X53" s="32"/>
      <c r="Z53" s="5"/>
    </row>
    <row r="54" spans="1:4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22">
        <f>SUM(N35:N53)</f>
        <v>671</v>
      </c>
      <c r="O54" s="5"/>
      <c r="P54" s="5"/>
      <c r="Q54" s="5"/>
      <c r="R54" s="5"/>
      <c r="S54" s="5"/>
      <c r="T54" s="5"/>
      <c r="U54" s="5"/>
      <c r="V54" s="141"/>
      <c r="W54" s="5"/>
      <c r="X54" s="5"/>
      <c r="Y54" s="5"/>
      <c r="Z54" s="5"/>
    </row>
    <row r="58" spans="1:40" x14ac:dyDescent="0.25">
      <c r="A58" t="s">
        <v>2046</v>
      </c>
      <c r="I58" t="s">
        <v>2038</v>
      </c>
      <c r="M58" s="83">
        <f>+N67+N65+100+44+59</f>
        <v>597</v>
      </c>
    </row>
    <row r="59" spans="1:40" x14ac:dyDescent="0.25">
      <c r="M59" s="83">
        <f>+M58-68-500</f>
        <v>29</v>
      </c>
    </row>
    <row r="60" spans="1:40" x14ac:dyDescent="0.25">
      <c r="A60" s="1" t="s">
        <v>0</v>
      </c>
      <c r="B60" s="1"/>
      <c r="C60" s="1"/>
      <c r="D60" s="1"/>
      <c r="E60" s="1"/>
      <c r="F60" s="1"/>
      <c r="G60" s="1"/>
      <c r="H60" s="1"/>
      <c r="I60" s="1" t="s">
        <v>148</v>
      </c>
      <c r="J60" s="1"/>
      <c r="K60" s="1"/>
      <c r="L60" s="1"/>
      <c r="M60" s="1"/>
      <c r="N60" s="1"/>
      <c r="O60" s="1"/>
      <c r="P60" s="1"/>
      <c r="Q60" s="1"/>
      <c r="R60" s="1"/>
      <c r="S60" s="342" t="s">
        <v>1</v>
      </c>
      <c r="T60" s="342"/>
      <c r="U60" s="5"/>
      <c r="V60" s="139"/>
      <c r="W60" s="1"/>
      <c r="X60" s="1"/>
      <c r="Y60" s="1"/>
      <c r="Z60" s="5"/>
      <c r="AC60" s="335" t="s">
        <v>160</v>
      </c>
      <c r="AD60" s="336"/>
      <c r="AG60" s="335" t="s">
        <v>170</v>
      </c>
      <c r="AH60" s="336"/>
      <c r="AJ60" s="337" t="s">
        <v>172</v>
      </c>
      <c r="AK60" s="337"/>
      <c r="AM60" s="337" t="s">
        <v>681</v>
      </c>
      <c r="AN60" s="337"/>
    </row>
    <row r="61" spans="1:40" ht="90" x14ac:dyDescent="0.25">
      <c r="A61" s="6" t="s">
        <v>2</v>
      </c>
      <c r="B61" s="7" t="s">
        <v>3</v>
      </c>
      <c r="C61" s="7" t="s">
        <v>4</v>
      </c>
      <c r="D61" s="6" t="s">
        <v>5</v>
      </c>
      <c r="E61" s="6" t="s">
        <v>6</v>
      </c>
      <c r="F61" s="6" t="s">
        <v>7</v>
      </c>
      <c r="G61" s="6" t="s">
        <v>8</v>
      </c>
      <c r="H61" s="8" t="s">
        <v>9</v>
      </c>
      <c r="I61" s="9" t="s">
        <v>10</v>
      </c>
      <c r="J61" s="8" t="s">
        <v>11</v>
      </c>
      <c r="K61" s="10" t="s">
        <v>12</v>
      </c>
      <c r="L61" s="10" t="s">
        <v>13</v>
      </c>
      <c r="M61" s="11" t="s">
        <v>14</v>
      </c>
      <c r="N61" s="10" t="s">
        <v>691</v>
      </c>
      <c r="O61" s="10" t="s">
        <v>28</v>
      </c>
      <c r="P61" s="5"/>
      <c r="Q61" s="10" t="s">
        <v>16</v>
      </c>
      <c r="R61" s="10" t="s">
        <v>17</v>
      </c>
      <c r="S61" s="10" t="s">
        <v>18</v>
      </c>
      <c r="T61" s="10" t="s">
        <v>19</v>
      </c>
      <c r="U61" s="10" t="s">
        <v>20</v>
      </c>
      <c r="V61" s="13"/>
      <c r="W61" s="136" t="s">
        <v>688</v>
      </c>
      <c r="X61" s="14" t="s">
        <v>22</v>
      </c>
      <c r="Y61" s="15" t="s">
        <v>23</v>
      </c>
      <c r="Z61" s="5"/>
      <c r="AB61">
        <v>7</v>
      </c>
      <c r="AC61" s="16" t="s">
        <v>161</v>
      </c>
      <c r="AD61" s="58">
        <f>+AB61*10</f>
        <v>70</v>
      </c>
      <c r="AF61">
        <v>8</v>
      </c>
      <c r="AG61" s="16" t="s">
        <v>161</v>
      </c>
      <c r="AH61" s="58">
        <f>+AF61*10</f>
        <v>80</v>
      </c>
      <c r="AJ61" s="61" t="s">
        <v>173</v>
      </c>
      <c r="AK61" s="62" t="s">
        <v>174</v>
      </c>
      <c r="AM61" s="16" t="s">
        <v>161</v>
      </c>
      <c r="AN61" s="58">
        <f>+AL61*10</f>
        <v>0</v>
      </c>
    </row>
    <row r="62" spans="1:40" x14ac:dyDescent="0.25">
      <c r="A62" s="16">
        <v>1</v>
      </c>
      <c r="B62" s="92">
        <v>45224</v>
      </c>
      <c r="C62" s="31" t="s">
        <v>2030</v>
      </c>
      <c r="D62" s="32">
        <v>5545182040</v>
      </c>
      <c r="E62" s="32" t="s">
        <v>593</v>
      </c>
      <c r="F62" s="39" t="s">
        <v>2031</v>
      </c>
      <c r="G62" s="39" t="s">
        <v>2032</v>
      </c>
      <c r="H62" s="122">
        <v>79</v>
      </c>
      <c r="I62" s="32">
        <v>55</v>
      </c>
      <c r="J62" s="20">
        <v>24</v>
      </c>
      <c r="K62" s="21">
        <v>0</v>
      </c>
      <c r="L62" s="21">
        <f t="shared" ref="L62:L83" si="9">+I62+J62</f>
        <v>79</v>
      </c>
      <c r="M62" s="21">
        <f t="shared" ref="M62:M83" si="10">+H62-L62</f>
        <v>0</v>
      </c>
      <c r="N62" s="21"/>
      <c r="O62" s="21"/>
      <c r="P62" s="5"/>
      <c r="Q62" s="21"/>
      <c r="R62" s="16"/>
      <c r="S62" s="21">
        <f t="shared" ref="S62:S83" si="11">+Q62+R62</f>
        <v>0</v>
      </c>
      <c r="T62" s="21"/>
      <c r="U62" s="78">
        <f>T62-S62-O62</f>
        <v>0</v>
      </c>
      <c r="V62" s="13"/>
      <c r="W62" s="147"/>
      <c r="X62" s="23"/>
      <c r="Y62" s="333"/>
      <c r="Z62" s="5"/>
      <c r="AB62">
        <v>59</v>
      </c>
      <c r="AC62" s="59" t="s">
        <v>162</v>
      </c>
      <c r="AD62" s="18">
        <f>+AB62*1</f>
        <v>59</v>
      </c>
      <c r="AF62">
        <v>78</v>
      </c>
      <c r="AG62" s="59" t="s">
        <v>162</v>
      </c>
      <c r="AH62" s="18">
        <f>+AF62*1</f>
        <v>78</v>
      </c>
      <c r="AJ62" s="16"/>
      <c r="AK62" s="16"/>
      <c r="AM62" s="59" t="s">
        <v>162</v>
      </c>
      <c r="AN62" s="18">
        <f>+AL62*1</f>
        <v>0</v>
      </c>
    </row>
    <row r="63" spans="1:40" x14ac:dyDescent="0.25">
      <c r="A63" s="26">
        <v>2</v>
      </c>
      <c r="B63" s="92">
        <v>45224</v>
      </c>
      <c r="C63" s="31" t="s">
        <v>1808</v>
      </c>
      <c r="D63" s="32">
        <v>5570313539</v>
      </c>
      <c r="E63" s="32" t="s">
        <v>76</v>
      </c>
      <c r="F63" s="32" t="s">
        <v>1198</v>
      </c>
      <c r="G63" s="39" t="s">
        <v>2033</v>
      </c>
      <c r="H63" s="122">
        <v>142</v>
      </c>
      <c r="I63" s="32">
        <v>128</v>
      </c>
      <c r="J63" s="20">
        <v>14</v>
      </c>
      <c r="K63" s="21">
        <v>10</v>
      </c>
      <c r="L63" s="21">
        <f t="shared" si="9"/>
        <v>142</v>
      </c>
      <c r="M63" s="21">
        <f t="shared" si="10"/>
        <v>0</v>
      </c>
      <c r="N63" s="21"/>
      <c r="O63" s="21"/>
      <c r="P63" s="5"/>
      <c r="Q63" s="21">
        <v>100</v>
      </c>
      <c r="R63" s="16"/>
      <c r="S63" s="21">
        <f t="shared" si="11"/>
        <v>100</v>
      </c>
      <c r="T63" s="21">
        <v>120</v>
      </c>
      <c r="U63" s="78">
        <f t="shared" ref="U63:U83" si="12">T63-S63-O63</f>
        <v>20</v>
      </c>
      <c r="V63" s="140"/>
      <c r="W63" s="147"/>
      <c r="X63" s="23"/>
      <c r="Y63" s="334"/>
      <c r="Z63" s="5"/>
      <c r="AB63">
        <v>18</v>
      </c>
      <c r="AC63" s="16" t="s">
        <v>163</v>
      </c>
      <c r="AD63" s="60">
        <f>+AB63*5</f>
        <v>90</v>
      </c>
      <c r="AF63">
        <v>8</v>
      </c>
      <c r="AG63" s="16" t="s">
        <v>163</v>
      </c>
      <c r="AH63" s="60">
        <f>+AF63*5</f>
        <v>40</v>
      </c>
      <c r="AJ63" s="16"/>
      <c r="AK63" s="16"/>
      <c r="AM63" s="16" t="s">
        <v>163</v>
      </c>
      <c r="AN63" s="60">
        <f>+AL63*5</f>
        <v>0</v>
      </c>
    </row>
    <row r="64" spans="1:40" x14ac:dyDescent="0.25">
      <c r="A64" s="143">
        <v>3</v>
      </c>
      <c r="B64" s="92">
        <v>45224</v>
      </c>
      <c r="C64" s="31" t="s">
        <v>1890</v>
      </c>
      <c r="D64" s="32">
        <v>5560863021</v>
      </c>
      <c r="E64" s="32" t="s">
        <v>403</v>
      </c>
      <c r="F64" s="32" t="s">
        <v>317</v>
      </c>
      <c r="G64" s="39" t="s">
        <v>2034</v>
      </c>
      <c r="H64" s="122">
        <v>500</v>
      </c>
      <c r="I64" s="32">
        <v>8</v>
      </c>
      <c r="J64" s="20">
        <v>12</v>
      </c>
      <c r="K64" s="21">
        <f>U64-J64-O64</f>
        <v>0</v>
      </c>
      <c r="L64" s="21">
        <f t="shared" si="9"/>
        <v>20</v>
      </c>
      <c r="M64" s="21">
        <f t="shared" si="10"/>
        <v>480</v>
      </c>
      <c r="N64" s="21"/>
      <c r="O64" s="21"/>
      <c r="P64" s="5"/>
      <c r="Q64" s="21">
        <v>500</v>
      </c>
      <c r="R64" s="16"/>
      <c r="S64" s="21">
        <f t="shared" si="11"/>
        <v>500</v>
      </c>
      <c r="T64" s="21">
        <v>512</v>
      </c>
      <c r="U64" s="78">
        <f t="shared" si="12"/>
        <v>12</v>
      </c>
      <c r="V64" s="140"/>
      <c r="W64" s="147"/>
      <c r="X64" s="23"/>
      <c r="Y64" s="334"/>
      <c r="Z64" s="5"/>
      <c r="AB64">
        <v>1</v>
      </c>
      <c r="AC64" s="16" t="s">
        <v>164</v>
      </c>
      <c r="AD64" s="18">
        <f>+AB64*200</f>
        <v>200</v>
      </c>
      <c r="AF64">
        <v>1</v>
      </c>
      <c r="AG64" s="16" t="s">
        <v>164</v>
      </c>
      <c r="AH64" s="18">
        <f>+AF64*200</f>
        <v>200</v>
      </c>
      <c r="AJ64" s="16"/>
      <c r="AK64" s="16"/>
      <c r="AM64" s="16" t="s">
        <v>164</v>
      </c>
      <c r="AN64" s="18">
        <f>+AL64*200</f>
        <v>0</v>
      </c>
    </row>
    <row r="65" spans="1:40" x14ac:dyDescent="0.25">
      <c r="A65" s="197">
        <v>4</v>
      </c>
      <c r="B65" s="198">
        <v>45224</v>
      </c>
      <c r="C65" s="199" t="s">
        <v>128</v>
      </c>
      <c r="D65" s="207">
        <v>5530181574</v>
      </c>
      <c r="E65" s="207" t="s">
        <v>408</v>
      </c>
      <c r="F65" s="207">
        <v>844</v>
      </c>
      <c r="G65" s="202" t="s">
        <v>2035</v>
      </c>
      <c r="H65" s="203"/>
      <c r="I65" s="207">
        <v>75</v>
      </c>
      <c r="J65" s="205">
        <v>12</v>
      </c>
      <c r="K65" s="206">
        <v>13</v>
      </c>
      <c r="L65" s="206">
        <f t="shared" si="9"/>
        <v>87</v>
      </c>
      <c r="M65" s="206">
        <f t="shared" si="10"/>
        <v>-87</v>
      </c>
      <c r="N65" s="206">
        <v>100</v>
      </c>
      <c r="O65" s="206"/>
      <c r="P65" s="208"/>
      <c r="Q65" s="206"/>
      <c r="R65" s="209"/>
      <c r="S65" s="206">
        <f t="shared" si="11"/>
        <v>0</v>
      </c>
      <c r="T65" s="206">
        <v>12</v>
      </c>
      <c r="U65" s="210">
        <f t="shared" si="12"/>
        <v>12</v>
      </c>
      <c r="V65" s="140"/>
      <c r="W65" s="147"/>
      <c r="X65" s="23"/>
      <c r="Y65" s="334"/>
      <c r="Z65" s="5"/>
      <c r="AB65">
        <v>2</v>
      </c>
      <c r="AC65" s="16" t="s">
        <v>165</v>
      </c>
      <c r="AD65" s="18">
        <f>+AB65*100</f>
        <v>200</v>
      </c>
      <c r="AF65">
        <v>1</v>
      </c>
      <c r="AG65" s="16" t="s">
        <v>165</v>
      </c>
      <c r="AH65" s="18">
        <f>+AF65*100</f>
        <v>100</v>
      </c>
      <c r="AJ65" s="16"/>
      <c r="AK65" s="16"/>
      <c r="AM65" s="16" t="s">
        <v>165</v>
      </c>
      <c r="AN65" s="18">
        <f>+AL65*100</f>
        <v>0</v>
      </c>
    </row>
    <row r="66" spans="1:40" x14ac:dyDescent="0.25">
      <c r="A66" s="143">
        <v>5</v>
      </c>
      <c r="B66" s="92">
        <v>45224</v>
      </c>
      <c r="C66" s="31" t="s">
        <v>203</v>
      </c>
      <c r="D66" s="32">
        <v>5578861024</v>
      </c>
      <c r="E66" s="32" t="s">
        <v>413</v>
      </c>
      <c r="F66" s="32" t="s">
        <v>1148</v>
      </c>
      <c r="G66" s="32" t="s">
        <v>2036</v>
      </c>
      <c r="H66" s="122">
        <v>154</v>
      </c>
      <c r="I66" s="32">
        <v>120</v>
      </c>
      <c r="J66" s="20">
        <v>14</v>
      </c>
      <c r="K66" s="21">
        <v>20</v>
      </c>
      <c r="L66" s="21">
        <f t="shared" si="9"/>
        <v>134</v>
      </c>
      <c r="M66" s="21">
        <f t="shared" si="10"/>
        <v>20</v>
      </c>
      <c r="N66" s="21"/>
      <c r="O66" s="21"/>
      <c r="P66" s="5"/>
      <c r="Q66" s="16"/>
      <c r="R66" s="16"/>
      <c r="S66" s="21">
        <f t="shared" si="11"/>
        <v>0</v>
      </c>
      <c r="T66" s="21">
        <v>14</v>
      </c>
      <c r="U66" s="78">
        <f t="shared" si="12"/>
        <v>14</v>
      </c>
      <c r="V66" s="140"/>
      <c r="W66" s="147"/>
      <c r="X66" s="23"/>
      <c r="Y66" s="334"/>
      <c r="Z66" s="5"/>
      <c r="AB66">
        <v>1</v>
      </c>
      <c r="AC66" s="16" t="s">
        <v>166</v>
      </c>
      <c r="AD66" s="18">
        <f>+AB66*50</f>
        <v>50</v>
      </c>
      <c r="AG66" s="16" t="s">
        <v>166</v>
      </c>
      <c r="AH66" s="18">
        <f>+AF66*50</f>
        <v>0</v>
      </c>
      <c r="AJ66" s="16"/>
      <c r="AK66" s="16"/>
      <c r="AM66" s="16" t="s">
        <v>166</v>
      </c>
      <c r="AN66" s="18">
        <f>+AL66*50</f>
        <v>0</v>
      </c>
    </row>
    <row r="67" spans="1:40" x14ac:dyDescent="0.25">
      <c r="A67" s="143">
        <v>6</v>
      </c>
      <c r="B67" s="92">
        <v>45224</v>
      </c>
      <c r="C67" s="31" t="s">
        <v>1354</v>
      </c>
      <c r="D67" s="32">
        <v>5611728082</v>
      </c>
      <c r="E67" s="32" t="s">
        <v>106</v>
      </c>
      <c r="F67" s="32" t="s">
        <v>1645</v>
      </c>
      <c r="G67" s="39" t="s">
        <v>2037</v>
      </c>
      <c r="H67" s="39">
        <v>294</v>
      </c>
      <c r="I67" s="42">
        <v>270</v>
      </c>
      <c r="J67" s="20">
        <v>24</v>
      </c>
      <c r="K67" s="21">
        <f>U67-J67-O67</f>
        <v>-540</v>
      </c>
      <c r="L67" s="21">
        <f t="shared" si="9"/>
        <v>294</v>
      </c>
      <c r="M67" s="21">
        <f t="shared" si="10"/>
        <v>0</v>
      </c>
      <c r="N67" s="21">
        <v>294</v>
      </c>
      <c r="O67" s="21">
        <v>270</v>
      </c>
      <c r="P67" s="5"/>
      <c r="Q67" s="16"/>
      <c r="R67" s="16"/>
      <c r="S67" s="21">
        <f t="shared" si="11"/>
        <v>0</v>
      </c>
      <c r="T67" s="16">
        <v>24</v>
      </c>
      <c r="U67" s="78">
        <f t="shared" si="12"/>
        <v>-246</v>
      </c>
      <c r="V67" s="140"/>
      <c r="W67" s="147"/>
      <c r="X67" s="23"/>
      <c r="Y67" s="334"/>
      <c r="Z67" s="5"/>
      <c r="AB67">
        <v>4</v>
      </c>
      <c r="AC67" s="16" t="s">
        <v>167</v>
      </c>
      <c r="AD67" s="18">
        <f>+AB67*20</f>
        <v>80</v>
      </c>
      <c r="AG67" s="16" t="s">
        <v>167</v>
      </c>
      <c r="AH67" s="18">
        <f>+AF67*20</f>
        <v>0</v>
      </c>
      <c r="AJ67" s="16"/>
      <c r="AK67" s="16"/>
      <c r="AM67" s="16" t="s">
        <v>167</v>
      </c>
      <c r="AN67" s="18">
        <f>+AL67*20</f>
        <v>0</v>
      </c>
    </row>
    <row r="68" spans="1:40" x14ac:dyDescent="0.25">
      <c r="A68" s="143">
        <v>7</v>
      </c>
      <c r="B68" s="92">
        <v>45224</v>
      </c>
      <c r="C68" s="31" t="s">
        <v>2039</v>
      </c>
      <c r="D68" s="123">
        <v>5511330620</v>
      </c>
      <c r="E68" s="123" t="s">
        <v>83</v>
      </c>
      <c r="F68" s="123" t="s">
        <v>2041</v>
      </c>
      <c r="G68" s="39" t="s">
        <v>2040</v>
      </c>
      <c r="H68" s="122">
        <v>102</v>
      </c>
      <c r="I68" s="32">
        <v>78</v>
      </c>
      <c r="J68" s="20">
        <v>12</v>
      </c>
      <c r="K68" s="21">
        <v>10</v>
      </c>
      <c r="L68" s="21">
        <f t="shared" si="9"/>
        <v>90</v>
      </c>
      <c r="M68" s="21">
        <f t="shared" si="10"/>
        <v>12</v>
      </c>
      <c r="N68" s="21"/>
      <c r="O68" s="21"/>
      <c r="P68" s="5"/>
      <c r="Q68" s="16">
        <v>150</v>
      </c>
      <c r="R68" s="16"/>
      <c r="S68" s="21">
        <f t="shared" si="11"/>
        <v>150</v>
      </c>
      <c r="T68" s="16">
        <v>162</v>
      </c>
      <c r="U68" s="78">
        <f t="shared" si="12"/>
        <v>12</v>
      </c>
      <c r="V68" s="140"/>
      <c r="W68" s="147"/>
      <c r="X68" s="23"/>
      <c r="Y68" s="334"/>
      <c r="Z68" s="5"/>
      <c r="AC68" s="16" t="s">
        <v>171</v>
      </c>
      <c r="AD68" s="18">
        <f>+AB68*500</f>
        <v>0</v>
      </c>
      <c r="AG68" s="16" t="s">
        <v>171</v>
      </c>
      <c r="AH68" s="18">
        <f>+AF68*500</f>
        <v>0</v>
      </c>
      <c r="AJ68" s="16"/>
      <c r="AK68" s="16"/>
      <c r="AM68" s="16" t="s">
        <v>171</v>
      </c>
      <c r="AN68" s="18">
        <f>+AL68*500</f>
        <v>0</v>
      </c>
    </row>
    <row r="69" spans="1:40" x14ac:dyDescent="0.25">
      <c r="A69" s="143">
        <v>8</v>
      </c>
      <c r="B69" s="92">
        <v>45224</v>
      </c>
      <c r="C69" s="31" t="s">
        <v>2042</v>
      </c>
      <c r="D69" s="123">
        <v>5564963478</v>
      </c>
      <c r="E69" s="123" t="s">
        <v>2044</v>
      </c>
      <c r="F69" s="123" t="s">
        <v>437</v>
      </c>
      <c r="G69" s="39" t="s">
        <v>92</v>
      </c>
      <c r="H69" s="122"/>
      <c r="I69" s="32">
        <v>32</v>
      </c>
      <c r="J69" s="20">
        <v>15</v>
      </c>
      <c r="K69" s="21">
        <v>10</v>
      </c>
      <c r="L69" s="21">
        <f t="shared" si="9"/>
        <v>47</v>
      </c>
      <c r="M69" s="21">
        <f t="shared" si="10"/>
        <v>-47</v>
      </c>
      <c r="N69" s="21"/>
      <c r="O69" s="21"/>
      <c r="P69" s="5"/>
      <c r="Q69" s="16"/>
      <c r="R69" s="16"/>
      <c r="S69" s="21">
        <f t="shared" si="11"/>
        <v>0</v>
      </c>
      <c r="T69" s="16">
        <v>15</v>
      </c>
      <c r="U69" s="78">
        <f t="shared" si="12"/>
        <v>15</v>
      </c>
      <c r="V69" s="140"/>
      <c r="W69" s="147"/>
      <c r="X69" s="23"/>
      <c r="Y69" s="334"/>
      <c r="Z69" s="5"/>
      <c r="AC69" s="16" t="s">
        <v>168</v>
      </c>
      <c r="AD69" s="18">
        <f>+AB69*1000</f>
        <v>0</v>
      </c>
      <c r="AG69" s="16" t="s">
        <v>168</v>
      </c>
      <c r="AH69" s="18">
        <f>+AF69*1000</f>
        <v>0</v>
      </c>
      <c r="AJ69" s="16"/>
      <c r="AK69" s="16"/>
      <c r="AM69" s="16" t="s">
        <v>168</v>
      </c>
      <c r="AN69" s="18">
        <f>+AL69*1000</f>
        <v>0</v>
      </c>
    </row>
    <row r="70" spans="1:40" x14ac:dyDescent="0.25">
      <c r="A70" s="143">
        <v>9</v>
      </c>
      <c r="B70" s="92">
        <v>45224</v>
      </c>
      <c r="C70" s="31" t="s">
        <v>571</v>
      </c>
      <c r="D70" s="32">
        <v>5629985003</v>
      </c>
      <c r="E70" s="32" t="s">
        <v>31</v>
      </c>
      <c r="F70" s="32" t="s">
        <v>571</v>
      </c>
      <c r="G70" s="39" t="s">
        <v>2043</v>
      </c>
      <c r="H70" s="39"/>
      <c r="I70" s="40">
        <v>105</v>
      </c>
      <c r="J70" s="20">
        <v>14</v>
      </c>
      <c r="K70" s="21"/>
      <c r="L70" s="21">
        <f t="shared" si="9"/>
        <v>119</v>
      </c>
      <c r="M70" s="21">
        <f t="shared" si="10"/>
        <v>-119</v>
      </c>
      <c r="N70" s="21"/>
      <c r="O70" s="21"/>
      <c r="P70" s="5"/>
      <c r="Q70" s="16"/>
      <c r="R70" s="16"/>
      <c r="S70" s="21">
        <f t="shared" si="11"/>
        <v>0</v>
      </c>
      <c r="T70" s="16"/>
      <c r="U70" s="78">
        <f t="shared" si="12"/>
        <v>0</v>
      </c>
      <c r="V70" s="140"/>
      <c r="W70" s="147"/>
      <c r="X70" s="23"/>
      <c r="Y70" s="334"/>
      <c r="Z70" s="5"/>
      <c r="AC70" s="26"/>
      <c r="AD70" s="58"/>
      <c r="AG70" s="26"/>
      <c r="AH70" s="58"/>
      <c r="AJ70" s="16"/>
      <c r="AK70" s="16"/>
      <c r="AM70" s="26"/>
      <c r="AN70" s="58"/>
    </row>
    <row r="71" spans="1:40" x14ac:dyDescent="0.25">
      <c r="A71" s="143">
        <v>10</v>
      </c>
      <c r="B71" s="92">
        <v>45224</v>
      </c>
      <c r="C71" s="31" t="s">
        <v>2045</v>
      </c>
      <c r="D71" s="32">
        <v>5529573104</v>
      </c>
      <c r="E71" s="32" t="s">
        <v>106</v>
      </c>
      <c r="F71" s="32" t="s">
        <v>126</v>
      </c>
      <c r="G71" s="39" t="s">
        <v>2048</v>
      </c>
      <c r="H71" s="122">
        <v>40</v>
      </c>
      <c r="I71" s="42">
        <v>18</v>
      </c>
      <c r="J71" s="20">
        <v>12</v>
      </c>
      <c r="K71" s="21">
        <v>10</v>
      </c>
      <c r="L71" s="21">
        <f t="shared" si="9"/>
        <v>30</v>
      </c>
      <c r="M71" s="21">
        <f t="shared" si="10"/>
        <v>10</v>
      </c>
      <c r="N71" s="21"/>
      <c r="O71" s="21">
        <v>18</v>
      </c>
      <c r="P71" s="5"/>
      <c r="Q71" s="16">
        <v>10</v>
      </c>
      <c r="R71" s="16"/>
      <c r="S71" s="21">
        <v>100</v>
      </c>
      <c r="T71" s="16">
        <v>112</v>
      </c>
      <c r="U71" s="78">
        <f t="shared" si="12"/>
        <v>-6</v>
      </c>
      <c r="V71" s="140"/>
      <c r="W71" s="147"/>
      <c r="X71" s="23"/>
      <c r="Y71" s="334"/>
      <c r="Z71" s="5"/>
      <c r="AC71" s="16" t="s">
        <v>169</v>
      </c>
      <c r="AD71" s="18">
        <f>SUM(AD61:AD70)</f>
        <v>749</v>
      </c>
      <c r="AG71" s="16" t="s">
        <v>169</v>
      </c>
      <c r="AH71" s="18">
        <f>SUM(AH61:AH70)</f>
        <v>498</v>
      </c>
      <c r="AJ71" s="16"/>
      <c r="AK71" s="16"/>
      <c r="AM71" s="16" t="s">
        <v>169</v>
      </c>
      <c r="AN71" s="18"/>
    </row>
    <row r="72" spans="1:40" x14ac:dyDescent="0.25">
      <c r="A72" s="143">
        <v>11</v>
      </c>
      <c r="B72" s="92">
        <v>45224</v>
      </c>
      <c r="C72" s="31" t="s">
        <v>1934</v>
      </c>
      <c r="D72" s="124">
        <v>5615394688</v>
      </c>
      <c r="E72" s="123" t="s">
        <v>2049</v>
      </c>
      <c r="F72" s="123" t="s">
        <v>2050</v>
      </c>
      <c r="G72" s="39" t="s">
        <v>2051</v>
      </c>
      <c r="H72" s="122">
        <v>62</v>
      </c>
      <c r="I72" s="42">
        <v>12</v>
      </c>
      <c r="J72" s="20">
        <v>12</v>
      </c>
      <c r="K72" s="21">
        <v>0</v>
      </c>
      <c r="L72" s="21">
        <f t="shared" si="9"/>
        <v>24</v>
      </c>
      <c r="M72" s="21">
        <f t="shared" si="10"/>
        <v>38</v>
      </c>
      <c r="N72" s="21">
        <v>22</v>
      </c>
      <c r="O72" s="21"/>
      <c r="P72" s="5"/>
      <c r="Q72" s="16">
        <v>100</v>
      </c>
      <c r="R72" s="16"/>
      <c r="S72" s="21">
        <f t="shared" si="11"/>
        <v>100</v>
      </c>
      <c r="T72" s="16"/>
      <c r="U72" s="78">
        <f t="shared" si="12"/>
        <v>-100</v>
      </c>
      <c r="V72" s="140"/>
      <c r="W72" s="147"/>
      <c r="X72" s="23"/>
      <c r="Y72" s="334"/>
      <c r="Z72" s="5"/>
      <c r="AD72">
        <v>1443</v>
      </c>
      <c r="AJ72" s="16"/>
      <c r="AK72" s="16"/>
      <c r="AM72" s="16"/>
      <c r="AN72" s="16"/>
    </row>
    <row r="73" spans="1:40" x14ac:dyDescent="0.25">
      <c r="A73" s="143">
        <v>12</v>
      </c>
      <c r="B73" s="92">
        <v>45224</v>
      </c>
      <c r="C73" s="32" t="s">
        <v>245</v>
      </c>
      <c r="D73" s="32">
        <v>5530508709</v>
      </c>
      <c r="E73" s="124" t="s">
        <v>2052</v>
      </c>
      <c r="F73" s="123" t="s">
        <v>1148</v>
      </c>
      <c r="G73" s="39" t="s">
        <v>2047</v>
      </c>
      <c r="H73" s="39">
        <v>110</v>
      </c>
      <c r="I73" s="42">
        <v>80</v>
      </c>
      <c r="J73" s="20">
        <v>12</v>
      </c>
      <c r="K73" s="21">
        <v>18</v>
      </c>
      <c r="L73" s="21">
        <f t="shared" si="9"/>
        <v>92</v>
      </c>
      <c r="M73" s="21">
        <f t="shared" si="10"/>
        <v>18</v>
      </c>
      <c r="N73" s="21"/>
      <c r="O73" s="21">
        <v>80</v>
      </c>
      <c r="P73" s="5"/>
      <c r="Q73" s="45">
        <v>100</v>
      </c>
      <c r="R73" s="44"/>
      <c r="S73" s="21">
        <f t="shared" si="11"/>
        <v>100</v>
      </c>
      <c r="T73" s="45">
        <v>112</v>
      </c>
      <c r="U73" s="78">
        <f t="shared" si="12"/>
        <v>-68</v>
      </c>
      <c r="V73" s="140"/>
      <c r="W73" s="147"/>
      <c r="X73" s="23"/>
      <c r="Y73" s="334"/>
      <c r="Z73" s="5"/>
      <c r="AJ73" s="63" t="s">
        <v>169</v>
      </c>
      <c r="AK73" s="63">
        <f>+SUM(AJ62:AJ72)-SUM(AK62:AK72)</f>
        <v>0</v>
      </c>
      <c r="AM73" s="63" t="s">
        <v>169</v>
      </c>
      <c r="AN73" s="85">
        <f>+SUM(AM61:AM72)-SUM(AN62:AN72)</f>
        <v>0</v>
      </c>
    </row>
    <row r="74" spans="1:40" x14ac:dyDescent="0.25">
      <c r="A74" s="143">
        <v>13</v>
      </c>
      <c r="B74" s="92">
        <v>45224</v>
      </c>
      <c r="C74" s="31" t="s">
        <v>30</v>
      </c>
      <c r="D74" s="32">
        <v>5537803548</v>
      </c>
      <c r="E74" s="32" t="s">
        <v>52</v>
      </c>
      <c r="F74" s="32" t="s">
        <v>1766</v>
      </c>
      <c r="G74" s="39" t="s">
        <v>2053</v>
      </c>
      <c r="H74" s="39">
        <v>350</v>
      </c>
      <c r="I74" s="42">
        <v>323</v>
      </c>
      <c r="J74" s="108">
        <v>14</v>
      </c>
      <c r="K74" s="21"/>
      <c r="L74" s="21">
        <f t="shared" si="9"/>
        <v>337</v>
      </c>
      <c r="M74" s="21">
        <f t="shared" si="10"/>
        <v>13</v>
      </c>
      <c r="N74" s="21">
        <v>350</v>
      </c>
      <c r="O74" s="21">
        <v>323</v>
      </c>
      <c r="P74" s="5"/>
      <c r="Q74" s="43">
        <v>400</v>
      </c>
      <c r="R74" s="32"/>
      <c r="S74" s="21">
        <f t="shared" si="11"/>
        <v>400</v>
      </c>
      <c r="T74" s="43"/>
      <c r="U74" s="78">
        <f t="shared" si="12"/>
        <v>-723</v>
      </c>
      <c r="V74" s="140"/>
      <c r="W74" s="147"/>
      <c r="X74" s="23"/>
      <c r="Y74" s="334"/>
      <c r="Z74" s="5"/>
      <c r="AH74" s="83"/>
    </row>
    <row r="75" spans="1:40" x14ac:dyDescent="0.25">
      <c r="A75" s="143">
        <v>14</v>
      </c>
      <c r="B75" s="92">
        <v>45224</v>
      </c>
      <c r="C75" s="31" t="s">
        <v>2056</v>
      </c>
      <c r="D75" s="32">
        <v>5614311291</v>
      </c>
      <c r="E75" s="32" t="s">
        <v>451</v>
      </c>
      <c r="F75" s="32" t="s">
        <v>2055</v>
      </c>
      <c r="G75" s="39" t="s">
        <v>2054</v>
      </c>
      <c r="H75" s="39">
        <v>200</v>
      </c>
      <c r="I75" s="42">
        <v>85</v>
      </c>
      <c r="J75" s="108">
        <v>12</v>
      </c>
      <c r="K75" s="21"/>
      <c r="L75" s="21">
        <f t="shared" si="9"/>
        <v>97</v>
      </c>
      <c r="M75" s="21">
        <f t="shared" si="10"/>
        <v>103</v>
      </c>
      <c r="N75" s="21"/>
      <c r="O75" s="21">
        <v>85</v>
      </c>
      <c r="P75" s="5"/>
      <c r="Q75" s="43">
        <v>200</v>
      </c>
      <c r="R75" s="43"/>
      <c r="S75" s="21">
        <f t="shared" si="11"/>
        <v>200</v>
      </c>
      <c r="T75" s="43">
        <v>212</v>
      </c>
      <c r="U75" s="78">
        <f t="shared" si="12"/>
        <v>-73</v>
      </c>
      <c r="V75" s="140"/>
      <c r="W75" s="147"/>
      <c r="X75" s="23"/>
      <c r="Y75" s="334"/>
      <c r="Z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40" x14ac:dyDescent="0.25">
      <c r="A76" s="143">
        <v>15</v>
      </c>
      <c r="B76" s="92">
        <v>45224</v>
      </c>
      <c r="C76" s="127" t="s">
        <v>571</v>
      </c>
      <c r="D76" s="32">
        <v>5629985003</v>
      </c>
      <c r="E76" s="32" t="s">
        <v>52</v>
      </c>
      <c r="F76" s="128" t="s">
        <v>571</v>
      </c>
      <c r="G76" s="129" t="s">
        <v>2057</v>
      </c>
      <c r="H76" s="39">
        <v>100</v>
      </c>
      <c r="I76" s="42">
        <v>80</v>
      </c>
      <c r="J76" s="108">
        <v>12</v>
      </c>
      <c r="K76" s="21"/>
      <c r="L76" s="21">
        <f t="shared" si="9"/>
        <v>92</v>
      </c>
      <c r="M76" s="21">
        <f t="shared" si="10"/>
        <v>8</v>
      </c>
      <c r="N76" s="21"/>
      <c r="O76" s="21">
        <v>80</v>
      </c>
      <c r="P76" s="5"/>
      <c r="Q76" s="43">
        <v>100</v>
      </c>
      <c r="R76" s="43"/>
      <c r="S76" s="21">
        <f t="shared" si="11"/>
        <v>100</v>
      </c>
      <c r="T76" s="43">
        <v>112</v>
      </c>
      <c r="U76" s="78">
        <f t="shared" si="12"/>
        <v>-68</v>
      </c>
      <c r="V76" s="140"/>
      <c r="W76" s="147"/>
      <c r="X76" s="23"/>
      <c r="Y76" s="334"/>
      <c r="Z76" s="5"/>
      <c r="AC76" s="5"/>
      <c r="AD76" s="134" t="s">
        <v>20</v>
      </c>
      <c r="AE76" s="338"/>
      <c r="AF76" s="341" t="s">
        <v>686</v>
      </c>
      <c r="AG76" s="134" t="s">
        <v>20</v>
      </c>
      <c r="AH76" s="338">
        <v>176</v>
      </c>
      <c r="AI76" s="341" t="s">
        <v>687</v>
      </c>
      <c r="AJ76" s="134" t="s">
        <v>20</v>
      </c>
      <c r="AK76" s="338"/>
      <c r="AL76" s="5"/>
    </row>
    <row r="77" spans="1:40" x14ac:dyDescent="0.25">
      <c r="A77" s="143">
        <v>16</v>
      </c>
      <c r="B77" s="92">
        <v>45224</v>
      </c>
      <c r="C77" s="31" t="s">
        <v>319</v>
      </c>
      <c r="D77" s="32">
        <v>5544332211</v>
      </c>
      <c r="E77" s="32" t="s">
        <v>52</v>
      </c>
      <c r="F77" s="32" t="s">
        <v>2059</v>
      </c>
      <c r="G77" s="39" t="s">
        <v>2060</v>
      </c>
      <c r="H77" s="39">
        <v>650</v>
      </c>
      <c r="I77" s="42">
        <v>185</v>
      </c>
      <c r="J77" s="43">
        <v>20</v>
      </c>
      <c r="K77" s="21">
        <v>10</v>
      </c>
      <c r="L77" s="21">
        <f t="shared" si="9"/>
        <v>205</v>
      </c>
      <c r="M77" s="21">
        <f t="shared" si="10"/>
        <v>445</v>
      </c>
      <c r="N77" s="21"/>
      <c r="O77" s="21">
        <v>185</v>
      </c>
      <c r="P77" s="5"/>
      <c r="Q77" s="43">
        <v>500</v>
      </c>
      <c r="R77" s="32"/>
      <c r="S77" s="21">
        <f t="shared" si="11"/>
        <v>500</v>
      </c>
      <c r="T77" s="131">
        <v>520</v>
      </c>
      <c r="U77" s="78">
        <f t="shared" si="12"/>
        <v>-165</v>
      </c>
      <c r="V77" s="140"/>
      <c r="W77" s="147"/>
      <c r="X77" s="23"/>
      <c r="Y77" s="334"/>
      <c r="Z77" s="5"/>
      <c r="AC77" s="5" t="s">
        <v>685</v>
      </c>
      <c r="AD77" s="115" t="s">
        <v>684</v>
      </c>
      <c r="AE77" s="339"/>
      <c r="AF77" s="341"/>
      <c r="AG77" s="115" t="s">
        <v>684</v>
      </c>
      <c r="AH77" s="339"/>
      <c r="AI77" s="341"/>
      <c r="AJ77" s="115" t="s">
        <v>684</v>
      </c>
      <c r="AK77" s="339"/>
      <c r="AL77" s="5"/>
    </row>
    <row r="78" spans="1:40" x14ac:dyDescent="0.25">
      <c r="A78" s="143">
        <v>17</v>
      </c>
      <c r="B78" s="92">
        <v>45225</v>
      </c>
      <c r="C78" s="31" t="s">
        <v>2058</v>
      </c>
      <c r="D78" s="32" t="s">
        <v>2065</v>
      </c>
      <c r="E78" s="32" t="s">
        <v>52</v>
      </c>
      <c r="F78" s="32" t="s">
        <v>2050</v>
      </c>
      <c r="G78" s="39" t="s">
        <v>2061</v>
      </c>
      <c r="H78" s="39">
        <v>50</v>
      </c>
      <c r="I78" s="42">
        <v>37</v>
      </c>
      <c r="J78" s="43">
        <v>10</v>
      </c>
      <c r="K78" s="21">
        <v>0</v>
      </c>
      <c r="L78" s="21">
        <f t="shared" si="9"/>
        <v>47</v>
      </c>
      <c r="M78" s="21">
        <f t="shared" si="10"/>
        <v>3</v>
      </c>
      <c r="N78" s="21"/>
      <c r="O78" s="21">
        <v>37</v>
      </c>
      <c r="P78" s="5"/>
      <c r="Q78" s="43">
        <v>50</v>
      </c>
      <c r="R78" s="32"/>
      <c r="S78" s="21">
        <f t="shared" si="11"/>
        <v>50</v>
      </c>
      <c r="T78" s="132"/>
      <c r="U78" s="78">
        <f t="shared" si="12"/>
        <v>-87</v>
      </c>
      <c r="V78" s="140"/>
      <c r="W78" s="147"/>
      <c r="X78" s="23"/>
      <c r="Y78" s="340"/>
      <c r="Z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40" x14ac:dyDescent="0.25">
      <c r="A79" s="143">
        <v>18</v>
      </c>
      <c r="B79" s="92">
        <v>45226</v>
      </c>
      <c r="C79" s="31" t="s">
        <v>634</v>
      </c>
      <c r="D79" s="32">
        <v>5614683694</v>
      </c>
      <c r="E79" s="32" t="s">
        <v>52</v>
      </c>
      <c r="F79" s="32" t="s">
        <v>938</v>
      </c>
      <c r="G79" s="39" t="s">
        <v>2062</v>
      </c>
      <c r="H79" s="39">
        <v>100</v>
      </c>
      <c r="I79" s="42">
        <v>56</v>
      </c>
      <c r="J79" s="43">
        <v>12</v>
      </c>
      <c r="K79" s="21">
        <v>10</v>
      </c>
      <c r="L79" s="21">
        <f t="shared" si="9"/>
        <v>68</v>
      </c>
      <c r="M79" s="21">
        <f t="shared" si="10"/>
        <v>32</v>
      </c>
      <c r="N79" s="21"/>
      <c r="O79" s="21">
        <v>56</v>
      </c>
      <c r="P79" s="5"/>
      <c r="Q79" s="135">
        <v>200</v>
      </c>
      <c r="R79" s="104"/>
      <c r="S79" s="21">
        <f t="shared" si="11"/>
        <v>200</v>
      </c>
      <c r="T79" s="131">
        <v>212</v>
      </c>
      <c r="U79" s="78">
        <f t="shared" si="12"/>
        <v>-44</v>
      </c>
      <c r="V79" s="140"/>
      <c r="W79" s="138"/>
      <c r="X79" s="32"/>
      <c r="Z79" s="5"/>
    </row>
    <row r="80" spans="1:40" x14ac:dyDescent="0.25">
      <c r="A80" s="143">
        <v>19</v>
      </c>
      <c r="B80" s="92">
        <v>45227</v>
      </c>
      <c r="C80" s="31" t="s">
        <v>2063</v>
      </c>
      <c r="D80" s="32">
        <v>5630381453</v>
      </c>
      <c r="E80" s="32" t="s">
        <v>451</v>
      </c>
      <c r="F80" s="32" t="s">
        <v>1700</v>
      </c>
      <c r="G80" s="39" t="s">
        <v>2064</v>
      </c>
      <c r="H80" s="39">
        <v>200</v>
      </c>
      <c r="I80" s="42">
        <v>73</v>
      </c>
      <c r="J80" s="43">
        <v>14</v>
      </c>
      <c r="K80" s="21">
        <v>10</v>
      </c>
      <c r="L80" s="21">
        <f t="shared" si="9"/>
        <v>87</v>
      </c>
      <c r="M80" s="21">
        <f t="shared" si="10"/>
        <v>113</v>
      </c>
      <c r="N80" s="21"/>
      <c r="O80" s="21"/>
      <c r="P80" s="5"/>
      <c r="Q80" s="135">
        <v>200</v>
      </c>
      <c r="R80" s="104"/>
      <c r="S80" s="21">
        <f t="shared" si="11"/>
        <v>200</v>
      </c>
      <c r="T80" s="131">
        <v>214</v>
      </c>
      <c r="U80" s="78">
        <f t="shared" si="12"/>
        <v>14</v>
      </c>
      <c r="V80" s="140"/>
      <c r="W80" s="138"/>
      <c r="X80" s="32"/>
      <c r="Z80" s="5"/>
    </row>
    <row r="81" spans="1:40" x14ac:dyDescent="0.25">
      <c r="A81" s="143">
        <v>20</v>
      </c>
      <c r="B81" s="92">
        <v>45228</v>
      </c>
      <c r="C81" s="31"/>
      <c r="D81" s="32"/>
      <c r="E81" s="32"/>
      <c r="F81" s="32"/>
      <c r="G81" s="39"/>
      <c r="H81" s="39">
        <v>274</v>
      </c>
      <c r="I81" s="42"/>
      <c r="J81" s="43">
        <v>5</v>
      </c>
      <c r="K81" s="21">
        <v>7</v>
      </c>
      <c r="L81" s="21"/>
      <c r="M81" s="21"/>
      <c r="N81" s="21"/>
      <c r="O81" s="21"/>
      <c r="P81" s="5"/>
      <c r="Q81" s="135"/>
      <c r="R81" s="104"/>
      <c r="S81" s="21"/>
      <c r="T81" s="131"/>
      <c r="U81" s="78"/>
      <c r="V81" s="140"/>
      <c r="W81" s="138"/>
      <c r="X81" s="32"/>
      <c r="Z81" s="5"/>
    </row>
    <row r="82" spans="1:40" x14ac:dyDescent="0.25">
      <c r="A82" s="143">
        <v>21</v>
      </c>
      <c r="B82" s="92">
        <v>45229</v>
      </c>
      <c r="C82" s="31"/>
      <c r="D82" s="32"/>
      <c r="E82" s="32"/>
      <c r="F82" s="32"/>
      <c r="G82" s="39"/>
      <c r="H82" s="39"/>
      <c r="I82" s="42"/>
      <c r="J82" s="43">
        <v>14</v>
      </c>
      <c r="K82" s="21"/>
      <c r="L82" s="21"/>
      <c r="M82" s="21"/>
      <c r="N82" s="21"/>
      <c r="O82" s="21"/>
      <c r="P82" s="5"/>
      <c r="Q82" s="135"/>
      <c r="R82" s="104"/>
      <c r="S82" s="21"/>
      <c r="T82" s="131"/>
      <c r="U82" s="78"/>
      <c r="V82" s="140"/>
      <c r="W82" s="138"/>
      <c r="X82" s="32"/>
      <c r="Z82" s="5"/>
    </row>
    <row r="83" spans="1:40" x14ac:dyDescent="0.25">
      <c r="A83" s="143">
        <v>22</v>
      </c>
      <c r="B83" s="92">
        <v>45230</v>
      </c>
      <c r="C83" s="31"/>
      <c r="D83" s="32"/>
      <c r="E83" s="32"/>
      <c r="F83" s="32"/>
      <c r="G83" s="39"/>
      <c r="H83" s="39"/>
      <c r="I83" s="42"/>
      <c r="J83" s="43">
        <v>10</v>
      </c>
      <c r="K83" s="21">
        <f>U83-J83-O83</f>
        <v>-10</v>
      </c>
      <c r="L83" s="21">
        <f t="shared" si="9"/>
        <v>10</v>
      </c>
      <c r="M83" s="21">
        <f t="shared" si="10"/>
        <v>-10</v>
      </c>
      <c r="N83" s="21"/>
      <c r="O83" s="21"/>
      <c r="P83" s="5"/>
      <c r="Q83" s="32"/>
      <c r="R83" s="32"/>
      <c r="S83" s="21">
        <f t="shared" si="11"/>
        <v>0</v>
      </c>
      <c r="T83" s="32"/>
      <c r="U83" s="78">
        <f t="shared" si="12"/>
        <v>0</v>
      </c>
      <c r="V83" s="140"/>
      <c r="W83" s="138"/>
      <c r="X83" s="32"/>
      <c r="Z83" s="5"/>
    </row>
    <row r="84" spans="1:40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22">
        <f>SUM(O62:O79)</f>
        <v>1134</v>
      </c>
      <c r="P84" s="5"/>
      <c r="Q84" s="5"/>
      <c r="R84" s="5"/>
      <c r="S84" s="5"/>
      <c r="T84" s="5"/>
      <c r="U84" s="5"/>
      <c r="V84" s="141"/>
      <c r="W84" s="5"/>
      <c r="X84" s="5"/>
      <c r="Y84" s="5"/>
      <c r="Z84" s="5"/>
    </row>
    <row r="91" spans="1:40" x14ac:dyDescent="0.25">
      <c r="A91" s="1" t="s">
        <v>0</v>
      </c>
      <c r="B91" s="1"/>
      <c r="C91" s="1"/>
      <c r="D91" s="1"/>
      <c r="E91" s="1"/>
      <c r="F91" s="1"/>
      <c r="G91" s="1"/>
      <c r="H91" s="1"/>
      <c r="I91" s="1" t="s">
        <v>148</v>
      </c>
      <c r="J91" s="1"/>
      <c r="K91" s="1"/>
      <c r="L91" s="1"/>
      <c r="M91" s="1"/>
      <c r="N91" s="1"/>
      <c r="O91" s="1"/>
      <c r="P91" s="1"/>
      <c r="Q91" s="1"/>
      <c r="R91" s="1"/>
      <c r="S91" s="342" t="s">
        <v>1</v>
      </c>
      <c r="T91" s="342"/>
      <c r="U91" s="5"/>
      <c r="V91" s="139"/>
      <c r="W91" s="1"/>
      <c r="X91" s="1"/>
      <c r="Y91" s="1"/>
      <c r="Z91" s="5"/>
      <c r="AC91" s="335" t="s">
        <v>160</v>
      </c>
      <c r="AD91" s="336"/>
      <c r="AG91" s="335" t="s">
        <v>170</v>
      </c>
      <c r="AH91" s="336"/>
      <c r="AJ91" s="337" t="s">
        <v>172</v>
      </c>
      <c r="AK91" s="337"/>
      <c r="AM91" s="337" t="s">
        <v>681</v>
      </c>
      <c r="AN91" s="337"/>
    </row>
    <row r="92" spans="1:40" ht="90" x14ac:dyDescent="0.25">
      <c r="A92" s="6" t="s">
        <v>2</v>
      </c>
      <c r="B92" s="7" t="s">
        <v>3</v>
      </c>
      <c r="C92" s="7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8" t="s">
        <v>9</v>
      </c>
      <c r="I92" s="9" t="s">
        <v>10</v>
      </c>
      <c r="J92" s="8" t="s">
        <v>11</v>
      </c>
      <c r="K92" s="10" t="s">
        <v>12</v>
      </c>
      <c r="L92" s="10" t="s">
        <v>13</v>
      </c>
      <c r="M92" s="11" t="s">
        <v>14</v>
      </c>
      <c r="N92" s="10" t="s">
        <v>691</v>
      </c>
      <c r="O92" s="10" t="s">
        <v>28</v>
      </c>
      <c r="P92" s="5"/>
      <c r="Q92" s="10" t="s">
        <v>16</v>
      </c>
      <c r="R92" s="10" t="s">
        <v>17</v>
      </c>
      <c r="S92" s="10" t="s">
        <v>18</v>
      </c>
      <c r="T92" s="10" t="s">
        <v>19</v>
      </c>
      <c r="U92" s="10" t="s">
        <v>20</v>
      </c>
      <c r="V92" s="13"/>
      <c r="W92" s="136" t="s">
        <v>688</v>
      </c>
      <c r="X92" s="14" t="s">
        <v>22</v>
      </c>
      <c r="Y92" s="15" t="s">
        <v>23</v>
      </c>
      <c r="Z92" s="5"/>
      <c r="AB92">
        <v>3</v>
      </c>
      <c r="AC92" s="16" t="s">
        <v>161</v>
      </c>
      <c r="AD92" s="58">
        <f>+AB92*10</f>
        <v>30</v>
      </c>
      <c r="AF92">
        <v>7</v>
      </c>
      <c r="AG92" s="16" t="s">
        <v>161</v>
      </c>
      <c r="AH92" s="58">
        <f>+AF92*10</f>
        <v>70</v>
      </c>
      <c r="AJ92" s="61" t="s">
        <v>173</v>
      </c>
      <c r="AK92" s="62" t="s">
        <v>174</v>
      </c>
      <c r="AM92" s="16" t="s">
        <v>161</v>
      </c>
      <c r="AN92" s="58">
        <f>+AL92*10</f>
        <v>0</v>
      </c>
    </row>
    <row r="93" spans="1:40" x14ac:dyDescent="0.25">
      <c r="A93" s="16">
        <v>1</v>
      </c>
      <c r="B93" s="92">
        <v>45225</v>
      </c>
      <c r="C93" s="31" t="s">
        <v>30</v>
      </c>
      <c r="D93" s="32"/>
      <c r="E93" s="32" t="s">
        <v>2066</v>
      </c>
      <c r="F93" s="39" t="s">
        <v>1086</v>
      </c>
      <c r="G93" s="39" t="s">
        <v>2067</v>
      </c>
      <c r="H93" s="122">
        <v>100</v>
      </c>
      <c r="I93" s="32">
        <v>88</v>
      </c>
      <c r="J93" s="20">
        <v>12</v>
      </c>
      <c r="K93" s="21"/>
      <c r="L93" s="21">
        <f t="shared" ref="L93:L111" si="13">+I93+J93</f>
        <v>100</v>
      </c>
      <c r="M93" s="21">
        <f t="shared" ref="M93:M111" si="14">+H93-L93</f>
        <v>0</v>
      </c>
      <c r="N93" s="21"/>
      <c r="O93" s="21"/>
      <c r="P93" s="5"/>
      <c r="Q93" s="21"/>
      <c r="R93" s="16"/>
      <c r="S93" s="21">
        <f t="shared" ref="S93:S111" si="15">+Q93+R93</f>
        <v>0</v>
      </c>
      <c r="T93" s="21">
        <v>112</v>
      </c>
      <c r="U93" s="78">
        <f>T93-S93-O93</f>
        <v>112</v>
      </c>
      <c r="V93" s="13"/>
      <c r="W93" s="147"/>
      <c r="X93" s="23"/>
      <c r="Y93" s="333"/>
      <c r="Z93" s="5"/>
      <c r="AB93">
        <v>38.5</v>
      </c>
      <c r="AC93" s="59" t="s">
        <v>162</v>
      </c>
      <c r="AD93" s="18">
        <f>+AB93*1</f>
        <v>38.5</v>
      </c>
      <c r="AF93">
        <v>55</v>
      </c>
      <c r="AG93" s="59" t="s">
        <v>162</v>
      </c>
      <c r="AH93" s="18">
        <f>+AF93*1</f>
        <v>55</v>
      </c>
      <c r="AJ93" s="16"/>
      <c r="AK93" s="16"/>
      <c r="AM93" s="59" t="s">
        <v>162</v>
      </c>
      <c r="AN93" s="18">
        <f>+AL93*1</f>
        <v>0</v>
      </c>
    </row>
    <row r="94" spans="1:40" x14ac:dyDescent="0.25">
      <c r="A94" s="26">
        <v>2</v>
      </c>
      <c r="B94" s="92">
        <v>45225</v>
      </c>
      <c r="C94" s="31" t="s">
        <v>560</v>
      </c>
      <c r="D94" s="32"/>
      <c r="E94" s="32" t="s">
        <v>2068</v>
      </c>
      <c r="F94" s="32" t="s">
        <v>2071</v>
      </c>
      <c r="G94" s="39" t="s">
        <v>2069</v>
      </c>
      <c r="H94" s="122">
        <v>272</v>
      </c>
      <c r="I94" s="32">
        <v>252</v>
      </c>
      <c r="J94" s="20">
        <v>10</v>
      </c>
      <c r="K94" s="21">
        <v>10</v>
      </c>
      <c r="L94" s="21">
        <f t="shared" si="13"/>
        <v>262</v>
      </c>
      <c r="M94" s="21">
        <f t="shared" si="14"/>
        <v>10</v>
      </c>
      <c r="N94" s="21"/>
      <c r="O94" s="21"/>
      <c r="P94" s="5"/>
      <c r="Q94" s="21"/>
      <c r="R94" s="16"/>
      <c r="S94" s="21">
        <f t="shared" si="15"/>
        <v>0</v>
      </c>
      <c r="T94" s="21"/>
      <c r="U94" s="78">
        <f t="shared" ref="U94:U111" si="16">T94-S94-O94</f>
        <v>0</v>
      </c>
      <c r="V94" s="140"/>
      <c r="W94" s="147"/>
      <c r="X94" s="23"/>
      <c r="Y94" s="334"/>
      <c r="Z94" s="5"/>
      <c r="AB94">
        <v>1</v>
      </c>
      <c r="AC94" s="16" t="s">
        <v>163</v>
      </c>
      <c r="AD94" s="60">
        <f>+AB94*5</f>
        <v>5</v>
      </c>
      <c r="AF94">
        <v>7</v>
      </c>
      <c r="AG94" s="16" t="s">
        <v>163</v>
      </c>
      <c r="AH94" s="60">
        <f>+AF94*5</f>
        <v>35</v>
      </c>
      <c r="AJ94" s="16"/>
      <c r="AK94" s="16"/>
      <c r="AM94" s="16" t="s">
        <v>163</v>
      </c>
      <c r="AN94" s="60">
        <f>+AL94*5</f>
        <v>0</v>
      </c>
    </row>
    <row r="95" spans="1:40" x14ac:dyDescent="0.25">
      <c r="A95" s="143">
        <v>3</v>
      </c>
      <c r="B95" s="92">
        <v>45225</v>
      </c>
      <c r="C95" s="31" t="s">
        <v>1755</v>
      </c>
      <c r="D95" s="32"/>
      <c r="E95" s="32" t="s">
        <v>2070</v>
      </c>
      <c r="F95" s="32" t="s">
        <v>2072</v>
      </c>
      <c r="G95" s="39" t="s">
        <v>2073</v>
      </c>
      <c r="H95" s="122">
        <v>150</v>
      </c>
      <c r="I95" s="32">
        <v>110</v>
      </c>
      <c r="J95" s="20">
        <v>25</v>
      </c>
      <c r="K95" s="21">
        <v>15</v>
      </c>
      <c r="L95" s="21">
        <f t="shared" si="13"/>
        <v>135</v>
      </c>
      <c r="M95" s="21">
        <f t="shared" si="14"/>
        <v>15</v>
      </c>
      <c r="N95" s="21"/>
      <c r="O95" s="21"/>
      <c r="P95" s="5"/>
      <c r="Q95" s="21"/>
      <c r="R95" s="16"/>
      <c r="S95" s="21">
        <f t="shared" si="15"/>
        <v>0</v>
      </c>
      <c r="T95" s="21"/>
      <c r="U95" s="78">
        <f t="shared" si="16"/>
        <v>0</v>
      </c>
      <c r="V95" s="140"/>
      <c r="W95" s="147"/>
      <c r="X95" s="23"/>
      <c r="Y95" s="334"/>
      <c r="Z95" s="5"/>
      <c r="AC95" s="16" t="s">
        <v>164</v>
      </c>
      <c r="AD95" s="18">
        <f>+AB95*200</f>
        <v>0</v>
      </c>
      <c r="AF95">
        <v>2</v>
      </c>
      <c r="AG95" s="16" t="s">
        <v>164</v>
      </c>
      <c r="AH95" s="18">
        <f>+AF95*200</f>
        <v>400</v>
      </c>
      <c r="AJ95" s="16"/>
      <c r="AK95" s="16"/>
      <c r="AM95" s="16" t="s">
        <v>164</v>
      </c>
      <c r="AN95" s="18">
        <f>+AL95*200</f>
        <v>0</v>
      </c>
    </row>
    <row r="96" spans="1:40" x14ac:dyDescent="0.25">
      <c r="A96" s="143">
        <v>4</v>
      </c>
      <c r="B96" s="92">
        <v>45225</v>
      </c>
      <c r="C96" s="31" t="s">
        <v>203</v>
      </c>
      <c r="D96" s="32"/>
      <c r="E96" s="32" t="s">
        <v>408</v>
      </c>
      <c r="F96" s="32" t="s">
        <v>2074</v>
      </c>
      <c r="G96" s="39"/>
      <c r="H96" s="122">
        <v>140</v>
      </c>
      <c r="I96" s="32">
        <v>106</v>
      </c>
      <c r="J96" s="20">
        <v>14</v>
      </c>
      <c r="K96" s="21">
        <v>20</v>
      </c>
      <c r="L96" s="21">
        <f t="shared" si="13"/>
        <v>120</v>
      </c>
      <c r="M96" s="21">
        <f t="shared" si="14"/>
        <v>20</v>
      </c>
      <c r="N96" s="21"/>
      <c r="O96" s="21"/>
      <c r="P96" s="5"/>
      <c r="Q96" s="21"/>
      <c r="R96" s="16"/>
      <c r="S96" s="21">
        <f t="shared" si="15"/>
        <v>0</v>
      </c>
      <c r="T96" s="21"/>
      <c r="U96" s="78">
        <f t="shared" si="16"/>
        <v>0</v>
      </c>
      <c r="V96" s="140"/>
      <c r="W96" s="147"/>
      <c r="X96" s="23"/>
      <c r="Y96" s="334"/>
      <c r="Z96" s="5"/>
      <c r="AB96">
        <v>2</v>
      </c>
      <c r="AC96" s="16" t="s">
        <v>165</v>
      </c>
      <c r="AD96" s="18">
        <f>+AB96*100</f>
        <v>200</v>
      </c>
      <c r="AG96" s="16" t="s">
        <v>165</v>
      </c>
      <c r="AH96" s="18">
        <f>+AF96*100</f>
        <v>0</v>
      </c>
      <c r="AJ96" s="16"/>
      <c r="AK96" s="16"/>
      <c r="AM96" s="16" t="s">
        <v>165</v>
      </c>
      <c r="AN96" s="18">
        <f>+AL96*100</f>
        <v>0</v>
      </c>
    </row>
    <row r="97" spans="1:40" x14ac:dyDescent="0.25">
      <c r="A97" s="143">
        <v>5</v>
      </c>
      <c r="B97" s="92">
        <v>45225</v>
      </c>
      <c r="C97" s="31" t="s">
        <v>1003</v>
      </c>
      <c r="D97" s="32"/>
      <c r="E97" s="32" t="s">
        <v>408</v>
      </c>
      <c r="F97" s="32" t="s">
        <v>696</v>
      </c>
      <c r="G97" s="32" t="s">
        <v>2075</v>
      </c>
      <c r="H97" s="122">
        <v>100</v>
      </c>
      <c r="I97" s="32">
        <v>74</v>
      </c>
      <c r="J97" s="20">
        <v>12</v>
      </c>
      <c r="K97" s="21">
        <v>14</v>
      </c>
      <c r="L97" s="21">
        <f t="shared" si="13"/>
        <v>86</v>
      </c>
      <c r="M97" s="21">
        <f t="shared" si="14"/>
        <v>14</v>
      </c>
      <c r="N97" s="21"/>
      <c r="O97" s="21"/>
      <c r="P97" s="5"/>
      <c r="Q97" s="16"/>
      <c r="R97" s="16"/>
      <c r="S97" s="21">
        <f t="shared" si="15"/>
        <v>0</v>
      </c>
      <c r="T97" s="21"/>
      <c r="U97" s="78">
        <f t="shared" si="16"/>
        <v>0</v>
      </c>
      <c r="V97" s="140"/>
      <c r="W97" s="147"/>
      <c r="X97" s="23"/>
      <c r="Y97" s="334"/>
      <c r="Z97" s="5"/>
      <c r="AB97">
        <v>1</v>
      </c>
      <c r="AC97" s="16" t="s">
        <v>166</v>
      </c>
      <c r="AD97" s="18">
        <f>+AB97*50</f>
        <v>50</v>
      </c>
      <c r="AF97">
        <v>1</v>
      </c>
      <c r="AG97" s="16" t="s">
        <v>166</v>
      </c>
      <c r="AH97" s="18">
        <f>+AF97*50</f>
        <v>50</v>
      </c>
      <c r="AJ97" s="16"/>
      <c r="AK97" s="16"/>
      <c r="AM97" s="16" t="s">
        <v>166</v>
      </c>
      <c r="AN97" s="18">
        <f>+AL97*50</f>
        <v>0</v>
      </c>
    </row>
    <row r="98" spans="1:40" x14ac:dyDescent="0.25">
      <c r="A98" s="41">
        <v>6</v>
      </c>
      <c r="B98" s="92">
        <v>45225</v>
      </c>
      <c r="C98" s="31" t="s">
        <v>2076</v>
      </c>
      <c r="D98" s="32"/>
      <c r="E98" s="32" t="s">
        <v>106</v>
      </c>
      <c r="F98" s="32" t="s">
        <v>2077</v>
      </c>
      <c r="G98" s="39" t="s">
        <v>2078</v>
      </c>
      <c r="H98" s="39">
        <v>70</v>
      </c>
      <c r="I98" s="42">
        <v>49</v>
      </c>
      <c r="J98" s="20">
        <v>12</v>
      </c>
      <c r="K98" s="21">
        <v>9</v>
      </c>
      <c r="L98" s="21">
        <f t="shared" si="13"/>
        <v>61</v>
      </c>
      <c r="M98" s="21">
        <f t="shared" si="14"/>
        <v>9</v>
      </c>
      <c r="N98" s="21"/>
      <c r="O98" s="21">
        <v>98</v>
      </c>
      <c r="P98" s="5"/>
      <c r="Q98" s="16"/>
      <c r="R98" s="16"/>
      <c r="S98" s="21">
        <f t="shared" si="15"/>
        <v>0</v>
      </c>
      <c r="T98" s="16"/>
      <c r="U98" s="78">
        <f t="shared" si="16"/>
        <v>-98</v>
      </c>
      <c r="V98" s="140"/>
      <c r="W98" s="147"/>
      <c r="X98" s="23"/>
      <c r="Y98" s="334"/>
      <c r="Z98" s="5"/>
      <c r="AB98">
        <v>3</v>
      </c>
      <c r="AC98" s="16" t="s">
        <v>167</v>
      </c>
      <c r="AD98" s="18">
        <f>+AB98*20</f>
        <v>60</v>
      </c>
      <c r="AF98">
        <v>5</v>
      </c>
      <c r="AG98" s="16" t="s">
        <v>167</v>
      </c>
      <c r="AH98" s="18">
        <f>+AF98*20</f>
        <v>100</v>
      </c>
      <c r="AJ98" s="16"/>
      <c r="AK98" s="16"/>
      <c r="AM98" s="16" t="s">
        <v>167</v>
      </c>
      <c r="AN98" s="18">
        <f>+AL98*20</f>
        <v>0</v>
      </c>
    </row>
    <row r="99" spans="1:40" x14ac:dyDescent="0.25">
      <c r="A99" s="143">
        <v>7</v>
      </c>
      <c r="B99" s="92">
        <v>45225</v>
      </c>
      <c r="C99" s="31" t="s">
        <v>30</v>
      </c>
      <c r="D99" s="32"/>
      <c r="E99" s="32" t="s">
        <v>2079</v>
      </c>
      <c r="F99" s="32" t="s">
        <v>1667</v>
      </c>
      <c r="G99" s="39" t="s">
        <v>2080</v>
      </c>
      <c r="H99" s="122">
        <v>700</v>
      </c>
      <c r="I99" s="42">
        <v>640</v>
      </c>
      <c r="J99" s="20">
        <v>40</v>
      </c>
      <c r="K99" s="21">
        <v>20</v>
      </c>
      <c r="L99" s="21">
        <f t="shared" si="13"/>
        <v>680</v>
      </c>
      <c r="M99" s="21">
        <f t="shared" si="14"/>
        <v>20</v>
      </c>
      <c r="N99" s="21"/>
      <c r="O99" s="21"/>
      <c r="P99" s="5"/>
      <c r="Q99" s="16">
        <v>750</v>
      </c>
      <c r="R99" s="16"/>
      <c r="S99" s="21">
        <f t="shared" si="15"/>
        <v>750</v>
      </c>
      <c r="T99" s="16"/>
      <c r="U99" s="78">
        <f t="shared" si="16"/>
        <v>-750</v>
      </c>
      <c r="V99" s="140"/>
      <c r="W99" s="147"/>
      <c r="X99" s="23"/>
      <c r="Y99" s="334"/>
      <c r="Z99" s="5"/>
      <c r="AC99" s="16" t="s">
        <v>171</v>
      </c>
      <c r="AD99" s="18">
        <f>+AB99*500</f>
        <v>0</v>
      </c>
      <c r="AF99">
        <v>1</v>
      </c>
      <c r="AG99" s="16" t="s">
        <v>171</v>
      </c>
      <c r="AH99" s="18">
        <f>+AF99*500</f>
        <v>500</v>
      </c>
      <c r="AJ99" s="16"/>
      <c r="AK99" s="16"/>
      <c r="AM99" s="16" t="s">
        <v>171</v>
      </c>
      <c r="AN99" s="18">
        <f>+AL99*500</f>
        <v>0</v>
      </c>
    </row>
    <row r="100" spans="1:40" x14ac:dyDescent="0.25">
      <c r="A100" s="143">
        <v>8</v>
      </c>
      <c r="B100" s="92">
        <v>45225</v>
      </c>
      <c r="C100" s="31" t="s">
        <v>131</v>
      </c>
      <c r="D100" s="123"/>
      <c r="E100" s="123" t="s">
        <v>38</v>
      </c>
      <c r="F100" s="123" t="s">
        <v>195</v>
      </c>
      <c r="G100" s="39" t="s">
        <v>2081</v>
      </c>
      <c r="H100" s="122">
        <v>169</v>
      </c>
      <c r="I100" s="32">
        <v>155</v>
      </c>
      <c r="J100" s="20">
        <v>14</v>
      </c>
      <c r="K100" s="21"/>
      <c r="L100" s="21">
        <f t="shared" si="13"/>
        <v>169</v>
      </c>
      <c r="M100" s="21">
        <f t="shared" si="14"/>
        <v>0</v>
      </c>
      <c r="N100" s="21"/>
      <c r="O100" s="21"/>
      <c r="P100" s="5"/>
      <c r="Q100" s="16"/>
      <c r="R100" s="16"/>
      <c r="S100" s="21">
        <f t="shared" si="15"/>
        <v>0</v>
      </c>
      <c r="T100" s="16"/>
      <c r="U100" s="78">
        <f t="shared" si="16"/>
        <v>0</v>
      </c>
      <c r="V100" s="140"/>
      <c r="W100" s="147"/>
      <c r="X100" s="23"/>
      <c r="Y100" s="334"/>
      <c r="Z100" s="5"/>
      <c r="AC100" s="16" t="s">
        <v>168</v>
      </c>
      <c r="AD100" s="18">
        <f>+AB100*1000</f>
        <v>0</v>
      </c>
      <c r="AG100" s="16" t="s">
        <v>168</v>
      </c>
      <c r="AH100" s="18">
        <f>+AF100*1000</f>
        <v>0</v>
      </c>
      <c r="AJ100" s="16"/>
      <c r="AK100" s="16"/>
      <c r="AM100" s="16" t="s">
        <v>168</v>
      </c>
      <c r="AN100" s="18">
        <f>+AL100*1000</f>
        <v>0</v>
      </c>
    </row>
    <row r="101" spans="1:40" x14ac:dyDescent="0.25">
      <c r="A101" s="143">
        <v>9</v>
      </c>
      <c r="B101" s="92">
        <v>45225</v>
      </c>
      <c r="C101" s="31" t="s">
        <v>2082</v>
      </c>
      <c r="D101" s="32"/>
      <c r="E101" s="32" t="s">
        <v>106</v>
      </c>
      <c r="F101" s="32" t="s">
        <v>818</v>
      </c>
      <c r="G101" s="39" t="s">
        <v>2084</v>
      </c>
      <c r="H101" s="39"/>
      <c r="I101" s="40"/>
      <c r="J101" s="20">
        <v>12</v>
      </c>
      <c r="K101" s="21"/>
      <c r="L101" s="21">
        <f t="shared" si="13"/>
        <v>12</v>
      </c>
      <c r="M101" s="21">
        <f t="shared" si="14"/>
        <v>-12</v>
      </c>
      <c r="N101" s="21"/>
      <c r="O101" s="21">
        <v>79</v>
      </c>
      <c r="P101" s="5"/>
      <c r="Q101" s="16"/>
      <c r="R101" s="16"/>
      <c r="S101" s="21">
        <f t="shared" si="15"/>
        <v>0</v>
      </c>
      <c r="T101" s="16"/>
      <c r="U101" s="78">
        <f t="shared" si="16"/>
        <v>-79</v>
      </c>
      <c r="V101" s="140"/>
      <c r="W101" s="147"/>
      <c r="X101" s="23"/>
      <c r="Y101" s="334"/>
      <c r="Z101" s="5"/>
      <c r="AC101" s="26"/>
      <c r="AD101" s="58"/>
      <c r="AG101" s="26"/>
      <c r="AH101" s="58"/>
      <c r="AJ101" s="16"/>
      <c r="AK101" s="16"/>
      <c r="AM101" s="26"/>
      <c r="AN101" s="58"/>
    </row>
    <row r="102" spans="1:40" x14ac:dyDescent="0.25">
      <c r="A102" s="143">
        <v>10</v>
      </c>
      <c r="B102" s="92">
        <v>45225</v>
      </c>
      <c r="C102" s="31" t="s">
        <v>319</v>
      </c>
      <c r="D102" s="32"/>
      <c r="E102" s="32" t="s">
        <v>106</v>
      </c>
      <c r="F102" s="32" t="s">
        <v>994</v>
      </c>
      <c r="G102" s="39" t="s">
        <v>2083</v>
      </c>
      <c r="H102" s="122">
        <v>500</v>
      </c>
      <c r="I102" s="42">
        <v>310</v>
      </c>
      <c r="J102" s="20">
        <v>14</v>
      </c>
      <c r="K102" s="21"/>
      <c r="L102" s="21">
        <f t="shared" si="13"/>
        <v>324</v>
      </c>
      <c r="M102" s="21">
        <f t="shared" si="14"/>
        <v>176</v>
      </c>
      <c r="N102" s="21"/>
      <c r="O102" s="21"/>
      <c r="P102" s="5"/>
      <c r="Q102" s="16"/>
      <c r="R102" s="16"/>
      <c r="S102" s="21">
        <f t="shared" si="15"/>
        <v>0</v>
      </c>
      <c r="T102" s="16"/>
      <c r="U102" s="78">
        <f t="shared" si="16"/>
        <v>0</v>
      </c>
      <c r="V102" s="140"/>
      <c r="W102" s="147"/>
      <c r="X102" s="23"/>
      <c r="Y102" s="334"/>
      <c r="Z102" s="5"/>
      <c r="AC102" s="16" t="s">
        <v>169</v>
      </c>
      <c r="AD102" s="18">
        <f>SUM(AD92:AD101)</f>
        <v>383.5</v>
      </c>
      <c r="AG102" s="16" t="s">
        <v>169</v>
      </c>
      <c r="AH102" s="18">
        <f>SUM(AH92:AH101)</f>
        <v>1210</v>
      </c>
      <c r="AJ102" s="16"/>
      <c r="AK102" s="16"/>
      <c r="AM102" s="16" t="s">
        <v>169</v>
      </c>
      <c r="AN102" s="18"/>
    </row>
    <row r="103" spans="1:40" x14ac:dyDescent="0.25">
      <c r="A103" s="143">
        <v>11</v>
      </c>
      <c r="B103" s="92">
        <v>45225</v>
      </c>
      <c r="C103" s="31" t="s">
        <v>2058</v>
      </c>
      <c r="D103" s="124"/>
      <c r="E103" s="123" t="s">
        <v>106</v>
      </c>
      <c r="F103" s="123" t="s">
        <v>1493</v>
      </c>
      <c r="G103" s="39" t="s">
        <v>2085</v>
      </c>
      <c r="H103" s="122">
        <v>200</v>
      </c>
      <c r="I103" s="42">
        <v>130</v>
      </c>
      <c r="J103" s="20">
        <v>10</v>
      </c>
      <c r="K103" s="21"/>
      <c r="L103" s="21">
        <f t="shared" si="13"/>
        <v>140</v>
      </c>
      <c r="M103" s="21">
        <f t="shared" si="14"/>
        <v>60</v>
      </c>
      <c r="N103" s="21"/>
      <c r="O103" s="21">
        <v>130</v>
      </c>
      <c r="P103" s="5"/>
      <c r="Q103" s="16"/>
      <c r="R103" s="16"/>
      <c r="S103" s="21">
        <f t="shared" si="15"/>
        <v>0</v>
      </c>
      <c r="T103" s="16"/>
      <c r="U103" s="78">
        <f t="shared" si="16"/>
        <v>-130</v>
      </c>
      <c r="V103" s="140"/>
      <c r="W103" s="147"/>
      <c r="X103" s="23"/>
      <c r="Y103" s="334"/>
      <c r="Z103" s="5"/>
      <c r="AJ103" s="16"/>
      <c r="AK103" s="16"/>
      <c r="AM103" s="16"/>
      <c r="AN103" s="16"/>
    </row>
    <row r="104" spans="1:40" x14ac:dyDescent="0.25">
      <c r="A104" s="143">
        <v>12</v>
      </c>
      <c r="B104" s="92">
        <v>45225</v>
      </c>
      <c r="C104" s="32" t="s">
        <v>483</v>
      </c>
      <c r="D104" s="32"/>
      <c r="E104" s="124" t="s">
        <v>2086</v>
      </c>
      <c r="F104" s="123" t="s">
        <v>220</v>
      </c>
      <c r="G104" s="39" t="s">
        <v>2087</v>
      </c>
      <c r="H104" s="39">
        <v>830</v>
      </c>
      <c r="I104" s="42">
        <v>850</v>
      </c>
      <c r="J104" s="20">
        <v>30</v>
      </c>
      <c r="K104" s="21"/>
      <c r="L104" s="21">
        <f t="shared" si="13"/>
        <v>880</v>
      </c>
      <c r="M104" s="21">
        <f t="shared" si="14"/>
        <v>-50</v>
      </c>
      <c r="N104" s="21"/>
      <c r="O104" s="21"/>
      <c r="P104" s="5"/>
      <c r="Q104" s="45"/>
      <c r="R104" s="44"/>
      <c r="S104" s="21">
        <f t="shared" si="15"/>
        <v>0</v>
      </c>
      <c r="T104" s="45"/>
      <c r="U104" s="78">
        <f t="shared" si="16"/>
        <v>0</v>
      </c>
      <c r="V104" s="140"/>
      <c r="W104" s="147"/>
      <c r="X104" s="23"/>
      <c r="Y104" s="334"/>
      <c r="Z104" s="5"/>
      <c r="AJ104" s="63" t="s">
        <v>169</v>
      </c>
      <c r="AK104" s="63">
        <f>+SUM(AJ93:AJ103)-SUM(AK93:AK103)</f>
        <v>0</v>
      </c>
      <c r="AM104" s="63" t="s">
        <v>169</v>
      </c>
      <c r="AN104" s="85">
        <f>+SUM(AM92:AM103)-SUM(AN93:AN103)</f>
        <v>0</v>
      </c>
    </row>
    <row r="105" spans="1:40" x14ac:dyDescent="0.25">
      <c r="A105" s="143">
        <v>13</v>
      </c>
      <c r="B105" s="92">
        <v>45225</v>
      </c>
      <c r="C105" s="31" t="s">
        <v>2024</v>
      </c>
      <c r="D105" s="32"/>
      <c r="E105" s="32" t="s">
        <v>2088</v>
      </c>
      <c r="F105" s="32" t="s">
        <v>52</v>
      </c>
      <c r="G105" s="39" t="s">
        <v>2089</v>
      </c>
      <c r="H105" s="39">
        <v>100</v>
      </c>
      <c r="I105" s="42">
        <v>52</v>
      </c>
      <c r="J105" s="108">
        <v>12</v>
      </c>
      <c r="K105" s="21"/>
      <c r="L105" s="21">
        <f t="shared" si="13"/>
        <v>64</v>
      </c>
      <c r="M105" s="21">
        <f t="shared" si="14"/>
        <v>36</v>
      </c>
      <c r="N105" s="21"/>
      <c r="O105" s="21">
        <v>52</v>
      </c>
      <c r="P105" s="5"/>
      <c r="Q105" s="43"/>
      <c r="R105" s="32"/>
      <c r="S105" s="21">
        <f t="shared" si="15"/>
        <v>0</v>
      </c>
      <c r="T105" s="43"/>
      <c r="U105" s="78">
        <f t="shared" si="16"/>
        <v>-52</v>
      </c>
      <c r="V105" s="140"/>
      <c r="W105" s="147"/>
      <c r="X105" s="23"/>
      <c r="Y105" s="334"/>
      <c r="Z105" s="5"/>
      <c r="AH105" s="83"/>
    </row>
    <row r="106" spans="1:40" x14ac:dyDescent="0.25">
      <c r="A106" s="143">
        <v>14</v>
      </c>
      <c r="B106" s="92">
        <v>45225</v>
      </c>
      <c r="C106" s="31"/>
      <c r="D106" s="32"/>
      <c r="E106" s="32"/>
      <c r="F106" s="32"/>
      <c r="G106" s="39"/>
      <c r="H106" s="39"/>
      <c r="I106" s="42"/>
      <c r="J106" s="108">
        <v>10</v>
      </c>
      <c r="K106" s="21"/>
      <c r="L106" s="21">
        <f t="shared" si="13"/>
        <v>10</v>
      </c>
      <c r="M106" s="21">
        <f t="shared" si="14"/>
        <v>-10</v>
      </c>
      <c r="N106" s="21"/>
      <c r="O106" s="21"/>
      <c r="P106" s="5"/>
      <c r="Q106" s="43"/>
      <c r="R106" s="43"/>
      <c r="S106" s="21">
        <f t="shared" si="15"/>
        <v>0</v>
      </c>
      <c r="T106" s="43"/>
      <c r="U106" s="78">
        <f t="shared" si="16"/>
        <v>0</v>
      </c>
      <c r="V106" s="140"/>
      <c r="W106" s="147"/>
      <c r="X106" s="23"/>
      <c r="Y106" s="334"/>
      <c r="Z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40" x14ac:dyDescent="0.25">
      <c r="A107" s="143">
        <v>15</v>
      </c>
      <c r="B107" s="92">
        <v>45225</v>
      </c>
      <c r="C107" s="127"/>
      <c r="D107" s="32"/>
      <c r="E107" s="32"/>
      <c r="F107" s="128"/>
      <c r="G107" s="129"/>
      <c r="H107" s="39"/>
      <c r="I107" s="42"/>
      <c r="J107" s="108">
        <v>10</v>
      </c>
      <c r="K107" s="21"/>
      <c r="L107" s="21">
        <f t="shared" si="13"/>
        <v>10</v>
      </c>
      <c r="M107" s="21">
        <f t="shared" si="14"/>
        <v>-10</v>
      </c>
      <c r="N107" s="21"/>
      <c r="O107" s="21"/>
      <c r="P107" s="5"/>
      <c r="Q107" s="43"/>
      <c r="R107" s="43"/>
      <c r="S107" s="21">
        <f t="shared" si="15"/>
        <v>0</v>
      </c>
      <c r="T107" s="43"/>
      <c r="U107" s="78">
        <f t="shared" si="16"/>
        <v>0</v>
      </c>
      <c r="V107" s="140"/>
      <c r="W107" s="147"/>
      <c r="X107" s="23"/>
      <c r="Y107" s="334"/>
      <c r="Z107" s="5"/>
      <c r="AC107" s="5"/>
      <c r="AD107" s="134" t="s">
        <v>20</v>
      </c>
      <c r="AE107" s="338"/>
      <c r="AF107" s="341" t="s">
        <v>686</v>
      </c>
      <c r="AG107" s="134" t="s">
        <v>20</v>
      </c>
      <c r="AH107" s="338">
        <v>84</v>
      </c>
      <c r="AI107" s="341" t="s">
        <v>687</v>
      </c>
      <c r="AJ107" s="134" t="s">
        <v>20</v>
      </c>
      <c r="AK107" s="338"/>
      <c r="AL107" s="5"/>
    </row>
    <row r="108" spans="1:40" x14ac:dyDescent="0.25">
      <c r="A108" s="143">
        <v>16</v>
      </c>
      <c r="B108" s="92">
        <v>45225</v>
      </c>
      <c r="C108" s="31"/>
      <c r="D108" s="32"/>
      <c r="E108" s="32"/>
      <c r="F108" s="32"/>
      <c r="G108" s="39"/>
      <c r="H108" s="39"/>
      <c r="I108" s="42"/>
      <c r="J108" s="43">
        <v>10</v>
      </c>
      <c r="K108" s="21"/>
      <c r="L108" s="21">
        <f t="shared" si="13"/>
        <v>10</v>
      </c>
      <c r="M108" s="21">
        <f t="shared" si="14"/>
        <v>-10</v>
      </c>
      <c r="N108" s="21"/>
      <c r="O108" s="21"/>
      <c r="P108" s="5"/>
      <c r="Q108" s="43"/>
      <c r="R108" s="32"/>
      <c r="S108" s="21">
        <f t="shared" si="15"/>
        <v>0</v>
      </c>
      <c r="T108" s="131"/>
      <c r="U108" s="78">
        <f t="shared" si="16"/>
        <v>0</v>
      </c>
      <c r="V108" s="140"/>
      <c r="W108" s="147"/>
      <c r="X108" s="23"/>
      <c r="Y108" s="334"/>
      <c r="Z108" s="5"/>
      <c r="AC108" s="5" t="s">
        <v>685</v>
      </c>
      <c r="AD108" s="115" t="s">
        <v>684</v>
      </c>
      <c r="AE108" s="339"/>
      <c r="AF108" s="341"/>
      <c r="AG108" s="115" t="s">
        <v>684</v>
      </c>
      <c r="AH108" s="339"/>
      <c r="AI108" s="341"/>
      <c r="AJ108" s="115" t="s">
        <v>684</v>
      </c>
      <c r="AK108" s="339"/>
      <c r="AL108" s="5"/>
    </row>
    <row r="109" spans="1:40" x14ac:dyDescent="0.25">
      <c r="A109" s="143">
        <v>17</v>
      </c>
      <c r="B109" s="92">
        <v>45225</v>
      </c>
      <c r="C109" s="31"/>
      <c r="D109" s="32"/>
      <c r="E109" s="32"/>
      <c r="F109" s="32"/>
      <c r="G109" s="39"/>
      <c r="H109" s="39"/>
      <c r="I109" s="42"/>
      <c r="J109" s="43">
        <v>10</v>
      </c>
      <c r="K109" s="21"/>
      <c r="L109" s="21">
        <f t="shared" si="13"/>
        <v>10</v>
      </c>
      <c r="M109" s="21">
        <f t="shared" si="14"/>
        <v>-10</v>
      </c>
      <c r="N109" s="21"/>
      <c r="O109" s="21"/>
      <c r="P109" s="5"/>
      <c r="Q109" s="43"/>
      <c r="R109" s="32"/>
      <c r="S109" s="21">
        <f t="shared" si="15"/>
        <v>0</v>
      </c>
      <c r="T109" s="132"/>
      <c r="U109" s="78">
        <f t="shared" si="16"/>
        <v>0</v>
      </c>
      <c r="V109" s="140"/>
      <c r="W109" s="147"/>
      <c r="X109" s="23"/>
      <c r="Y109" s="340"/>
      <c r="Z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40" x14ac:dyDescent="0.25">
      <c r="A110" s="143">
        <v>18</v>
      </c>
      <c r="B110" s="92">
        <v>45225</v>
      </c>
      <c r="C110" s="31"/>
      <c r="D110" s="32"/>
      <c r="E110" s="32"/>
      <c r="F110" s="32"/>
      <c r="G110" s="39"/>
      <c r="H110" s="39"/>
      <c r="I110" s="42"/>
      <c r="J110" s="43">
        <v>10</v>
      </c>
      <c r="K110" s="21"/>
      <c r="L110" s="21">
        <f t="shared" si="13"/>
        <v>10</v>
      </c>
      <c r="M110" s="21">
        <f t="shared" si="14"/>
        <v>-10</v>
      </c>
      <c r="N110" s="21"/>
      <c r="O110" s="21"/>
      <c r="P110" s="5"/>
      <c r="Q110" s="135"/>
      <c r="R110" s="104"/>
      <c r="S110" s="21">
        <f t="shared" si="15"/>
        <v>0</v>
      </c>
      <c r="T110" s="131"/>
      <c r="U110" s="78">
        <f t="shared" si="16"/>
        <v>0</v>
      </c>
      <c r="V110" s="140"/>
      <c r="W110" s="138"/>
      <c r="X110" s="32"/>
      <c r="Z110" s="5"/>
    </row>
    <row r="111" spans="1:40" x14ac:dyDescent="0.25">
      <c r="A111" s="143">
        <v>19</v>
      </c>
      <c r="B111" s="92">
        <v>45225</v>
      </c>
      <c r="C111" s="31"/>
      <c r="D111" s="32"/>
      <c r="E111" s="32"/>
      <c r="F111" s="32"/>
      <c r="G111" s="39"/>
      <c r="H111" s="39"/>
      <c r="I111" s="42"/>
      <c r="J111" s="43">
        <v>10</v>
      </c>
      <c r="K111" s="21"/>
      <c r="L111" s="21">
        <f t="shared" si="13"/>
        <v>10</v>
      </c>
      <c r="M111" s="21">
        <f t="shared" si="14"/>
        <v>-10</v>
      </c>
      <c r="N111" s="21"/>
      <c r="O111" s="21"/>
      <c r="P111" s="5"/>
      <c r="Q111" s="32"/>
      <c r="R111" s="32"/>
      <c r="S111" s="21">
        <f t="shared" si="15"/>
        <v>0</v>
      </c>
      <c r="T111" s="32"/>
      <c r="U111" s="78">
        <f t="shared" si="16"/>
        <v>0</v>
      </c>
      <c r="V111" s="140"/>
      <c r="W111" s="138"/>
      <c r="X111" s="32"/>
      <c r="Z111" s="5"/>
    </row>
    <row r="112" spans="1:40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22">
        <f>SUM(O98:O108)</f>
        <v>359</v>
      </c>
      <c r="P112" s="5"/>
      <c r="Q112" s="5"/>
      <c r="R112" s="5"/>
      <c r="S112" s="5"/>
      <c r="T112" s="5"/>
      <c r="U112" s="5"/>
      <c r="V112" s="141"/>
      <c r="W112" s="5"/>
      <c r="X112" s="5"/>
      <c r="Y112" s="5"/>
      <c r="Z112" s="5"/>
    </row>
    <row r="119" spans="1:40" x14ac:dyDescent="0.25">
      <c r="H119">
        <v>250</v>
      </c>
    </row>
    <row r="122" spans="1:40" x14ac:dyDescent="0.25">
      <c r="A122" s="1" t="s">
        <v>0</v>
      </c>
      <c r="B122" s="1"/>
      <c r="C122" s="1"/>
      <c r="D122" s="1"/>
      <c r="E122" s="1"/>
      <c r="F122" s="1"/>
      <c r="G122" s="1"/>
      <c r="H122" s="1"/>
      <c r="I122" s="1" t="s">
        <v>148</v>
      </c>
      <c r="J122" s="1"/>
      <c r="K122" s="1"/>
      <c r="L122" s="1"/>
      <c r="M122" s="1"/>
      <c r="N122" s="1"/>
      <c r="O122" s="1"/>
      <c r="P122" s="1"/>
      <c r="Q122" s="1"/>
      <c r="R122" s="1"/>
      <c r="S122" s="342" t="s">
        <v>1</v>
      </c>
      <c r="T122" s="342"/>
      <c r="U122" s="5"/>
      <c r="V122" s="139"/>
      <c r="W122" s="1"/>
      <c r="X122" s="1"/>
      <c r="Y122" s="1"/>
      <c r="Z122" s="5"/>
      <c r="AC122" s="335" t="s">
        <v>160</v>
      </c>
      <c r="AD122" s="336"/>
      <c r="AG122" s="335" t="s">
        <v>170</v>
      </c>
      <c r="AH122" s="336"/>
      <c r="AJ122" s="337" t="s">
        <v>172</v>
      </c>
      <c r="AK122" s="337"/>
      <c r="AM122" s="337" t="s">
        <v>681</v>
      </c>
      <c r="AN122" s="337"/>
    </row>
    <row r="123" spans="1:40" ht="90" x14ac:dyDescent="0.25">
      <c r="A123" s="6" t="s">
        <v>2</v>
      </c>
      <c r="B123" s="7" t="s">
        <v>3</v>
      </c>
      <c r="C123" s="7" t="s">
        <v>4</v>
      </c>
      <c r="D123" s="6" t="s">
        <v>5</v>
      </c>
      <c r="E123" s="6" t="s">
        <v>6</v>
      </c>
      <c r="F123" s="6" t="s">
        <v>7</v>
      </c>
      <c r="G123" s="6" t="s">
        <v>8</v>
      </c>
      <c r="H123" s="8" t="s">
        <v>9</v>
      </c>
      <c r="I123" s="9" t="s">
        <v>10</v>
      </c>
      <c r="J123" s="8" t="s">
        <v>11</v>
      </c>
      <c r="K123" s="10" t="s">
        <v>12</v>
      </c>
      <c r="L123" s="10" t="s">
        <v>13</v>
      </c>
      <c r="M123" s="11" t="s">
        <v>14</v>
      </c>
      <c r="N123" s="10" t="s">
        <v>691</v>
      </c>
      <c r="O123" s="10" t="s">
        <v>28</v>
      </c>
      <c r="P123" s="5"/>
      <c r="Q123" s="10" t="s">
        <v>16</v>
      </c>
      <c r="R123" s="10" t="s">
        <v>17</v>
      </c>
      <c r="S123" s="10" t="s">
        <v>18</v>
      </c>
      <c r="T123" s="10" t="s">
        <v>19</v>
      </c>
      <c r="U123" s="10" t="s">
        <v>20</v>
      </c>
      <c r="V123" s="13"/>
      <c r="W123" s="136" t="s">
        <v>688</v>
      </c>
      <c r="X123" s="14" t="s">
        <v>22</v>
      </c>
      <c r="Y123" s="15" t="s">
        <v>23</v>
      </c>
      <c r="Z123" s="5"/>
      <c r="AB123">
        <v>6</v>
      </c>
      <c r="AC123" s="16" t="s">
        <v>161</v>
      </c>
      <c r="AD123" s="58">
        <f>+AB123*10</f>
        <v>60</v>
      </c>
      <c r="AF123">
        <v>3</v>
      </c>
      <c r="AG123" s="16" t="s">
        <v>161</v>
      </c>
      <c r="AH123" s="58">
        <f>+AF123*10</f>
        <v>30</v>
      </c>
      <c r="AJ123" s="61" t="s">
        <v>173</v>
      </c>
      <c r="AK123" s="62" t="s">
        <v>174</v>
      </c>
      <c r="AM123" s="16" t="s">
        <v>161</v>
      </c>
      <c r="AN123" s="58">
        <f>+AL123*10</f>
        <v>0</v>
      </c>
    </row>
    <row r="124" spans="1:40" x14ac:dyDescent="0.25">
      <c r="A124" s="16">
        <v>1</v>
      </c>
      <c r="B124" s="92">
        <v>45226</v>
      </c>
      <c r="C124" s="31" t="s">
        <v>128</v>
      </c>
      <c r="D124" s="32"/>
      <c r="E124" s="32" t="s">
        <v>788</v>
      </c>
      <c r="F124" s="39"/>
      <c r="G124" s="39" t="s">
        <v>2090</v>
      </c>
      <c r="H124" s="122">
        <v>257</v>
      </c>
      <c r="I124" s="32">
        <v>243</v>
      </c>
      <c r="J124" s="20">
        <v>14</v>
      </c>
      <c r="K124" s="21"/>
      <c r="L124" s="21">
        <f t="shared" ref="L124:L142" si="17">+I124+J124</f>
        <v>257</v>
      </c>
      <c r="M124" s="21">
        <f t="shared" ref="M124:M142" si="18">+H124-L124</f>
        <v>0</v>
      </c>
      <c r="N124" s="21">
        <v>270</v>
      </c>
      <c r="O124" s="21"/>
      <c r="P124" s="5"/>
      <c r="Q124" s="21">
        <v>400</v>
      </c>
      <c r="R124" s="16"/>
      <c r="S124" s="21">
        <f t="shared" ref="S124:S142" si="19">+Q124+R124</f>
        <v>400</v>
      </c>
      <c r="T124" s="21">
        <f>156+170</f>
        <v>326</v>
      </c>
      <c r="U124" s="78">
        <f>T124-S124-O124</f>
        <v>-74</v>
      </c>
      <c r="V124" s="13"/>
      <c r="W124" s="147"/>
      <c r="X124" s="23"/>
      <c r="Y124" s="333"/>
      <c r="Z124" s="5"/>
      <c r="AB124">
        <v>48.5</v>
      </c>
      <c r="AC124" s="59" t="s">
        <v>162</v>
      </c>
      <c r="AD124" s="18">
        <f>+AB124*1</f>
        <v>48.5</v>
      </c>
      <c r="AF124">
        <v>32.5</v>
      </c>
      <c r="AG124" s="59" t="s">
        <v>162</v>
      </c>
      <c r="AH124" s="18">
        <f>+AF124*1</f>
        <v>32.5</v>
      </c>
      <c r="AJ124" s="16">
        <v>1000</v>
      </c>
      <c r="AK124" s="16"/>
      <c r="AM124" s="59" t="s">
        <v>162</v>
      </c>
      <c r="AN124" s="18">
        <f>+AL124*1</f>
        <v>0</v>
      </c>
    </row>
    <row r="125" spans="1:40" x14ac:dyDescent="0.25">
      <c r="A125" s="26">
        <v>2</v>
      </c>
      <c r="B125" s="92">
        <v>45226</v>
      </c>
      <c r="C125" s="31" t="s">
        <v>30</v>
      </c>
      <c r="D125" s="32">
        <v>5537803548</v>
      </c>
      <c r="E125" s="32" t="s">
        <v>2091</v>
      </c>
      <c r="F125" s="32" t="s">
        <v>2092</v>
      </c>
      <c r="G125" s="39" t="s">
        <v>2093</v>
      </c>
      <c r="H125" s="122">
        <v>570</v>
      </c>
      <c r="I125" s="32">
        <v>503</v>
      </c>
      <c r="J125" s="20">
        <v>40</v>
      </c>
      <c r="K125" s="21">
        <v>27</v>
      </c>
      <c r="L125" s="21">
        <f t="shared" si="17"/>
        <v>543</v>
      </c>
      <c r="M125" s="21">
        <f t="shared" si="18"/>
        <v>27</v>
      </c>
      <c r="N125" s="21">
        <v>570</v>
      </c>
      <c r="O125" s="21"/>
      <c r="P125" s="5"/>
      <c r="Q125" s="21">
        <v>800</v>
      </c>
      <c r="R125" s="16"/>
      <c r="S125" s="21">
        <f t="shared" si="19"/>
        <v>800</v>
      </c>
      <c r="T125" s="21"/>
      <c r="U125" s="78">
        <f t="shared" ref="U125:U142" si="20">T125-S125-O125</f>
        <v>-800</v>
      </c>
      <c r="V125" s="140"/>
      <c r="W125" s="147"/>
      <c r="X125" s="23"/>
      <c r="Y125" s="334"/>
      <c r="Z125" s="5"/>
      <c r="AB125">
        <v>8</v>
      </c>
      <c r="AC125" s="16" t="s">
        <v>163</v>
      </c>
      <c r="AD125" s="60">
        <f>+AB125*5</f>
        <v>40</v>
      </c>
      <c r="AF125">
        <v>3</v>
      </c>
      <c r="AG125" s="16" t="s">
        <v>163</v>
      </c>
      <c r="AH125" s="60">
        <f>+AF125*5</f>
        <v>15</v>
      </c>
      <c r="AJ125" s="16"/>
      <c r="AK125" s="16"/>
      <c r="AM125" s="16" t="s">
        <v>163</v>
      </c>
      <c r="AN125" s="60">
        <f>+AL125*5</f>
        <v>0</v>
      </c>
    </row>
    <row r="126" spans="1:40" x14ac:dyDescent="0.25">
      <c r="A126" s="143">
        <v>3</v>
      </c>
      <c r="B126" s="198">
        <v>45226</v>
      </c>
      <c r="C126" s="199" t="s">
        <v>30</v>
      </c>
      <c r="D126" s="207">
        <v>5615394688</v>
      </c>
      <c r="E126" s="207" t="s">
        <v>923</v>
      </c>
      <c r="F126" s="207" t="s">
        <v>2094</v>
      </c>
      <c r="G126" s="202" t="s">
        <v>2095</v>
      </c>
      <c r="H126" s="203"/>
      <c r="I126" s="207">
        <v>246</v>
      </c>
      <c r="J126" s="205"/>
      <c r="K126" s="206">
        <f t="shared" ref="K126:K142" si="21">U126-J126-O126</f>
        <v>0</v>
      </c>
      <c r="L126" s="206">
        <f t="shared" si="17"/>
        <v>246</v>
      </c>
      <c r="M126" s="206">
        <f t="shared" si="18"/>
        <v>-246</v>
      </c>
      <c r="N126" s="206"/>
      <c r="O126" s="206"/>
      <c r="P126" s="208"/>
      <c r="Q126" s="206"/>
      <c r="R126" s="209"/>
      <c r="S126" s="206">
        <f t="shared" si="19"/>
        <v>0</v>
      </c>
      <c r="T126" s="206"/>
      <c r="U126" s="210">
        <f t="shared" si="20"/>
        <v>0</v>
      </c>
      <c r="V126" s="140"/>
      <c r="W126" s="147"/>
      <c r="X126" s="23"/>
      <c r="Y126" s="334"/>
      <c r="Z126" s="5"/>
      <c r="AC126" s="16" t="s">
        <v>164</v>
      </c>
      <c r="AD126" s="18">
        <f>+AB126*200</f>
        <v>0</v>
      </c>
      <c r="AF126">
        <v>1</v>
      </c>
      <c r="AG126" s="16" t="s">
        <v>164</v>
      </c>
      <c r="AH126" s="18">
        <f>+AF126*200</f>
        <v>200</v>
      </c>
      <c r="AJ126" s="16"/>
      <c r="AK126" s="16"/>
      <c r="AM126" s="16" t="s">
        <v>164</v>
      </c>
      <c r="AN126" s="18">
        <f>+AL126*200</f>
        <v>0</v>
      </c>
    </row>
    <row r="127" spans="1:40" x14ac:dyDescent="0.25">
      <c r="A127" s="143">
        <v>4</v>
      </c>
      <c r="B127" s="92">
        <v>45226</v>
      </c>
      <c r="C127" s="31" t="s">
        <v>255</v>
      </c>
      <c r="D127" s="32"/>
      <c r="E127" s="32" t="s">
        <v>2096</v>
      </c>
      <c r="F127" s="32" t="s">
        <v>1651</v>
      </c>
      <c r="G127" s="39" t="s">
        <v>2097</v>
      </c>
      <c r="H127" s="122">
        <v>81</v>
      </c>
      <c r="I127" s="32">
        <v>59</v>
      </c>
      <c r="J127" s="20">
        <v>12</v>
      </c>
      <c r="K127" s="21">
        <v>10</v>
      </c>
      <c r="L127" s="21">
        <f t="shared" si="17"/>
        <v>71</v>
      </c>
      <c r="M127" s="21">
        <f t="shared" si="18"/>
        <v>10</v>
      </c>
      <c r="N127" s="21"/>
      <c r="O127" s="21"/>
      <c r="P127" s="5"/>
      <c r="Q127" s="21"/>
      <c r="R127" s="16"/>
      <c r="S127" s="21">
        <f t="shared" si="19"/>
        <v>0</v>
      </c>
      <c r="T127" s="21"/>
      <c r="U127" s="78">
        <f t="shared" si="20"/>
        <v>0</v>
      </c>
      <c r="V127" s="140"/>
      <c r="W127" s="147"/>
      <c r="X127" s="23"/>
      <c r="Y127" s="334"/>
      <c r="Z127" s="5"/>
      <c r="AC127" s="16" t="s">
        <v>165</v>
      </c>
      <c r="AD127" s="18">
        <f>+AB127*100</f>
        <v>0</v>
      </c>
      <c r="AF127">
        <v>1</v>
      </c>
      <c r="AG127" s="16" t="s">
        <v>165</v>
      </c>
      <c r="AH127" s="18">
        <f>+AF127*100</f>
        <v>100</v>
      </c>
      <c r="AJ127" s="16"/>
      <c r="AK127" s="16"/>
      <c r="AM127" s="16" t="s">
        <v>165</v>
      </c>
      <c r="AN127" s="18">
        <f>+AL127*100</f>
        <v>0</v>
      </c>
    </row>
    <row r="128" spans="1:40" x14ac:dyDescent="0.25">
      <c r="A128" s="143">
        <v>5</v>
      </c>
      <c r="B128" s="92">
        <v>45226</v>
      </c>
      <c r="C128" s="31" t="s">
        <v>741</v>
      </c>
      <c r="D128" s="32"/>
      <c r="E128" s="32"/>
      <c r="F128" s="32" t="s">
        <v>558</v>
      </c>
      <c r="G128" s="32" t="s">
        <v>2098</v>
      </c>
      <c r="H128" s="122">
        <v>67</v>
      </c>
      <c r="I128" s="32">
        <v>55</v>
      </c>
      <c r="J128" s="20">
        <v>12</v>
      </c>
      <c r="K128" s="21"/>
      <c r="L128" s="21">
        <f t="shared" si="17"/>
        <v>67</v>
      </c>
      <c r="M128" s="21">
        <f t="shared" si="18"/>
        <v>0</v>
      </c>
      <c r="N128" s="21"/>
      <c r="O128" s="21"/>
      <c r="P128" s="5"/>
      <c r="Q128" s="16"/>
      <c r="R128" s="16"/>
      <c r="S128" s="21">
        <f t="shared" si="19"/>
        <v>0</v>
      </c>
      <c r="T128" s="21"/>
      <c r="U128" s="78">
        <f t="shared" si="20"/>
        <v>0</v>
      </c>
      <c r="V128" s="140"/>
      <c r="W128" s="147"/>
      <c r="X128" s="23"/>
      <c r="Y128" s="334"/>
      <c r="Z128" s="5"/>
      <c r="AB128">
        <v>1</v>
      </c>
      <c r="AC128" s="16" t="s">
        <v>166</v>
      </c>
      <c r="AD128" s="18">
        <f>+AB128*50</f>
        <v>50</v>
      </c>
      <c r="AF128">
        <v>1</v>
      </c>
      <c r="AG128" s="16" t="s">
        <v>166</v>
      </c>
      <c r="AH128" s="18">
        <f>+AF128*50</f>
        <v>50</v>
      </c>
      <c r="AJ128" s="16"/>
      <c r="AK128" s="16"/>
      <c r="AM128" s="16" t="s">
        <v>166</v>
      </c>
      <c r="AN128" s="18">
        <f>+AL128*50</f>
        <v>0</v>
      </c>
    </row>
    <row r="129" spans="1:40" x14ac:dyDescent="0.25">
      <c r="A129" s="143">
        <v>6</v>
      </c>
      <c r="B129" s="92">
        <v>45226</v>
      </c>
      <c r="C129" s="31" t="s">
        <v>1701</v>
      </c>
      <c r="D129" s="32"/>
      <c r="E129" s="32" t="s">
        <v>451</v>
      </c>
      <c r="F129" s="32" t="s">
        <v>1496</v>
      </c>
      <c r="G129" s="39" t="s">
        <v>2099</v>
      </c>
      <c r="H129" s="39">
        <v>200</v>
      </c>
      <c r="I129" s="42">
        <v>80</v>
      </c>
      <c r="J129" s="20">
        <v>10</v>
      </c>
      <c r="K129" s="21"/>
      <c r="L129" s="21">
        <f t="shared" si="17"/>
        <v>90</v>
      </c>
      <c r="M129" s="21">
        <f t="shared" si="18"/>
        <v>110</v>
      </c>
      <c r="N129" s="21"/>
      <c r="O129" s="21">
        <v>80</v>
      </c>
      <c r="P129" s="5"/>
      <c r="Q129" s="16">
        <v>200</v>
      </c>
      <c r="R129" s="16"/>
      <c r="S129" s="21">
        <f t="shared" si="19"/>
        <v>200</v>
      </c>
      <c r="T129" s="16">
        <v>222</v>
      </c>
      <c r="U129" s="78">
        <f t="shared" si="20"/>
        <v>-58</v>
      </c>
      <c r="V129" s="140"/>
      <c r="W129" s="147"/>
      <c r="X129" s="23"/>
      <c r="Y129" s="334"/>
      <c r="Z129" s="5"/>
      <c r="AB129">
        <v>5</v>
      </c>
      <c r="AC129" s="16" t="s">
        <v>167</v>
      </c>
      <c r="AD129" s="18">
        <f>+AB129*20</f>
        <v>100</v>
      </c>
      <c r="AF129">
        <v>2</v>
      </c>
      <c r="AG129" s="16" t="s">
        <v>167</v>
      </c>
      <c r="AH129" s="18">
        <f>+AF129*20</f>
        <v>40</v>
      </c>
      <c r="AJ129" s="16"/>
      <c r="AK129" s="16"/>
      <c r="AM129" s="16" t="s">
        <v>167</v>
      </c>
      <c r="AN129" s="18">
        <f>+AL129*20</f>
        <v>0</v>
      </c>
    </row>
    <row r="130" spans="1:40" x14ac:dyDescent="0.25">
      <c r="A130" s="143">
        <v>7</v>
      </c>
      <c r="B130" s="92">
        <v>45226</v>
      </c>
      <c r="C130" s="31" t="s">
        <v>30</v>
      </c>
      <c r="D130" s="32"/>
      <c r="E130" s="32" t="s">
        <v>451</v>
      </c>
      <c r="F130" s="32" t="s">
        <v>1911</v>
      </c>
      <c r="G130" s="39" t="s">
        <v>2100</v>
      </c>
      <c r="H130" s="122">
        <v>200</v>
      </c>
      <c r="I130" s="42">
        <v>130</v>
      </c>
      <c r="J130" s="20">
        <v>14</v>
      </c>
      <c r="K130" s="21"/>
      <c r="L130" s="21">
        <f t="shared" si="17"/>
        <v>144</v>
      </c>
      <c r="M130" s="21">
        <f t="shared" si="18"/>
        <v>56</v>
      </c>
      <c r="N130" s="21">
        <v>225</v>
      </c>
      <c r="O130" s="21">
        <v>130</v>
      </c>
      <c r="P130" s="5"/>
      <c r="Q130" s="16">
        <v>200</v>
      </c>
      <c r="R130" s="16"/>
      <c r="S130" s="21">
        <f t="shared" si="19"/>
        <v>200</v>
      </c>
      <c r="T130" s="16">
        <v>225</v>
      </c>
      <c r="U130" s="78">
        <f t="shared" si="20"/>
        <v>-105</v>
      </c>
      <c r="V130" s="140"/>
      <c r="W130" s="147"/>
      <c r="X130" s="23"/>
      <c r="Y130" s="334"/>
      <c r="Z130" s="5"/>
      <c r="AB130">
        <v>1</v>
      </c>
      <c r="AC130" s="16" t="s">
        <v>171</v>
      </c>
      <c r="AD130" s="18">
        <f>+AB130*500</f>
        <v>500</v>
      </c>
      <c r="AG130" s="16" t="s">
        <v>171</v>
      </c>
      <c r="AH130" s="18">
        <f>+AF130*500</f>
        <v>0</v>
      </c>
      <c r="AJ130" s="16"/>
      <c r="AK130" s="16"/>
      <c r="AM130" s="16" t="s">
        <v>171</v>
      </c>
      <c r="AN130" s="18">
        <f>+AL130*500</f>
        <v>0</v>
      </c>
    </row>
    <row r="131" spans="1:40" x14ac:dyDescent="0.25">
      <c r="A131" s="143">
        <v>8</v>
      </c>
      <c r="B131" s="92">
        <v>45226</v>
      </c>
      <c r="C131" s="31" t="s">
        <v>2101</v>
      </c>
      <c r="D131" s="123"/>
      <c r="E131" s="123" t="s">
        <v>451</v>
      </c>
      <c r="F131" s="123" t="s">
        <v>625</v>
      </c>
      <c r="G131" s="39" t="s">
        <v>2102</v>
      </c>
      <c r="H131" s="122">
        <v>270</v>
      </c>
      <c r="I131" s="32">
        <v>229</v>
      </c>
      <c r="J131" s="20">
        <v>14</v>
      </c>
      <c r="K131" s="21">
        <v>0</v>
      </c>
      <c r="L131" s="21">
        <f t="shared" si="17"/>
        <v>243</v>
      </c>
      <c r="M131" s="21">
        <f t="shared" si="18"/>
        <v>27</v>
      </c>
      <c r="N131" s="21"/>
      <c r="O131" s="21">
        <v>229</v>
      </c>
      <c r="P131" s="5"/>
      <c r="Q131" s="16"/>
      <c r="R131" s="16"/>
      <c r="S131" s="21">
        <f t="shared" si="19"/>
        <v>0</v>
      </c>
      <c r="T131" s="16"/>
      <c r="U131" s="78">
        <v>14</v>
      </c>
      <c r="V131" s="140"/>
      <c r="W131" s="147"/>
      <c r="X131" s="23"/>
      <c r="Y131" s="334"/>
      <c r="Z131" s="5"/>
      <c r="AC131" s="16" t="s">
        <v>168</v>
      </c>
      <c r="AD131" s="18">
        <f>+AB131*1000</f>
        <v>0</v>
      </c>
      <c r="AG131" s="16" t="s">
        <v>168</v>
      </c>
      <c r="AH131" s="18">
        <f>+AF131*1000</f>
        <v>0</v>
      </c>
      <c r="AJ131" s="16"/>
      <c r="AK131" s="16"/>
      <c r="AM131" s="16" t="s">
        <v>168</v>
      </c>
      <c r="AN131" s="18">
        <f>+AL131*1000</f>
        <v>0</v>
      </c>
    </row>
    <row r="132" spans="1:40" x14ac:dyDescent="0.25">
      <c r="A132" s="143">
        <v>9</v>
      </c>
      <c r="B132" s="92">
        <v>45226</v>
      </c>
      <c r="C132" s="31" t="s">
        <v>1696</v>
      </c>
      <c r="D132" s="32"/>
      <c r="E132" s="32" t="s">
        <v>451</v>
      </c>
      <c r="F132" s="32" t="s">
        <v>1301</v>
      </c>
      <c r="G132" s="39" t="s">
        <v>2103</v>
      </c>
      <c r="H132" s="39">
        <v>80</v>
      </c>
      <c r="I132" s="40">
        <v>68</v>
      </c>
      <c r="J132" s="20">
        <v>12</v>
      </c>
      <c r="K132" s="21">
        <v>0</v>
      </c>
      <c r="L132" s="21">
        <f t="shared" si="17"/>
        <v>80</v>
      </c>
      <c r="M132" s="21">
        <f t="shared" si="18"/>
        <v>0</v>
      </c>
      <c r="N132" s="21"/>
      <c r="O132" s="21">
        <v>80</v>
      </c>
      <c r="P132" s="5"/>
      <c r="Q132" s="16"/>
      <c r="R132" s="16"/>
      <c r="S132" s="21">
        <f t="shared" si="19"/>
        <v>0</v>
      </c>
      <c r="T132" s="16"/>
      <c r="U132" s="78">
        <v>12</v>
      </c>
      <c r="V132" s="140"/>
      <c r="W132" s="147"/>
      <c r="X132" s="23"/>
      <c r="Y132" s="334"/>
      <c r="Z132" s="5"/>
      <c r="AC132" s="26"/>
      <c r="AD132" s="58"/>
      <c r="AG132" s="26"/>
      <c r="AH132" s="58"/>
      <c r="AJ132" s="16"/>
      <c r="AK132" s="16"/>
      <c r="AM132" s="26"/>
      <c r="AN132" s="58"/>
    </row>
    <row r="133" spans="1:40" x14ac:dyDescent="0.25">
      <c r="A133" s="143">
        <v>10</v>
      </c>
      <c r="B133" s="92">
        <v>45226</v>
      </c>
      <c r="C133" s="31" t="s">
        <v>1518</v>
      </c>
      <c r="D133" s="32"/>
      <c r="E133" s="32" t="s">
        <v>451</v>
      </c>
      <c r="F133" s="32" t="s">
        <v>220</v>
      </c>
      <c r="G133" s="39" t="s">
        <v>2104</v>
      </c>
      <c r="H133" s="122">
        <v>100</v>
      </c>
      <c r="I133" s="42">
        <v>128</v>
      </c>
      <c r="J133" s="216">
        <v>12</v>
      </c>
      <c r="K133" s="21">
        <f t="shared" si="21"/>
        <v>-130</v>
      </c>
      <c r="L133" s="21">
        <f t="shared" si="17"/>
        <v>140</v>
      </c>
      <c r="M133" s="21">
        <f t="shared" si="18"/>
        <v>-40</v>
      </c>
      <c r="N133" s="21"/>
      <c r="O133" s="21">
        <v>128</v>
      </c>
      <c r="P133" s="5"/>
      <c r="Q133" s="16">
        <v>100</v>
      </c>
      <c r="R133" s="16"/>
      <c r="S133" s="21">
        <f t="shared" si="19"/>
        <v>100</v>
      </c>
      <c r="T133" s="16">
        <v>110</v>
      </c>
      <c r="U133" s="78">
        <v>10</v>
      </c>
      <c r="V133" s="140"/>
      <c r="W133" s="147"/>
      <c r="X133" s="23"/>
      <c r="Y133" s="334"/>
      <c r="Z133" s="5"/>
      <c r="AC133" s="16" t="s">
        <v>169</v>
      </c>
      <c r="AD133" s="18">
        <f>SUM(AD123:AD132)</f>
        <v>798.5</v>
      </c>
      <c r="AG133" s="16" t="s">
        <v>169</v>
      </c>
      <c r="AH133" s="18">
        <f>SUM(AH123:AH132)</f>
        <v>467.5</v>
      </c>
      <c r="AJ133" s="16"/>
      <c r="AK133" s="16"/>
      <c r="AM133" s="16" t="s">
        <v>169</v>
      </c>
      <c r="AN133" s="18"/>
    </row>
    <row r="134" spans="1:40" x14ac:dyDescent="0.25">
      <c r="A134" s="143">
        <v>11</v>
      </c>
      <c r="B134" s="92">
        <v>45226</v>
      </c>
      <c r="C134" s="31" t="s">
        <v>30</v>
      </c>
      <c r="D134" s="124"/>
      <c r="E134" s="123" t="s">
        <v>451</v>
      </c>
      <c r="F134" s="123" t="s">
        <v>760</v>
      </c>
      <c r="G134" s="39" t="s">
        <v>2105</v>
      </c>
      <c r="H134" s="122">
        <v>70</v>
      </c>
      <c r="I134" s="42">
        <v>58</v>
      </c>
      <c r="J134" s="20">
        <v>12</v>
      </c>
      <c r="K134" s="21">
        <f t="shared" si="21"/>
        <v>-60</v>
      </c>
      <c r="L134" s="21">
        <f t="shared" si="17"/>
        <v>70</v>
      </c>
      <c r="M134" s="21">
        <f t="shared" si="18"/>
        <v>0</v>
      </c>
      <c r="N134" s="21"/>
      <c r="O134" s="21">
        <v>58</v>
      </c>
      <c r="P134" s="5"/>
      <c r="Q134" s="16"/>
      <c r="R134" s="16"/>
      <c r="S134" s="21">
        <f t="shared" si="19"/>
        <v>0</v>
      </c>
      <c r="T134" s="16"/>
      <c r="U134" s="78">
        <v>10</v>
      </c>
      <c r="V134" s="140"/>
      <c r="W134" s="147"/>
      <c r="X134" s="23"/>
      <c r="Y134" s="334"/>
      <c r="Z134" s="5"/>
      <c r="AJ134" s="16"/>
      <c r="AK134" s="16"/>
      <c r="AM134" s="16"/>
      <c r="AN134" s="16"/>
    </row>
    <row r="135" spans="1:40" x14ac:dyDescent="0.25">
      <c r="A135" s="143">
        <v>12</v>
      </c>
      <c r="B135" s="92">
        <v>45226</v>
      </c>
      <c r="C135" s="32" t="s">
        <v>2058</v>
      </c>
      <c r="D135" s="32"/>
      <c r="E135" s="124" t="s">
        <v>38</v>
      </c>
      <c r="F135" s="123" t="s">
        <v>2107</v>
      </c>
      <c r="G135" s="39" t="s">
        <v>2106</v>
      </c>
      <c r="H135" s="39">
        <v>50</v>
      </c>
      <c r="I135" s="42">
        <v>37</v>
      </c>
      <c r="J135" s="20">
        <v>10</v>
      </c>
      <c r="K135" s="21">
        <f t="shared" si="21"/>
        <v>4</v>
      </c>
      <c r="L135" s="21">
        <f t="shared" si="17"/>
        <v>47</v>
      </c>
      <c r="M135" s="21">
        <f t="shared" si="18"/>
        <v>3</v>
      </c>
      <c r="N135" s="21"/>
      <c r="O135" s="21"/>
      <c r="P135" s="5"/>
      <c r="Q135" s="45"/>
      <c r="R135" s="44"/>
      <c r="S135" s="21">
        <f t="shared" si="19"/>
        <v>0</v>
      </c>
      <c r="T135" s="45"/>
      <c r="U135" s="78">
        <v>14</v>
      </c>
      <c r="V135" s="140"/>
      <c r="W135" s="147"/>
      <c r="X135" s="23"/>
      <c r="Y135" s="334"/>
      <c r="Z135" s="5"/>
      <c r="AJ135" s="63" t="s">
        <v>169</v>
      </c>
      <c r="AK135" s="63">
        <f>+SUM(AJ124:AJ134)-SUM(AK124:AK134)</f>
        <v>1000</v>
      </c>
      <c r="AM135" s="63" t="s">
        <v>169</v>
      </c>
      <c r="AN135" s="85">
        <f>+SUM(AM123:AM134)-SUM(AN124:AN134)</f>
        <v>0</v>
      </c>
    </row>
    <row r="136" spans="1:40" x14ac:dyDescent="0.25">
      <c r="A136" s="143">
        <v>13</v>
      </c>
      <c r="B136" s="92">
        <v>45226</v>
      </c>
      <c r="C136" s="31" t="s">
        <v>2024</v>
      </c>
      <c r="D136" s="32"/>
      <c r="E136" s="32" t="s">
        <v>451</v>
      </c>
      <c r="F136" s="32" t="s">
        <v>2108</v>
      </c>
      <c r="G136" s="39"/>
      <c r="H136" s="39">
        <v>200</v>
      </c>
      <c r="I136" s="42"/>
      <c r="J136" s="108">
        <v>10</v>
      </c>
      <c r="K136" s="21">
        <f t="shared" si="21"/>
        <v>-310</v>
      </c>
      <c r="L136" s="21">
        <f t="shared" si="17"/>
        <v>10</v>
      </c>
      <c r="M136" s="21">
        <f t="shared" si="18"/>
        <v>190</v>
      </c>
      <c r="N136" s="21"/>
      <c r="O136" s="21">
        <v>150</v>
      </c>
      <c r="P136" s="5"/>
      <c r="Q136" s="43"/>
      <c r="R136" s="32"/>
      <c r="S136" s="21">
        <f t="shared" si="19"/>
        <v>0</v>
      </c>
      <c r="T136" s="43"/>
      <c r="U136" s="78">
        <f t="shared" si="20"/>
        <v>-150</v>
      </c>
      <c r="V136" s="140"/>
      <c r="W136" s="147"/>
      <c r="X136" s="23"/>
      <c r="Y136" s="334"/>
      <c r="Z136" s="5"/>
      <c r="AH136" s="83"/>
    </row>
    <row r="137" spans="1:40" x14ac:dyDescent="0.25">
      <c r="A137" s="143">
        <v>14</v>
      </c>
      <c r="B137" s="92">
        <v>45226</v>
      </c>
      <c r="C137" s="31" t="s">
        <v>2109</v>
      </c>
      <c r="D137" s="32"/>
      <c r="E137" s="32" t="s">
        <v>106</v>
      </c>
      <c r="F137" s="32" t="s">
        <v>267</v>
      </c>
      <c r="G137" s="39" t="s">
        <v>2110</v>
      </c>
      <c r="H137" s="39"/>
      <c r="I137" s="42"/>
      <c r="J137" s="108">
        <v>10</v>
      </c>
      <c r="K137" s="21">
        <f t="shared" si="21"/>
        <v>-70</v>
      </c>
      <c r="L137" s="21">
        <f t="shared" si="17"/>
        <v>10</v>
      </c>
      <c r="M137" s="21">
        <f t="shared" si="18"/>
        <v>-10</v>
      </c>
      <c r="N137" s="21"/>
      <c r="O137" s="21">
        <v>30</v>
      </c>
      <c r="P137" s="5"/>
      <c r="Q137" s="43"/>
      <c r="R137" s="43"/>
      <c r="S137" s="21">
        <f t="shared" si="19"/>
        <v>0</v>
      </c>
      <c r="T137" s="43"/>
      <c r="U137" s="78">
        <f t="shared" si="20"/>
        <v>-30</v>
      </c>
      <c r="V137" s="140"/>
      <c r="W137" s="147"/>
      <c r="X137" s="23"/>
      <c r="Y137" s="334"/>
      <c r="Z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40" x14ac:dyDescent="0.25">
      <c r="A138" s="143">
        <v>15</v>
      </c>
      <c r="B138" s="92">
        <v>45226</v>
      </c>
      <c r="C138" s="127"/>
      <c r="D138" s="32"/>
      <c r="E138" s="32"/>
      <c r="F138" s="128"/>
      <c r="G138" s="129"/>
      <c r="H138" s="39"/>
      <c r="I138" s="42"/>
      <c r="J138" s="108">
        <v>10</v>
      </c>
      <c r="K138" s="21">
        <f t="shared" si="21"/>
        <v>-10</v>
      </c>
      <c r="L138" s="21">
        <f t="shared" si="17"/>
        <v>10</v>
      </c>
      <c r="M138" s="21">
        <f t="shared" si="18"/>
        <v>-10</v>
      </c>
      <c r="N138" s="21"/>
      <c r="O138" s="21"/>
      <c r="P138" s="5"/>
      <c r="Q138" s="43"/>
      <c r="R138" s="43"/>
      <c r="S138" s="21">
        <f t="shared" si="19"/>
        <v>0</v>
      </c>
      <c r="T138" s="43"/>
      <c r="U138" s="78">
        <f t="shared" si="20"/>
        <v>0</v>
      </c>
      <c r="V138" s="140"/>
      <c r="W138" s="147"/>
      <c r="X138" s="23"/>
      <c r="Y138" s="334"/>
      <c r="Z138" s="5"/>
      <c r="AC138" s="5"/>
      <c r="AD138" s="134" t="s">
        <v>20</v>
      </c>
      <c r="AE138" s="338">
        <v>14</v>
      </c>
      <c r="AF138" s="341" t="s">
        <v>686</v>
      </c>
      <c r="AG138" s="134" t="s">
        <v>20</v>
      </c>
      <c r="AH138" s="338"/>
      <c r="AI138" s="341" t="s">
        <v>687</v>
      </c>
      <c r="AJ138" s="134" t="s">
        <v>20</v>
      </c>
      <c r="AK138" s="338"/>
      <c r="AL138" s="5"/>
    </row>
    <row r="139" spans="1:40" x14ac:dyDescent="0.25">
      <c r="A139" s="143">
        <v>16</v>
      </c>
      <c r="B139" s="92">
        <v>45226</v>
      </c>
      <c r="C139" s="31"/>
      <c r="D139" s="32"/>
      <c r="E139" s="32"/>
      <c r="F139" s="32"/>
      <c r="G139" s="39"/>
      <c r="H139" s="39"/>
      <c r="I139" s="42"/>
      <c r="J139" s="43">
        <v>10</v>
      </c>
      <c r="K139" s="21">
        <f t="shared" si="21"/>
        <v>-10</v>
      </c>
      <c r="L139" s="21">
        <f t="shared" si="17"/>
        <v>10</v>
      </c>
      <c r="M139" s="21">
        <f t="shared" si="18"/>
        <v>-10</v>
      </c>
      <c r="N139" s="21"/>
      <c r="O139" s="21"/>
      <c r="P139" s="5"/>
      <c r="Q139" s="43"/>
      <c r="R139" s="32"/>
      <c r="S139" s="21">
        <f t="shared" si="19"/>
        <v>0</v>
      </c>
      <c r="T139" s="131"/>
      <c r="U139" s="78">
        <f t="shared" si="20"/>
        <v>0</v>
      </c>
      <c r="V139" s="140"/>
      <c r="W139" s="147"/>
      <c r="X139" s="23"/>
      <c r="Y139" s="334"/>
      <c r="Z139" s="5"/>
      <c r="AC139" s="5" t="s">
        <v>685</v>
      </c>
      <c r="AD139" s="115" t="s">
        <v>684</v>
      </c>
      <c r="AE139" s="339"/>
      <c r="AF139" s="341"/>
      <c r="AG139" s="115" t="s">
        <v>684</v>
      </c>
      <c r="AH139" s="339"/>
      <c r="AI139" s="341"/>
      <c r="AJ139" s="115" t="s">
        <v>684</v>
      </c>
      <c r="AK139" s="339"/>
      <c r="AL139" s="5"/>
    </row>
    <row r="140" spans="1:40" x14ac:dyDescent="0.25">
      <c r="A140" s="143">
        <v>17</v>
      </c>
      <c r="B140" s="92">
        <v>45226</v>
      </c>
      <c r="C140" s="31"/>
      <c r="D140" s="32"/>
      <c r="E140" s="32"/>
      <c r="F140" s="32"/>
      <c r="G140" s="39"/>
      <c r="H140" s="39"/>
      <c r="I140" s="42"/>
      <c r="J140" s="43">
        <v>10</v>
      </c>
      <c r="K140" s="21">
        <f t="shared" si="21"/>
        <v>-10</v>
      </c>
      <c r="L140" s="21">
        <f t="shared" si="17"/>
        <v>10</v>
      </c>
      <c r="M140" s="21">
        <f t="shared" si="18"/>
        <v>-10</v>
      </c>
      <c r="N140" s="21"/>
      <c r="O140" s="21"/>
      <c r="P140" s="5"/>
      <c r="Q140" s="43"/>
      <c r="R140" s="32"/>
      <c r="S140" s="21">
        <f t="shared" si="19"/>
        <v>0</v>
      </c>
      <c r="T140" s="132"/>
      <c r="U140" s="78">
        <f t="shared" si="20"/>
        <v>0</v>
      </c>
      <c r="V140" s="140"/>
      <c r="W140" s="147"/>
      <c r="X140" s="23"/>
      <c r="Y140" s="340"/>
      <c r="Z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40" x14ac:dyDescent="0.25">
      <c r="A141" s="143">
        <v>18</v>
      </c>
      <c r="B141" s="92">
        <v>45226</v>
      </c>
      <c r="C141" s="31"/>
      <c r="D141" s="32"/>
      <c r="E141" s="32"/>
      <c r="F141" s="32"/>
      <c r="G141" s="39"/>
      <c r="H141" s="39"/>
      <c r="I141" s="42"/>
      <c r="J141" s="43">
        <v>10</v>
      </c>
      <c r="K141" s="21">
        <f t="shared" si="21"/>
        <v>-10</v>
      </c>
      <c r="L141" s="21">
        <f t="shared" si="17"/>
        <v>10</v>
      </c>
      <c r="M141" s="21">
        <f t="shared" si="18"/>
        <v>-10</v>
      </c>
      <c r="N141" s="21"/>
      <c r="O141" s="21"/>
      <c r="P141" s="5"/>
      <c r="Q141" s="135"/>
      <c r="R141" s="104"/>
      <c r="S141" s="21">
        <f t="shared" si="19"/>
        <v>0</v>
      </c>
      <c r="T141" s="131"/>
      <c r="U141" s="78">
        <f t="shared" si="20"/>
        <v>0</v>
      </c>
      <c r="V141" s="140"/>
      <c r="W141" s="138"/>
      <c r="X141" s="32"/>
      <c r="Z141" s="5"/>
    </row>
    <row r="142" spans="1:40" x14ac:dyDescent="0.25">
      <c r="A142" s="143">
        <v>19</v>
      </c>
      <c r="B142" s="92">
        <v>45226</v>
      </c>
      <c r="C142" s="31"/>
      <c r="D142" s="32"/>
      <c r="E142" s="32"/>
      <c r="F142" s="32"/>
      <c r="G142" s="39"/>
      <c r="H142" s="39"/>
      <c r="I142" s="42"/>
      <c r="J142" s="43">
        <v>10</v>
      </c>
      <c r="K142" s="21">
        <f t="shared" si="21"/>
        <v>-10</v>
      </c>
      <c r="L142" s="21">
        <f t="shared" si="17"/>
        <v>10</v>
      </c>
      <c r="M142" s="21">
        <f t="shared" si="18"/>
        <v>-10</v>
      </c>
      <c r="N142" s="21"/>
      <c r="O142" s="21"/>
      <c r="P142" s="5"/>
      <c r="Q142" s="32"/>
      <c r="R142" s="32"/>
      <c r="S142" s="21">
        <f t="shared" si="19"/>
        <v>0</v>
      </c>
      <c r="T142" s="32"/>
      <c r="U142" s="78">
        <f t="shared" si="20"/>
        <v>0</v>
      </c>
      <c r="V142" s="140"/>
      <c r="W142" s="138"/>
      <c r="X142" s="32"/>
      <c r="Z142" s="5"/>
    </row>
    <row r="143" spans="1:40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22">
        <f>SUM(O129:O142)</f>
        <v>885</v>
      </c>
      <c r="P143" s="5"/>
      <c r="Q143" s="5"/>
      <c r="R143" s="5"/>
      <c r="S143" s="5"/>
      <c r="T143" s="5"/>
      <c r="U143" s="5"/>
      <c r="V143" s="141"/>
      <c r="W143" s="5"/>
      <c r="X143" s="5"/>
      <c r="Y143" s="5"/>
      <c r="Z143" s="5"/>
    </row>
    <row r="146" spans="1:40" x14ac:dyDescent="0.25">
      <c r="I146">
        <v>280</v>
      </c>
    </row>
    <row r="147" spans="1:40" x14ac:dyDescent="0.25">
      <c r="I147">
        <v>24</v>
      </c>
      <c r="M147">
        <v>400</v>
      </c>
    </row>
    <row r="148" spans="1:40" x14ac:dyDescent="0.25">
      <c r="I148">
        <v>20</v>
      </c>
      <c r="K148">
        <v>234</v>
      </c>
      <c r="M148">
        <f>+K150+K149</f>
        <v>454</v>
      </c>
      <c r="N148">
        <f>280+24+20</f>
        <v>324</v>
      </c>
    </row>
    <row r="149" spans="1:40" x14ac:dyDescent="0.25">
      <c r="I149">
        <f>+SUM(I146:I148)</f>
        <v>324</v>
      </c>
      <c r="K149">
        <v>110</v>
      </c>
    </row>
    <row r="150" spans="1:40" x14ac:dyDescent="0.25">
      <c r="K150">
        <f>+K148+K149</f>
        <v>344</v>
      </c>
    </row>
    <row r="152" spans="1:40" x14ac:dyDescent="0.25">
      <c r="A152" s="1" t="s">
        <v>0</v>
      </c>
      <c r="B152" s="1"/>
      <c r="C152" s="1"/>
      <c r="D152" s="1"/>
      <c r="E152" s="1"/>
      <c r="F152" s="1"/>
      <c r="G152" s="1"/>
      <c r="H152" s="1"/>
      <c r="I152" s="1" t="s">
        <v>148</v>
      </c>
      <c r="J152" s="1"/>
      <c r="K152" s="1"/>
      <c r="L152" s="1"/>
      <c r="M152" s="1"/>
      <c r="N152" s="1"/>
      <c r="O152" s="1"/>
      <c r="P152" s="1"/>
      <c r="Q152" s="1"/>
      <c r="R152" s="1"/>
      <c r="S152" s="342" t="s">
        <v>1</v>
      </c>
      <c r="T152" s="342"/>
      <c r="U152" s="5"/>
      <c r="V152" s="139"/>
      <c r="W152" s="1"/>
      <c r="X152" s="1"/>
      <c r="Y152" s="1"/>
      <c r="Z152" s="5"/>
      <c r="AC152" s="335" t="s">
        <v>160</v>
      </c>
      <c r="AD152" s="336"/>
      <c r="AG152" s="335" t="s">
        <v>170</v>
      </c>
      <c r="AH152" s="336"/>
      <c r="AJ152" s="337" t="s">
        <v>172</v>
      </c>
      <c r="AK152" s="337"/>
      <c r="AM152" s="337" t="s">
        <v>681</v>
      </c>
      <c r="AN152" s="337"/>
    </row>
    <row r="153" spans="1:40" ht="90" x14ac:dyDescent="0.25">
      <c r="A153" s="6" t="s">
        <v>2</v>
      </c>
      <c r="B153" s="7" t="s">
        <v>3</v>
      </c>
      <c r="C153" s="7" t="s">
        <v>4</v>
      </c>
      <c r="D153" s="6" t="s">
        <v>5</v>
      </c>
      <c r="E153" s="6" t="s">
        <v>6</v>
      </c>
      <c r="F153" s="6" t="s">
        <v>7</v>
      </c>
      <c r="G153" s="6" t="s">
        <v>8</v>
      </c>
      <c r="H153" s="8" t="s">
        <v>9</v>
      </c>
      <c r="I153" s="9" t="s">
        <v>10</v>
      </c>
      <c r="J153" s="8" t="s">
        <v>11</v>
      </c>
      <c r="K153" s="10" t="s">
        <v>12</v>
      </c>
      <c r="L153" s="10" t="s">
        <v>13</v>
      </c>
      <c r="M153" s="11" t="s">
        <v>14</v>
      </c>
      <c r="N153" s="10" t="s">
        <v>691</v>
      </c>
      <c r="O153" s="10" t="s">
        <v>28</v>
      </c>
      <c r="P153" s="5"/>
      <c r="Q153" s="10" t="s">
        <v>16</v>
      </c>
      <c r="R153" s="10" t="s">
        <v>17</v>
      </c>
      <c r="S153" s="10" t="s">
        <v>18</v>
      </c>
      <c r="T153" s="10" t="s">
        <v>19</v>
      </c>
      <c r="U153" s="10" t="s">
        <v>20</v>
      </c>
      <c r="V153" s="13"/>
      <c r="W153" s="136" t="s">
        <v>688</v>
      </c>
      <c r="X153" s="14" t="s">
        <v>22</v>
      </c>
      <c r="Y153" s="15" t="s">
        <v>23</v>
      </c>
      <c r="Z153" s="5"/>
      <c r="AB153">
        <v>3</v>
      </c>
      <c r="AC153" s="16" t="s">
        <v>161</v>
      </c>
      <c r="AD153" s="58">
        <f>+AB153*10</f>
        <v>30</v>
      </c>
      <c r="AF153">
        <v>9</v>
      </c>
      <c r="AG153" s="16" t="s">
        <v>161</v>
      </c>
      <c r="AH153" s="58">
        <f>+AF153*10</f>
        <v>90</v>
      </c>
      <c r="AJ153" s="61" t="s">
        <v>173</v>
      </c>
      <c r="AK153" s="62" t="s">
        <v>174</v>
      </c>
      <c r="AM153" s="16" t="s">
        <v>161</v>
      </c>
      <c r="AN153" s="58">
        <f>+AL153*10</f>
        <v>0</v>
      </c>
    </row>
    <row r="154" spans="1:40" x14ac:dyDescent="0.25">
      <c r="A154" s="16">
        <v>1</v>
      </c>
      <c r="B154" s="92">
        <v>45227</v>
      </c>
      <c r="C154" s="31" t="s">
        <v>1483</v>
      </c>
      <c r="D154" s="32"/>
      <c r="E154" s="32" t="s">
        <v>1995</v>
      </c>
      <c r="F154" s="39" t="s">
        <v>1483</v>
      </c>
      <c r="G154" s="39" t="s">
        <v>2111</v>
      </c>
      <c r="H154" s="122">
        <v>400</v>
      </c>
      <c r="I154" s="32">
        <v>250</v>
      </c>
      <c r="J154" s="20">
        <v>40</v>
      </c>
      <c r="K154" s="21">
        <f>U154-J154-O154</f>
        <v>10</v>
      </c>
      <c r="L154" s="21">
        <f t="shared" ref="L154:L178" si="22">+I154+J154</f>
        <v>290</v>
      </c>
      <c r="M154" s="21">
        <f t="shared" ref="M154:M178" si="23">+H154-L154</f>
        <v>110</v>
      </c>
      <c r="N154" s="21"/>
      <c r="O154" s="21"/>
      <c r="P154" s="5"/>
      <c r="Q154" s="21">
        <v>350</v>
      </c>
      <c r="R154" s="16"/>
      <c r="S154" s="21">
        <f t="shared" ref="S154:S178" si="24">+Q154+R154</f>
        <v>350</v>
      </c>
      <c r="T154" s="21">
        <v>400</v>
      </c>
      <c r="U154" s="78">
        <f>T154-S154-O154</f>
        <v>50</v>
      </c>
      <c r="V154" s="13"/>
      <c r="W154" s="147"/>
      <c r="X154" s="23"/>
      <c r="Y154" s="333"/>
      <c r="Z154" s="5"/>
      <c r="AB154">
        <v>42</v>
      </c>
      <c r="AC154" s="59" t="s">
        <v>162</v>
      </c>
      <c r="AD154" s="18">
        <f>+AB154*1</f>
        <v>42</v>
      </c>
      <c r="AF154">
        <v>74</v>
      </c>
      <c r="AG154" s="59" t="s">
        <v>162</v>
      </c>
      <c r="AH154" s="18">
        <f>+AF154*1</f>
        <v>74</v>
      </c>
      <c r="AJ154" s="16"/>
      <c r="AK154" s="16"/>
      <c r="AM154" s="59" t="s">
        <v>162</v>
      </c>
      <c r="AN154" s="18">
        <f>+AL154*1</f>
        <v>0</v>
      </c>
    </row>
    <row r="155" spans="1:40" x14ac:dyDescent="0.25">
      <c r="A155" s="26">
        <v>2</v>
      </c>
      <c r="B155" s="92">
        <v>45227</v>
      </c>
      <c r="C155" s="31" t="s">
        <v>2112</v>
      </c>
      <c r="D155" s="32"/>
      <c r="E155" s="32" t="s">
        <v>2113</v>
      </c>
      <c r="F155" s="32" t="s">
        <v>751</v>
      </c>
      <c r="G155" s="39" t="s">
        <v>2114</v>
      </c>
      <c r="H155" s="122"/>
      <c r="I155" s="32">
        <v>324</v>
      </c>
      <c r="J155" s="20">
        <v>30</v>
      </c>
      <c r="K155" s="21">
        <f t="shared" ref="K155:K178" si="25">U155-J155-O155</f>
        <v>-430</v>
      </c>
      <c r="L155" s="21">
        <f t="shared" si="22"/>
        <v>354</v>
      </c>
      <c r="M155" s="21">
        <f t="shared" si="23"/>
        <v>-354</v>
      </c>
      <c r="N155" s="21"/>
      <c r="O155" s="21"/>
      <c r="P155" s="5"/>
      <c r="Q155" s="21">
        <v>400</v>
      </c>
      <c r="R155" s="16"/>
      <c r="S155" s="21">
        <f t="shared" si="24"/>
        <v>400</v>
      </c>
      <c r="T155" s="21"/>
      <c r="U155" s="78">
        <f t="shared" ref="U155:U178" si="26">T155-S155-O155</f>
        <v>-400</v>
      </c>
      <c r="V155" s="140"/>
      <c r="W155" s="147"/>
      <c r="X155" s="23"/>
      <c r="Y155" s="334"/>
      <c r="Z155" s="5"/>
      <c r="AB155">
        <v>3</v>
      </c>
      <c r="AC155" s="16" t="s">
        <v>163</v>
      </c>
      <c r="AD155" s="60">
        <f>+AB155*5</f>
        <v>15</v>
      </c>
      <c r="AF155">
        <v>9</v>
      </c>
      <c r="AG155" s="16" t="s">
        <v>163</v>
      </c>
      <c r="AH155" s="60">
        <f>+AF155*5</f>
        <v>45</v>
      </c>
      <c r="AJ155" s="16"/>
      <c r="AK155" s="16"/>
      <c r="AM155" s="16" t="s">
        <v>163</v>
      </c>
      <c r="AN155" s="60">
        <f>+AL155*5</f>
        <v>0</v>
      </c>
    </row>
    <row r="156" spans="1:40" x14ac:dyDescent="0.25">
      <c r="A156" s="143">
        <v>3</v>
      </c>
      <c r="B156" s="92">
        <v>45227</v>
      </c>
      <c r="C156" s="31" t="s">
        <v>1890</v>
      </c>
      <c r="D156" s="32"/>
      <c r="E156" s="32"/>
      <c r="F156" s="32"/>
      <c r="G156" s="39"/>
      <c r="H156" s="122"/>
      <c r="I156" s="32"/>
      <c r="J156" s="20">
        <v>20</v>
      </c>
      <c r="K156" s="21">
        <f t="shared" si="25"/>
        <v>-20</v>
      </c>
      <c r="L156" s="21">
        <f t="shared" si="22"/>
        <v>20</v>
      </c>
      <c r="M156" s="21">
        <f t="shared" si="23"/>
        <v>-20</v>
      </c>
      <c r="N156" s="21"/>
      <c r="O156" s="21"/>
      <c r="P156" s="5"/>
      <c r="Q156" s="21"/>
      <c r="R156" s="16"/>
      <c r="S156" s="21">
        <f t="shared" si="24"/>
        <v>0</v>
      </c>
      <c r="T156" s="21"/>
      <c r="U156" s="78">
        <f t="shared" si="26"/>
        <v>0</v>
      </c>
      <c r="V156" s="140"/>
      <c r="W156" s="147"/>
      <c r="X156" s="23"/>
      <c r="Y156" s="334"/>
      <c r="Z156" s="5"/>
      <c r="AB156">
        <v>1</v>
      </c>
      <c r="AC156" s="16" t="s">
        <v>164</v>
      </c>
      <c r="AD156" s="18">
        <f>+AB156*200</f>
        <v>200</v>
      </c>
      <c r="AF156">
        <v>1</v>
      </c>
      <c r="AG156" s="16" t="s">
        <v>164</v>
      </c>
      <c r="AH156" s="18">
        <f>+AF156*200</f>
        <v>200</v>
      </c>
      <c r="AJ156" s="16"/>
      <c r="AK156" s="16"/>
      <c r="AM156" s="16" t="s">
        <v>164</v>
      </c>
      <c r="AN156" s="18">
        <f>+AL156*200</f>
        <v>0</v>
      </c>
    </row>
    <row r="157" spans="1:40" x14ac:dyDescent="0.25">
      <c r="A157" s="143">
        <v>4</v>
      </c>
      <c r="B157" s="92">
        <v>45227</v>
      </c>
      <c r="C157" s="31" t="s">
        <v>447</v>
      </c>
      <c r="E157" s="32" t="s">
        <v>892</v>
      </c>
      <c r="F157" s="32" t="s">
        <v>98</v>
      </c>
      <c r="G157" s="39" t="s">
        <v>895</v>
      </c>
      <c r="H157" s="122">
        <v>86</v>
      </c>
      <c r="I157" s="32">
        <v>66</v>
      </c>
      <c r="J157" s="20">
        <v>10</v>
      </c>
      <c r="K157" s="21">
        <f t="shared" si="25"/>
        <v>5</v>
      </c>
      <c r="L157" s="21">
        <f t="shared" si="22"/>
        <v>76</v>
      </c>
      <c r="M157" s="21">
        <f t="shared" si="23"/>
        <v>10</v>
      </c>
      <c r="N157" s="21"/>
      <c r="O157" s="21"/>
      <c r="P157" s="5"/>
      <c r="Q157" s="21"/>
      <c r="R157" s="16"/>
      <c r="S157" s="21">
        <f t="shared" si="24"/>
        <v>0</v>
      </c>
      <c r="T157" s="21"/>
      <c r="U157" s="78">
        <v>15</v>
      </c>
      <c r="V157" s="140"/>
      <c r="W157" s="147"/>
      <c r="X157" s="23"/>
      <c r="Y157" s="334"/>
      <c r="Z157" s="5"/>
      <c r="AB157">
        <v>1</v>
      </c>
      <c r="AC157" s="16" t="s">
        <v>165</v>
      </c>
      <c r="AD157" s="18">
        <f>+AB157*100</f>
        <v>100</v>
      </c>
      <c r="AG157" s="16" t="s">
        <v>165</v>
      </c>
      <c r="AH157" s="18">
        <f>+AF157*100</f>
        <v>0</v>
      </c>
      <c r="AJ157" s="16"/>
      <c r="AK157" s="16"/>
      <c r="AM157" s="16" t="s">
        <v>165</v>
      </c>
      <c r="AN157" s="18">
        <f>+AL157*100</f>
        <v>0</v>
      </c>
    </row>
    <row r="158" spans="1:40" x14ac:dyDescent="0.25">
      <c r="A158" s="143">
        <v>5</v>
      </c>
      <c r="B158" s="92">
        <v>45227</v>
      </c>
      <c r="C158" s="31" t="s">
        <v>2116</v>
      </c>
      <c r="D158" s="32"/>
      <c r="E158" s="32" t="s">
        <v>52</v>
      </c>
      <c r="F158" s="32" t="s">
        <v>1946</v>
      </c>
      <c r="G158" s="32" t="s">
        <v>2115</v>
      </c>
      <c r="H158" s="122">
        <v>150</v>
      </c>
      <c r="I158" s="32">
        <v>90</v>
      </c>
      <c r="J158" s="20">
        <v>12</v>
      </c>
      <c r="K158" s="21">
        <f t="shared" si="25"/>
        <v>-342</v>
      </c>
      <c r="L158" s="21">
        <f t="shared" si="22"/>
        <v>102</v>
      </c>
      <c r="M158" s="21">
        <f t="shared" si="23"/>
        <v>48</v>
      </c>
      <c r="N158" s="21"/>
      <c r="O158" s="21">
        <v>90</v>
      </c>
      <c r="P158" s="5"/>
      <c r="Q158" s="16">
        <v>150</v>
      </c>
      <c r="R158" s="16"/>
      <c r="S158" s="21">
        <f t="shared" si="24"/>
        <v>150</v>
      </c>
      <c r="T158" s="21"/>
      <c r="U158" s="78">
        <f t="shared" si="26"/>
        <v>-240</v>
      </c>
      <c r="V158" s="140"/>
      <c r="W158" s="147"/>
      <c r="X158" s="23"/>
      <c r="Y158" s="334"/>
      <c r="Z158" s="5"/>
      <c r="AB158">
        <v>1</v>
      </c>
      <c r="AC158" s="16" t="s">
        <v>166</v>
      </c>
      <c r="AD158" s="18">
        <f>+AB158*50</f>
        <v>50</v>
      </c>
      <c r="AF158">
        <v>1</v>
      </c>
      <c r="AG158" s="16" t="s">
        <v>166</v>
      </c>
      <c r="AH158" s="18">
        <f>+AF158*50</f>
        <v>50</v>
      </c>
      <c r="AJ158" s="16"/>
      <c r="AK158" s="16"/>
      <c r="AM158" s="16" t="s">
        <v>166</v>
      </c>
      <c r="AN158" s="18">
        <f>+AL158*50</f>
        <v>0</v>
      </c>
    </row>
    <row r="159" spans="1:40" x14ac:dyDescent="0.25">
      <c r="A159" s="143">
        <v>6</v>
      </c>
      <c r="B159" s="92">
        <v>45227</v>
      </c>
      <c r="C159" s="31" t="s">
        <v>105</v>
      </c>
      <c r="D159" s="32"/>
      <c r="E159" s="32" t="s">
        <v>52</v>
      </c>
      <c r="F159" s="32" t="s">
        <v>994</v>
      </c>
      <c r="G159" s="39" t="s">
        <v>2118</v>
      </c>
      <c r="H159" s="39">
        <v>170</v>
      </c>
      <c r="I159" s="42">
        <v>140</v>
      </c>
      <c r="J159" s="20">
        <v>15</v>
      </c>
      <c r="K159" s="21">
        <f t="shared" si="25"/>
        <v>-295</v>
      </c>
      <c r="L159" s="21">
        <f t="shared" si="22"/>
        <v>155</v>
      </c>
      <c r="M159" s="21">
        <f t="shared" si="23"/>
        <v>15</v>
      </c>
      <c r="N159" s="21"/>
      <c r="O159" s="21">
        <v>140</v>
      </c>
      <c r="P159" s="5"/>
      <c r="Q159" s="16"/>
      <c r="R159" s="16"/>
      <c r="S159" s="21">
        <f t="shared" si="24"/>
        <v>0</v>
      </c>
      <c r="T159" s="16"/>
      <c r="U159" s="78">
        <f t="shared" si="26"/>
        <v>-140</v>
      </c>
      <c r="V159" s="140"/>
      <c r="W159" s="147"/>
      <c r="X159" s="23"/>
      <c r="Y159" s="334"/>
      <c r="Z159" s="5"/>
      <c r="AB159">
        <v>2</v>
      </c>
      <c r="AC159" s="16" t="s">
        <v>167</v>
      </c>
      <c r="AD159" s="18">
        <f>+AB159*20</f>
        <v>40</v>
      </c>
      <c r="AF159">
        <v>3</v>
      </c>
      <c r="AG159" s="16" t="s">
        <v>167</v>
      </c>
      <c r="AH159" s="18">
        <f>+AF159*20</f>
        <v>60</v>
      </c>
      <c r="AJ159" s="16"/>
      <c r="AK159" s="16"/>
      <c r="AM159" s="16" t="s">
        <v>167</v>
      </c>
      <c r="AN159" s="18">
        <f>+AL159*20</f>
        <v>0</v>
      </c>
    </row>
    <row r="160" spans="1:40" x14ac:dyDescent="0.25">
      <c r="A160" s="143">
        <v>7</v>
      </c>
      <c r="B160" s="92">
        <v>45227</v>
      </c>
      <c r="C160" s="31" t="s">
        <v>1707</v>
      </c>
      <c r="D160" s="32"/>
      <c r="E160" s="32" t="s">
        <v>52</v>
      </c>
      <c r="F160" s="32" t="s">
        <v>2117</v>
      </c>
      <c r="G160" s="39" t="s">
        <v>2119</v>
      </c>
      <c r="H160" s="122">
        <v>170</v>
      </c>
      <c r="I160" s="42">
        <v>159</v>
      </c>
      <c r="J160" s="20">
        <v>15</v>
      </c>
      <c r="K160" s="21">
        <f t="shared" si="25"/>
        <v>-333</v>
      </c>
      <c r="L160" s="21">
        <f t="shared" si="22"/>
        <v>174</v>
      </c>
      <c r="M160" s="21">
        <f t="shared" si="23"/>
        <v>-4</v>
      </c>
      <c r="N160" s="21"/>
      <c r="O160" s="21">
        <v>159</v>
      </c>
      <c r="P160" s="5"/>
      <c r="Q160" s="16"/>
      <c r="R160" s="16"/>
      <c r="S160" s="21">
        <f t="shared" si="24"/>
        <v>0</v>
      </c>
      <c r="T160" s="16"/>
      <c r="U160" s="78">
        <f t="shared" si="26"/>
        <v>-159</v>
      </c>
      <c r="V160" s="140"/>
      <c r="W160" s="147"/>
      <c r="X160" s="23"/>
      <c r="Y160" s="334"/>
      <c r="Z160" s="5"/>
      <c r="AC160" s="16" t="s">
        <v>171</v>
      </c>
      <c r="AD160" s="18">
        <f>+AB160*500</f>
        <v>0</v>
      </c>
      <c r="AG160" s="16" t="s">
        <v>171</v>
      </c>
      <c r="AH160" s="18">
        <f>+AF160*500</f>
        <v>0</v>
      </c>
      <c r="AJ160" s="16"/>
      <c r="AK160" s="16"/>
      <c r="AM160" s="16" t="s">
        <v>171</v>
      </c>
      <c r="AN160" s="18">
        <f>+AL160*500</f>
        <v>0</v>
      </c>
    </row>
    <row r="161" spans="1:40" x14ac:dyDescent="0.25">
      <c r="A161" s="143">
        <v>8</v>
      </c>
      <c r="B161" s="92">
        <v>45227</v>
      </c>
      <c r="C161" s="31" t="s">
        <v>2120</v>
      </c>
      <c r="D161" s="123"/>
      <c r="E161" s="123" t="s">
        <v>2121</v>
      </c>
      <c r="F161" s="123" t="s">
        <v>1732</v>
      </c>
      <c r="G161" s="39" t="s">
        <v>2122</v>
      </c>
      <c r="H161" s="122">
        <v>310</v>
      </c>
      <c r="I161" s="32">
        <v>301</v>
      </c>
      <c r="J161" s="20">
        <v>14</v>
      </c>
      <c r="K161" s="21">
        <v>1</v>
      </c>
      <c r="L161" s="21">
        <f t="shared" si="22"/>
        <v>315</v>
      </c>
      <c r="M161" s="21">
        <v>0</v>
      </c>
      <c r="N161" s="21"/>
      <c r="O161" s="21"/>
      <c r="P161" s="5"/>
      <c r="Q161" s="16"/>
      <c r="R161" s="16"/>
      <c r="S161" s="21">
        <f t="shared" si="24"/>
        <v>0</v>
      </c>
      <c r="T161" s="16"/>
      <c r="U161" s="78">
        <f t="shared" si="26"/>
        <v>0</v>
      </c>
      <c r="V161" s="140"/>
      <c r="W161" s="147"/>
      <c r="X161" s="23"/>
      <c r="Y161" s="334"/>
      <c r="Z161" s="5"/>
      <c r="AC161" s="16" t="s">
        <v>168</v>
      </c>
      <c r="AD161" s="18">
        <f>+AB161*1000</f>
        <v>0</v>
      </c>
      <c r="AG161" s="16" t="s">
        <v>168</v>
      </c>
      <c r="AH161" s="18">
        <f>+AF161*1000</f>
        <v>0</v>
      </c>
      <c r="AJ161" s="16"/>
      <c r="AK161" s="16"/>
      <c r="AM161" s="16" t="s">
        <v>168</v>
      </c>
      <c r="AN161" s="18">
        <f>+AL161*1000</f>
        <v>0</v>
      </c>
    </row>
    <row r="162" spans="1:40" x14ac:dyDescent="0.25">
      <c r="A162" s="143">
        <v>9</v>
      </c>
      <c r="B162" s="92">
        <v>45227</v>
      </c>
      <c r="C162" s="31" t="s">
        <v>571</v>
      </c>
      <c r="D162" s="32"/>
      <c r="E162" s="32" t="s">
        <v>106</v>
      </c>
      <c r="F162" s="32" t="s">
        <v>571</v>
      </c>
      <c r="G162" s="39" t="s">
        <v>2123</v>
      </c>
      <c r="H162" s="39"/>
      <c r="I162" s="40"/>
      <c r="J162" s="20">
        <v>14</v>
      </c>
      <c r="K162" s="21">
        <f t="shared" si="25"/>
        <v>-394</v>
      </c>
      <c r="L162" s="21">
        <f t="shared" si="22"/>
        <v>14</v>
      </c>
      <c r="M162" s="21">
        <f t="shared" si="23"/>
        <v>-14</v>
      </c>
      <c r="N162" s="21"/>
      <c r="O162" s="21">
        <v>190</v>
      </c>
      <c r="P162" s="5"/>
      <c r="Q162" s="16"/>
      <c r="R162" s="16"/>
      <c r="S162" s="21">
        <f t="shared" si="24"/>
        <v>0</v>
      </c>
      <c r="T162" s="16"/>
      <c r="U162" s="78">
        <f t="shared" si="26"/>
        <v>-190</v>
      </c>
      <c r="V162" s="140"/>
      <c r="W162" s="147"/>
      <c r="X162" s="23"/>
      <c r="Y162" s="334"/>
      <c r="Z162" s="5"/>
      <c r="AC162" s="26"/>
      <c r="AD162" s="58"/>
      <c r="AG162" s="26"/>
      <c r="AH162" s="58"/>
      <c r="AJ162" s="16"/>
      <c r="AK162" s="16"/>
      <c r="AM162" s="26"/>
      <c r="AN162" s="58"/>
    </row>
    <row r="163" spans="1:40" x14ac:dyDescent="0.25">
      <c r="A163" s="143">
        <v>10</v>
      </c>
      <c r="B163" s="92">
        <v>45227</v>
      </c>
      <c r="C163" s="31" t="s">
        <v>105</v>
      </c>
      <c r="D163" s="32"/>
      <c r="E163" s="32" t="s">
        <v>2121</v>
      </c>
      <c r="F163" s="32" t="s">
        <v>269</v>
      </c>
      <c r="G163" s="39" t="s">
        <v>2124</v>
      </c>
      <c r="H163" s="122"/>
      <c r="I163" s="42"/>
      <c r="J163" s="20">
        <v>14</v>
      </c>
      <c r="K163" s="21">
        <f t="shared" si="25"/>
        <v>-14</v>
      </c>
      <c r="L163" s="21">
        <f t="shared" si="22"/>
        <v>14</v>
      </c>
      <c r="M163" s="21">
        <f t="shared" si="23"/>
        <v>-14</v>
      </c>
      <c r="N163" s="21"/>
      <c r="O163" s="21"/>
      <c r="P163" s="5"/>
      <c r="Q163" s="16"/>
      <c r="R163" s="16"/>
      <c r="S163" s="21">
        <f t="shared" si="24"/>
        <v>0</v>
      </c>
      <c r="T163" s="16"/>
      <c r="U163" s="78">
        <f t="shared" si="26"/>
        <v>0</v>
      </c>
      <c r="V163" s="140"/>
      <c r="W163" s="147"/>
      <c r="X163" s="23"/>
      <c r="Y163" s="334"/>
      <c r="Z163" s="5"/>
      <c r="AC163" s="16" t="s">
        <v>169</v>
      </c>
      <c r="AD163" s="18">
        <f>SUM(AD153:AD162)</f>
        <v>477</v>
      </c>
      <c r="AG163" s="16" t="s">
        <v>169</v>
      </c>
      <c r="AH163" s="18">
        <f>SUM(AH153:AH162)</f>
        <v>519</v>
      </c>
      <c r="AJ163" s="16"/>
      <c r="AK163" s="16"/>
      <c r="AM163" s="16" t="s">
        <v>169</v>
      </c>
      <c r="AN163" s="18"/>
    </row>
    <row r="164" spans="1:40" x14ac:dyDescent="0.25">
      <c r="A164" s="143">
        <v>11</v>
      </c>
      <c r="B164" s="92">
        <v>45227</v>
      </c>
      <c r="C164" s="31" t="s">
        <v>30</v>
      </c>
      <c r="D164" s="124"/>
      <c r="E164" s="123" t="s">
        <v>2126</v>
      </c>
      <c r="F164" s="123"/>
      <c r="G164" s="123" t="s">
        <v>2125</v>
      </c>
      <c r="H164" s="122"/>
      <c r="I164" s="42">
        <v>316</v>
      </c>
      <c r="J164" s="20">
        <v>14</v>
      </c>
      <c r="K164" s="21">
        <f t="shared" si="25"/>
        <v>-14</v>
      </c>
      <c r="L164" s="21">
        <f t="shared" si="22"/>
        <v>330</v>
      </c>
      <c r="M164" s="21">
        <f t="shared" si="23"/>
        <v>-330</v>
      </c>
      <c r="N164" s="21">
        <v>380</v>
      </c>
      <c r="O164" s="21"/>
      <c r="P164" s="5"/>
      <c r="Q164" s="16"/>
      <c r="R164" s="16"/>
      <c r="S164" s="21">
        <f t="shared" si="24"/>
        <v>0</v>
      </c>
      <c r="T164" s="16"/>
      <c r="U164" s="78">
        <f t="shared" si="26"/>
        <v>0</v>
      </c>
      <c r="V164" s="140"/>
      <c r="W164" s="147"/>
      <c r="X164" s="23"/>
      <c r="Y164" s="334"/>
      <c r="Z164" s="5"/>
      <c r="AJ164" s="16"/>
      <c r="AK164" s="16"/>
      <c r="AM164" s="16"/>
      <c r="AN164" s="16"/>
    </row>
    <row r="165" spans="1:40" x14ac:dyDescent="0.25">
      <c r="A165" s="143">
        <v>12</v>
      </c>
      <c r="B165" s="92">
        <v>45227</v>
      </c>
      <c r="C165" s="32" t="s">
        <v>571</v>
      </c>
      <c r="D165" s="32"/>
      <c r="E165" s="124" t="s">
        <v>106</v>
      </c>
      <c r="F165" s="123" t="s">
        <v>571</v>
      </c>
      <c r="G165" s="39" t="s">
        <v>2127</v>
      </c>
      <c r="H165" s="39"/>
      <c r="I165" s="42"/>
      <c r="J165" s="20">
        <v>14</v>
      </c>
      <c r="K165" s="21">
        <f t="shared" si="25"/>
        <v>-312</v>
      </c>
      <c r="L165" s="21">
        <f t="shared" si="22"/>
        <v>14</v>
      </c>
      <c r="M165" s="21">
        <f t="shared" si="23"/>
        <v>-14</v>
      </c>
      <c r="N165" s="21"/>
      <c r="O165" s="21">
        <v>149</v>
      </c>
      <c r="P165" s="5"/>
      <c r="Q165" s="45"/>
      <c r="R165" s="44"/>
      <c r="S165" s="21">
        <f t="shared" si="24"/>
        <v>0</v>
      </c>
      <c r="T165" s="45"/>
      <c r="U165" s="78">
        <f t="shared" si="26"/>
        <v>-149</v>
      </c>
      <c r="V165" s="140"/>
      <c r="W165" s="147"/>
      <c r="X165" s="23"/>
      <c r="Y165" s="334"/>
      <c r="Z165" s="5"/>
      <c r="AJ165" s="63" t="s">
        <v>169</v>
      </c>
      <c r="AK165" s="63">
        <f>+SUM(AJ154:AJ164)-SUM(AK154:AK164)</f>
        <v>0</v>
      </c>
      <c r="AM165" s="63" t="s">
        <v>169</v>
      </c>
      <c r="AN165" s="85">
        <f>+SUM(AM153:AM164)-SUM(AN154:AN164)</f>
        <v>0</v>
      </c>
    </row>
    <row r="166" spans="1:40" x14ac:dyDescent="0.25">
      <c r="A166" s="143">
        <v>13</v>
      </c>
      <c r="B166" s="92">
        <v>45227</v>
      </c>
      <c r="C166" s="31" t="s">
        <v>2128</v>
      </c>
      <c r="D166" s="32"/>
      <c r="E166" s="32"/>
      <c r="F166" s="32"/>
      <c r="G166" s="39"/>
      <c r="H166" s="39"/>
      <c r="I166" s="42"/>
      <c r="J166" s="108">
        <v>14</v>
      </c>
      <c r="K166" s="21">
        <f t="shared" si="25"/>
        <v>-14</v>
      </c>
      <c r="L166" s="21">
        <f t="shared" si="22"/>
        <v>14</v>
      </c>
      <c r="M166" s="21">
        <f t="shared" si="23"/>
        <v>-14</v>
      </c>
      <c r="N166" s="21"/>
      <c r="O166" s="21"/>
      <c r="P166" s="5"/>
      <c r="Q166" s="43"/>
      <c r="R166" s="32"/>
      <c r="S166" s="21">
        <f t="shared" si="24"/>
        <v>0</v>
      </c>
      <c r="T166" s="43"/>
      <c r="U166" s="78">
        <f t="shared" si="26"/>
        <v>0</v>
      </c>
      <c r="V166" s="140"/>
      <c r="W166" s="147"/>
      <c r="X166" s="23"/>
      <c r="Y166" s="334"/>
      <c r="Z166" s="5"/>
      <c r="AH166" s="83"/>
    </row>
    <row r="167" spans="1:40" x14ac:dyDescent="0.25">
      <c r="A167" s="143">
        <v>14</v>
      </c>
      <c r="B167" s="92">
        <v>45227</v>
      </c>
      <c r="C167" s="31" t="s">
        <v>2008</v>
      </c>
      <c r="D167" s="32"/>
      <c r="E167" s="32" t="s">
        <v>52</v>
      </c>
      <c r="F167" s="32" t="s">
        <v>2072</v>
      </c>
      <c r="G167" s="39" t="s">
        <v>2132</v>
      </c>
      <c r="H167" s="39">
        <v>117</v>
      </c>
      <c r="I167" s="42">
        <v>97</v>
      </c>
      <c r="J167" s="108">
        <v>14</v>
      </c>
      <c r="K167" s="21">
        <v>0</v>
      </c>
      <c r="L167" s="21">
        <f t="shared" si="22"/>
        <v>111</v>
      </c>
      <c r="M167" s="21">
        <f t="shared" si="23"/>
        <v>6</v>
      </c>
      <c r="N167" s="21"/>
      <c r="O167" s="21">
        <v>117</v>
      </c>
      <c r="P167" s="5"/>
      <c r="Q167" s="43"/>
      <c r="R167" s="43"/>
      <c r="S167" s="21">
        <f t="shared" si="24"/>
        <v>0</v>
      </c>
      <c r="T167" s="43"/>
      <c r="U167" s="78">
        <f t="shared" si="26"/>
        <v>-117</v>
      </c>
      <c r="V167" s="140"/>
      <c r="W167" s="147"/>
      <c r="X167" s="23"/>
      <c r="Y167" s="334"/>
      <c r="Z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40" x14ac:dyDescent="0.25">
      <c r="A168" s="143">
        <v>15</v>
      </c>
      <c r="B168" s="92">
        <v>45227</v>
      </c>
      <c r="C168" s="127" t="s">
        <v>2129</v>
      </c>
      <c r="D168" s="32"/>
      <c r="E168" s="32" t="s">
        <v>38</v>
      </c>
      <c r="F168" s="128" t="s">
        <v>2131</v>
      </c>
      <c r="G168" s="129" t="s">
        <v>2130</v>
      </c>
      <c r="H168" s="39">
        <v>200</v>
      </c>
      <c r="I168" s="42">
        <v>89</v>
      </c>
      <c r="J168" s="108">
        <v>14</v>
      </c>
      <c r="K168" s="21">
        <f t="shared" si="25"/>
        <v>-14</v>
      </c>
      <c r="L168" s="21">
        <f t="shared" si="22"/>
        <v>103</v>
      </c>
      <c r="M168" s="21">
        <f t="shared" si="23"/>
        <v>97</v>
      </c>
      <c r="N168" s="21"/>
      <c r="O168" s="21"/>
      <c r="P168" s="5"/>
      <c r="Q168" s="43"/>
      <c r="R168" s="43"/>
      <c r="S168" s="21">
        <f t="shared" si="24"/>
        <v>0</v>
      </c>
      <c r="T168" s="43"/>
      <c r="U168" s="78">
        <f t="shared" si="26"/>
        <v>0</v>
      </c>
      <c r="V168" s="140"/>
      <c r="W168" s="147"/>
      <c r="X168" s="23"/>
      <c r="Y168" s="334"/>
      <c r="Z168" s="5"/>
      <c r="AC168" s="5"/>
      <c r="AD168" s="134" t="s">
        <v>20</v>
      </c>
      <c r="AE168" s="338"/>
      <c r="AF168" s="341" t="s">
        <v>686</v>
      </c>
      <c r="AG168" s="134" t="s">
        <v>20</v>
      </c>
      <c r="AH168" s="338"/>
      <c r="AI168" s="341" t="s">
        <v>687</v>
      </c>
      <c r="AJ168" s="134" t="s">
        <v>20</v>
      </c>
      <c r="AK168" s="338"/>
      <c r="AL168" s="5"/>
    </row>
    <row r="169" spans="1:40" x14ac:dyDescent="0.25">
      <c r="A169" s="143">
        <v>16</v>
      </c>
      <c r="B169" s="92">
        <v>45227</v>
      </c>
      <c r="C169" s="31" t="s">
        <v>1238</v>
      </c>
      <c r="D169" s="32"/>
      <c r="E169" s="32" t="s">
        <v>999</v>
      </c>
      <c r="F169" s="225" t="s">
        <v>818</v>
      </c>
      <c r="G169" s="32" t="s">
        <v>2134</v>
      </c>
      <c r="H169" s="39">
        <v>202</v>
      </c>
      <c r="I169" s="42">
        <v>174</v>
      </c>
      <c r="J169" s="43">
        <v>28</v>
      </c>
      <c r="K169" s="21">
        <f t="shared" si="25"/>
        <v>-28</v>
      </c>
      <c r="L169" s="21">
        <f t="shared" si="22"/>
        <v>202</v>
      </c>
      <c r="M169" s="21">
        <f t="shared" si="23"/>
        <v>0</v>
      </c>
      <c r="N169" s="21"/>
      <c r="O169" s="21"/>
      <c r="P169" s="5"/>
      <c r="Q169" s="43"/>
      <c r="R169" s="32"/>
      <c r="S169" s="21">
        <f t="shared" si="24"/>
        <v>0</v>
      </c>
      <c r="T169" s="131"/>
      <c r="U169" s="78">
        <f t="shared" si="26"/>
        <v>0</v>
      </c>
      <c r="V169" s="140"/>
      <c r="W169" s="147"/>
      <c r="X169" s="23"/>
      <c r="Y169" s="334"/>
      <c r="Z169" s="5"/>
      <c r="AC169" s="5" t="s">
        <v>685</v>
      </c>
      <c r="AD169" s="115" t="s">
        <v>684</v>
      </c>
      <c r="AE169" s="339"/>
      <c r="AF169" s="341"/>
      <c r="AG169" s="115" t="s">
        <v>684</v>
      </c>
      <c r="AH169" s="339"/>
      <c r="AI169" s="341"/>
      <c r="AJ169" s="115" t="s">
        <v>684</v>
      </c>
      <c r="AK169" s="339"/>
      <c r="AL169" s="5"/>
    </row>
    <row r="170" spans="1:40" x14ac:dyDescent="0.25">
      <c r="A170" s="143">
        <v>17</v>
      </c>
      <c r="B170" s="92">
        <v>45227</v>
      </c>
      <c r="C170" s="31" t="s">
        <v>1639</v>
      </c>
      <c r="D170" s="32"/>
      <c r="E170" s="32"/>
      <c r="F170" s="32" t="s">
        <v>760</v>
      </c>
      <c r="G170" s="39" t="s">
        <v>2138</v>
      </c>
      <c r="H170" s="39"/>
      <c r="I170" s="42"/>
      <c r="J170" s="43">
        <v>14</v>
      </c>
      <c r="K170" s="21">
        <f t="shared" si="25"/>
        <v>-14</v>
      </c>
      <c r="L170" s="21">
        <f t="shared" si="22"/>
        <v>14</v>
      </c>
      <c r="M170" s="21">
        <f t="shared" si="23"/>
        <v>-14</v>
      </c>
      <c r="N170" s="21"/>
      <c r="O170" s="21"/>
      <c r="P170" s="5"/>
      <c r="Q170" s="43"/>
      <c r="R170" s="32"/>
      <c r="S170" s="21">
        <f t="shared" si="24"/>
        <v>0</v>
      </c>
      <c r="T170" s="132"/>
      <c r="U170" s="78">
        <f t="shared" si="26"/>
        <v>0</v>
      </c>
      <c r="V170" s="140"/>
      <c r="W170" s="147"/>
      <c r="X170" s="23"/>
      <c r="Y170" s="340"/>
      <c r="Z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40" x14ac:dyDescent="0.25">
      <c r="A171" s="143">
        <v>18</v>
      </c>
      <c r="B171" s="92">
        <v>45227</v>
      </c>
      <c r="C171" s="31" t="s">
        <v>319</v>
      </c>
      <c r="D171" s="32"/>
      <c r="E171" s="32" t="s">
        <v>38</v>
      </c>
      <c r="F171" s="32" t="s">
        <v>1845</v>
      </c>
      <c r="G171" s="39" t="s">
        <v>2135</v>
      </c>
      <c r="H171" s="39">
        <v>500</v>
      </c>
      <c r="I171" s="42">
        <v>85</v>
      </c>
      <c r="J171" s="43">
        <v>14</v>
      </c>
      <c r="K171" s="21">
        <f t="shared" ref="K171:K176" si="27">U171-J171-O171</f>
        <v>-14</v>
      </c>
      <c r="L171" s="21">
        <f t="shared" ref="L171:L176" si="28">+I171+J171</f>
        <v>99</v>
      </c>
      <c r="M171" s="21">
        <f t="shared" ref="M171:M176" si="29">+H171-L171</f>
        <v>401</v>
      </c>
      <c r="N171" s="21"/>
      <c r="O171" s="21"/>
      <c r="P171" s="5"/>
      <c r="Q171" s="43"/>
      <c r="R171" s="32"/>
      <c r="S171" s="21">
        <f t="shared" ref="S171:S176" si="30">+Q171+R171</f>
        <v>0</v>
      </c>
      <c r="T171" s="132"/>
      <c r="U171" s="78">
        <f t="shared" ref="U171:U176" si="31">T171-S171-O171</f>
        <v>0</v>
      </c>
      <c r="V171" s="140"/>
      <c r="W171" s="147"/>
      <c r="X171" s="23"/>
      <c r="Y171" s="224"/>
      <c r="Z171" s="5"/>
    </row>
    <row r="172" spans="1:40" x14ac:dyDescent="0.25">
      <c r="A172" s="143">
        <v>19</v>
      </c>
      <c r="B172" s="92">
        <v>45227</v>
      </c>
      <c r="C172" s="31" t="s">
        <v>2133</v>
      </c>
      <c r="D172" s="32"/>
      <c r="E172" s="32" t="s">
        <v>38</v>
      </c>
      <c r="F172" s="225" t="s">
        <v>2137</v>
      </c>
      <c r="G172" s="32" t="s">
        <v>2136</v>
      </c>
      <c r="H172" s="39">
        <v>500</v>
      </c>
      <c r="I172" s="42">
        <v>37</v>
      </c>
      <c r="J172" s="43">
        <v>14</v>
      </c>
      <c r="K172" s="21">
        <f t="shared" si="27"/>
        <v>-414</v>
      </c>
      <c r="L172" s="21">
        <f t="shared" si="28"/>
        <v>51</v>
      </c>
      <c r="M172" s="21">
        <f t="shared" si="29"/>
        <v>449</v>
      </c>
      <c r="N172" s="21"/>
      <c r="O172" s="21">
        <v>200</v>
      </c>
      <c r="P172" s="5"/>
      <c r="Q172" s="43"/>
      <c r="R172" s="32"/>
      <c r="S172" s="21">
        <f t="shared" si="30"/>
        <v>0</v>
      </c>
      <c r="T172" s="132"/>
      <c r="U172" s="78">
        <f t="shared" si="31"/>
        <v>-200</v>
      </c>
      <c r="V172" s="140"/>
      <c r="W172" s="147"/>
      <c r="X172" s="23"/>
      <c r="Y172" s="224"/>
      <c r="Z172" s="5"/>
    </row>
    <row r="173" spans="1:40" x14ac:dyDescent="0.25">
      <c r="A173" s="143">
        <v>20</v>
      </c>
      <c r="B173" s="92">
        <v>45227</v>
      </c>
      <c r="C173" s="31" t="s">
        <v>2140</v>
      </c>
      <c r="D173" s="32"/>
      <c r="E173" s="32" t="s">
        <v>2139</v>
      </c>
      <c r="F173" s="32" t="s">
        <v>220</v>
      </c>
      <c r="G173" s="39" t="s">
        <v>2141</v>
      </c>
      <c r="H173" s="39">
        <v>200</v>
      </c>
      <c r="I173" s="42">
        <v>112</v>
      </c>
      <c r="J173" s="43">
        <v>13</v>
      </c>
      <c r="K173" s="21">
        <v>0</v>
      </c>
      <c r="L173" s="21">
        <f t="shared" si="28"/>
        <v>125</v>
      </c>
      <c r="M173" s="21">
        <f t="shared" si="29"/>
        <v>75</v>
      </c>
      <c r="N173" s="21"/>
      <c r="O173" s="21"/>
      <c r="P173" s="5"/>
      <c r="Q173" s="43"/>
      <c r="R173" s="32"/>
      <c r="S173" s="21">
        <f t="shared" si="30"/>
        <v>0</v>
      </c>
      <c r="T173" s="132"/>
      <c r="U173" s="78">
        <f t="shared" si="31"/>
        <v>0</v>
      </c>
      <c r="V173" s="140"/>
      <c r="W173" s="147"/>
      <c r="X173" s="23"/>
      <c r="Y173" s="224"/>
      <c r="Z173" s="5"/>
    </row>
    <row r="174" spans="1:40" x14ac:dyDescent="0.25">
      <c r="A174" s="143">
        <v>21</v>
      </c>
      <c r="B174" s="92">
        <v>45227</v>
      </c>
      <c r="C174" s="31" t="s">
        <v>2142</v>
      </c>
      <c r="D174" s="32"/>
      <c r="E174" s="32" t="s">
        <v>52</v>
      </c>
      <c r="F174" s="32" t="s">
        <v>1317</v>
      </c>
      <c r="G174" s="39" t="s">
        <v>2143</v>
      </c>
      <c r="H174" s="39">
        <v>100</v>
      </c>
      <c r="I174" s="42"/>
      <c r="J174" s="43">
        <v>10</v>
      </c>
      <c r="K174" s="21">
        <v>0</v>
      </c>
      <c r="L174" s="21">
        <f t="shared" si="28"/>
        <v>10</v>
      </c>
      <c r="M174" s="21">
        <f t="shared" si="29"/>
        <v>90</v>
      </c>
      <c r="N174" s="21"/>
      <c r="O174" s="21">
        <v>100</v>
      </c>
      <c r="P174" s="5"/>
      <c r="Q174" s="43"/>
      <c r="R174" s="32"/>
      <c r="S174" s="21">
        <f t="shared" si="30"/>
        <v>0</v>
      </c>
      <c r="T174" s="132"/>
      <c r="U174" s="78">
        <f t="shared" si="31"/>
        <v>-100</v>
      </c>
      <c r="V174" s="140"/>
      <c r="W174" s="147"/>
      <c r="X174" s="23"/>
      <c r="Y174" s="224"/>
      <c r="Z174" s="5"/>
    </row>
    <row r="175" spans="1:40" x14ac:dyDescent="0.25">
      <c r="A175" s="143">
        <v>22</v>
      </c>
      <c r="B175" s="92">
        <v>45227</v>
      </c>
      <c r="C175" s="31"/>
      <c r="D175" s="32"/>
      <c r="E175" s="32"/>
      <c r="F175" s="32"/>
      <c r="G175" s="39"/>
      <c r="H175" s="39"/>
      <c r="I175" s="42"/>
      <c r="J175" s="43">
        <v>15</v>
      </c>
      <c r="K175" s="21">
        <f t="shared" si="27"/>
        <v>-15</v>
      </c>
      <c r="L175" s="21">
        <f t="shared" si="28"/>
        <v>15</v>
      </c>
      <c r="M175" s="21">
        <f t="shared" si="29"/>
        <v>-15</v>
      </c>
      <c r="N175" s="21"/>
      <c r="O175" s="21"/>
      <c r="P175" s="5"/>
      <c r="Q175" s="43"/>
      <c r="R175" s="32"/>
      <c r="S175" s="21">
        <f t="shared" si="30"/>
        <v>0</v>
      </c>
      <c r="T175" s="132"/>
      <c r="U175" s="78">
        <f t="shared" si="31"/>
        <v>0</v>
      </c>
      <c r="V175" s="140"/>
      <c r="W175" s="147"/>
      <c r="X175" s="23"/>
      <c r="Y175" s="224"/>
      <c r="Z175" s="5"/>
    </row>
    <row r="176" spans="1:40" x14ac:dyDescent="0.25">
      <c r="A176" s="143">
        <v>23</v>
      </c>
      <c r="B176" s="92">
        <v>45227</v>
      </c>
      <c r="C176" s="31"/>
      <c r="D176" s="32"/>
      <c r="E176" s="32"/>
      <c r="F176" s="32"/>
      <c r="G176" s="39"/>
      <c r="H176" s="39"/>
      <c r="I176" s="42"/>
      <c r="J176" s="43">
        <v>16</v>
      </c>
      <c r="K176" s="21">
        <f t="shared" si="27"/>
        <v>-16</v>
      </c>
      <c r="L176" s="21">
        <f t="shared" si="28"/>
        <v>16</v>
      </c>
      <c r="M176" s="21">
        <f t="shared" si="29"/>
        <v>-16</v>
      </c>
      <c r="N176" s="21"/>
      <c r="O176" s="21"/>
      <c r="P176" s="5"/>
      <c r="Q176" s="43"/>
      <c r="R176" s="32"/>
      <c r="S176" s="21">
        <f t="shared" si="30"/>
        <v>0</v>
      </c>
      <c r="T176" s="132"/>
      <c r="U176" s="78">
        <f t="shared" si="31"/>
        <v>0</v>
      </c>
      <c r="V176" s="140"/>
      <c r="W176" s="147"/>
      <c r="X176" s="23"/>
      <c r="Y176" s="224"/>
      <c r="Z176" s="5"/>
    </row>
    <row r="177" spans="1:40" x14ac:dyDescent="0.25">
      <c r="A177" s="143">
        <v>24</v>
      </c>
      <c r="B177" s="92">
        <v>45227</v>
      </c>
      <c r="C177" s="31"/>
      <c r="D177" s="32"/>
      <c r="E177" s="32"/>
      <c r="F177" s="32"/>
      <c r="G177" s="39"/>
      <c r="H177" s="39"/>
      <c r="I177" s="42"/>
      <c r="J177" s="43">
        <v>10</v>
      </c>
      <c r="K177" s="21">
        <f t="shared" si="25"/>
        <v>-10</v>
      </c>
      <c r="L177" s="21">
        <f t="shared" si="22"/>
        <v>10</v>
      </c>
      <c r="M177" s="21">
        <f t="shared" si="23"/>
        <v>-10</v>
      </c>
      <c r="N177" s="21"/>
      <c r="O177" s="21"/>
      <c r="P177" s="5"/>
      <c r="Q177" s="135"/>
      <c r="R177" s="104"/>
      <c r="S177" s="21">
        <f t="shared" si="24"/>
        <v>0</v>
      </c>
      <c r="T177" s="131"/>
      <c r="U177" s="78">
        <f t="shared" si="26"/>
        <v>0</v>
      </c>
      <c r="V177" s="140"/>
      <c r="W177" s="138"/>
      <c r="X177" s="32"/>
      <c r="Z177" s="5"/>
    </row>
    <row r="178" spans="1:40" x14ac:dyDescent="0.25">
      <c r="A178" s="143">
        <v>25</v>
      </c>
      <c r="B178" s="92">
        <v>45227</v>
      </c>
      <c r="C178" s="31"/>
      <c r="D178" s="32"/>
      <c r="E178" s="32"/>
      <c r="F178" s="32"/>
      <c r="G178" s="39"/>
      <c r="H178" s="39"/>
      <c r="I178" s="42"/>
      <c r="J178" s="43">
        <v>10</v>
      </c>
      <c r="K178" s="21">
        <f t="shared" si="25"/>
        <v>-10</v>
      </c>
      <c r="L178" s="21">
        <f t="shared" si="22"/>
        <v>10</v>
      </c>
      <c r="M178" s="21">
        <f t="shared" si="23"/>
        <v>-10</v>
      </c>
      <c r="N178" s="21"/>
      <c r="O178" s="21"/>
      <c r="P178" s="5"/>
      <c r="Q178" s="32"/>
      <c r="R178" s="32"/>
      <c r="S178" s="21">
        <f t="shared" si="24"/>
        <v>0</v>
      </c>
      <c r="T178" s="32"/>
      <c r="U178" s="78">
        <f t="shared" si="26"/>
        <v>0</v>
      </c>
      <c r="V178" s="140"/>
      <c r="W178" s="138"/>
      <c r="X178" s="32"/>
      <c r="Z178" s="5"/>
    </row>
    <row r="179" spans="1:40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22">
        <f>SUM(O154:O178)</f>
        <v>1145</v>
      </c>
      <c r="P179" s="5"/>
      <c r="Q179" s="5"/>
      <c r="R179" s="5"/>
      <c r="S179" s="5"/>
      <c r="T179" s="5"/>
      <c r="U179" s="5"/>
      <c r="V179" s="141"/>
      <c r="W179" s="5"/>
      <c r="X179" s="5"/>
      <c r="Y179" s="5"/>
      <c r="Z179" s="5"/>
    </row>
    <row r="181" spans="1:40" x14ac:dyDescent="0.25">
      <c r="H181">
        <f>110+138</f>
        <v>248</v>
      </c>
    </row>
    <row r="183" spans="1:40" x14ac:dyDescent="0.25">
      <c r="A183" s="1" t="s">
        <v>0</v>
      </c>
      <c r="B183" s="1"/>
      <c r="C183" s="1"/>
      <c r="D183" s="1"/>
      <c r="E183" s="1"/>
      <c r="F183" s="1"/>
      <c r="G183" s="1"/>
      <c r="H183" s="1"/>
      <c r="I183" s="1" t="s">
        <v>148</v>
      </c>
      <c r="J183" s="1"/>
      <c r="K183" s="1"/>
      <c r="L183" s="1"/>
      <c r="M183" s="1"/>
      <c r="N183" s="1"/>
      <c r="O183" s="1"/>
      <c r="P183" s="1"/>
      <c r="Q183" s="1"/>
      <c r="R183" s="1"/>
      <c r="S183" s="342" t="s">
        <v>1</v>
      </c>
      <c r="T183" s="342"/>
      <c r="U183" s="5"/>
      <c r="V183" s="139"/>
      <c r="W183" s="1"/>
      <c r="X183" s="1"/>
      <c r="Y183" s="1"/>
      <c r="Z183" s="5"/>
      <c r="AC183" s="335" t="s">
        <v>160</v>
      </c>
      <c r="AD183" s="336"/>
      <c r="AG183" s="335" t="s">
        <v>170</v>
      </c>
      <c r="AH183" s="336"/>
      <c r="AJ183" s="337" t="s">
        <v>172</v>
      </c>
      <c r="AK183" s="337"/>
      <c r="AM183" s="337" t="s">
        <v>681</v>
      </c>
      <c r="AN183" s="337"/>
    </row>
    <row r="184" spans="1:40" ht="90" x14ac:dyDescent="0.25">
      <c r="A184" s="6" t="s">
        <v>2</v>
      </c>
      <c r="B184" s="7" t="s">
        <v>3</v>
      </c>
      <c r="C184" s="7" t="s">
        <v>4</v>
      </c>
      <c r="D184" s="6" t="s">
        <v>5</v>
      </c>
      <c r="E184" s="6" t="s">
        <v>6</v>
      </c>
      <c r="F184" s="6" t="s">
        <v>7</v>
      </c>
      <c r="G184" s="6" t="s">
        <v>8</v>
      </c>
      <c r="H184" s="8" t="s">
        <v>9</v>
      </c>
      <c r="I184" s="9" t="s">
        <v>10</v>
      </c>
      <c r="J184" s="8" t="s">
        <v>11</v>
      </c>
      <c r="K184" s="10" t="s">
        <v>12</v>
      </c>
      <c r="L184" s="10" t="s">
        <v>13</v>
      </c>
      <c r="M184" s="11" t="s">
        <v>14</v>
      </c>
      <c r="N184" s="10" t="s">
        <v>691</v>
      </c>
      <c r="O184" s="10" t="s">
        <v>28</v>
      </c>
      <c r="P184" s="5"/>
      <c r="Q184" s="10" t="s">
        <v>16</v>
      </c>
      <c r="R184" s="10" t="s">
        <v>17</v>
      </c>
      <c r="S184" s="10" t="s">
        <v>18</v>
      </c>
      <c r="T184" s="10" t="s">
        <v>19</v>
      </c>
      <c r="U184" s="10" t="s">
        <v>20</v>
      </c>
      <c r="V184" s="13"/>
      <c r="W184" s="136" t="s">
        <v>688</v>
      </c>
      <c r="X184" s="14" t="s">
        <v>22</v>
      </c>
      <c r="Y184" s="15" t="s">
        <v>23</v>
      </c>
      <c r="Z184" s="5"/>
      <c r="AB184">
        <v>1</v>
      </c>
      <c r="AC184" s="16" t="s">
        <v>161</v>
      </c>
      <c r="AD184" s="58">
        <f>+AB184*10</f>
        <v>10</v>
      </c>
      <c r="AG184" s="16" t="s">
        <v>161</v>
      </c>
      <c r="AH184" s="58">
        <f>+AF184*10</f>
        <v>0</v>
      </c>
      <c r="AJ184" s="61" t="s">
        <v>173</v>
      </c>
      <c r="AK184" s="62" t="s">
        <v>174</v>
      </c>
      <c r="AM184" s="16" t="s">
        <v>161</v>
      </c>
      <c r="AN184" s="58">
        <f>+AL184*10</f>
        <v>0</v>
      </c>
    </row>
    <row r="185" spans="1:40" x14ac:dyDescent="0.25">
      <c r="A185" s="16">
        <v>1</v>
      </c>
      <c r="B185" s="92">
        <v>45182</v>
      </c>
      <c r="C185" s="31" t="s">
        <v>2024</v>
      </c>
      <c r="D185" s="32">
        <v>5630381453</v>
      </c>
      <c r="E185" s="32" t="s">
        <v>2146</v>
      </c>
      <c r="F185" s="39" t="s">
        <v>2145</v>
      </c>
      <c r="G185" s="39" t="s">
        <v>2144</v>
      </c>
      <c r="H185" s="122">
        <v>129</v>
      </c>
      <c r="I185" s="32">
        <v>104</v>
      </c>
      <c r="J185" s="20">
        <v>12</v>
      </c>
      <c r="K185" s="21">
        <v>15</v>
      </c>
      <c r="L185" s="21">
        <f t="shared" ref="L185:L203" si="32">+I185+J185</f>
        <v>116</v>
      </c>
      <c r="M185" s="21">
        <f t="shared" ref="M185:M203" si="33">+H185-L185</f>
        <v>13</v>
      </c>
      <c r="N185" s="21">
        <v>114</v>
      </c>
      <c r="O185" s="21">
        <v>129</v>
      </c>
      <c r="P185" s="5"/>
      <c r="Q185" s="21"/>
      <c r="R185" s="16"/>
      <c r="S185" s="21">
        <f t="shared" ref="S185:S203" si="34">+Q185+R185</f>
        <v>0</v>
      </c>
      <c r="T185" s="21"/>
      <c r="U185" s="78">
        <f>T185-S185-O185</f>
        <v>-129</v>
      </c>
      <c r="V185" s="13"/>
      <c r="W185" s="147"/>
      <c r="X185" s="23"/>
      <c r="Y185" s="333"/>
      <c r="Z185" s="5"/>
      <c r="AB185">
        <v>23</v>
      </c>
      <c r="AC185" s="59" t="s">
        <v>162</v>
      </c>
      <c r="AD185" s="18">
        <f>+AB185*1</f>
        <v>23</v>
      </c>
      <c r="AG185" s="59" t="s">
        <v>162</v>
      </c>
      <c r="AH185" s="18">
        <f>+AF185*1</f>
        <v>0</v>
      </c>
      <c r="AJ185" s="16"/>
      <c r="AK185" s="16"/>
      <c r="AM185" s="59" t="s">
        <v>162</v>
      </c>
      <c r="AN185" s="18">
        <f>+AL185*1</f>
        <v>0</v>
      </c>
    </row>
    <row r="186" spans="1:40" x14ac:dyDescent="0.25">
      <c r="A186" s="26">
        <v>2</v>
      </c>
      <c r="B186" s="92">
        <v>45182</v>
      </c>
      <c r="C186" s="31" t="s">
        <v>1934</v>
      </c>
      <c r="D186" s="32">
        <v>5615394688</v>
      </c>
      <c r="E186" t="s">
        <v>2148</v>
      </c>
      <c r="F186" t="s">
        <v>1317</v>
      </c>
      <c r="G186" s="32" t="s">
        <v>2147</v>
      </c>
      <c r="H186" s="122">
        <v>130</v>
      </c>
      <c r="I186" s="32">
        <v>105</v>
      </c>
      <c r="J186" s="20">
        <v>20</v>
      </c>
      <c r="K186" s="21">
        <v>0</v>
      </c>
      <c r="L186" s="21">
        <f t="shared" si="32"/>
        <v>125</v>
      </c>
      <c r="M186" s="21">
        <f t="shared" si="33"/>
        <v>5</v>
      </c>
      <c r="N186" s="21"/>
      <c r="O186" s="21"/>
      <c r="P186" s="5"/>
      <c r="Q186" s="21"/>
      <c r="R186" s="16"/>
      <c r="S186" s="21">
        <f t="shared" si="34"/>
        <v>0</v>
      </c>
      <c r="T186" s="21"/>
      <c r="U186" s="78">
        <f t="shared" ref="U186:U203" si="35">T186-S186-O186</f>
        <v>0</v>
      </c>
      <c r="V186" s="140"/>
      <c r="W186" s="147"/>
      <c r="X186" s="23"/>
      <c r="Y186" s="334"/>
      <c r="Z186" s="5"/>
      <c r="AB186">
        <v>10</v>
      </c>
      <c r="AC186" s="16" t="s">
        <v>163</v>
      </c>
      <c r="AD186" s="60">
        <f>+AB186*5</f>
        <v>50</v>
      </c>
      <c r="AG186" s="16" t="s">
        <v>163</v>
      </c>
      <c r="AH186" s="60">
        <f>+AF186*5</f>
        <v>0</v>
      </c>
      <c r="AJ186" s="16"/>
      <c r="AK186" s="16"/>
      <c r="AM186" s="16" t="s">
        <v>163</v>
      </c>
      <c r="AN186" s="60">
        <f>+AL186*5</f>
        <v>0</v>
      </c>
    </row>
    <row r="187" spans="1:40" x14ac:dyDescent="0.25">
      <c r="A187" s="143">
        <v>3</v>
      </c>
      <c r="B187" s="142">
        <v>45182</v>
      </c>
      <c r="C187" s="31" t="s">
        <v>1412</v>
      </c>
      <c r="D187" s="32">
        <v>5560863021</v>
      </c>
      <c r="E187" s="32" t="s">
        <v>451</v>
      </c>
      <c r="F187" s="32" t="s">
        <v>818</v>
      </c>
      <c r="G187" s="39" t="s">
        <v>2149</v>
      </c>
      <c r="H187" s="122">
        <v>300</v>
      </c>
      <c r="I187" s="32">
        <v>280</v>
      </c>
      <c r="J187" s="20">
        <v>20</v>
      </c>
      <c r="K187" s="21">
        <v>0</v>
      </c>
      <c r="L187" s="21">
        <f t="shared" si="32"/>
        <v>300</v>
      </c>
      <c r="M187" s="21">
        <f t="shared" si="33"/>
        <v>0</v>
      </c>
      <c r="N187" s="21"/>
      <c r="O187" s="21">
        <v>280</v>
      </c>
      <c r="P187" s="5"/>
      <c r="Q187" s="21"/>
      <c r="R187" s="16"/>
      <c r="S187" s="21">
        <f t="shared" si="34"/>
        <v>0</v>
      </c>
      <c r="T187" s="21"/>
      <c r="U187" s="78">
        <f t="shared" si="35"/>
        <v>-280</v>
      </c>
      <c r="V187" s="140"/>
      <c r="W187" s="147"/>
      <c r="X187" s="23"/>
      <c r="Y187" s="334"/>
      <c r="Z187" s="5"/>
      <c r="AC187" s="16" t="s">
        <v>164</v>
      </c>
      <c r="AD187" s="18">
        <f>+AB187*200</f>
        <v>0</v>
      </c>
      <c r="AG187" s="16" t="s">
        <v>164</v>
      </c>
      <c r="AH187" s="18">
        <f>+AF187*200</f>
        <v>0</v>
      </c>
      <c r="AJ187" s="16"/>
      <c r="AK187" s="16"/>
      <c r="AM187" s="16" t="s">
        <v>164</v>
      </c>
      <c r="AN187" s="18">
        <f>+AL187*200</f>
        <v>0</v>
      </c>
    </row>
    <row r="188" spans="1:40" x14ac:dyDescent="0.25">
      <c r="A188" s="143">
        <v>4</v>
      </c>
      <c r="B188" s="142">
        <v>45182</v>
      </c>
      <c r="C188" s="199" t="s">
        <v>319</v>
      </c>
      <c r="D188" s="32">
        <v>5555555555</v>
      </c>
      <c r="E188" s="32" t="s">
        <v>2150</v>
      </c>
      <c r="F188" s="32" t="s">
        <v>1508</v>
      </c>
      <c r="G188" s="39"/>
      <c r="H188" s="122">
        <v>200</v>
      </c>
      <c r="I188" s="32">
        <v>230</v>
      </c>
      <c r="J188" s="20">
        <v>10</v>
      </c>
      <c r="K188" s="21">
        <v>0</v>
      </c>
      <c r="L188" s="21">
        <f t="shared" si="32"/>
        <v>240</v>
      </c>
      <c r="M188" s="21">
        <f t="shared" si="33"/>
        <v>-40</v>
      </c>
      <c r="N188" s="21"/>
      <c r="O188" s="21"/>
      <c r="P188" s="5"/>
      <c r="Q188" s="21"/>
      <c r="R188" s="16"/>
      <c r="S188" s="21">
        <f t="shared" si="34"/>
        <v>0</v>
      </c>
      <c r="T188" s="21"/>
      <c r="U188" s="78">
        <f t="shared" si="35"/>
        <v>0</v>
      </c>
      <c r="V188" s="140"/>
      <c r="W188" s="147"/>
      <c r="X188" s="23"/>
      <c r="Y188" s="334"/>
      <c r="Z188" s="5"/>
      <c r="AB188">
        <v>1</v>
      </c>
      <c r="AC188" s="16" t="s">
        <v>165</v>
      </c>
      <c r="AD188" s="18">
        <f>+AB188*100</f>
        <v>100</v>
      </c>
      <c r="AG188" s="16" t="s">
        <v>165</v>
      </c>
      <c r="AH188" s="18">
        <f>+AF188*100</f>
        <v>0</v>
      </c>
      <c r="AJ188" s="16"/>
      <c r="AK188" s="16"/>
      <c r="AM188" s="16" t="s">
        <v>165</v>
      </c>
      <c r="AN188" s="18">
        <f>+AL188*100</f>
        <v>0</v>
      </c>
    </row>
    <row r="189" spans="1:40" x14ac:dyDescent="0.25">
      <c r="A189" s="143">
        <v>5</v>
      </c>
      <c r="B189" s="142">
        <v>45182</v>
      </c>
      <c r="C189" s="31" t="s">
        <v>1746</v>
      </c>
      <c r="D189" s="32">
        <v>5612853273</v>
      </c>
      <c r="E189" s="225" t="s">
        <v>38</v>
      </c>
      <c r="F189" s="32" t="s">
        <v>1527</v>
      </c>
      <c r="G189" s="32" t="s">
        <v>2154</v>
      </c>
      <c r="H189" s="122">
        <v>200</v>
      </c>
      <c r="I189" s="32">
        <v>156</v>
      </c>
      <c r="J189" s="20">
        <v>14</v>
      </c>
      <c r="K189" s="21">
        <v>0</v>
      </c>
      <c r="L189" s="21">
        <f t="shared" si="32"/>
        <v>170</v>
      </c>
      <c r="M189" s="21">
        <f t="shared" si="33"/>
        <v>30</v>
      </c>
      <c r="N189" s="21"/>
      <c r="O189" s="21"/>
      <c r="P189" s="5"/>
      <c r="Q189" s="16"/>
      <c r="R189" s="16"/>
      <c r="S189" s="21">
        <f t="shared" si="34"/>
        <v>0</v>
      </c>
      <c r="T189" s="21"/>
      <c r="U189" s="78">
        <f t="shared" si="35"/>
        <v>0</v>
      </c>
      <c r="V189" s="140"/>
      <c r="W189" s="147"/>
      <c r="X189" s="23"/>
      <c r="Y189" s="334"/>
      <c r="Z189" s="5"/>
      <c r="AC189" s="16" t="s">
        <v>166</v>
      </c>
      <c r="AD189" s="18">
        <f>+AB189*50</f>
        <v>0</v>
      </c>
      <c r="AG189" s="16" t="s">
        <v>166</v>
      </c>
      <c r="AH189" s="18">
        <f>+AF189*50</f>
        <v>0</v>
      </c>
      <c r="AJ189" s="16"/>
      <c r="AK189" s="16"/>
      <c r="AM189" s="16" t="s">
        <v>166</v>
      </c>
      <c r="AN189" s="18">
        <f>+AL189*50</f>
        <v>0</v>
      </c>
    </row>
    <row r="190" spans="1:40" x14ac:dyDescent="0.25">
      <c r="A190" s="143">
        <v>6</v>
      </c>
      <c r="B190" s="142">
        <v>45182</v>
      </c>
      <c r="C190" s="31" t="s">
        <v>2151</v>
      </c>
      <c r="D190" s="32">
        <v>5529709944</v>
      </c>
      <c r="E190" s="32" t="s">
        <v>902</v>
      </c>
      <c r="F190" s="32" t="s">
        <v>2152</v>
      </c>
      <c r="G190" s="39" t="s">
        <v>2153</v>
      </c>
      <c r="H190" s="39">
        <v>52</v>
      </c>
      <c r="I190" s="42">
        <v>42</v>
      </c>
      <c r="J190" s="20">
        <v>10</v>
      </c>
      <c r="K190" s="21">
        <v>0</v>
      </c>
      <c r="L190" s="21">
        <f t="shared" si="32"/>
        <v>52</v>
      </c>
      <c r="M190" s="21">
        <f t="shared" si="33"/>
        <v>0</v>
      </c>
      <c r="N190" s="21"/>
      <c r="O190" s="21"/>
      <c r="P190" s="5"/>
      <c r="Q190" s="16"/>
      <c r="R190" s="16"/>
      <c r="S190" s="21">
        <f t="shared" si="34"/>
        <v>0</v>
      </c>
      <c r="T190" s="16"/>
      <c r="U190" s="78">
        <f t="shared" si="35"/>
        <v>0</v>
      </c>
      <c r="V190" s="140"/>
      <c r="W190" s="147"/>
      <c r="X190" s="23"/>
      <c r="Y190" s="334"/>
      <c r="Z190" s="5"/>
      <c r="AB190">
        <v>2</v>
      </c>
      <c r="AC190" s="16" t="s">
        <v>167</v>
      </c>
      <c r="AD190" s="18">
        <f>+AB190*20</f>
        <v>40</v>
      </c>
      <c r="AG190" s="16" t="s">
        <v>167</v>
      </c>
      <c r="AH190" s="18">
        <f>+AF190*20</f>
        <v>0</v>
      </c>
      <c r="AJ190" s="16"/>
      <c r="AK190" s="16"/>
      <c r="AM190" s="16" t="s">
        <v>167</v>
      </c>
      <c r="AN190" s="18">
        <f>+AL190*20</f>
        <v>0</v>
      </c>
    </row>
    <row r="191" spans="1:40" x14ac:dyDescent="0.25">
      <c r="A191" s="143">
        <v>7</v>
      </c>
      <c r="B191" s="142">
        <v>45182</v>
      </c>
      <c r="C191" s="31" t="s">
        <v>2155</v>
      </c>
      <c r="D191" s="32"/>
      <c r="E191" s="32" t="s">
        <v>1556</v>
      </c>
      <c r="F191" s="32" t="s">
        <v>2156</v>
      </c>
      <c r="G191" s="39" t="s">
        <v>2157</v>
      </c>
      <c r="H191" s="122">
        <v>220</v>
      </c>
      <c r="I191" s="42">
        <v>158</v>
      </c>
      <c r="J191" s="20">
        <v>10</v>
      </c>
      <c r="K191" s="21">
        <v>0</v>
      </c>
      <c r="L191" s="21">
        <f t="shared" si="32"/>
        <v>168</v>
      </c>
      <c r="M191" s="21">
        <f t="shared" si="33"/>
        <v>52</v>
      </c>
      <c r="N191" s="21"/>
      <c r="O191" s="21"/>
      <c r="P191" s="5"/>
      <c r="Q191" s="16">
        <v>200</v>
      </c>
      <c r="R191" s="16"/>
      <c r="S191" s="21">
        <f t="shared" si="34"/>
        <v>200</v>
      </c>
      <c r="T191" s="16">
        <v>225</v>
      </c>
      <c r="U191" s="78">
        <f t="shared" si="35"/>
        <v>25</v>
      </c>
      <c r="V191" s="140"/>
      <c r="W191" s="147"/>
      <c r="X191" s="23"/>
      <c r="Y191" s="334"/>
      <c r="Z191" s="5"/>
      <c r="AC191" s="16" t="s">
        <v>171</v>
      </c>
      <c r="AD191" s="18">
        <f>+AB191*500</f>
        <v>0</v>
      </c>
      <c r="AG191" s="16" t="s">
        <v>171</v>
      </c>
      <c r="AH191" s="18">
        <f>+AF191*500</f>
        <v>0</v>
      </c>
      <c r="AJ191" s="16"/>
      <c r="AK191" s="16"/>
      <c r="AM191" s="16" t="s">
        <v>171</v>
      </c>
      <c r="AN191" s="18">
        <f>+AL191*500</f>
        <v>0</v>
      </c>
    </row>
    <row r="192" spans="1:40" x14ac:dyDescent="0.25">
      <c r="A192" s="143">
        <v>8</v>
      </c>
      <c r="B192" s="142">
        <v>45182</v>
      </c>
      <c r="C192" s="31" t="s">
        <v>627</v>
      </c>
      <c r="D192" s="123"/>
      <c r="E192" s="123"/>
      <c r="F192" s="123"/>
      <c r="G192" s="39" t="s">
        <v>2158</v>
      </c>
      <c r="H192" s="122"/>
      <c r="I192" s="32"/>
      <c r="J192" s="20">
        <v>10</v>
      </c>
      <c r="K192" s="21">
        <v>0</v>
      </c>
      <c r="L192" s="21">
        <f t="shared" si="32"/>
        <v>10</v>
      </c>
      <c r="M192" s="21">
        <f t="shared" si="33"/>
        <v>-10</v>
      </c>
      <c r="N192" s="21">
        <v>105</v>
      </c>
      <c r="O192" s="21"/>
      <c r="P192" s="5"/>
      <c r="Q192" s="16"/>
      <c r="R192" s="16"/>
      <c r="S192" s="21">
        <f t="shared" si="34"/>
        <v>0</v>
      </c>
      <c r="T192" s="16"/>
      <c r="U192" s="78">
        <f t="shared" si="35"/>
        <v>0</v>
      </c>
      <c r="V192" s="140"/>
      <c r="W192" s="147"/>
      <c r="X192" s="23"/>
      <c r="Y192" s="334"/>
      <c r="Z192" s="5"/>
      <c r="AC192" s="16" t="s">
        <v>168</v>
      </c>
      <c r="AD192" s="18">
        <f>+AB192*1000</f>
        <v>0</v>
      </c>
      <c r="AG192" s="16" t="s">
        <v>168</v>
      </c>
      <c r="AH192" s="18">
        <f>+AF192*1000</f>
        <v>0</v>
      </c>
      <c r="AJ192" s="16"/>
      <c r="AK192" s="16"/>
      <c r="AM192" s="16" t="s">
        <v>168</v>
      </c>
      <c r="AN192" s="18">
        <f>+AL192*1000</f>
        <v>0</v>
      </c>
    </row>
    <row r="193" spans="1:40" x14ac:dyDescent="0.25">
      <c r="A193" s="143">
        <v>9</v>
      </c>
      <c r="B193" s="142">
        <v>45182</v>
      </c>
      <c r="C193" s="31" t="s">
        <v>1053</v>
      </c>
      <c r="D193" s="32"/>
      <c r="E193" s="32" t="s">
        <v>1556</v>
      </c>
      <c r="F193" s="32" t="s">
        <v>1053</v>
      </c>
      <c r="G193" s="39" t="s">
        <v>2159</v>
      </c>
      <c r="H193" s="39">
        <v>500</v>
      </c>
      <c r="I193" s="40">
        <v>248</v>
      </c>
      <c r="J193" s="20">
        <v>10</v>
      </c>
      <c r="K193" s="21">
        <v>10</v>
      </c>
      <c r="L193" s="21">
        <f t="shared" si="32"/>
        <v>258</v>
      </c>
      <c r="M193" s="21">
        <f t="shared" si="33"/>
        <v>242</v>
      </c>
      <c r="N193" s="21"/>
      <c r="O193" s="21"/>
      <c r="P193" s="5"/>
      <c r="Q193" s="16"/>
      <c r="R193" s="16"/>
      <c r="S193" s="21">
        <f t="shared" si="34"/>
        <v>0</v>
      </c>
      <c r="T193" s="16"/>
      <c r="U193" s="78">
        <f t="shared" si="35"/>
        <v>0</v>
      </c>
      <c r="V193" s="140"/>
      <c r="W193" s="147"/>
      <c r="X193" s="23"/>
      <c r="Y193" s="334"/>
      <c r="Z193" s="5"/>
      <c r="AC193" s="26"/>
      <c r="AD193" s="58"/>
      <c r="AG193" s="26"/>
      <c r="AH193" s="58"/>
      <c r="AJ193" s="16"/>
      <c r="AK193" s="16"/>
      <c r="AM193" s="26"/>
      <c r="AN193" s="58"/>
    </row>
    <row r="194" spans="1:40" x14ac:dyDescent="0.25">
      <c r="A194" s="143">
        <v>10</v>
      </c>
      <c r="B194" s="142">
        <v>45182</v>
      </c>
      <c r="C194" s="31" t="s">
        <v>2128</v>
      </c>
      <c r="D194" s="32"/>
      <c r="E194" s="32" t="s">
        <v>106</v>
      </c>
      <c r="F194" s="32" t="s">
        <v>1734</v>
      </c>
      <c r="G194" s="39" t="s">
        <v>2163</v>
      </c>
      <c r="H194" s="122"/>
      <c r="I194" s="42">
        <v>187</v>
      </c>
      <c r="J194" s="20">
        <v>10</v>
      </c>
      <c r="K194" s="21"/>
      <c r="L194" s="21">
        <f t="shared" si="32"/>
        <v>197</v>
      </c>
      <c r="M194" s="21">
        <f t="shared" si="33"/>
        <v>-197</v>
      </c>
      <c r="N194" s="21"/>
      <c r="O194" s="21">
        <v>210</v>
      </c>
      <c r="P194" s="5"/>
      <c r="Q194" s="16"/>
      <c r="R194" s="16"/>
      <c r="S194" s="21">
        <f t="shared" si="34"/>
        <v>0</v>
      </c>
      <c r="T194" s="16"/>
      <c r="U194" s="78">
        <f t="shared" si="35"/>
        <v>-210</v>
      </c>
      <c r="V194" s="140"/>
      <c r="W194" s="147"/>
      <c r="X194" s="23"/>
      <c r="Y194" s="334"/>
      <c r="Z194" s="5"/>
      <c r="AC194" s="16" t="s">
        <v>169</v>
      </c>
      <c r="AD194" s="18">
        <f>SUM(AD184:AD193)</f>
        <v>223</v>
      </c>
      <c r="AG194" s="16" t="s">
        <v>169</v>
      </c>
      <c r="AH194" s="18">
        <f>SUM(AH184:AH193)</f>
        <v>0</v>
      </c>
      <c r="AJ194" s="16"/>
      <c r="AK194" s="16"/>
      <c r="AM194" s="16" t="s">
        <v>169</v>
      </c>
      <c r="AN194" s="18"/>
    </row>
    <row r="195" spans="1:40" x14ac:dyDescent="0.25">
      <c r="A195" s="143">
        <v>11</v>
      </c>
      <c r="B195" s="142">
        <v>45182</v>
      </c>
      <c r="C195" s="31" t="s">
        <v>2160</v>
      </c>
      <c r="D195" s="124"/>
      <c r="E195" s="123" t="s">
        <v>106</v>
      </c>
      <c r="F195" s="123" t="s">
        <v>2170</v>
      </c>
      <c r="G195" s="39" t="s">
        <v>2162</v>
      </c>
      <c r="H195" s="122"/>
      <c r="I195" s="42">
        <v>88</v>
      </c>
      <c r="J195" s="20">
        <v>10</v>
      </c>
      <c r="K195" s="21">
        <v>0</v>
      </c>
      <c r="L195" s="21">
        <f t="shared" si="32"/>
        <v>98</v>
      </c>
      <c r="M195" s="21">
        <f t="shared" si="33"/>
        <v>-98</v>
      </c>
      <c r="N195" s="21"/>
      <c r="O195" s="21">
        <v>88</v>
      </c>
      <c r="P195" s="5"/>
      <c r="Q195" s="16">
        <v>100</v>
      </c>
      <c r="R195" s="16"/>
      <c r="S195" s="21">
        <f t="shared" si="34"/>
        <v>100</v>
      </c>
      <c r="T195" s="16">
        <v>118</v>
      </c>
      <c r="U195" s="78">
        <f t="shared" si="35"/>
        <v>-70</v>
      </c>
      <c r="V195" s="140"/>
      <c r="W195" s="147"/>
      <c r="X195" s="23"/>
      <c r="Y195" s="334"/>
      <c r="Z195" s="5"/>
      <c r="AC195" s="162" t="s">
        <v>2173</v>
      </c>
      <c r="AD195">
        <v>113</v>
      </c>
      <c r="AJ195" s="16"/>
      <c r="AK195" s="16"/>
      <c r="AM195" s="16"/>
      <c r="AN195" s="16"/>
    </row>
    <row r="196" spans="1:40" x14ac:dyDescent="0.25">
      <c r="A196" s="143">
        <v>12</v>
      </c>
      <c r="B196" s="142">
        <v>45182</v>
      </c>
      <c r="C196" s="32" t="s">
        <v>307</v>
      </c>
      <c r="D196" s="32"/>
      <c r="E196" s="124" t="s">
        <v>106</v>
      </c>
      <c r="F196" s="123" t="s">
        <v>2169</v>
      </c>
      <c r="G196" s="39" t="s">
        <v>2164</v>
      </c>
      <c r="H196" s="39"/>
      <c r="I196" s="42">
        <v>202</v>
      </c>
      <c r="J196" s="20">
        <v>10</v>
      </c>
      <c r="K196" s="21">
        <v>0</v>
      </c>
      <c r="L196" s="21">
        <f t="shared" si="32"/>
        <v>212</v>
      </c>
      <c r="M196" s="21">
        <f t="shared" si="33"/>
        <v>-212</v>
      </c>
      <c r="N196" s="21"/>
      <c r="O196" s="21">
        <v>202</v>
      </c>
      <c r="P196" s="5"/>
      <c r="Q196" s="45">
        <v>500</v>
      </c>
      <c r="R196" s="44"/>
      <c r="S196" s="21">
        <f t="shared" si="34"/>
        <v>500</v>
      </c>
      <c r="T196" s="45">
        <v>212</v>
      </c>
      <c r="U196" s="78">
        <f t="shared" si="35"/>
        <v>-490</v>
      </c>
      <c r="V196" s="140"/>
      <c r="W196" s="147"/>
      <c r="X196" s="23"/>
      <c r="Y196" s="334"/>
      <c r="Z196" s="5"/>
      <c r="AD196" s="83">
        <f>+AD194-AD195</f>
        <v>110</v>
      </c>
      <c r="AJ196" s="63" t="s">
        <v>169</v>
      </c>
      <c r="AK196" s="63">
        <f>+SUM(AJ185:AJ195)-SUM(AK185:AK195)</f>
        <v>0</v>
      </c>
      <c r="AM196" s="63" t="s">
        <v>169</v>
      </c>
      <c r="AN196" s="85">
        <f>+SUM(AM184:AM195)-SUM(AN185:AN195)</f>
        <v>0</v>
      </c>
    </row>
    <row r="197" spans="1:40" x14ac:dyDescent="0.25">
      <c r="A197" s="143">
        <v>13</v>
      </c>
      <c r="B197" s="142">
        <v>45182</v>
      </c>
      <c r="C197" s="31" t="s">
        <v>2161</v>
      </c>
      <c r="D197" s="32"/>
      <c r="E197" s="32" t="s">
        <v>106</v>
      </c>
      <c r="F197" s="32" t="s">
        <v>1961</v>
      </c>
      <c r="G197" s="39" t="s">
        <v>2172</v>
      </c>
      <c r="H197" s="39"/>
      <c r="I197" s="42">
        <v>205</v>
      </c>
      <c r="J197" s="108">
        <v>10</v>
      </c>
      <c r="K197" s="21">
        <v>0</v>
      </c>
      <c r="L197" s="21">
        <f t="shared" si="32"/>
        <v>215</v>
      </c>
      <c r="M197" s="21">
        <f t="shared" si="33"/>
        <v>-215</v>
      </c>
      <c r="N197" s="21"/>
      <c r="O197" s="21">
        <v>205</v>
      </c>
      <c r="P197" s="5"/>
      <c r="Q197" s="43"/>
      <c r="R197" s="32"/>
      <c r="S197" s="21">
        <f t="shared" si="34"/>
        <v>0</v>
      </c>
      <c r="T197" s="43"/>
      <c r="U197" s="78">
        <f t="shared" si="35"/>
        <v>-205</v>
      </c>
      <c r="V197" s="140"/>
      <c r="W197" s="147"/>
      <c r="X197" s="23"/>
      <c r="Y197" s="334"/>
      <c r="Z197" s="5"/>
      <c r="AH197" s="83"/>
    </row>
    <row r="198" spans="1:40" x14ac:dyDescent="0.25">
      <c r="A198" s="143">
        <v>14</v>
      </c>
      <c r="B198" s="142">
        <v>45182</v>
      </c>
      <c r="C198" s="31" t="s">
        <v>2165</v>
      </c>
      <c r="D198" s="32"/>
      <c r="E198" s="32" t="s">
        <v>394</v>
      </c>
      <c r="F198" s="32" t="s">
        <v>2168</v>
      </c>
      <c r="G198" s="39" t="s">
        <v>2166</v>
      </c>
      <c r="H198" s="39">
        <v>500</v>
      </c>
      <c r="I198" s="42">
        <v>147</v>
      </c>
      <c r="J198" s="108">
        <v>10</v>
      </c>
      <c r="K198" s="21">
        <v>0</v>
      </c>
      <c r="L198" s="21">
        <f t="shared" si="32"/>
        <v>157</v>
      </c>
      <c r="M198" s="21">
        <f t="shared" si="33"/>
        <v>343</v>
      </c>
      <c r="N198" s="21"/>
      <c r="O198" s="21"/>
      <c r="P198" s="5"/>
      <c r="Q198" s="43"/>
      <c r="R198" s="43"/>
      <c r="S198" s="21">
        <f t="shared" si="34"/>
        <v>0</v>
      </c>
      <c r="T198" s="43"/>
      <c r="U198" s="78">
        <f t="shared" si="35"/>
        <v>0</v>
      </c>
      <c r="V198" s="140"/>
      <c r="W198" s="147"/>
      <c r="X198" s="23"/>
      <c r="Y198" s="334"/>
      <c r="Z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40" x14ac:dyDescent="0.25">
      <c r="A199" s="143">
        <v>15</v>
      </c>
      <c r="B199" s="142">
        <v>45182</v>
      </c>
      <c r="C199" s="127" t="s">
        <v>1053</v>
      </c>
      <c r="D199" s="32"/>
      <c r="E199" s="32"/>
      <c r="F199" s="128" t="s">
        <v>148</v>
      </c>
      <c r="G199" s="129" t="s">
        <v>2167</v>
      </c>
      <c r="H199" s="39"/>
      <c r="I199" s="42"/>
      <c r="J199" s="108">
        <v>10</v>
      </c>
      <c r="K199" s="21">
        <v>0</v>
      </c>
      <c r="L199" s="21">
        <f t="shared" si="32"/>
        <v>10</v>
      </c>
      <c r="M199" s="21">
        <f t="shared" si="33"/>
        <v>-10</v>
      </c>
      <c r="N199" s="21"/>
      <c r="O199" s="21"/>
      <c r="P199" s="5"/>
      <c r="Q199" s="43">
        <v>100</v>
      </c>
      <c r="R199" s="43"/>
      <c r="S199" s="21">
        <f t="shared" si="34"/>
        <v>100</v>
      </c>
      <c r="T199" s="43"/>
      <c r="U199" s="78">
        <f t="shared" si="35"/>
        <v>-100</v>
      </c>
      <c r="V199" s="140"/>
      <c r="W199" s="147"/>
      <c r="X199" s="23"/>
      <c r="Y199" s="334"/>
      <c r="Z199" s="5"/>
      <c r="AC199" s="5"/>
      <c r="AD199" s="134" t="s">
        <v>20</v>
      </c>
      <c r="AE199" s="338"/>
      <c r="AF199" s="341" t="s">
        <v>686</v>
      </c>
      <c r="AG199" s="134" t="s">
        <v>20</v>
      </c>
      <c r="AH199" s="338"/>
      <c r="AI199" s="341" t="s">
        <v>687</v>
      </c>
      <c r="AJ199" s="134" t="s">
        <v>20</v>
      </c>
      <c r="AK199" s="338"/>
      <c r="AL199" s="5"/>
    </row>
    <row r="200" spans="1:40" x14ac:dyDescent="0.25">
      <c r="A200" s="143">
        <v>16</v>
      </c>
      <c r="B200" s="142">
        <v>45182</v>
      </c>
      <c r="C200" s="31" t="s">
        <v>2109</v>
      </c>
      <c r="D200" s="32"/>
      <c r="E200" s="32" t="s">
        <v>1117</v>
      </c>
      <c r="F200" s="32" t="s">
        <v>2168</v>
      </c>
      <c r="G200" s="39" t="s">
        <v>2171</v>
      </c>
      <c r="H200" s="39"/>
      <c r="I200" s="42"/>
      <c r="J200" s="43">
        <v>20</v>
      </c>
      <c r="K200" s="21">
        <v>0</v>
      </c>
      <c r="L200" s="21">
        <f t="shared" si="32"/>
        <v>20</v>
      </c>
      <c r="M200" s="21">
        <f t="shared" si="33"/>
        <v>-20</v>
      </c>
      <c r="N200" s="21"/>
      <c r="O200" s="21"/>
      <c r="P200" s="5"/>
      <c r="Q200" s="43"/>
      <c r="R200" s="32"/>
      <c r="S200" s="21">
        <f t="shared" si="34"/>
        <v>0</v>
      </c>
      <c r="T200" s="131"/>
      <c r="U200" s="78">
        <f t="shared" si="35"/>
        <v>0</v>
      </c>
      <c r="V200" s="140"/>
      <c r="W200" s="147"/>
      <c r="X200" s="23"/>
      <c r="Y200" s="334"/>
      <c r="Z200" s="5"/>
      <c r="AC200" s="5" t="s">
        <v>685</v>
      </c>
      <c r="AD200" s="115" t="s">
        <v>684</v>
      </c>
      <c r="AE200" s="339"/>
      <c r="AF200" s="341"/>
      <c r="AG200" s="115" t="s">
        <v>684</v>
      </c>
      <c r="AH200" s="339"/>
      <c r="AI200" s="341"/>
      <c r="AJ200" s="115" t="s">
        <v>684</v>
      </c>
      <c r="AK200" s="339"/>
      <c r="AL200" s="5"/>
    </row>
    <row r="201" spans="1:40" x14ac:dyDescent="0.25">
      <c r="A201" s="143">
        <v>17</v>
      </c>
      <c r="B201" s="142">
        <v>45182</v>
      </c>
      <c r="C201" s="31"/>
      <c r="D201" s="32"/>
      <c r="E201" s="32"/>
      <c r="F201" s="32"/>
      <c r="G201" s="39"/>
      <c r="H201" s="39"/>
      <c r="I201" s="42"/>
      <c r="J201" s="43">
        <v>10</v>
      </c>
      <c r="K201" s="21">
        <v>0</v>
      </c>
      <c r="L201" s="21">
        <f t="shared" si="32"/>
        <v>10</v>
      </c>
      <c r="M201" s="21">
        <f t="shared" si="33"/>
        <v>-10</v>
      </c>
      <c r="N201" s="21"/>
      <c r="O201" s="21"/>
      <c r="P201" s="5"/>
      <c r="Q201" s="43"/>
      <c r="R201" s="32"/>
      <c r="S201" s="21">
        <f t="shared" si="34"/>
        <v>0</v>
      </c>
      <c r="T201" s="132"/>
      <c r="U201" s="78">
        <f t="shared" si="35"/>
        <v>0</v>
      </c>
      <c r="V201" s="140"/>
      <c r="W201" s="147"/>
      <c r="X201" s="23"/>
      <c r="Y201" s="340"/>
      <c r="Z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40" x14ac:dyDescent="0.25">
      <c r="A202" s="143">
        <v>18</v>
      </c>
      <c r="B202" s="142">
        <v>45182</v>
      </c>
      <c r="C202" s="31"/>
      <c r="D202" s="32"/>
      <c r="E202" s="32"/>
      <c r="F202" s="32"/>
      <c r="G202" s="39"/>
      <c r="H202" s="39"/>
      <c r="I202" s="42"/>
      <c r="J202" s="43">
        <v>10</v>
      </c>
      <c r="K202" s="21">
        <v>0</v>
      </c>
      <c r="L202" s="21">
        <f t="shared" si="32"/>
        <v>10</v>
      </c>
      <c r="M202" s="21">
        <f t="shared" si="33"/>
        <v>-10</v>
      </c>
      <c r="N202" s="21"/>
      <c r="O202" s="21"/>
      <c r="P202" s="5"/>
      <c r="Q202" s="135"/>
      <c r="R202" s="104"/>
      <c r="S202" s="21">
        <f t="shared" si="34"/>
        <v>0</v>
      </c>
      <c r="T202" s="131"/>
      <c r="U202" s="78">
        <f t="shared" si="35"/>
        <v>0</v>
      </c>
      <c r="V202" s="140"/>
      <c r="W202" s="138"/>
      <c r="X202" s="32"/>
      <c r="Z202" s="5"/>
    </row>
    <row r="203" spans="1:40" x14ac:dyDescent="0.25">
      <c r="A203" s="143">
        <v>19</v>
      </c>
      <c r="B203" s="142">
        <v>45182</v>
      </c>
      <c r="C203" s="31"/>
      <c r="D203" s="32"/>
      <c r="E203" s="32"/>
      <c r="F203" s="32"/>
      <c r="G203" s="39"/>
      <c r="H203" s="39"/>
      <c r="I203" s="42"/>
      <c r="J203" s="43">
        <v>10</v>
      </c>
      <c r="K203" s="21">
        <v>0</v>
      </c>
      <c r="L203" s="21">
        <f t="shared" si="32"/>
        <v>10</v>
      </c>
      <c r="M203" s="21">
        <f t="shared" si="33"/>
        <v>-10</v>
      </c>
      <c r="N203" s="21"/>
      <c r="O203" s="21"/>
      <c r="P203" s="5"/>
      <c r="Q203" s="32"/>
      <c r="R203" s="32"/>
      <c r="S203" s="21">
        <f t="shared" si="34"/>
        <v>0</v>
      </c>
      <c r="T203" s="32"/>
      <c r="U203" s="78">
        <f t="shared" si="35"/>
        <v>0</v>
      </c>
      <c r="V203" s="140"/>
      <c r="W203" s="138"/>
      <c r="X203" s="32"/>
      <c r="Z203" s="5"/>
    </row>
    <row r="204" spans="1:40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22">
        <f>SUM(O185:O203)</f>
        <v>1114</v>
      </c>
      <c r="P204" s="5"/>
      <c r="Q204" s="5"/>
      <c r="R204" s="5"/>
      <c r="S204" s="5"/>
      <c r="T204" s="5"/>
      <c r="U204" s="5"/>
      <c r="V204" s="141"/>
      <c r="W204" s="5"/>
      <c r="X204" s="5"/>
      <c r="Y204" s="5"/>
      <c r="Z204" s="5"/>
    </row>
  </sheetData>
  <mergeCells count="77">
    <mergeCell ref="AK199:AK200"/>
    <mergeCell ref="Y185:Y201"/>
    <mergeCell ref="AE199:AE200"/>
    <mergeCell ref="AF199:AF200"/>
    <mergeCell ref="AH199:AH200"/>
    <mergeCell ref="AI199:AI200"/>
    <mergeCell ref="S183:T183"/>
    <mergeCell ref="AC183:AD183"/>
    <mergeCell ref="AG183:AH183"/>
    <mergeCell ref="AJ183:AK183"/>
    <mergeCell ref="AM183:AN183"/>
    <mergeCell ref="AK138:AK139"/>
    <mergeCell ref="Y124:Y140"/>
    <mergeCell ref="AE138:AE139"/>
    <mergeCell ref="AF138:AF139"/>
    <mergeCell ref="AH138:AH139"/>
    <mergeCell ref="AI138:AI139"/>
    <mergeCell ref="S122:T122"/>
    <mergeCell ref="AC122:AD122"/>
    <mergeCell ref="AG122:AH122"/>
    <mergeCell ref="AJ122:AK122"/>
    <mergeCell ref="AM122:AN122"/>
    <mergeCell ref="S3:T3"/>
    <mergeCell ref="AC3:AD3"/>
    <mergeCell ref="AG3:AH3"/>
    <mergeCell ref="AJ3:AK3"/>
    <mergeCell ref="AM3:AN3"/>
    <mergeCell ref="AK19:AK20"/>
    <mergeCell ref="S33:T33"/>
    <mergeCell ref="AC33:AD33"/>
    <mergeCell ref="AG33:AH33"/>
    <mergeCell ref="AJ33:AK33"/>
    <mergeCell ref="Y5:Y21"/>
    <mergeCell ref="AE19:AE20"/>
    <mergeCell ref="AF19:AF20"/>
    <mergeCell ref="AH19:AH20"/>
    <mergeCell ref="AI19:AI20"/>
    <mergeCell ref="AM33:AN33"/>
    <mergeCell ref="AK49:AK50"/>
    <mergeCell ref="Y35:Y51"/>
    <mergeCell ref="AE49:AE50"/>
    <mergeCell ref="AF49:AF50"/>
    <mergeCell ref="AH49:AH50"/>
    <mergeCell ref="AI49:AI50"/>
    <mergeCell ref="S60:T60"/>
    <mergeCell ref="AC60:AD60"/>
    <mergeCell ref="AG60:AH60"/>
    <mergeCell ref="AJ60:AK60"/>
    <mergeCell ref="AM60:AN60"/>
    <mergeCell ref="AK76:AK77"/>
    <mergeCell ref="Y62:Y78"/>
    <mergeCell ref="AE76:AE77"/>
    <mergeCell ref="AF76:AF77"/>
    <mergeCell ref="AH76:AH77"/>
    <mergeCell ref="AI76:AI77"/>
    <mergeCell ref="S91:T91"/>
    <mergeCell ref="AC91:AD91"/>
    <mergeCell ref="AG91:AH91"/>
    <mergeCell ref="AJ91:AK91"/>
    <mergeCell ref="AM91:AN91"/>
    <mergeCell ref="AK107:AK108"/>
    <mergeCell ref="Y93:Y109"/>
    <mergeCell ref="AE107:AE108"/>
    <mergeCell ref="AF107:AF108"/>
    <mergeCell ref="AH107:AH108"/>
    <mergeCell ref="AI107:AI108"/>
    <mergeCell ref="S152:T152"/>
    <mergeCell ref="AC152:AD152"/>
    <mergeCell ref="AG152:AH152"/>
    <mergeCell ref="AJ152:AK152"/>
    <mergeCell ref="AM152:AN152"/>
    <mergeCell ref="AK168:AK169"/>
    <mergeCell ref="Y154:Y170"/>
    <mergeCell ref="AE168:AE169"/>
    <mergeCell ref="AF168:AF169"/>
    <mergeCell ref="AH168:AH169"/>
    <mergeCell ref="AI168:AI169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2"/>
  <sheetViews>
    <sheetView topLeftCell="A52" workbookViewId="0">
      <selection activeCell="D55" sqref="D55"/>
    </sheetView>
  </sheetViews>
  <sheetFormatPr baseColWidth="10" defaultRowHeight="15" x14ac:dyDescent="0.25"/>
  <cols>
    <col min="4" max="4" width="12" bestFit="1" customWidth="1"/>
  </cols>
  <sheetData>
    <row r="1" spans="1:40" x14ac:dyDescent="0.25">
      <c r="M1">
        <v>400</v>
      </c>
      <c r="N1">
        <v>36</v>
      </c>
    </row>
    <row r="2" spans="1:40" x14ac:dyDescent="0.25">
      <c r="M2">
        <v>128</v>
      </c>
      <c r="N2">
        <f>+N1+M2+M1</f>
        <v>564</v>
      </c>
    </row>
    <row r="3" spans="1:40" x14ac:dyDescent="0.25">
      <c r="A3" s="1" t="s">
        <v>0</v>
      </c>
      <c r="B3" s="1"/>
      <c r="C3" s="1"/>
      <c r="D3" s="1"/>
      <c r="E3" s="1"/>
      <c r="F3" s="1"/>
      <c r="G3" s="1"/>
      <c r="H3" s="1"/>
      <c r="I3" s="1" t="s">
        <v>148</v>
      </c>
      <c r="J3" s="1"/>
      <c r="K3" s="1"/>
      <c r="L3" s="1"/>
      <c r="M3" s="1"/>
      <c r="N3" s="1"/>
      <c r="O3" s="1"/>
      <c r="P3" s="1"/>
      <c r="Q3" s="1"/>
      <c r="R3" s="1"/>
      <c r="S3" s="342" t="s">
        <v>1</v>
      </c>
      <c r="T3" s="342"/>
      <c r="U3" s="5"/>
      <c r="V3" s="139"/>
      <c r="W3" s="1"/>
      <c r="X3" s="1"/>
      <c r="Y3" s="1"/>
      <c r="Z3" s="5"/>
      <c r="AC3" s="335" t="s">
        <v>160</v>
      </c>
      <c r="AD3" s="336"/>
      <c r="AG3" s="335" t="s">
        <v>170</v>
      </c>
      <c r="AH3" s="336"/>
      <c r="AJ3" s="337" t="s">
        <v>172</v>
      </c>
      <c r="AK3" s="337"/>
      <c r="AM3" s="337" t="s">
        <v>681</v>
      </c>
      <c r="AN3" s="337"/>
    </row>
    <row r="4" spans="1:40" ht="90" x14ac:dyDescent="0.25">
      <c r="A4" s="6" t="s">
        <v>2</v>
      </c>
      <c r="B4" s="7" t="s">
        <v>3</v>
      </c>
      <c r="C4" s="7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8" t="s">
        <v>9</v>
      </c>
      <c r="I4" s="9" t="s">
        <v>10</v>
      </c>
      <c r="J4" s="8" t="s">
        <v>11</v>
      </c>
      <c r="K4" s="10" t="s">
        <v>12</v>
      </c>
      <c r="L4" s="10" t="s">
        <v>13</v>
      </c>
      <c r="M4" s="11" t="s">
        <v>14</v>
      </c>
      <c r="N4" s="10" t="s">
        <v>691</v>
      </c>
      <c r="O4" s="10" t="s">
        <v>28</v>
      </c>
      <c r="P4" s="5"/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3"/>
      <c r="W4" s="136" t="s">
        <v>688</v>
      </c>
      <c r="X4" s="14" t="s">
        <v>22</v>
      </c>
      <c r="Y4" s="15" t="s">
        <v>23</v>
      </c>
      <c r="Z4" s="5"/>
      <c r="AB4">
        <v>1</v>
      </c>
      <c r="AC4" s="16" t="s">
        <v>161</v>
      </c>
      <c r="AD4" s="58">
        <f>+AB4*10</f>
        <v>10</v>
      </c>
      <c r="AF4">
        <v>5</v>
      </c>
      <c r="AG4" s="16" t="s">
        <v>161</v>
      </c>
      <c r="AH4" s="58">
        <f>+AF4*10</f>
        <v>50</v>
      </c>
      <c r="AJ4" s="61" t="s">
        <v>173</v>
      </c>
      <c r="AK4" s="62" t="s">
        <v>174</v>
      </c>
      <c r="AM4" s="16" t="s">
        <v>161</v>
      </c>
      <c r="AN4" s="58">
        <f>+AL4*10</f>
        <v>0</v>
      </c>
    </row>
    <row r="5" spans="1:40" x14ac:dyDescent="0.25">
      <c r="A5" s="16">
        <v>1</v>
      </c>
      <c r="B5" s="92">
        <v>45229</v>
      </c>
      <c r="C5" s="31" t="s">
        <v>2174</v>
      </c>
      <c r="D5" s="32">
        <v>5585668921</v>
      </c>
      <c r="E5" s="32" t="s">
        <v>2176</v>
      </c>
      <c r="F5" s="32" t="s">
        <v>2175</v>
      </c>
      <c r="G5" s="39" t="s">
        <v>2178</v>
      </c>
      <c r="H5" s="122">
        <v>228</v>
      </c>
      <c r="I5" s="32">
        <v>192</v>
      </c>
      <c r="J5" s="20">
        <v>36</v>
      </c>
      <c r="K5" s="21">
        <f>U5-J5-O5</f>
        <v>0</v>
      </c>
      <c r="L5" s="21">
        <f t="shared" ref="L5:L23" si="0">+I5+J5</f>
        <v>228</v>
      </c>
      <c r="M5" s="21">
        <f t="shared" ref="M5:M23" si="1">+H5-L5</f>
        <v>0</v>
      </c>
      <c r="N5" s="21"/>
      <c r="O5" s="21"/>
      <c r="P5" s="5"/>
      <c r="Q5" s="21">
        <v>500</v>
      </c>
      <c r="R5" s="16"/>
      <c r="S5" s="21">
        <f t="shared" ref="S5:S23" si="2">+Q5+R5</f>
        <v>500</v>
      </c>
      <c r="T5" s="21">
        <v>536</v>
      </c>
      <c r="U5" s="78">
        <f>T5-S5-O5</f>
        <v>36</v>
      </c>
      <c r="V5" s="13"/>
      <c r="W5" s="147"/>
      <c r="X5" s="23"/>
      <c r="Y5" s="333"/>
      <c r="Z5" s="5"/>
      <c r="AC5" s="59" t="s">
        <v>162</v>
      </c>
      <c r="AD5" s="18">
        <f>+AB5*1</f>
        <v>0</v>
      </c>
      <c r="AF5">
        <v>51.5</v>
      </c>
      <c r="AG5" s="59" t="s">
        <v>162</v>
      </c>
      <c r="AH5" s="18">
        <f>+AF5*1</f>
        <v>51.5</v>
      </c>
      <c r="AJ5" s="16"/>
      <c r="AK5" s="16"/>
      <c r="AM5" s="59" t="s">
        <v>162</v>
      </c>
      <c r="AN5" s="18">
        <f>+AL5*1</f>
        <v>0</v>
      </c>
    </row>
    <row r="6" spans="1:40" x14ac:dyDescent="0.25">
      <c r="A6" s="26">
        <v>2</v>
      </c>
      <c r="B6" s="92">
        <v>45229</v>
      </c>
      <c r="C6" s="31" t="s">
        <v>920</v>
      </c>
      <c r="D6" s="32">
        <v>5527588597</v>
      </c>
      <c r="E6" s="32" t="s">
        <v>2179</v>
      </c>
      <c r="F6" s="32" t="s">
        <v>2180</v>
      </c>
      <c r="G6" s="39" t="s">
        <v>2181</v>
      </c>
      <c r="H6" s="122">
        <v>500</v>
      </c>
      <c r="I6" s="32">
        <v>162</v>
      </c>
      <c r="J6" s="20">
        <v>14</v>
      </c>
      <c r="K6" s="21">
        <f t="shared" ref="K6:K23" si="3">U6-J6-O6</f>
        <v>0</v>
      </c>
      <c r="L6" s="21">
        <f t="shared" si="0"/>
        <v>176</v>
      </c>
      <c r="M6" s="21">
        <f t="shared" si="1"/>
        <v>324</v>
      </c>
      <c r="N6" s="21"/>
      <c r="O6" s="21"/>
      <c r="P6" s="5"/>
      <c r="Q6" s="21"/>
      <c r="R6" s="16"/>
      <c r="S6" s="21">
        <f t="shared" si="2"/>
        <v>0</v>
      </c>
      <c r="T6" s="21">
        <v>14</v>
      </c>
      <c r="U6" s="78">
        <f t="shared" ref="U6:U23" si="4">T6-S6-O6</f>
        <v>14</v>
      </c>
      <c r="V6" s="140"/>
      <c r="W6" s="147"/>
      <c r="X6" s="23"/>
      <c r="Y6" s="334"/>
      <c r="Z6" s="5"/>
      <c r="AB6">
        <v>13</v>
      </c>
      <c r="AC6" s="16" t="s">
        <v>163</v>
      </c>
      <c r="AD6" s="60">
        <f>+AB6*5</f>
        <v>65</v>
      </c>
      <c r="AF6">
        <v>23</v>
      </c>
      <c r="AG6" s="16" t="s">
        <v>163</v>
      </c>
      <c r="AH6" s="60">
        <f>+AF6*5</f>
        <v>115</v>
      </c>
      <c r="AJ6" s="16"/>
      <c r="AK6" s="16"/>
      <c r="AM6" s="16" t="s">
        <v>163</v>
      </c>
      <c r="AN6" s="60">
        <f>+AL6*5</f>
        <v>0</v>
      </c>
    </row>
    <row r="7" spans="1:40" x14ac:dyDescent="0.25">
      <c r="A7" s="143">
        <v>3</v>
      </c>
      <c r="B7" s="92">
        <v>45229</v>
      </c>
      <c r="C7" s="31" t="s">
        <v>2177</v>
      </c>
      <c r="D7" s="32">
        <v>5546392505</v>
      </c>
      <c r="E7" s="32" t="s">
        <v>106</v>
      </c>
      <c r="F7" s="32" t="s">
        <v>2182</v>
      </c>
      <c r="G7" s="39" t="s">
        <v>2183</v>
      </c>
      <c r="H7" s="122">
        <v>128</v>
      </c>
      <c r="I7" s="32">
        <v>114</v>
      </c>
      <c r="J7" s="20">
        <v>14</v>
      </c>
      <c r="K7" s="21">
        <f t="shared" si="3"/>
        <v>-228</v>
      </c>
      <c r="L7" s="21">
        <f t="shared" si="0"/>
        <v>128</v>
      </c>
      <c r="M7" s="21">
        <f t="shared" si="1"/>
        <v>0</v>
      </c>
      <c r="N7" s="21">
        <v>138</v>
      </c>
      <c r="O7" s="21">
        <v>114</v>
      </c>
      <c r="P7" s="5"/>
      <c r="Q7" s="21"/>
      <c r="R7" s="16"/>
      <c r="S7" s="21">
        <f t="shared" si="2"/>
        <v>0</v>
      </c>
      <c r="T7" s="21">
        <v>14</v>
      </c>
      <c r="U7" s="78">
        <f t="shared" si="4"/>
        <v>-100</v>
      </c>
      <c r="V7" s="140"/>
      <c r="W7" s="147"/>
      <c r="X7" s="23"/>
      <c r="Y7" s="334"/>
      <c r="Z7" s="5"/>
      <c r="AC7" s="16" t="s">
        <v>164</v>
      </c>
      <c r="AD7" s="18">
        <f>+AB7*200</f>
        <v>0</v>
      </c>
      <c r="AF7">
        <v>1</v>
      </c>
      <c r="AG7" s="16" t="s">
        <v>164</v>
      </c>
      <c r="AH7" s="18">
        <f>+AF7*200</f>
        <v>200</v>
      </c>
      <c r="AJ7" s="16"/>
      <c r="AK7" s="16"/>
      <c r="AM7" s="16" t="s">
        <v>164</v>
      </c>
      <c r="AN7" s="18">
        <f>+AL7*200</f>
        <v>0</v>
      </c>
    </row>
    <row r="8" spans="1:40" x14ac:dyDescent="0.25">
      <c r="A8" s="143">
        <v>4</v>
      </c>
      <c r="B8" s="92">
        <v>45229</v>
      </c>
      <c r="C8" s="31" t="s">
        <v>1483</v>
      </c>
      <c r="D8" s="32"/>
      <c r="E8" s="32" t="s">
        <v>1484</v>
      </c>
      <c r="F8" s="32" t="s">
        <v>1483</v>
      </c>
      <c r="G8" s="32" t="s">
        <v>2184</v>
      </c>
      <c r="H8" s="122">
        <v>603</v>
      </c>
      <c r="I8" s="32">
        <v>563</v>
      </c>
      <c r="J8" s="20">
        <v>40</v>
      </c>
      <c r="K8" s="21">
        <f t="shared" si="3"/>
        <v>0</v>
      </c>
      <c r="L8" s="21">
        <f t="shared" si="0"/>
        <v>603</v>
      </c>
      <c r="M8" s="21">
        <f t="shared" si="1"/>
        <v>0</v>
      </c>
      <c r="N8" s="21"/>
      <c r="O8" s="21"/>
      <c r="P8" s="5"/>
      <c r="Q8" s="21">
        <v>400</v>
      </c>
      <c r="R8" s="16"/>
      <c r="S8" s="21">
        <f t="shared" si="2"/>
        <v>400</v>
      </c>
      <c r="T8" s="21">
        <v>440</v>
      </c>
      <c r="U8" s="78">
        <f t="shared" si="4"/>
        <v>40</v>
      </c>
      <c r="V8" s="140"/>
      <c r="W8" s="147"/>
      <c r="X8" s="23"/>
      <c r="Y8" s="334"/>
      <c r="Z8" s="5"/>
      <c r="AB8">
        <v>4</v>
      </c>
      <c r="AC8" s="16" t="s">
        <v>165</v>
      </c>
      <c r="AD8" s="18">
        <f>+AB8*100</f>
        <v>400</v>
      </c>
      <c r="AF8">
        <v>1</v>
      </c>
      <c r="AG8" s="16" t="s">
        <v>165</v>
      </c>
      <c r="AH8" s="18">
        <f>+AF8*100</f>
        <v>100</v>
      </c>
      <c r="AJ8" s="16"/>
      <c r="AK8" s="16"/>
      <c r="AM8" s="16" t="s">
        <v>165</v>
      </c>
      <c r="AN8" s="18">
        <f>+AL8*100</f>
        <v>0</v>
      </c>
    </row>
    <row r="9" spans="1:40" x14ac:dyDescent="0.25">
      <c r="A9" s="143">
        <v>5</v>
      </c>
      <c r="B9" s="92">
        <v>45229</v>
      </c>
      <c r="C9" s="31" t="s">
        <v>1822</v>
      </c>
      <c r="D9" s="32"/>
      <c r="E9" s="32" t="s">
        <v>1587</v>
      </c>
      <c r="F9" s="32" t="s">
        <v>2185</v>
      </c>
      <c r="G9" s="32" t="s">
        <v>2186</v>
      </c>
      <c r="H9" s="122"/>
      <c r="I9" s="32">
        <v>93</v>
      </c>
      <c r="J9" s="20">
        <v>40</v>
      </c>
      <c r="K9" s="21">
        <f t="shared" si="3"/>
        <v>0</v>
      </c>
      <c r="L9" s="21">
        <f t="shared" si="0"/>
        <v>133</v>
      </c>
      <c r="M9" s="21">
        <f t="shared" si="1"/>
        <v>-133</v>
      </c>
      <c r="N9" s="21"/>
      <c r="O9" s="21"/>
      <c r="P9" s="5"/>
      <c r="Q9" s="16">
        <v>400</v>
      </c>
      <c r="R9" s="16"/>
      <c r="S9" s="21">
        <f t="shared" si="2"/>
        <v>400</v>
      </c>
      <c r="T9" s="21">
        <v>440</v>
      </c>
      <c r="U9" s="78">
        <f t="shared" si="4"/>
        <v>40</v>
      </c>
      <c r="V9" s="140"/>
      <c r="W9" s="147"/>
      <c r="X9" s="23"/>
      <c r="Y9" s="334"/>
      <c r="Z9" s="5"/>
      <c r="AC9" s="16" t="s">
        <v>166</v>
      </c>
      <c r="AD9" s="18">
        <f>+AB9*50</f>
        <v>0</v>
      </c>
      <c r="AF9">
        <v>2</v>
      </c>
      <c r="AG9" s="16" t="s">
        <v>166</v>
      </c>
      <c r="AH9" s="18">
        <f>+AF9*50</f>
        <v>100</v>
      </c>
      <c r="AJ9" s="16"/>
      <c r="AK9" s="16"/>
      <c r="AM9" s="16" t="s">
        <v>166</v>
      </c>
      <c r="AN9" s="18">
        <f>+AL9*50</f>
        <v>0</v>
      </c>
    </row>
    <row r="10" spans="1:40" x14ac:dyDescent="0.25">
      <c r="A10" s="143">
        <v>6</v>
      </c>
      <c r="B10" s="92">
        <v>45229</v>
      </c>
      <c r="C10" s="31" t="s">
        <v>203</v>
      </c>
      <c r="D10" s="32"/>
      <c r="E10" s="32" t="s">
        <v>413</v>
      </c>
      <c r="F10" s="32" t="s">
        <v>1148</v>
      </c>
      <c r="G10" s="39" t="s">
        <v>2187</v>
      </c>
      <c r="H10" s="39"/>
      <c r="I10" s="42">
        <v>215</v>
      </c>
      <c r="J10" s="20">
        <v>14</v>
      </c>
      <c r="K10" s="21">
        <f t="shared" si="3"/>
        <v>0</v>
      </c>
      <c r="L10" s="21">
        <f t="shared" si="0"/>
        <v>229</v>
      </c>
      <c r="M10" s="21">
        <f t="shared" si="1"/>
        <v>-229</v>
      </c>
      <c r="N10" s="21"/>
      <c r="O10" s="21"/>
      <c r="P10" s="5"/>
      <c r="Q10" s="16"/>
      <c r="R10" s="16"/>
      <c r="S10" s="21">
        <f t="shared" si="2"/>
        <v>0</v>
      </c>
      <c r="T10" s="16">
        <v>14</v>
      </c>
      <c r="U10" s="78">
        <f t="shared" si="4"/>
        <v>14</v>
      </c>
      <c r="V10" s="140"/>
      <c r="W10" s="147"/>
      <c r="X10" s="23"/>
      <c r="Y10" s="334"/>
      <c r="Z10" s="5"/>
      <c r="AC10" s="16" t="s">
        <v>167</v>
      </c>
      <c r="AD10" s="18">
        <f>+AB10*20</f>
        <v>0</v>
      </c>
      <c r="AF10">
        <v>2</v>
      </c>
      <c r="AG10" s="16" t="s">
        <v>167</v>
      </c>
      <c r="AH10" s="18">
        <f>+AF10*20</f>
        <v>40</v>
      </c>
      <c r="AJ10" s="16"/>
      <c r="AK10" s="16">
        <v>100</v>
      </c>
      <c r="AM10" s="16" t="s">
        <v>167</v>
      </c>
      <c r="AN10" s="18">
        <f>+AL10*20</f>
        <v>0</v>
      </c>
    </row>
    <row r="11" spans="1:40" x14ac:dyDescent="0.25">
      <c r="A11" s="41">
        <v>7</v>
      </c>
      <c r="B11" s="92">
        <v>45229</v>
      </c>
      <c r="C11" s="31" t="s">
        <v>2008</v>
      </c>
      <c r="D11" s="32">
        <v>5535975295</v>
      </c>
      <c r="E11" s="32" t="s">
        <v>106</v>
      </c>
      <c r="F11" s="32" t="s">
        <v>2072</v>
      </c>
      <c r="G11" s="39" t="s">
        <v>2188</v>
      </c>
      <c r="H11" s="122"/>
      <c r="I11" s="42">
        <v>57</v>
      </c>
      <c r="J11" s="20">
        <v>12</v>
      </c>
      <c r="K11" s="21">
        <f t="shared" si="3"/>
        <v>-114</v>
      </c>
      <c r="L11" s="21">
        <f t="shared" si="0"/>
        <v>69</v>
      </c>
      <c r="M11" s="21">
        <f t="shared" si="1"/>
        <v>-69</v>
      </c>
      <c r="N11" s="21"/>
      <c r="O11" s="21">
        <v>57</v>
      </c>
      <c r="P11" s="5"/>
      <c r="Q11" s="16">
        <v>200</v>
      </c>
      <c r="R11" s="16"/>
      <c r="S11" s="21">
        <f t="shared" si="2"/>
        <v>200</v>
      </c>
      <c r="T11" s="16">
        <v>212</v>
      </c>
      <c r="U11" s="78">
        <f t="shared" si="4"/>
        <v>-45</v>
      </c>
      <c r="V11" s="140"/>
      <c r="W11" s="147"/>
      <c r="X11" s="23"/>
      <c r="Y11" s="334"/>
      <c r="Z11" s="5"/>
      <c r="AC11" s="16" t="s">
        <v>171</v>
      </c>
      <c r="AD11" s="18">
        <f>+AB11*500</f>
        <v>0</v>
      </c>
      <c r="AG11" s="16" t="s">
        <v>171</v>
      </c>
      <c r="AH11" s="18">
        <f>+AF11*500</f>
        <v>0</v>
      </c>
      <c r="AJ11" s="16"/>
      <c r="AK11" s="16"/>
      <c r="AM11" s="16" t="s">
        <v>171</v>
      </c>
      <c r="AN11" s="18">
        <f>+AL11*500</f>
        <v>0</v>
      </c>
    </row>
    <row r="12" spans="1:40" x14ac:dyDescent="0.25">
      <c r="A12" s="143">
        <v>8</v>
      </c>
      <c r="B12" s="92">
        <v>45229</v>
      </c>
      <c r="C12" s="31" t="s">
        <v>2189</v>
      </c>
      <c r="D12" s="123">
        <v>5518217031</v>
      </c>
      <c r="E12" s="123" t="s">
        <v>902</v>
      </c>
      <c r="F12" s="123" t="s">
        <v>2190</v>
      </c>
      <c r="G12" s="39" t="s">
        <v>2191</v>
      </c>
      <c r="H12" s="122">
        <v>32</v>
      </c>
      <c r="I12" s="32">
        <v>22</v>
      </c>
      <c r="J12" s="20">
        <v>10</v>
      </c>
      <c r="K12" s="21">
        <v>10</v>
      </c>
      <c r="L12" s="21">
        <f t="shared" si="0"/>
        <v>32</v>
      </c>
      <c r="M12" s="21">
        <f t="shared" si="1"/>
        <v>0</v>
      </c>
      <c r="N12" s="21"/>
      <c r="O12" s="21"/>
      <c r="P12" s="5"/>
      <c r="Q12" s="16"/>
      <c r="R12" s="16"/>
      <c r="S12" s="21">
        <f t="shared" si="2"/>
        <v>0</v>
      </c>
      <c r="T12" s="16">
        <v>32</v>
      </c>
      <c r="U12" s="78">
        <v>12</v>
      </c>
      <c r="V12" s="140"/>
      <c r="W12" s="147"/>
      <c r="X12" s="23"/>
      <c r="Y12" s="334"/>
      <c r="Z12" s="5"/>
      <c r="AC12" s="16" t="s">
        <v>168</v>
      </c>
      <c r="AD12" s="18">
        <f>+AB12*1000</f>
        <v>0</v>
      </c>
      <c r="AG12" s="16" t="s">
        <v>168</v>
      </c>
      <c r="AH12" s="18">
        <f>+AF12*1000</f>
        <v>0</v>
      </c>
      <c r="AJ12" s="16"/>
      <c r="AK12" s="16"/>
      <c r="AM12" s="16" t="s">
        <v>168</v>
      </c>
      <c r="AN12" s="18">
        <f>+AL12*1000</f>
        <v>0</v>
      </c>
    </row>
    <row r="13" spans="1:40" x14ac:dyDescent="0.25">
      <c r="A13" s="143">
        <v>9</v>
      </c>
      <c r="B13" s="92">
        <v>45229</v>
      </c>
      <c r="C13" s="31" t="s">
        <v>1043</v>
      </c>
      <c r="D13" s="32"/>
      <c r="E13" s="32" t="s">
        <v>2194</v>
      </c>
      <c r="F13" s="32" t="s">
        <v>2193</v>
      </c>
      <c r="G13" s="39" t="s">
        <v>2192</v>
      </c>
      <c r="H13" s="39">
        <v>174</v>
      </c>
      <c r="I13" s="40">
        <v>164</v>
      </c>
      <c r="J13" s="20">
        <v>14</v>
      </c>
      <c r="K13" s="21">
        <v>20</v>
      </c>
      <c r="L13" s="21">
        <f t="shared" si="0"/>
        <v>178</v>
      </c>
      <c r="M13" s="21">
        <f t="shared" si="1"/>
        <v>-4</v>
      </c>
      <c r="N13" s="21"/>
      <c r="O13" s="21">
        <v>164</v>
      </c>
      <c r="P13" s="5"/>
      <c r="Q13" s="16"/>
      <c r="R13" s="16"/>
      <c r="S13" s="21">
        <f t="shared" si="2"/>
        <v>0</v>
      </c>
      <c r="T13" s="16">
        <v>174</v>
      </c>
      <c r="U13" s="78">
        <v>14</v>
      </c>
      <c r="V13" s="140"/>
      <c r="W13" s="147"/>
      <c r="X13" s="23"/>
      <c r="Y13" s="334"/>
      <c r="Z13" s="5"/>
      <c r="AC13" s="26"/>
      <c r="AD13" s="58"/>
      <c r="AG13" s="26"/>
      <c r="AH13" s="58"/>
      <c r="AJ13" s="16"/>
      <c r="AK13" s="16"/>
      <c r="AM13" s="26"/>
      <c r="AN13" s="58"/>
    </row>
    <row r="14" spans="1:40" x14ac:dyDescent="0.25">
      <c r="A14" s="143">
        <v>10</v>
      </c>
      <c r="B14" s="92">
        <v>45229</v>
      </c>
      <c r="C14" s="31" t="s">
        <v>1890</v>
      </c>
      <c r="D14" s="32"/>
      <c r="E14" s="32"/>
      <c r="F14" s="32" t="s">
        <v>1413</v>
      </c>
      <c r="G14" s="39" t="s">
        <v>2195</v>
      </c>
      <c r="H14" s="122">
        <v>52</v>
      </c>
      <c r="I14" s="42">
        <v>40</v>
      </c>
      <c r="J14" s="20">
        <v>12</v>
      </c>
      <c r="K14" s="21">
        <v>18</v>
      </c>
      <c r="L14" s="21">
        <f t="shared" si="0"/>
        <v>52</v>
      </c>
      <c r="M14" s="21">
        <f t="shared" si="1"/>
        <v>0</v>
      </c>
      <c r="N14" s="21"/>
      <c r="O14" s="21"/>
      <c r="P14" s="5"/>
      <c r="Q14" s="16"/>
      <c r="R14" s="16"/>
      <c r="S14" s="21">
        <f t="shared" si="2"/>
        <v>0</v>
      </c>
      <c r="T14" s="16">
        <v>52</v>
      </c>
      <c r="U14" s="78">
        <v>12</v>
      </c>
      <c r="V14" s="140"/>
      <c r="W14" s="147"/>
      <c r="X14" s="23"/>
      <c r="Y14" s="334"/>
      <c r="Z14" s="5"/>
      <c r="AC14" s="16" t="s">
        <v>169</v>
      </c>
      <c r="AD14" s="18">
        <f>SUM(AD4:AD13)</f>
        <v>475</v>
      </c>
      <c r="AG14" s="16" t="s">
        <v>169</v>
      </c>
      <c r="AH14" s="18">
        <f>SUM(AH4:AH13)</f>
        <v>656.5</v>
      </c>
      <c r="AJ14" s="16"/>
      <c r="AK14" s="16"/>
      <c r="AM14" s="16" t="s">
        <v>169</v>
      </c>
      <c r="AN14" s="18"/>
    </row>
    <row r="15" spans="1:40" x14ac:dyDescent="0.25">
      <c r="A15" s="143">
        <v>11</v>
      </c>
      <c r="B15" s="92">
        <v>45229</v>
      </c>
      <c r="C15" s="31" t="s">
        <v>2196</v>
      </c>
      <c r="D15" s="124"/>
      <c r="E15" s="31" t="s">
        <v>2196</v>
      </c>
      <c r="F15" s="123" t="s">
        <v>2197</v>
      </c>
      <c r="G15" s="39" t="s">
        <v>2183</v>
      </c>
      <c r="H15" s="122">
        <v>59</v>
      </c>
      <c r="I15" s="42">
        <v>44</v>
      </c>
      <c r="J15" s="20">
        <v>15</v>
      </c>
      <c r="K15" s="21">
        <v>10</v>
      </c>
      <c r="L15" s="21">
        <f t="shared" si="0"/>
        <v>59</v>
      </c>
      <c r="M15" s="21">
        <f t="shared" si="1"/>
        <v>0</v>
      </c>
      <c r="N15" s="21"/>
      <c r="O15" s="21"/>
      <c r="P15" s="5"/>
      <c r="Q15" s="16"/>
      <c r="R15" s="16"/>
      <c r="S15" s="21">
        <f t="shared" si="2"/>
        <v>0</v>
      </c>
      <c r="T15" s="16">
        <v>59</v>
      </c>
      <c r="U15" s="78">
        <v>15</v>
      </c>
      <c r="V15" s="140"/>
      <c r="W15" s="147"/>
      <c r="X15" s="23"/>
      <c r="Y15" s="334"/>
      <c r="Z15" s="5"/>
      <c r="AD15">
        <v>109.5</v>
      </c>
      <c r="AJ15" s="16"/>
      <c r="AK15" s="16"/>
      <c r="AM15" s="16"/>
      <c r="AN15" s="16"/>
    </row>
    <row r="16" spans="1:40" x14ac:dyDescent="0.25">
      <c r="A16" s="143">
        <v>12</v>
      </c>
      <c r="B16" s="92">
        <v>45229</v>
      </c>
      <c r="C16" s="31" t="s">
        <v>2196</v>
      </c>
      <c r="D16" s="32"/>
      <c r="E16" s="31" t="s">
        <v>2196</v>
      </c>
      <c r="F16" s="123" t="s">
        <v>2198</v>
      </c>
      <c r="G16" s="39" t="s">
        <v>2183</v>
      </c>
      <c r="H16" s="39">
        <v>59</v>
      </c>
      <c r="I16" s="42">
        <v>44</v>
      </c>
      <c r="J16" s="20">
        <v>15</v>
      </c>
      <c r="K16" s="21">
        <v>6</v>
      </c>
      <c r="L16" s="21">
        <f t="shared" si="0"/>
        <v>59</v>
      </c>
      <c r="M16" s="21">
        <f t="shared" si="1"/>
        <v>0</v>
      </c>
      <c r="N16" s="21"/>
      <c r="O16" s="21"/>
      <c r="P16" s="5"/>
      <c r="Q16" s="45"/>
      <c r="R16" s="44"/>
      <c r="S16" s="21">
        <f t="shared" si="2"/>
        <v>0</v>
      </c>
      <c r="T16" s="45">
        <v>59</v>
      </c>
      <c r="U16" s="78">
        <v>15</v>
      </c>
      <c r="V16" s="140"/>
      <c r="W16" s="147"/>
      <c r="X16" s="23"/>
      <c r="Y16" s="334"/>
      <c r="Z16" s="5"/>
      <c r="AJ16" s="63" t="s">
        <v>169</v>
      </c>
      <c r="AK16" s="63">
        <f>+SUM(AJ5:AJ15)-SUM(AK5:AK15)</f>
        <v>-100</v>
      </c>
      <c r="AM16" s="63" t="s">
        <v>169</v>
      </c>
      <c r="AN16" s="85">
        <f>+SUM(AM4:AM15)-SUM(AN5:AN15)</f>
        <v>0</v>
      </c>
    </row>
    <row r="17" spans="1:40" x14ac:dyDescent="0.25">
      <c r="A17" s="64">
        <v>13</v>
      </c>
      <c r="B17" s="92">
        <v>45229</v>
      </c>
      <c r="C17" s="31" t="s">
        <v>2199</v>
      </c>
      <c r="D17" s="32"/>
      <c r="E17" s="32" t="s">
        <v>197</v>
      </c>
      <c r="F17" s="32" t="s">
        <v>2200</v>
      </c>
      <c r="G17" s="39" t="s">
        <v>2206</v>
      </c>
      <c r="H17" s="39">
        <v>69</v>
      </c>
      <c r="I17" s="42">
        <v>59</v>
      </c>
      <c r="J17" s="108">
        <v>14</v>
      </c>
      <c r="K17" s="21">
        <f t="shared" si="3"/>
        <v>-2</v>
      </c>
      <c r="L17" s="21">
        <f t="shared" si="0"/>
        <v>73</v>
      </c>
      <c r="M17" s="21">
        <f t="shared" si="1"/>
        <v>-4</v>
      </c>
      <c r="N17" s="21"/>
      <c r="O17" s="21"/>
      <c r="P17" s="5"/>
      <c r="Q17" s="43"/>
      <c r="R17" s="32"/>
      <c r="S17" s="21">
        <f t="shared" si="2"/>
        <v>0</v>
      </c>
      <c r="T17" s="43">
        <v>69</v>
      </c>
      <c r="U17" s="78">
        <v>12</v>
      </c>
      <c r="V17" s="140"/>
      <c r="W17" s="147"/>
      <c r="X17" s="23"/>
      <c r="Y17" s="334"/>
      <c r="Z17" s="5"/>
      <c r="AH17" s="83"/>
    </row>
    <row r="18" spans="1:40" x14ac:dyDescent="0.25">
      <c r="A18" s="143">
        <v>14</v>
      </c>
      <c r="B18" s="92">
        <v>45229</v>
      </c>
      <c r="C18" s="31" t="s">
        <v>767</v>
      </c>
      <c r="D18" s="32"/>
      <c r="E18" s="32" t="s">
        <v>52</v>
      </c>
      <c r="F18" s="32" t="s">
        <v>2200</v>
      </c>
      <c r="G18" s="39" t="s">
        <v>2203</v>
      </c>
      <c r="H18" s="39">
        <v>200</v>
      </c>
      <c r="I18" s="42">
        <v>173</v>
      </c>
      <c r="J18" s="108">
        <v>14</v>
      </c>
      <c r="K18" s="21">
        <v>13</v>
      </c>
      <c r="L18" s="21">
        <f t="shared" si="0"/>
        <v>187</v>
      </c>
      <c r="M18" s="21">
        <f t="shared" si="1"/>
        <v>13</v>
      </c>
      <c r="N18" s="21"/>
      <c r="O18" s="21">
        <v>173</v>
      </c>
      <c r="P18" s="5"/>
      <c r="Q18" s="43">
        <v>200</v>
      </c>
      <c r="R18" s="43"/>
      <c r="S18" s="21">
        <f t="shared" si="2"/>
        <v>200</v>
      </c>
      <c r="T18" s="43">
        <v>200</v>
      </c>
      <c r="U18" s="78">
        <v>26</v>
      </c>
      <c r="V18" s="140"/>
      <c r="W18" s="147"/>
      <c r="X18" s="23"/>
      <c r="Y18" s="334"/>
      <c r="Z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40" x14ac:dyDescent="0.25">
      <c r="A19" s="143">
        <v>15</v>
      </c>
      <c r="B19" s="92">
        <v>45229</v>
      </c>
      <c r="C19" s="127" t="s">
        <v>2201</v>
      </c>
      <c r="D19" s="32"/>
      <c r="E19" s="32" t="s">
        <v>197</v>
      </c>
      <c r="F19" s="128" t="s">
        <v>2202</v>
      </c>
      <c r="G19" s="129" t="s">
        <v>2205</v>
      </c>
      <c r="H19" s="39">
        <v>200</v>
      </c>
      <c r="I19" s="42">
        <v>6</v>
      </c>
      <c r="J19" s="108">
        <v>20</v>
      </c>
      <c r="K19" s="21">
        <v>20</v>
      </c>
      <c r="L19" s="21">
        <f t="shared" si="0"/>
        <v>26</v>
      </c>
      <c r="M19" s="21">
        <f t="shared" si="1"/>
        <v>174</v>
      </c>
      <c r="N19" s="21"/>
      <c r="O19" s="21"/>
      <c r="P19" s="5"/>
      <c r="Q19" s="43"/>
      <c r="R19" s="43"/>
      <c r="S19" s="21">
        <f t="shared" si="2"/>
        <v>0</v>
      </c>
      <c r="T19" s="43"/>
      <c r="U19" s="78">
        <f t="shared" si="4"/>
        <v>0</v>
      </c>
      <c r="V19" s="140"/>
      <c r="W19" s="147"/>
      <c r="X19" s="23"/>
      <c r="Y19" s="334"/>
      <c r="Z19" s="5"/>
      <c r="AC19" s="5"/>
      <c r="AD19" s="134" t="s">
        <v>20</v>
      </c>
      <c r="AE19" s="338"/>
      <c r="AF19" s="341" t="s">
        <v>686</v>
      </c>
      <c r="AG19" s="134" t="s">
        <v>20</v>
      </c>
      <c r="AH19" s="338">
        <v>119</v>
      </c>
      <c r="AI19" s="341" t="s">
        <v>687</v>
      </c>
      <c r="AJ19" s="134" t="s">
        <v>20</v>
      </c>
      <c r="AK19" s="338"/>
      <c r="AL19" s="5"/>
    </row>
    <row r="20" spans="1:40" x14ac:dyDescent="0.25">
      <c r="A20" s="143">
        <v>16</v>
      </c>
      <c r="B20" s="92">
        <v>45229</v>
      </c>
      <c r="C20" s="31" t="s">
        <v>1061</v>
      </c>
      <c r="D20" s="32"/>
      <c r="E20" s="32" t="s">
        <v>38</v>
      </c>
      <c r="F20" s="32" t="s">
        <v>1503</v>
      </c>
      <c r="G20" s="39" t="s">
        <v>2204</v>
      </c>
      <c r="H20" s="39">
        <v>147</v>
      </c>
      <c r="I20" s="42">
        <v>123</v>
      </c>
      <c r="J20" s="43">
        <v>14</v>
      </c>
      <c r="K20" s="21">
        <v>10</v>
      </c>
      <c r="L20" s="21">
        <f t="shared" si="0"/>
        <v>137</v>
      </c>
      <c r="M20" s="21">
        <f t="shared" si="1"/>
        <v>10</v>
      </c>
      <c r="N20" s="21"/>
      <c r="O20" s="21"/>
      <c r="P20" s="5"/>
      <c r="Q20" s="43">
        <v>200</v>
      </c>
      <c r="R20" s="32"/>
      <c r="S20" s="21">
        <f t="shared" si="2"/>
        <v>200</v>
      </c>
      <c r="T20" s="131"/>
      <c r="U20" s="78">
        <f t="shared" si="4"/>
        <v>-200</v>
      </c>
      <c r="V20" s="140"/>
      <c r="W20" s="147"/>
      <c r="X20" s="23"/>
      <c r="Y20" s="334"/>
      <c r="Z20" s="5"/>
      <c r="AC20" s="5" t="s">
        <v>685</v>
      </c>
      <c r="AD20" s="115" t="s">
        <v>684</v>
      </c>
      <c r="AE20" s="339"/>
      <c r="AF20" s="341"/>
      <c r="AG20" s="115" t="s">
        <v>684</v>
      </c>
      <c r="AH20" s="339"/>
      <c r="AI20" s="341"/>
      <c r="AJ20" s="115" t="s">
        <v>684</v>
      </c>
      <c r="AK20" s="339"/>
      <c r="AL20" s="5"/>
    </row>
    <row r="21" spans="1:40" x14ac:dyDescent="0.25">
      <c r="A21" s="143">
        <v>17</v>
      </c>
      <c r="B21" s="92">
        <v>45229</v>
      </c>
      <c r="C21" s="31"/>
      <c r="D21" s="32"/>
      <c r="E21" s="32"/>
      <c r="F21" s="32"/>
      <c r="G21" s="39"/>
      <c r="H21" s="39"/>
      <c r="I21" s="42"/>
      <c r="J21" s="43"/>
      <c r="K21" s="21">
        <f t="shared" si="3"/>
        <v>0</v>
      </c>
      <c r="L21" s="21">
        <f t="shared" si="0"/>
        <v>0</v>
      </c>
      <c r="M21" s="21">
        <f t="shared" si="1"/>
        <v>0</v>
      </c>
      <c r="N21" s="21"/>
      <c r="O21" s="21"/>
      <c r="P21" s="5"/>
      <c r="Q21" s="43"/>
      <c r="R21" s="32"/>
      <c r="S21" s="21">
        <f t="shared" si="2"/>
        <v>0</v>
      </c>
      <c r="T21" s="132"/>
      <c r="U21" s="78">
        <f t="shared" si="4"/>
        <v>0</v>
      </c>
      <c r="V21" s="140"/>
      <c r="W21" s="147"/>
      <c r="X21" s="23"/>
      <c r="Y21" s="340"/>
      <c r="Z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40" x14ac:dyDescent="0.25">
      <c r="A22" s="143">
        <v>18</v>
      </c>
      <c r="B22" s="92">
        <v>45229</v>
      </c>
      <c r="C22" s="31"/>
      <c r="D22" s="32"/>
      <c r="E22" s="32"/>
      <c r="F22" s="32"/>
      <c r="G22" s="39"/>
      <c r="H22" s="39"/>
      <c r="I22" s="42"/>
      <c r="J22" s="43"/>
      <c r="K22" s="21">
        <f t="shared" si="3"/>
        <v>0</v>
      </c>
      <c r="L22" s="21">
        <f t="shared" si="0"/>
        <v>0</v>
      </c>
      <c r="M22" s="21">
        <f t="shared" si="1"/>
        <v>0</v>
      </c>
      <c r="N22" s="21"/>
      <c r="O22" s="21"/>
      <c r="P22" s="5"/>
      <c r="Q22" s="135"/>
      <c r="R22" s="104"/>
      <c r="S22" s="21">
        <f t="shared" si="2"/>
        <v>0</v>
      </c>
      <c r="T22" s="131"/>
      <c r="U22" s="78">
        <f t="shared" si="4"/>
        <v>0</v>
      </c>
      <c r="V22" s="140"/>
      <c r="W22" s="138"/>
      <c r="X22" s="32"/>
      <c r="Z22" s="5"/>
    </row>
    <row r="23" spans="1:40" x14ac:dyDescent="0.25">
      <c r="A23" s="143">
        <v>19</v>
      </c>
      <c r="B23" s="92">
        <v>45229</v>
      </c>
      <c r="C23" s="31"/>
      <c r="D23" s="32"/>
      <c r="E23" s="32"/>
      <c r="F23" s="32"/>
      <c r="G23" s="39"/>
      <c r="H23" s="39"/>
      <c r="I23" s="42"/>
      <c r="J23" s="43"/>
      <c r="K23" s="21">
        <f t="shared" si="3"/>
        <v>0</v>
      </c>
      <c r="L23" s="21">
        <f t="shared" si="0"/>
        <v>0</v>
      </c>
      <c r="M23" s="21">
        <f t="shared" si="1"/>
        <v>0</v>
      </c>
      <c r="N23" s="21"/>
      <c r="O23" s="21"/>
      <c r="P23" s="5"/>
      <c r="Q23" s="32"/>
      <c r="R23" s="32"/>
      <c r="S23" s="21">
        <f t="shared" si="2"/>
        <v>0</v>
      </c>
      <c r="T23" s="32"/>
      <c r="U23" s="78">
        <f t="shared" si="4"/>
        <v>0</v>
      </c>
      <c r="V23" s="140"/>
      <c r="W23" s="138"/>
      <c r="X23" s="32"/>
      <c r="Z23" s="5"/>
    </row>
    <row r="24" spans="1:4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2">
        <f>SUM(O5:O23)</f>
        <v>508</v>
      </c>
      <c r="P24" s="5"/>
      <c r="Q24" s="5"/>
      <c r="R24" s="5"/>
      <c r="S24" s="5"/>
      <c r="T24" s="5"/>
      <c r="U24" s="5"/>
      <c r="V24" s="141"/>
      <c r="W24" s="5"/>
      <c r="X24" s="5"/>
      <c r="Y24" s="5"/>
      <c r="Z24" s="5"/>
    </row>
    <row r="29" spans="1:40" x14ac:dyDescent="0.25">
      <c r="A29" s="1" t="s">
        <v>0</v>
      </c>
      <c r="B29" s="1"/>
      <c r="C29" s="1"/>
      <c r="D29" s="1"/>
      <c r="E29" s="1"/>
      <c r="F29" s="1"/>
      <c r="G29" s="1"/>
      <c r="H29" s="1"/>
      <c r="I29" s="1" t="s">
        <v>148</v>
      </c>
      <c r="J29" s="1"/>
      <c r="K29" s="1"/>
      <c r="L29" s="1"/>
      <c r="M29" s="1"/>
      <c r="N29" s="1"/>
      <c r="O29" s="1"/>
      <c r="P29" s="1"/>
      <c r="Q29" s="1"/>
      <c r="R29" s="1"/>
      <c r="S29" s="342" t="s">
        <v>1</v>
      </c>
      <c r="T29" s="342"/>
      <c r="U29" s="5"/>
      <c r="V29" s="139"/>
      <c r="W29" s="1"/>
      <c r="X29" s="1"/>
      <c r="Y29" s="1"/>
      <c r="Z29" s="5"/>
      <c r="AC29" s="335" t="s">
        <v>160</v>
      </c>
      <c r="AD29" s="336"/>
      <c r="AG29" s="335" t="s">
        <v>170</v>
      </c>
      <c r="AH29" s="336"/>
      <c r="AJ29" s="337" t="s">
        <v>172</v>
      </c>
      <c r="AK29" s="337"/>
      <c r="AM29" s="337" t="s">
        <v>681</v>
      </c>
      <c r="AN29" s="337"/>
    </row>
    <row r="30" spans="1:40" ht="90" x14ac:dyDescent="0.25">
      <c r="A30" s="6" t="s">
        <v>2</v>
      </c>
      <c r="B30" s="7" t="s">
        <v>3</v>
      </c>
      <c r="C30" s="7" t="s">
        <v>4</v>
      </c>
      <c r="D30" s="6" t="s">
        <v>5</v>
      </c>
      <c r="E30" s="6" t="s">
        <v>6</v>
      </c>
      <c r="F30" s="6" t="s">
        <v>7</v>
      </c>
      <c r="G30" s="6" t="s">
        <v>8</v>
      </c>
      <c r="H30" s="8" t="s">
        <v>9</v>
      </c>
      <c r="I30" s="9" t="s">
        <v>10</v>
      </c>
      <c r="J30" s="8" t="s">
        <v>11</v>
      </c>
      <c r="K30" s="10" t="s">
        <v>12</v>
      </c>
      <c r="L30" s="10" t="s">
        <v>13</v>
      </c>
      <c r="M30" s="11" t="s">
        <v>14</v>
      </c>
      <c r="N30" s="10" t="s">
        <v>691</v>
      </c>
      <c r="O30" s="10" t="s">
        <v>28</v>
      </c>
      <c r="P30" s="5"/>
      <c r="Q30" s="10" t="s">
        <v>16</v>
      </c>
      <c r="R30" s="10" t="s">
        <v>17</v>
      </c>
      <c r="S30" s="10" t="s">
        <v>18</v>
      </c>
      <c r="T30" s="10" t="s">
        <v>19</v>
      </c>
      <c r="U30" s="10" t="s">
        <v>20</v>
      </c>
      <c r="V30" s="13"/>
      <c r="W30" s="136" t="s">
        <v>688</v>
      </c>
      <c r="X30" s="14" t="s">
        <v>22</v>
      </c>
      <c r="Y30" s="15" t="s">
        <v>23</v>
      </c>
      <c r="Z30" s="5"/>
      <c r="AB30">
        <v>5</v>
      </c>
      <c r="AC30" s="16" t="s">
        <v>161</v>
      </c>
      <c r="AD30" s="58">
        <f>+AB30*10</f>
        <v>50</v>
      </c>
      <c r="AF30">
        <v>11</v>
      </c>
      <c r="AG30" s="16" t="s">
        <v>161</v>
      </c>
      <c r="AH30" s="58">
        <f>+AF30*10</f>
        <v>110</v>
      </c>
      <c r="AJ30" s="61" t="s">
        <v>173</v>
      </c>
      <c r="AK30" s="62" t="s">
        <v>174</v>
      </c>
      <c r="AM30" s="16" t="s">
        <v>161</v>
      </c>
      <c r="AN30" s="58">
        <f>+AL30*10</f>
        <v>0</v>
      </c>
    </row>
    <row r="31" spans="1:40" x14ac:dyDescent="0.25">
      <c r="A31" s="16">
        <v>1</v>
      </c>
      <c r="B31" s="92">
        <v>45230</v>
      </c>
      <c r="C31" s="31" t="s">
        <v>1306</v>
      </c>
      <c r="D31" s="32"/>
      <c r="E31" s="32" t="s">
        <v>2210</v>
      </c>
      <c r="F31" s="39" t="s">
        <v>2211</v>
      </c>
      <c r="G31" s="39" t="s">
        <v>1231</v>
      </c>
      <c r="H31" s="122">
        <v>200</v>
      </c>
      <c r="I31" s="32">
        <v>200</v>
      </c>
      <c r="J31" s="20">
        <v>40</v>
      </c>
      <c r="K31" s="21">
        <v>0</v>
      </c>
      <c r="L31" s="21">
        <f t="shared" ref="L31:L49" si="5">+I31+J31</f>
        <v>240</v>
      </c>
      <c r="M31" s="21">
        <f t="shared" ref="M31:M49" si="6">+H31-L31</f>
        <v>-40</v>
      </c>
      <c r="N31" s="21"/>
      <c r="O31" s="21"/>
      <c r="P31" s="5"/>
      <c r="Q31" s="21" t="s">
        <v>2207</v>
      </c>
      <c r="R31" s="16"/>
      <c r="S31" s="21" t="e">
        <f t="shared" ref="S31:S49" si="7">+Q31+R31</f>
        <v>#VALUE!</v>
      </c>
      <c r="T31" s="21"/>
      <c r="U31" s="78" t="e">
        <f>T31-S31-O31</f>
        <v>#VALUE!</v>
      </c>
      <c r="V31" s="13"/>
      <c r="W31" s="147"/>
      <c r="X31" s="23"/>
      <c r="Y31" s="333"/>
      <c r="Z31" s="5"/>
      <c r="AB31">
        <v>41.5</v>
      </c>
      <c r="AC31" s="59" t="s">
        <v>162</v>
      </c>
      <c r="AD31" s="18">
        <f>+AB31*1</f>
        <v>41.5</v>
      </c>
      <c r="AF31">
        <v>53.5</v>
      </c>
      <c r="AG31" s="59" t="s">
        <v>162</v>
      </c>
      <c r="AH31" s="18">
        <f>+AF31*1</f>
        <v>53.5</v>
      </c>
      <c r="AJ31" s="16"/>
      <c r="AK31" s="16"/>
      <c r="AM31" s="59" t="s">
        <v>162</v>
      </c>
      <c r="AN31" s="18">
        <f>+AL31*1</f>
        <v>0</v>
      </c>
    </row>
    <row r="32" spans="1:40" x14ac:dyDescent="0.25">
      <c r="A32" s="26">
        <v>2</v>
      </c>
      <c r="B32" s="92">
        <v>45230</v>
      </c>
      <c r="C32" s="31" t="s">
        <v>2208</v>
      </c>
      <c r="D32" s="32"/>
      <c r="E32" s="32" t="s">
        <v>2212</v>
      </c>
      <c r="F32" s="32" t="s">
        <v>1496</v>
      </c>
      <c r="G32" s="39" t="s">
        <v>2213</v>
      </c>
      <c r="H32" s="122">
        <v>130</v>
      </c>
      <c r="I32" s="32">
        <v>116</v>
      </c>
      <c r="J32" s="20">
        <v>14</v>
      </c>
      <c r="K32" s="21">
        <v>0</v>
      </c>
      <c r="L32" s="21">
        <f t="shared" si="5"/>
        <v>130</v>
      </c>
      <c r="M32" s="21">
        <f t="shared" si="6"/>
        <v>0</v>
      </c>
      <c r="N32" s="21"/>
      <c r="O32" s="21"/>
      <c r="P32" s="5"/>
      <c r="Q32" s="21"/>
      <c r="R32" s="16"/>
      <c r="S32" s="21">
        <f t="shared" si="7"/>
        <v>0</v>
      </c>
      <c r="T32" s="21"/>
      <c r="U32" s="78">
        <f t="shared" ref="U32:U49" si="8">T32-S32-O32</f>
        <v>0</v>
      </c>
      <c r="V32" s="140"/>
      <c r="W32" s="147"/>
      <c r="X32" s="23"/>
      <c r="Y32" s="334"/>
      <c r="Z32" s="5"/>
      <c r="AB32">
        <v>23</v>
      </c>
      <c r="AC32" s="16" t="s">
        <v>163</v>
      </c>
      <c r="AD32" s="60">
        <f>+AB32*5</f>
        <v>115</v>
      </c>
      <c r="AF32">
        <v>12</v>
      </c>
      <c r="AG32" s="16" t="s">
        <v>163</v>
      </c>
      <c r="AH32" s="60">
        <f>+AF32*5</f>
        <v>60</v>
      </c>
      <c r="AJ32" s="16"/>
      <c r="AK32" s="16"/>
      <c r="AM32" s="16" t="s">
        <v>163</v>
      </c>
      <c r="AN32" s="60">
        <f>+AL32*5</f>
        <v>0</v>
      </c>
    </row>
    <row r="33" spans="1:40" x14ac:dyDescent="0.25">
      <c r="A33" s="143">
        <v>3</v>
      </c>
      <c r="B33" s="92">
        <v>45230</v>
      </c>
      <c r="C33" s="31" t="s">
        <v>1078</v>
      </c>
      <c r="D33" s="32"/>
      <c r="E33" s="32" t="s">
        <v>2212</v>
      </c>
      <c r="F33" s="32" t="s">
        <v>2217</v>
      </c>
      <c r="G33" s="39" t="s">
        <v>2214</v>
      </c>
      <c r="H33" s="122">
        <v>140</v>
      </c>
      <c r="I33" s="32">
        <v>110</v>
      </c>
      <c r="J33" s="20">
        <v>14</v>
      </c>
      <c r="K33" s="21">
        <v>16</v>
      </c>
      <c r="L33" s="21">
        <f t="shared" si="5"/>
        <v>124</v>
      </c>
      <c r="M33" s="21">
        <f t="shared" si="6"/>
        <v>16</v>
      </c>
      <c r="N33" s="21"/>
      <c r="O33" s="21"/>
      <c r="P33" s="5"/>
      <c r="Q33" s="21"/>
      <c r="R33" s="16"/>
      <c r="S33" s="21">
        <f t="shared" si="7"/>
        <v>0</v>
      </c>
      <c r="T33" s="21"/>
      <c r="U33" s="78">
        <f t="shared" si="8"/>
        <v>0</v>
      </c>
      <c r="V33" s="140"/>
      <c r="W33" s="147"/>
      <c r="X33" s="23"/>
      <c r="Y33" s="334"/>
      <c r="Z33" s="5"/>
      <c r="AB33">
        <v>1</v>
      </c>
      <c r="AC33" s="16" t="s">
        <v>164</v>
      </c>
      <c r="AD33" s="18">
        <f>+AB33*200</f>
        <v>200</v>
      </c>
      <c r="AF33">
        <v>1</v>
      </c>
      <c r="AG33" s="16" t="s">
        <v>164</v>
      </c>
      <c r="AH33" s="18">
        <f>+AF33*200</f>
        <v>200</v>
      </c>
      <c r="AJ33" s="16"/>
      <c r="AK33" s="16"/>
      <c r="AM33" s="16" t="s">
        <v>164</v>
      </c>
      <c r="AN33" s="18">
        <f>+AL33*200</f>
        <v>0</v>
      </c>
    </row>
    <row r="34" spans="1:40" x14ac:dyDescent="0.25">
      <c r="A34" s="143">
        <v>4</v>
      </c>
      <c r="B34" s="92">
        <v>45230</v>
      </c>
      <c r="C34" s="31" t="s">
        <v>1306</v>
      </c>
      <c r="D34" s="32"/>
      <c r="E34" s="32" t="s">
        <v>2216</v>
      </c>
      <c r="F34" s="32" t="s">
        <v>2211</v>
      </c>
      <c r="G34" s="39" t="s">
        <v>2215</v>
      </c>
      <c r="H34" s="122">
        <v>1390</v>
      </c>
      <c r="I34" s="32">
        <v>1350</v>
      </c>
      <c r="J34" s="20">
        <v>40</v>
      </c>
      <c r="K34" s="21">
        <f t="shared" ref="K34:K49" si="9">U34-J34-O34</f>
        <v>-40</v>
      </c>
      <c r="L34" s="21">
        <f t="shared" si="5"/>
        <v>1390</v>
      </c>
      <c r="M34" s="21">
        <f t="shared" si="6"/>
        <v>0</v>
      </c>
      <c r="N34" s="21"/>
      <c r="O34" s="21"/>
      <c r="P34" s="5"/>
      <c r="Q34" s="21"/>
      <c r="R34" s="16"/>
      <c r="S34" s="21">
        <f t="shared" si="7"/>
        <v>0</v>
      </c>
      <c r="T34" s="21"/>
      <c r="U34" s="78">
        <f t="shared" si="8"/>
        <v>0</v>
      </c>
      <c r="V34" s="140"/>
      <c r="W34" s="147"/>
      <c r="X34" s="23"/>
      <c r="Y34" s="334"/>
      <c r="Z34" s="5"/>
      <c r="AB34">
        <v>1</v>
      </c>
      <c r="AC34" s="16" t="s">
        <v>165</v>
      </c>
      <c r="AD34" s="18">
        <f>+AB34*100</f>
        <v>100</v>
      </c>
      <c r="AF34">
        <v>5</v>
      </c>
      <c r="AG34" s="16" t="s">
        <v>165</v>
      </c>
      <c r="AH34" s="18">
        <f>+AF34*100</f>
        <v>500</v>
      </c>
      <c r="AJ34" s="16"/>
      <c r="AK34" s="16"/>
      <c r="AM34" s="16" t="s">
        <v>165</v>
      </c>
      <c r="AN34" s="18">
        <f>+AL34*100</f>
        <v>0</v>
      </c>
    </row>
    <row r="35" spans="1:40" x14ac:dyDescent="0.25">
      <c r="A35" s="143">
        <v>5</v>
      </c>
      <c r="B35" s="92">
        <v>45230</v>
      </c>
      <c r="C35" s="31" t="s">
        <v>765</v>
      </c>
      <c r="D35" s="32"/>
      <c r="E35" s="32" t="s">
        <v>52</v>
      </c>
      <c r="F35" s="32" t="s">
        <v>1766</v>
      </c>
      <c r="G35" s="32" t="s">
        <v>2209</v>
      </c>
      <c r="H35" s="122">
        <v>190</v>
      </c>
      <c r="I35" s="32">
        <v>162</v>
      </c>
      <c r="J35" s="20">
        <v>14</v>
      </c>
      <c r="K35" s="21">
        <f t="shared" si="9"/>
        <v>-338</v>
      </c>
      <c r="L35" s="21">
        <f t="shared" si="5"/>
        <v>176</v>
      </c>
      <c r="M35" s="21">
        <f t="shared" si="6"/>
        <v>14</v>
      </c>
      <c r="N35" s="21"/>
      <c r="O35" s="21">
        <v>162</v>
      </c>
      <c r="P35" s="5"/>
      <c r="Q35" s="16"/>
      <c r="R35" s="16"/>
      <c r="S35" s="21">
        <f t="shared" si="7"/>
        <v>0</v>
      </c>
      <c r="T35" s="21"/>
      <c r="U35" s="78">
        <f t="shared" si="8"/>
        <v>-162</v>
      </c>
      <c r="V35" s="140"/>
      <c r="W35" s="147"/>
      <c r="X35" s="23"/>
      <c r="Y35" s="334"/>
      <c r="Z35" s="5"/>
      <c r="AB35">
        <v>2</v>
      </c>
      <c r="AC35" s="16" t="s">
        <v>166</v>
      </c>
      <c r="AD35" s="18">
        <f>+AB35*50</f>
        <v>100</v>
      </c>
      <c r="AF35">
        <v>3</v>
      </c>
      <c r="AG35" s="16" t="s">
        <v>166</v>
      </c>
      <c r="AH35" s="18">
        <f>+AF35*50</f>
        <v>150</v>
      </c>
      <c r="AJ35" s="16"/>
      <c r="AK35" s="16"/>
      <c r="AM35" s="16" t="s">
        <v>166</v>
      </c>
      <c r="AN35" s="18">
        <f>+AL35*50</f>
        <v>0</v>
      </c>
    </row>
    <row r="36" spans="1:40" x14ac:dyDescent="0.25">
      <c r="A36" s="143">
        <v>6</v>
      </c>
      <c r="B36" s="92">
        <v>45230</v>
      </c>
      <c r="C36" s="31" t="s">
        <v>2218</v>
      </c>
      <c r="D36" s="32"/>
      <c r="E36" s="32" t="s">
        <v>52</v>
      </c>
      <c r="F36" s="32" t="s">
        <v>1270</v>
      </c>
      <c r="G36" s="39" t="s">
        <v>2219</v>
      </c>
      <c r="H36" s="39">
        <v>100</v>
      </c>
      <c r="I36" s="42">
        <v>88</v>
      </c>
      <c r="J36" s="20">
        <v>12</v>
      </c>
      <c r="K36" s="21">
        <v>0</v>
      </c>
      <c r="L36" s="21">
        <f t="shared" si="5"/>
        <v>100</v>
      </c>
      <c r="M36" s="21">
        <f t="shared" si="6"/>
        <v>0</v>
      </c>
      <c r="N36" s="21"/>
      <c r="O36" s="21">
        <v>88</v>
      </c>
      <c r="P36" s="5"/>
      <c r="Q36" s="16"/>
      <c r="R36" s="16"/>
      <c r="S36" s="21">
        <f t="shared" si="7"/>
        <v>0</v>
      </c>
      <c r="T36" s="16"/>
      <c r="U36" s="78">
        <f t="shared" si="8"/>
        <v>-88</v>
      </c>
      <c r="V36" s="140"/>
      <c r="W36" s="147"/>
      <c r="X36" s="23"/>
      <c r="Y36" s="334"/>
      <c r="Z36" s="5"/>
      <c r="AB36">
        <v>2</v>
      </c>
      <c r="AC36" s="16" t="s">
        <v>167</v>
      </c>
      <c r="AD36" s="18">
        <f>+AB36*20</f>
        <v>40</v>
      </c>
      <c r="AF36">
        <v>1</v>
      </c>
      <c r="AG36" s="16" t="s">
        <v>167</v>
      </c>
      <c r="AH36" s="18">
        <f>+AF36*20</f>
        <v>20</v>
      </c>
      <c r="AJ36" s="16"/>
      <c r="AK36" s="16"/>
      <c r="AM36" s="16" t="s">
        <v>167</v>
      </c>
      <c r="AN36" s="18">
        <f>+AL36*20</f>
        <v>0</v>
      </c>
    </row>
    <row r="37" spans="1:40" x14ac:dyDescent="0.25">
      <c r="A37" s="143">
        <v>7</v>
      </c>
      <c r="B37" s="92">
        <v>45230</v>
      </c>
      <c r="C37" s="31" t="s">
        <v>319</v>
      </c>
      <c r="D37" s="32"/>
      <c r="E37" s="32" t="s">
        <v>52</v>
      </c>
      <c r="F37" s="32" t="s">
        <v>2220</v>
      </c>
      <c r="G37" s="39" t="s">
        <v>2221</v>
      </c>
      <c r="H37" s="122">
        <v>500</v>
      </c>
      <c r="I37" s="42"/>
      <c r="J37" s="20">
        <v>14</v>
      </c>
      <c r="K37" s="21">
        <v>20</v>
      </c>
      <c r="L37" s="21">
        <f t="shared" si="5"/>
        <v>14</v>
      </c>
      <c r="M37" s="21">
        <f t="shared" si="6"/>
        <v>486</v>
      </c>
      <c r="N37" s="21"/>
      <c r="O37" s="21">
        <v>100</v>
      </c>
      <c r="P37" s="5"/>
      <c r="Q37" s="16"/>
      <c r="R37" s="16"/>
      <c r="S37" s="21">
        <f t="shared" si="7"/>
        <v>0</v>
      </c>
      <c r="T37" s="16"/>
      <c r="U37" s="78">
        <f t="shared" si="8"/>
        <v>-100</v>
      </c>
      <c r="V37" s="140"/>
      <c r="W37" s="147"/>
      <c r="X37" s="23"/>
      <c r="Y37" s="334"/>
      <c r="Z37" s="5"/>
      <c r="AC37" s="16" t="s">
        <v>171</v>
      </c>
      <c r="AD37" s="18">
        <f>+AB37*500</f>
        <v>0</v>
      </c>
      <c r="AF37">
        <v>2</v>
      </c>
      <c r="AG37" s="16" t="s">
        <v>171</v>
      </c>
      <c r="AH37" s="18">
        <f>+AF37*500</f>
        <v>1000</v>
      </c>
      <c r="AJ37" s="16"/>
      <c r="AK37" s="16"/>
      <c r="AM37" s="16" t="s">
        <v>171</v>
      </c>
      <c r="AN37" s="18">
        <f>+AL37*500</f>
        <v>0</v>
      </c>
    </row>
    <row r="38" spans="1:40" x14ac:dyDescent="0.25">
      <c r="A38" s="143">
        <v>8</v>
      </c>
      <c r="B38" s="92">
        <v>45230</v>
      </c>
      <c r="C38" s="31" t="s">
        <v>1629</v>
      </c>
      <c r="D38" s="123"/>
      <c r="E38" s="123" t="s">
        <v>52</v>
      </c>
      <c r="F38" s="123" t="s">
        <v>192</v>
      </c>
      <c r="G38" s="39" t="s">
        <v>2222</v>
      </c>
      <c r="H38" s="122">
        <v>200</v>
      </c>
      <c r="I38" s="32">
        <v>192</v>
      </c>
      <c r="J38" s="20">
        <v>14</v>
      </c>
      <c r="K38" s="21">
        <v>10</v>
      </c>
      <c r="L38" s="21">
        <f t="shared" si="5"/>
        <v>206</v>
      </c>
      <c r="M38" s="21">
        <f t="shared" si="6"/>
        <v>-6</v>
      </c>
      <c r="N38" s="21"/>
      <c r="O38" s="21">
        <v>192</v>
      </c>
      <c r="P38" s="5"/>
      <c r="Q38" s="16"/>
      <c r="R38" s="16"/>
      <c r="S38" s="21">
        <f t="shared" si="7"/>
        <v>0</v>
      </c>
      <c r="T38" s="16"/>
      <c r="U38" s="78">
        <f t="shared" si="8"/>
        <v>-192</v>
      </c>
      <c r="V38" s="140"/>
      <c r="W38" s="147"/>
      <c r="X38" s="23"/>
      <c r="Y38" s="334"/>
      <c r="Z38" s="5"/>
      <c r="AC38" s="16" t="s">
        <v>168</v>
      </c>
      <c r="AD38" s="18">
        <f>+AB38*1000</f>
        <v>0</v>
      </c>
      <c r="AF38">
        <v>1</v>
      </c>
      <c r="AG38" s="16" t="s">
        <v>168</v>
      </c>
      <c r="AH38" s="18">
        <f>+AF38*1000</f>
        <v>1000</v>
      </c>
      <c r="AJ38" s="16"/>
      <c r="AK38" s="16"/>
      <c r="AM38" s="16" t="s">
        <v>168</v>
      </c>
      <c r="AN38" s="18">
        <f>+AL38*1000</f>
        <v>0</v>
      </c>
    </row>
    <row r="39" spans="1:40" x14ac:dyDescent="0.25">
      <c r="A39" s="143">
        <v>9</v>
      </c>
      <c r="B39" s="92">
        <v>45230</v>
      </c>
      <c r="C39" s="31" t="s">
        <v>1518</v>
      </c>
      <c r="D39" s="32"/>
      <c r="E39" s="32" t="s">
        <v>2223</v>
      </c>
      <c r="F39" s="32" t="s">
        <v>220</v>
      </c>
      <c r="G39" s="39" t="s">
        <v>2225</v>
      </c>
      <c r="H39" s="39">
        <v>500</v>
      </c>
      <c r="I39" s="40">
        <v>470</v>
      </c>
      <c r="J39" s="20">
        <v>14</v>
      </c>
      <c r="K39" s="21">
        <v>5</v>
      </c>
      <c r="L39" s="21">
        <f t="shared" si="5"/>
        <v>484</v>
      </c>
      <c r="M39" s="21">
        <f t="shared" si="6"/>
        <v>16</v>
      </c>
      <c r="N39" s="21"/>
      <c r="O39" s="21">
        <v>250</v>
      </c>
      <c r="P39" s="5"/>
      <c r="Q39" s="16"/>
      <c r="R39" s="16"/>
      <c r="S39" s="21">
        <f t="shared" si="7"/>
        <v>0</v>
      </c>
      <c r="T39" s="16"/>
      <c r="U39" s="78">
        <f t="shared" si="8"/>
        <v>-250</v>
      </c>
      <c r="V39" s="140"/>
      <c r="W39" s="147"/>
      <c r="X39" s="23"/>
      <c r="Y39" s="334"/>
      <c r="Z39" s="5"/>
      <c r="AC39" s="26"/>
      <c r="AD39" s="58"/>
      <c r="AG39" s="26"/>
      <c r="AH39" s="58"/>
      <c r="AJ39" s="16"/>
      <c r="AK39" s="16"/>
      <c r="AM39" s="26"/>
      <c r="AN39" s="58"/>
    </row>
    <row r="40" spans="1:40" x14ac:dyDescent="0.25">
      <c r="A40" s="143">
        <v>10</v>
      </c>
      <c r="B40" s="92">
        <v>45230</v>
      </c>
      <c r="C40" s="31" t="s">
        <v>2058</v>
      </c>
      <c r="D40" s="32"/>
      <c r="E40" s="32" t="s">
        <v>52</v>
      </c>
      <c r="F40" s="32" t="s">
        <v>2224</v>
      </c>
      <c r="G40" s="39" t="s">
        <v>2228</v>
      </c>
      <c r="H40" s="122">
        <v>50</v>
      </c>
      <c r="I40" s="42">
        <v>21</v>
      </c>
      <c r="J40" s="20">
        <v>13</v>
      </c>
      <c r="K40" s="21">
        <f t="shared" si="9"/>
        <v>-55</v>
      </c>
      <c r="L40" s="21">
        <f t="shared" si="5"/>
        <v>34</v>
      </c>
      <c r="M40" s="21">
        <f t="shared" si="6"/>
        <v>16</v>
      </c>
      <c r="N40" s="21"/>
      <c r="O40" s="21">
        <v>21</v>
      </c>
      <c r="P40" s="5"/>
      <c r="Q40" s="16"/>
      <c r="R40" s="16"/>
      <c r="S40" s="21">
        <f t="shared" si="7"/>
        <v>0</v>
      </c>
      <c r="T40" s="16"/>
      <c r="U40" s="78">
        <f t="shared" si="8"/>
        <v>-21</v>
      </c>
      <c r="V40" s="140"/>
      <c r="W40" s="147"/>
      <c r="X40" s="23"/>
      <c r="Y40" s="334"/>
      <c r="Z40" s="5"/>
      <c r="AC40" s="16" t="s">
        <v>169</v>
      </c>
      <c r="AD40" s="18">
        <f>SUM(AD30:AD39)</f>
        <v>646.5</v>
      </c>
      <c r="AG40" s="16" t="s">
        <v>169</v>
      </c>
      <c r="AH40" s="18">
        <f>SUM(AH30:AH39)</f>
        <v>3093.5</v>
      </c>
      <c r="AJ40" s="16"/>
      <c r="AK40" s="16"/>
      <c r="AM40" s="16" t="s">
        <v>169</v>
      </c>
      <c r="AN40" s="18"/>
    </row>
    <row r="41" spans="1:40" x14ac:dyDescent="0.25">
      <c r="A41" s="143">
        <v>11</v>
      </c>
      <c r="B41" s="92">
        <v>45230</v>
      </c>
      <c r="C41" s="31" t="s">
        <v>2226</v>
      </c>
      <c r="D41" s="124"/>
      <c r="E41" s="123" t="s">
        <v>52</v>
      </c>
      <c r="F41" s="123" t="s">
        <v>220</v>
      </c>
      <c r="G41" s="39" t="s">
        <v>2227</v>
      </c>
      <c r="H41" s="122">
        <v>86</v>
      </c>
      <c r="I41" s="42">
        <v>73</v>
      </c>
      <c r="J41" s="20">
        <v>14</v>
      </c>
      <c r="K41" s="21">
        <f t="shared" si="9"/>
        <v>-160</v>
      </c>
      <c r="L41" s="21">
        <f t="shared" si="5"/>
        <v>87</v>
      </c>
      <c r="M41" s="21">
        <f t="shared" si="6"/>
        <v>-1</v>
      </c>
      <c r="N41" s="21">
        <v>86</v>
      </c>
      <c r="O41" s="21">
        <v>73</v>
      </c>
      <c r="P41" s="5"/>
      <c r="Q41" s="16"/>
      <c r="R41" s="16"/>
      <c r="S41" s="21">
        <f t="shared" si="7"/>
        <v>0</v>
      </c>
      <c r="T41" s="16"/>
      <c r="U41" s="78">
        <f t="shared" si="8"/>
        <v>-73</v>
      </c>
      <c r="V41" s="140"/>
      <c r="W41" s="147"/>
      <c r="X41" s="23"/>
      <c r="Y41" s="334"/>
      <c r="Z41" s="5"/>
      <c r="AJ41" s="16"/>
      <c r="AK41" s="16"/>
      <c r="AM41" s="16"/>
      <c r="AN41" s="16"/>
    </row>
    <row r="42" spans="1:40" x14ac:dyDescent="0.25">
      <c r="A42" s="143">
        <v>12</v>
      </c>
      <c r="B42" s="92">
        <v>45230</v>
      </c>
      <c r="C42" s="32"/>
      <c r="D42" s="32"/>
      <c r="E42" s="124"/>
      <c r="F42" s="123"/>
      <c r="G42" s="39"/>
      <c r="H42" s="39"/>
      <c r="I42" s="42"/>
      <c r="J42" s="20">
        <v>14</v>
      </c>
      <c r="K42" s="21">
        <f t="shared" si="9"/>
        <v>-14</v>
      </c>
      <c r="L42" s="21">
        <f t="shared" si="5"/>
        <v>14</v>
      </c>
      <c r="M42" s="21">
        <f t="shared" si="6"/>
        <v>-14</v>
      </c>
      <c r="N42" s="21"/>
      <c r="O42" s="21"/>
      <c r="P42" s="5"/>
      <c r="Q42" s="45"/>
      <c r="R42" s="44"/>
      <c r="S42" s="21">
        <f t="shared" si="7"/>
        <v>0</v>
      </c>
      <c r="T42" s="45"/>
      <c r="U42" s="78">
        <f t="shared" si="8"/>
        <v>0</v>
      </c>
      <c r="V42" s="140"/>
      <c r="W42" s="147"/>
      <c r="X42" s="23"/>
      <c r="Y42" s="334"/>
      <c r="Z42" s="5"/>
      <c r="AJ42" s="63" t="s">
        <v>169</v>
      </c>
      <c r="AK42" s="63">
        <f>+SUM(AJ31:AJ41)-SUM(AK31:AK41)</f>
        <v>0</v>
      </c>
      <c r="AM42" s="63" t="s">
        <v>169</v>
      </c>
      <c r="AN42" s="85">
        <f>+SUM(AM30:AM41)-SUM(AN31:AN41)</f>
        <v>0</v>
      </c>
    </row>
    <row r="43" spans="1:40" x14ac:dyDescent="0.25">
      <c r="A43" s="143">
        <v>13</v>
      </c>
      <c r="B43" s="92">
        <v>45230</v>
      </c>
      <c r="C43" s="31"/>
      <c r="D43" s="32"/>
      <c r="E43" s="32"/>
      <c r="F43" s="32"/>
      <c r="G43" s="39"/>
      <c r="H43" s="39"/>
      <c r="I43" s="42"/>
      <c r="J43" s="108">
        <v>14</v>
      </c>
      <c r="K43" s="21">
        <f t="shared" si="9"/>
        <v>-14</v>
      </c>
      <c r="L43" s="21">
        <f t="shared" si="5"/>
        <v>14</v>
      </c>
      <c r="M43" s="21">
        <f t="shared" si="6"/>
        <v>-14</v>
      </c>
      <c r="N43" s="21"/>
      <c r="O43" s="21"/>
      <c r="P43" s="5"/>
      <c r="Q43" s="43"/>
      <c r="R43" s="32"/>
      <c r="S43" s="21">
        <f t="shared" si="7"/>
        <v>0</v>
      </c>
      <c r="T43" s="43"/>
      <c r="U43" s="78">
        <f t="shared" si="8"/>
        <v>0</v>
      </c>
      <c r="V43" s="140"/>
      <c r="W43" s="147"/>
      <c r="X43" s="23"/>
      <c r="Y43" s="334"/>
      <c r="Z43" s="5"/>
      <c r="AH43" s="83"/>
    </row>
    <row r="44" spans="1:40" x14ac:dyDescent="0.25">
      <c r="A44" s="143">
        <v>14</v>
      </c>
      <c r="B44" s="92">
        <v>45230</v>
      </c>
      <c r="C44" s="31"/>
      <c r="D44" s="32"/>
      <c r="E44" s="32"/>
      <c r="F44" s="32"/>
      <c r="G44" s="39"/>
      <c r="H44" s="39"/>
      <c r="I44" s="42"/>
      <c r="J44" s="108">
        <v>14</v>
      </c>
      <c r="K44" s="21">
        <f t="shared" si="9"/>
        <v>-14</v>
      </c>
      <c r="L44" s="21">
        <f t="shared" si="5"/>
        <v>14</v>
      </c>
      <c r="M44" s="21">
        <f t="shared" si="6"/>
        <v>-14</v>
      </c>
      <c r="N44" s="21"/>
      <c r="O44" s="21"/>
      <c r="P44" s="5"/>
      <c r="Q44" s="43"/>
      <c r="R44" s="43"/>
      <c r="S44" s="21">
        <f t="shared" si="7"/>
        <v>0</v>
      </c>
      <c r="T44" s="43"/>
      <c r="U44" s="78">
        <f t="shared" si="8"/>
        <v>0</v>
      </c>
      <c r="V44" s="140"/>
      <c r="W44" s="147"/>
      <c r="X44" s="23"/>
      <c r="Y44" s="334"/>
      <c r="Z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40" x14ac:dyDescent="0.25">
      <c r="A45" s="143">
        <v>15</v>
      </c>
      <c r="B45" s="92">
        <v>45230</v>
      </c>
      <c r="C45" s="127"/>
      <c r="D45" s="32"/>
      <c r="E45" s="32"/>
      <c r="F45" s="128"/>
      <c r="G45" s="129"/>
      <c r="H45" s="39"/>
      <c r="I45" s="42"/>
      <c r="J45" s="108">
        <v>14</v>
      </c>
      <c r="K45" s="21">
        <f t="shared" si="9"/>
        <v>-14</v>
      </c>
      <c r="L45" s="21">
        <f t="shared" si="5"/>
        <v>14</v>
      </c>
      <c r="M45" s="21">
        <f t="shared" si="6"/>
        <v>-14</v>
      </c>
      <c r="N45" s="21"/>
      <c r="O45" s="21"/>
      <c r="P45" s="5"/>
      <c r="Q45" s="43"/>
      <c r="R45" s="43"/>
      <c r="S45" s="21">
        <f t="shared" si="7"/>
        <v>0</v>
      </c>
      <c r="T45" s="43"/>
      <c r="U45" s="78">
        <f t="shared" si="8"/>
        <v>0</v>
      </c>
      <c r="V45" s="140"/>
      <c r="W45" s="147"/>
      <c r="X45" s="23"/>
      <c r="Y45" s="334"/>
      <c r="Z45" s="5"/>
      <c r="AC45" s="5"/>
      <c r="AD45" s="134" t="s">
        <v>20</v>
      </c>
      <c r="AE45" s="338"/>
      <c r="AF45" s="341" t="s">
        <v>686</v>
      </c>
      <c r="AG45" s="134" t="s">
        <v>20</v>
      </c>
      <c r="AH45" s="338"/>
      <c r="AI45" s="341" t="s">
        <v>687</v>
      </c>
      <c r="AJ45" s="134" t="s">
        <v>20</v>
      </c>
      <c r="AK45" s="338"/>
      <c r="AL45" s="5"/>
    </row>
    <row r="46" spans="1:40" x14ac:dyDescent="0.25">
      <c r="A46" s="143">
        <v>16</v>
      </c>
      <c r="B46" s="92">
        <v>45230</v>
      </c>
      <c r="C46" s="31"/>
      <c r="D46" s="32"/>
      <c r="E46" s="32"/>
      <c r="F46" s="32"/>
      <c r="G46" s="39"/>
      <c r="H46" s="39"/>
      <c r="I46" s="42"/>
      <c r="J46" s="43">
        <v>14</v>
      </c>
      <c r="K46" s="21">
        <f t="shared" si="9"/>
        <v>-14</v>
      </c>
      <c r="L46" s="21">
        <f t="shared" si="5"/>
        <v>14</v>
      </c>
      <c r="M46" s="21">
        <f t="shared" si="6"/>
        <v>-14</v>
      </c>
      <c r="N46" s="21"/>
      <c r="O46" s="21"/>
      <c r="P46" s="5"/>
      <c r="Q46" s="43"/>
      <c r="R46" s="32"/>
      <c r="S46" s="21">
        <f t="shared" si="7"/>
        <v>0</v>
      </c>
      <c r="T46" s="131"/>
      <c r="U46" s="78">
        <f t="shared" si="8"/>
        <v>0</v>
      </c>
      <c r="V46" s="140"/>
      <c r="W46" s="147"/>
      <c r="X46" s="23"/>
      <c r="Y46" s="334"/>
      <c r="Z46" s="5"/>
      <c r="AC46" s="5" t="s">
        <v>685</v>
      </c>
      <c r="AD46" s="115" t="s">
        <v>684</v>
      </c>
      <c r="AE46" s="339"/>
      <c r="AF46" s="341"/>
      <c r="AG46" s="115" t="s">
        <v>684</v>
      </c>
      <c r="AH46" s="339"/>
      <c r="AI46" s="341"/>
      <c r="AJ46" s="115" t="s">
        <v>684</v>
      </c>
      <c r="AK46" s="339"/>
      <c r="AL46" s="5"/>
    </row>
    <row r="47" spans="1:40" x14ac:dyDescent="0.25">
      <c r="A47" s="143">
        <v>17</v>
      </c>
      <c r="B47" s="92">
        <v>45230</v>
      </c>
      <c r="C47" s="31"/>
      <c r="D47" s="32"/>
      <c r="E47" s="32"/>
      <c r="F47" s="32"/>
      <c r="G47" s="39"/>
      <c r="H47" s="39"/>
      <c r="I47" s="42"/>
      <c r="J47" s="43">
        <v>14</v>
      </c>
      <c r="K47" s="21">
        <f t="shared" si="9"/>
        <v>-14</v>
      </c>
      <c r="L47" s="21">
        <f t="shared" si="5"/>
        <v>14</v>
      </c>
      <c r="M47" s="21">
        <f t="shared" si="6"/>
        <v>-14</v>
      </c>
      <c r="N47" s="21"/>
      <c r="O47" s="21"/>
      <c r="P47" s="5"/>
      <c r="Q47" s="43"/>
      <c r="R47" s="32"/>
      <c r="S47" s="21">
        <f t="shared" si="7"/>
        <v>0</v>
      </c>
      <c r="T47" s="132"/>
      <c r="U47" s="78">
        <f t="shared" si="8"/>
        <v>0</v>
      </c>
      <c r="V47" s="140"/>
      <c r="W47" s="147"/>
      <c r="X47" s="23"/>
      <c r="Y47" s="340"/>
      <c r="Z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40" x14ac:dyDescent="0.25">
      <c r="A48" s="143">
        <v>18</v>
      </c>
      <c r="B48" s="92">
        <v>45230</v>
      </c>
      <c r="C48" s="31"/>
      <c r="D48" s="32"/>
      <c r="E48" s="32"/>
      <c r="F48" s="32"/>
      <c r="G48" s="39"/>
      <c r="H48" s="39"/>
      <c r="I48" s="42"/>
      <c r="J48" s="43">
        <v>14</v>
      </c>
      <c r="K48" s="21">
        <f t="shared" si="9"/>
        <v>-14</v>
      </c>
      <c r="L48" s="21">
        <f t="shared" si="5"/>
        <v>14</v>
      </c>
      <c r="M48" s="21">
        <f t="shared" si="6"/>
        <v>-14</v>
      </c>
      <c r="N48" s="21"/>
      <c r="O48" s="21"/>
      <c r="P48" s="5"/>
      <c r="Q48" s="135"/>
      <c r="R48" s="104"/>
      <c r="S48" s="21">
        <f t="shared" si="7"/>
        <v>0</v>
      </c>
      <c r="T48" s="131"/>
      <c r="U48" s="78">
        <f t="shared" si="8"/>
        <v>0</v>
      </c>
      <c r="V48" s="140"/>
      <c r="W48" s="138"/>
      <c r="X48" s="32"/>
      <c r="Z48" s="5"/>
    </row>
    <row r="49" spans="1:40" x14ac:dyDescent="0.25">
      <c r="A49" s="143">
        <v>19</v>
      </c>
      <c r="B49" s="92">
        <v>45230</v>
      </c>
      <c r="C49" s="31"/>
      <c r="D49" s="32"/>
      <c r="E49" s="32"/>
      <c r="F49" s="32"/>
      <c r="G49" s="39"/>
      <c r="H49" s="39"/>
      <c r="I49" s="42"/>
      <c r="J49" s="43">
        <v>10</v>
      </c>
      <c r="K49" s="21">
        <f t="shared" si="9"/>
        <v>-10</v>
      </c>
      <c r="L49" s="21">
        <f t="shared" si="5"/>
        <v>10</v>
      </c>
      <c r="M49" s="21">
        <f t="shared" si="6"/>
        <v>-10</v>
      </c>
      <c r="N49" s="21"/>
      <c r="O49" s="21"/>
      <c r="P49" s="5"/>
      <c r="Q49" s="32"/>
      <c r="R49" s="32"/>
      <c r="S49" s="21">
        <f t="shared" si="7"/>
        <v>0</v>
      </c>
      <c r="T49" s="32"/>
      <c r="U49" s="78">
        <f t="shared" si="8"/>
        <v>0</v>
      </c>
      <c r="V49" s="140"/>
      <c r="W49" s="138"/>
      <c r="X49" s="32"/>
      <c r="Z49" s="5"/>
    </row>
    <row r="50" spans="1:40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22">
        <f>SUM(O35:O49)</f>
        <v>886</v>
      </c>
      <c r="P50" s="5"/>
      <c r="Q50" s="5"/>
      <c r="R50" s="5"/>
      <c r="S50" s="5"/>
      <c r="T50" s="5"/>
      <c r="U50" s="5"/>
      <c r="V50" s="141"/>
      <c r="W50" s="5"/>
      <c r="X50" s="5"/>
      <c r="Y50" s="5"/>
      <c r="Z50" s="5"/>
    </row>
    <row r="53" spans="1:40" x14ac:dyDescent="0.25">
      <c r="C53">
        <f>58+114</f>
        <v>172</v>
      </c>
    </row>
    <row r="54" spans="1:40" x14ac:dyDescent="0.25">
      <c r="C54">
        <v>20</v>
      </c>
      <c r="D54">
        <f>+C53+C54</f>
        <v>192</v>
      </c>
    </row>
    <row r="56" spans="1:40" x14ac:dyDescent="0.25">
      <c r="A56" s="1" t="s">
        <v>0</v>
      </c>
      <c r="B56" s="1"/>
      <c r="C56" s="1"/>
      <c r="D56" s="1"/>
      <c r="E56" s="1"/>
      <c r="F56" s="1"/>
      <c r="G56" s="1"/>
      <c r="H56" s="1"/>
      <c r="I56" s="1" t="s">
        <v>148</v>
      </c>
      <c r="J56" s="1"/>
      <c r="K56" s="1"/>
      <c r="L56" s="1"/>
      <c r="M56" s="1"/>
      <c r="N56" s="1"/>
      <c r="O56" s="1"/>
      <c r="P56" s="1"/>
      <c r="Q56" s="1"/>
      <c r="R56" s="1"/>
      <c r="S56" s="342" t="s">
        <v>1</v>
      </c>
      <c r="T56" s="342"/>
      <c r="U56" s="5"/>
      <c r="V56" s="139"/>
      <c r="W56" s="1"/>
      <c r="X56" s="1"/>
      <c r="Y56" s="1"/>
      <c r="Z56" s="5"/>
      <c r="AC56" s="335" t="s">
        <v>160</v>
      </c>
      <c r="AD56" s="336"/>
      <c r="AG56" s="335" t="s">
        <v>170</v>
      </c>
      <c r="AH56" s="336"/>
      <c r="AJ56" s="337" t="s">
        <v>172</v>
      </c>
      <c r="AK56" s="337"/>
      <c r="AM56" s="337" t="s">
        <v>681</v>
      </c>
      <c r="AN56" s="337"/>
    </row>
    <row r="57" spans="1:40" ht="90" x14ac:dyDescent="0.25">
      <c r="A57" s="6" t="s">
        <v>2</v>
      </c>
      <c r="B57" s="7" t="s">
        <v>3</v>
      </c>
      <c r="C57" s="7" t="s">
        <v>4</v>
      </c>
      <c r="D57" s="6" t="s">
        <v>5</v>
      </c>
      <c r="E57" s="6" t="s">
        <v>6</v>
      </c>
      <c r="F57" s="6" t="s">
        <v>7</v>
      </c>
      <c r="G57" s="6" t="s">
        <v>8</v>
      </c>
      <c r="H57" s="8" t="s">
        <v>9</v>
      </c>
      <c r="I57" s="9" t="s">
        <v>10</v>
      </c>
      <c r="J57" s="8" t="s">
        <v>11</v>
      </c>
      <c r="K57" s="10" t="s">
        <v>12</v>
      </c>
      <c r="L57" s="10" t="s">
        <v>13</v>
      </c>
      <c r="M57" s="11" t="s">
        <v>14</v>
      </c>
      <c r="N57" s="10" t="s">
        <v>691</v>
      </c>
      <c r="O57" s="10" t="s">
        <v>28</v>
      </c>
      <c r="P57" s="5"/>
      <c r="Q57" s="10" t="s">
        <v>16</v>
      </c>
      <c r="R57" s="10" t="s">
        <v>17</v>
      </c>
      <c r="S57" s="10" t="s">
        <v>18</v>
      </c>
      <c r="T57" s="10" t="s">
        <v>19</v>
      </c>
      <c r="U57" s="10" t="s">
        <v>20</v>
      </c>
      <c r="V57" s="13"/>
      <c r="W57" s="136" t="s">
        <v>688</v>
      </c>
      <c r="X57" s="14" t="s">
        <v>22</v>
      </c>
      <c r="Y57" s="15" t="s">
        <v>23</v>
      </c>
      <c r="Z57" s="5"/>
      <c r="AB57">
        <v>12</v>
      </c>
      <c r="AC57" s="16" t="s">
        <v>161</v>
      </c>
      <c r="AD57" s="58">
        <f>+AB57*10</f>
        <v>120</v>
      </c>
      <c r="AF57">
        <v>17</v>
      </c>
      <c r="AG57" s="16" t="s">
        <v>161</v>
      </c>
      <c r="AH57" s="58">
        <f>+AF57*10</f>
        <v>170</v>
      </c>
      <c r="AJ57" s="61" t="s">
        <v>173</v>
      </c>
      <c r="AK57" s="62" t="s">
        <v>174</v>
      </c>
      <c r="AM57" s="16" t="s">
        <v>161</v>
      </c>
      <c r="AN57" s="58">
        <f>+AL57*10</f>
        <v>0</v>
      </c>
    </row>
    <row r="58" spans="1:40" x14ac:dyDescent="0.25">
      <c r="A58" s="16">
        <v>1</v>
      </c>
      <c r="B58" s="92">
        <v>45231</v>
      </c>
      <c r="C58" s="31" t="s">
        <v>2229</v>
      </c>
      <c r="D58" s="32">
        <v>5568671392</v>
      </c>
      <c r="E58" s="32" t="s">
        <v>593</v>
      </c>
      <c r="F58" s="39" t="s">
        <v>2230</v>
      </c>
      <c r="G58" s="39" t="s">
        <v>2231</v>
      </c>
      <c r="H58" s="122"/>
      <c r="I58" s="32"/>
      <c r="J58" s="20">
        <v>25</v>
      </c>
      <c r="K58" s="21">
        <v>10</v>
      </c>
      <c r="L58" s="21">
        <f t="shared" ref="L58:L76" si="10">+I58+J58</f>
        <v>25</v>
      </c>
      <c r="M58" s="21">
        <f t="shared" ref="M58:M76" si="11">+H58-L58</f>
        <v>-25</v>
      </c>
      <c r="N58" s="21"/>
      <c r="O58" s="21"/>
      <c r="P58" s="5"/>
      <c r="Q58" s="21">
        <v>200</v>
      </c>
      <c r="R58" s="16"/>
      <c r="S58" s="21">
        <f t="shared" ref="S58:S76" si="12">+Q58+R58</f>
        <v>200</v>
      </c>
      <c r="T58" s="21">
        <v>225</v>
      </c>
      <c r="U58" s="78">
        <f>T58-S58-O58</f>
        <v>25</v>
      </c>
      <c r="V58" s="13"/>
      <c r="W58" s="147"/>
      <c r="X58" s="23"/>
      <c r="Y58" s="333"/>
      <c r="Z58" s="5"/>
      <c r="AB58">
        <v>16.5</v>
      </c>
      <c r="AC58" s="59" t="s">
        <v>162</v>
      </c>
      <c r="AD58" s="18">
        <f>+AB58*1</f>
        <v>16.5</v>
      </c>
      <c r="AF58">
        <v>80</v>
      </c>
      <c r="AG58" s="59" t="s">
        <v>162</v>
      </c>
      <c r="AH58" s="18">
        <f>+AF58*1</f>
        <v>80</v>
      </c>
      <c r="AJ58" s="16"/>
      <c r="AK58" s="16"/>
      <c r="AM58" s="59" t="s">
        <v>162</v>
      </c>
      <c r="AN58" s="18">
        <f>+AL58*1</f>
        <v>0</v>
      </c>
    </row>
    <row r="59" spans="1:40" x14ac:dyDescent="0.25">
      <c r="A59" s="26">
        <v>2</v>
      </c>
      <c r="B59" s="92">
        <v>45231</v>
      </c>
      <c r="C59" s="31" t="s">
        <v>1483</v>
      </c>
      <c r="D59" s="32"/>
      <c r="E59" s="32" t="s">
        <v>1484</v>
      </c>
      <c r="F59" s="32"/>
      <c r="G59" s="39"/>
      <c r="H59" s="122"/>
      <c r="I59" s="32"/>
      <c r="J59" s="20">
        <v>10</v>
      </c>
      <c r="K59" s="21">
        <v>20</v>
      </c>
      <c r="L59" s="21">
        <f t="shared" si="10"/>
        <v>10</v>
      </c>
      <c r="M59" s="21">
        <f t="shared" si="11"/>
        <v>-10</v>
      </c>
      <c r="N59" s="21"/>
      <c r="O59" s="21"/>
      <c r="P59" s="5"/>
      <c r="Q59" s="21">
        <v>1000</v>
      </c>
      <c r="R59" s="16"/>
      <c r="S59" s="21">
        <f t="shared" si="12"/>
        <v>1000</v>
      </c>
      <c r="T59" s="21"/>
      <c r="U59" s="78">
        <f t="shared" ref="U59:U76" si="13">T59-S59-O59</f>
        <v>-1000</v>
      </c>
      <c r="V59" s="140"/>
      <c r="W59" s="147"/>
      <c r="X59" s="23"/>
      <c r="Y59" s="334"/>
      <c r="Z59" s="5"/>
      <c r="AB59">
        <v>4</v>
      </c>
      <c r="AC59" s="16" t="s">
        <v>163</v>
      </c>
      <c r="AD59" s="60">
        <f>+AB59*5</f>
        <v>20</v>
      </c>
      <c r="AF59">
        <v>18</v>
      </c>
      <c r="AG59" s="16" t="s">
        <v>163</v>
      </c>
      <c r="AH59" s="60">
        <f>+AF59*5</f>
        <v>90</v>
      </c>
      <c r="AJ59" s="16"/>
      <c r="AK59" s="16"/>
      <c r="AM59" s="16" t="s">
        <v>163</v>
      </c>
      <c r="AN59" s="60">
        <f>+AL59*5</f>
        <v>0</v>
      </c>
    </row>
    <row r="60" spans="1:40" x14ac:dyDescent="0.25">
      <c r="A60" s="143">
        <v>3</v>
      </c>
      <c r="B60" s="92">
        <v>45231</v>
      </c>
      <c r="C60" s="31" t="s">
        <v>128</v>
      </c>
      <c r="D60" s="32"/>
      <c r="E60" s="32" t="s">
        <v>2232</v>
      </c>
      <c r="F60" s="32" t="s">
        <v>2234</v>
      </c>
      <c r="G60" s="189" t="s">
        <v>2235</v>
      </c>
      <c r="H60" s="122">
        <v>252</v>
      </c>
      <c r="I60" s="32">
        <v>238</v>
      </c>
      <c r="J60" s="20">
        <v>14</v>
      </c>
      <c r="K60" s="21">
        <v>20</v>
      </c>
      <c r="L60" s="21">
        <f t="shared" si="10"/>
        <v>252</v>
      </c>
      <c r="M60" s="21">
        <f t="shared" si="11"/>
        <v>0</v>
      </c>
      <c r="N60" s="21">
        <v>262</v>
      </c>
      <c r="O60" s="21"/>
      <c r="P60" s="5"/>
      <c r="Q60" s="21"/>
      <c r="R60" s="16"/>
      <c r="S60" s="21">
        <f t="shared" si="12"/>
        <v>0</v>
      </c>
      <c r="T60" s="21"/>
      <c r="U60" s="78">
        <f t="shared" si="13"/>
        <v>0</v>
      </c>
      <c r="V60" s="140"/>
      <c r="W60" s="147"/>
      <c r="X60" s="23"/>
      <c r="Y60" s="334"/>
      <c r="Z60" s="5"/>
      <c r="AB60">
        <v>1</v>
      </c>
      <c r="AC60" s="16" t="s">
        <v>164</v>
      </c>
      <c r="AD60" s="18">
        <f>+AB60*200</f>
        <v>200</v>
      </c>
      <c r="AF60">
        <v>1</v>
      </c>
      <c r="AG60" s="16" t="s">
        <v>164</v>
      </c>
      <c r="AH60" s="18">
        <f>+AF60*200</f>
        <v>200</v>
      </c>
      <c r="AJ60" s="16"/>
      <c r="AK60" s="16"/>
      <c r="AM60" s="16" t="s">
        <v>164</v>
      </c>
      <c r="AN60" s="18">
        <f>+AL60*200</f>
        <v>0</v>
      </c>
    </row>
    <row r="61" spans="1:40" x14ac:dyDescent="0.25">
      <c r="A61" s="143">
        <v>4</v>
      </c>
      <c r="B61" s="92">
        <v>45231</v>
      </c>
      <c r="C61" s="226" t="s">
        <v>1939</v>
      </c>
      <c r="D61" s="32"/>
      <c r="E61" s="32" t="s">
        <v>2238</v>
      </c>
      <c r="F61" s="32" t="s">
        <v>2237</v>
      </c>
      <c r="G61" s="39" t="s">
        <v>2236</v>
      </c>
      <c r="H61" s="122">
        <v>181</v>
      </c>
      <c r="I61" s="32">
        <v>167</v>
      </c>
      <c r="J61" s="20">
        <v>14</v>
      </c>
      <c r="K61" s="21">
        <v>25</v>
      </c>
      <c r="L61" s="21">
        <f t="shared" si="10"/>
        <v>181</v>
      </c>
      <c r="M61" s="21">
        <f t="shared" si="11"/>
        <v>0</v>
      </c>
      <c r="N61" s="21"/>
      <c r="O61" s="21"/>
      <c r="P61" s="5"/>
      <c r="Q61" s="21"/>
      <c r="R61" s="16"/>
      <c r="S61" s="21">
        <f t="shared" si="12"/>
        <v>0</v>
      </c>
      <c r="T61" s="21"/>
      <c r="U61" s="78">
        <f t="shared" si="13"/>
        <v>0</v>
      </c>
      <c r="V61" s="140"/>
      <c r="W61" s="147"/>
      <c r="X61" s="23"/>
      <c r="Y61" s="334"/>
      <c r="Z61" s="5"/>
      <c r="AB61">
        <v>7</v>
      </c>
      <c r="AC61" s="16" t="s">
        <v>165</v>
      </c>
      <c r="AD61" s="18">
        <f>+AB61*100</f>
        <v>700</v>
      </c>
      <c r="AF61">
        <v>3</v>
      </c>
      <c r="AG61" s="16" t="s">
        <v>165</v>
      </c>
      <c r="AH61" s="18">
        <f>+AF61*100</f>
        <v>300</v>
      </c>
      <c r="AJ61" s="16"/>
      <c r="AK61" s="16"/>
      <c r="AM61" s="16" t="s">
        <v>165</v>
      </c>
      <c r="AN61" s="18">
        <f>+AL61*100</f>
        <v>0</v>
      </c>
    </row>
    <row r="62" spans="1:40" x14ac:dyDescent="0.25">
      <c r="A62" s="143">
        <v>5</v>
      </c>
      <c r="B62" s="92">
        <v>45231</v>
      </c>
      <c r="C62" s="226" t="s">
        <v>2239</v>
      </c>
      <c r="D62" s="32"/>
      <c r="E62" s="32"/>
      <c r="F62" s="32"/>
      <c r="G62" s="32" t="s">
        <v>2240</v>
      </c>
      <c r="H62" s="122"/>
      <c r="I62" s="32"/>
      <c r="J62" s="20">
        <v>10</v>
      </c>
      <c r="K62" s="21">
        <v>10</v>
      </c>
      <c r="L62" s="21">
        <f t="shared" si="10"/>
        <v>10</v>
      </c>
      <c r="M62" s="21">
        <f t="shared" si="11"/>
        <v>-10</v>
      </c>
      <c r="N62" s="21"/>
      <c r="O62" s="21"/>
      <c r="P62" s="5"/>
      <c r="Q62" s="16"/>
      <c r="R62" s="16"/>
      <c r="S62" s="21">
        <f t="shared" si="12"/>
        <v>0</v>
      </c>
      <c r="T62" s="21"/>
      <c r="U62" s="78">
        <f t="shared" si="13"/>
        <v>0</v>
      </c>
      <c r="V62" s="140"/>
      <c r="W62" s="147"/>
      <c r="X62" s="23"/>
      <c r="Y62" s="334"/>
      <c r="Z62" s="5"/>
      <c r="AB62">
        <v>5</v>
      </c>
      <c r="AC62" s="16" t="s">
        <v>166</v>
      </c>
      <c r="AD62" s="18">
        <f>+AB62*50</f>
        <v>250</v>
      </c>
      <c r="AF62">
        <v>8</v>
      </c>
      <c r="AG62" s="16" t="s">
        <v>166</v>
      </c>
      <c r="AH62" s="18">
        <f>+AF62*50</f>
        <v>400</v>
      </c>
      <c r="AJ62" s="16"/>
      <c r="AK62" s="16"/>
      <c r="AM62" s="16" t="s">
        <v>166</v>
      </c>
      <c r="AN62" s="18">
        <f>+AL62*50</f>
        <v>0</v>
      </c>
    </row>
    <row r="63" spans="1:40" x14ac:dyDescent="0.25">
      <c r="A63" s="143">
        <v>6</v>
      </c>
      <c r="B63" s="92">
        <v>45231</v>
      </c>
      <c r="C63" s="31"/>
      <c r="D63" s="32"/>
      <c r="E63" s="32"/>
      <c r="F63" s="32"/>
      <c r="G63" s="39"/>
      <c r="H63" s="39"/>
      <c r="I63" s="42"/>
      <c r="J63" s="20">
        <v>12</v>
      </c>
      <c r="K63" s="21">
        <v>15</v>
      </c>
      <c r="L63" s="21">
        <f t="shared" si="10"/>
        <v>12</v>
      </c>
      <c r="M63" s="21">
        <f t="shared" si="11"/>
        <v>-12</v>
      </c>
      <c r="N63" s="21"/>
      <c r="O63" s="21"/>
      <c r="P63" s="5"/>
      <c r="Q63" s="16"/>
      <c r="R63" s="16"/>
      <c r="S63" s="21">
        <f t="shared" si="12"/>
        <v>0</v>
      </c>
      <c r="T63" s="16"/>
      <c r="U63" s="78">
        <f t="shared" si="13"/>
        <v>0</v>
      </c>
      <c r="V63" s="140"/>
      <c r="W63" s="147"/>
      <c r="X63" s="23"/>
      <c r="Y63" s="334"/>
      <c r="Z63" s="5"/>
      <c r="AB63">
        <v>8</v>
      </c>
      <c r="AC63" s="16" t="s">
        <v>167</v>
      </c>
      <c r="AD63" s="18">
        <f>+AB63*20</f>
        <v>160</v>
      </c>
      <c r="AF63">
        <v>11</v>
      </c>
      <c r="AG63" s="16" t="s">
        <v>167</v>
      </c>
      <c r="AH63" s="18">
        <f>+AF63*20</f>
        <v>220</v>
      </c>
      <c r="AJ63" s="16"/>
      <c r="AK63" s="16"/>
      <c r="AM63" s="16" t="s">
        <v>167</v>
      </c>
      <c r="AN63" s="18">
        <f>+AL63*20</f>
        <v>0</v>
      </c>
    </row>
    <row r="64" spans="1:40" x14ac:dyDescent="0.25">
      <c r="A64" s="143">
        <v>7</v>
      </c>
      <c r="B64" s="92">
        <v>45231</v>
      </c>
      <c r="C64" s="31"/>
      <c r="D64" s="32"/>
      <c r="E64" s="32"/>
      <c r="F64" s="32"/>
      <c r="G64" s="39"/>
      <c r="H64" s="122"/>
      <c r="I64" s="42"/>
      <c r="J64" s="20">
        <v>14</v>
      </c>
      <c r="K64" s="21">
        <v>10</v>
      </c>
      <c r="L64" s="21">
        <f t="shared" si="10"/>
        <v>14</v>
      </c>
      <c r="M64" s="21">
        <f t="shared" si="11"/>
        <v>-14</v>
      </c>
      <c r="N64" s="21"/>
      <c r="O64" s="21"/>
      <c r="P64" s="5"/>
      <c r="Q64" s="16"/>
      <c r="R64" s="16"/>
      <c r="S64" s="21">
        <f t="shared" si="12"/>
        <v>0</v>
      </c>
      <c r="T64" s="16"/>
      <c r="U64" s="78">
        <f t="shared" si="13"/>
        <v>0</v>
      </c>
      <c r="V64" s="140"/>
      <c r="W64" s="147"/>
      <c r="X64" s="23"/>
      <c r="Y64" s="334"/>
      <c r="Z64" s="5"/>
      <c r="AB64">
        <v>1</v>
      </c>
      <c r="AC64" s="16" t="s">
        <v>171</v>
      </c>
      <c r="AD64" s="18">
        <f>+AB64*500</f>
        <v>500</v>
      </c>
      <c r="AF64">
        <v>1</v>
      </c>
      <c r="AG64" s="16" t="s">
        <v>171</v>
      </c>
      <c r="AH64" s="18">
        <f>+AF64*500</f>
        <v>500</v>
      </c>
      <c r="AJ64" s="16"/>
      <c r="AK64" s="16"/>
      <c r="AM64" s="16" t="s">
        <v>171</v>
      </c>
      <c r="AN64" s="18">
        <f>+AL64*500</f>
        <v>0</v>
      </c>
    </row>
    <row r="65" spans="1:40" x14ac:dyDescent="0.25">
      <c r="A65" s="143">
        <v>8</v>
      </c>
      <c r="B65" s="92">
        <v>45231</v>
      </c>
      <c r="C65" s="31"/>
      <c r="D65" s="123"/>
      <c r="E65" s="123"/>
      <c r="F65" s="123"/>
      <c r="G65" s="39"/>
      <c r="H65" s="122"/>
      <c r="I65" s="32"/>
      <c r="J65" s="20">
        <v>10</v>
      </c>
      <c r="K65" s="21">
        <v>10</v>
      </c>
      <c r="L65" s="21">
        <f t="shared" si="10"/>
        <v>10</v>
      </c>
      <c r="M65" s="21">
        <f t="shared" si="11"/>
        <v>-10</v>
      </c>
      <c r="N65" s="21"/>
      <c r="O65" s="21"/>
      <c r="P65" s="5"/>
      <c r="Q65" s="16"/>
      <c r="R65" s="16"/>
      <c r="S65" s="21">
        <f t="shared" si="12"/>
        <v>0</v>
      </c>
      <c r="T65" s="16"/>
      <c r="U65" s="78">
        <f t="shared" si="13"/>
        <v>0</v>
      </c>
      <c r="V65" s="140"/>
      <c r="W65" s="147"/>
      <c r="X65" s="23"/>
      <c r="Y65" s="334"/>
      <c r="Z65" s="5"/>
      <c r="AC65" s="16" t="s">
        <v>168</v>
      </c>
      <c r="AD65" s="18">
        <f>+AB65*1000</f>
        <v>0</v>
      </c>
      <c r="AG65" s="16" t="s">
        <v>168</v>
      </c>
      <c r="AH65" s="18">
        <f>+AF65*1000</f>
        <v>0</v>
      </c>
      <c r="AJ65" s="16"/>
      <c r="AK65" s="16"/>
      <c r="AM65" s="16" t="s">
        <v>168</v>
      </c>
      <c r="AN65" s="18">
        <f>+AL65*1000</f>
        <v>0</v>
      </c>
    </row>
    <row r="66" spans="1:40" x14ac:dyDescent="0.25">
      <c r="A66" s="143">
        <v>9</v>
      </c>
      <c r="B66" s="92">
        <v>45231</v>
      </c>
      <c r="C66" s="31" t="s">
        <v>2233</v>
      </c>
      <c r="D66" s="32"/>
      <c r="E66" s="32" t="s">
        <v>52</v>
      </c>
      <c r="F66" s="32" t="s">
        <v>1317</v>
      </c>
      <c r="G66" s="39" t="s">
        <v>2249</v>
      </c>
      <c r="H66" s="39"/>
      <c r="I66" s="40"/>
      <c r="J66" s="20">
        <v>14</v>
      </c>
      <c r="K66" s="21">
        <v>10</v>
      </c>
      <c r="L66" s="21">
        <f t="shared" si="10"/>
        <v>14</v>
      </c>
      <c r="M66" s="21">
        <f t="shared" si="11"/>
        <v>-14</v>
      </c>
      <c r="N66" s="21"/>
      <c r="O66" s="21"/>
      <c r="P66" s="5"/>
      <c r="Q66" s="16"/>
      <c r="R66" s="16"/>
      <c r="S66" s="21">
        <f t="shared" si="12"/>
        <v>0</v>
      </c>
      <c r="T66" s="16"/>
      <c r="U66" s="78">
        <f t="shared" si="13"/>
        <v>0</v>
      </c>
      <c r="V66" s="140"/>
      <c r="W66" s="147"/>
      <c r="X66" s="23"/>
      <c r="Y66" s="334"/>
      <c r="Z66" s="5"/>
      <c r="AC66" s="26"/>
      <c r="AD66" s="58"/>
      <c r="AG66" s="26"/>
      <c r="AH66" s="58"/>
      <c r="AJ66" s="16"/>
      <c r="AK66" s="16"/>
      <c r="AM66" s="26"/>
      <c r="AN66" s="58"/>
    </row>
    <row r="67" spans="1:40" x14ac:dyDescent="0.25">
      <c r="A67" s="143">
        <v>10</v>
      </c>
      <c r="B67" s="92">
        <v>45231</v>
      </c>
      <c r="C67" s="31" t="s">
        <v>2250</v>
      </c>
      <c r="D67" s="32"/>
      <c r="E67" s="32" t="s">
        <v>2242</v>
      </c>
      <c r="F67" t="s">
        <v>724</v>
      </c>
      <c r="G67" s="32" t="s">
        <v>2241</v>
      </c>
      <c r="H67" s="122"/>
      <c r="I67" s="42"/>
      <c r="J67" s="20">
        <v>12</v>
      </c>
      <c r="K67" s="21">
        <v>10</v>
      </c>
      <c r="L67" s="21">
        <f t="shared" si="10"/>
        <v>12</v>
      </c>
      <c r="M67" s="21">
        <f t="shared" si="11"/>
        <v>-12</v>
      </c>
      <c r="N67" s="21"/>
      <c r="O67" s="21"/>
      <c r="P67" s="5"/>
      <c r="Q67" s="16"/>
      <c r="R67" s="16"/>
      <c r="S67" s="21">
        <f t="shared" si="12"/>
        <v>0</v>
      </c>
      <c r="T67" s="16"/>
      <c r="U67" s="78">
        <f t="shared" si="13"/>
        <v>0</v>
      </c>
      <c r="V67" s="140"/>
      <c r="W67" s="147"/>
      <c r="X67" s="23"/>
      <c r="Y67" s="334"/>
      <c r="Z67" s="5"/>
      <c r="AC67" s="16" t="s">
        <v>169</v>
      </c>
      <c r="AD67" s="18">
        <f>SUM(AD57:AD66)</f>
        <v>1966.5</v>
      </c>
      <c r="AG67" s="16" t="s">
        <v>169</v>
      </c>
      <c r="AH67" s="18">
        <f>SUM(AH57:AH66)</f>
        <v>1960</v>
      </c>
      <c r="AJ67" s="16"/>
      <c r="AK67" s="16"/>
      <c r="AM67" s="16" t="s">
        <v>169</v>
      </c>
      <c r="AN67" s="18"/>
    </row>
    <row r="68" spans="1:40" x14ac:dyDescent="0.25">
      <c r="A68" s="143">
        <v>11</v>
      </c>
      <c r="B68" s="92">
        <v>45231</v>
      </c>
      <c r="C68" s="31" t="s">
        <v>149</v>
      </c>
      <c r="D68" s="124"/>
      <c r="E68" s="123" t="s">
        <v>52</v>
      </c>
      <c r="F68" s="123" t="s">
        <v>818</v>
      </c>
      <c r="G68" s="39" t="s">
        <v>2247</v>
      </c>
      <c r="H68" s="122">
        <v>200</v>
      </c>
      <c r="I68" s="42">
        <v>88</v>
      </c>
      <c r="J68" s="20">
        <v>12</v>
      </c>
      <c r="K68" s="21">
        <v>10</v>
      </c>
      <c r="L68" s="21">
        <f t="shared" si="10"/>
        <v>100</v>
      </c>
      <c r="M68" s="21">
        <f t="shared" si="11"/>
        <v>100</v>
      </c>
      <c r="N68" s="21">
        <v>88</v>
      </c>
      <c r="O68" s="21"/>
      <c r="P68" s="5"/>
      <c r="Q68" s="16"/>
      <c r="R68" s="16"/>
      <c r="S68" s="21">
        <f t="shared" si="12"/>
        <v>0</v>
      </c>
      <c r="T68" s="16"/>
      <c r="U68" s="78">
        <f t="shared" si="13"/>
        <v>0</v>
      </c>
      <c r="V68" s="140"/>
      <c r="W68" s="147"/>
      <c r="X68" s="23"/>
      <c r="Y68" s="334"/>
      <c r="Z68" s="5"/>
      <c r="AD68">
        <v>2990.5</v>
      </c>
      <c r="AJ68" s="16"/>
      <c r="AK68" s="16"/>
      <c r="AM68" s="16"/>
      <c r="AN68" s="16"/>
    </row>
    <row r="69" spans="1:40" x14ac:dyDescent="0.25">
      <c r="A69" s="143">
        <v>12</v>
      </c>
      <c r="B69" s="92">
        <v>45231</v>
      </c>
      <c r="C69" s="32" t="s">
        <v>2243</v>
      </c>
      <c r="D69" s="32"/>
      <c r="E69" s="124" t="s">
        <v>52</v>
      </c>
      <c r="F69" s="123" t="s">
        <v>482</v>
      </c>
      <c r="G69" s="123" t="s">
        <v>2246</v>
      </c>
      <c r="H69" s="39">
        <v>200</v>
      </c>
      <c r="I69" s="42">
        <v>177</v>
      </c>
      <c r="J69" s="20">
        <v>14</v>
      </c>
      <c r="K69" s="21">
        <v>9</v>
      </c>
      <c r="L69" s="21">
        <f t="shared" si="10"/>
        <v>191</v>
      </c>
      <c r="M69" s="21">
        <f t="shared" si="11"/>
        <v>9</v>
      </c>
      <c r="N69" s="21">
        <v>177</v>
      </c>
      <c r="O69" s="21"/>
      <c r="P69" s="5"/>
      <c r="Q69" s="45"/>
      <c r="R69" s="44"/>
      <c r="S69" s="21">
        <f t="shared" si="12"/>
        <v>0</v>
      </c>
      <c r="T69" s="45"/>
      <c r="U69" s="78">
        <f t="shared" si="13"/>
        <v>0</v>
      </c>
      <c r="V69" s="140"/>
      <c r="W69" s="147"/>
      <c r="X69" s="23"/>
      <c r="Y69" s="334"/>
      <c r="Z69" s="5"/>
      <c r="AJ69" s="63" t="s">
        <v>169</v>
      </c>
      <c r="AK69" s="63">
        <f>+SUM(AJ58:AJ68)-SUM(AK58:AK68)</f>
        <v>0</v>
      </c>
      <c r="AM69" s="63" t="s">
        <v>169</v>
      </c>
      <c r="AN69" s="85">
        <f>+SUM(AM57:AM68)-SUM(AN58:AN68)</f>
        <v>0</v>
      </c>
    </row>
    <row r="70" spans="1:40" x14ac:dyDescent="0.25">
      <c r="A70" s="143">
        <v>13</v>
      </c>
      <c r="B70" s="92">
        <v>45231</v>
      </c>
      <c r="C70" s="31" t="s">
        <v>2244</v>
      </c>
      <c r="D70" s="32"/>
      <c r="E70" s="32" t="s">
        <v>52</v>
      </c>
      <c r="F70" s="32" t="s">
        <v>2248</v>
      </c>
      <c r="G70" s="32" t="s">
        <v>2245</v>
      </c>
      <c r="H70" s="39">
        <v>200</v>
      </c>
      <c r="I70" s="42">
        <v>127</v>
      </c>
      <c r="J70" s="108">
        <v>14</v>
      </c>
      <c r="K70" s="21">
        <v>20</v>
      </c>
      <c r="L70" s="21">
        <f t="shared" si="10"/>
        <v>141</v>
      </c>
      <c r="M70" s="21">
        <f t="shared" si="11"/>
        <v>59</v>
      </c>
      <c r="N70" s="21">
        <v>127</v>
      </c>
      <c r="O70" s="21"/>
      <c r="P70" s="5"/>
      <c r="Q70" s="43"/>
      <c r="R70" s="32"/>
      <c r="S70" s="21">
        <f t="shared" si="12"/>
        <v>0</v>
      </c>
      <c r="T70" s="43"/>
      <c r="U70" s="78">
        <f t="shared" si="13"/>
        <v>0</v>
      </c>
      <c r="V70" s="140"/>
      <c r="W70" s="147"/>
      <c r="X70" s="23"/>
      <c r="Y70" s="334"/>
      <c r="Z70" s="5"/>
      <c r="AH70" s="83"/>
    </row>
    <row r="71" spans="1:40" x14ac:dyDescent="0.25">
      <c r="A71" s="143">
        <v>14</v>
      </c>
      <c r="B71" s="92">
        <v>45231</v>
      </c>
      <c r="C71" s="31" t="s">
        <v>860</v>
      </c>
      <c r="D71" s="32"/>
      <c r="E71" s="32" t="s">
        <v>451</v>
      </c>
      <c r="F71" s="32" t="s">
        <v>724</v>
      </c>
      <c r="G71" s="39" t="s">
        <v>2251</v>
      </c>
      <c r="H71" s="39">
        <v>200</v>
      </c>
      <c r="I71" s="42">
        <v>69</v>
      </c>
      <c r="J71" s="108">
        <v>14</v>
      </c>
      <c r="K71" s="21">
        <v>10</v>
      </c>
      <c r="L71" s="21">
        <f t="shared" si="10"/>
        <v>83</v>
      </c>
      <c r="M71" s="21">
        <f t="shared" si="11"/>
        <v>117</v>
      </c>
      <c r="N71" s="21">
        <v>69</v>
      </c>
      <c r="O71" s="21"/>
      <c r="P71" s="5"/>
      <c r="Q71" s="43"/>
      <c r="R71" s="43"/>
      <c r="S71" s="21">
        <f t="shared" si="12"/>
        <v>0</v>
      </c>
      <c r="T71" s="43"/>
      <c r="U71" s="78">
        <f t="shared" si="13"/>
        <v>0</v>
      </c>
      <c r="V71" s="140"/>
      <c r="W71" s="147"/>
      <c r="X71" s="23"/>
      <c r="Y71" s="334"/>
      <c r="Z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40" x14ac:dyDescent="0.25">
      <c r="A72" s="143">
        <v>15</v>
      </c>
      <c r="B72" s="92">
        <v>45231</v>
      </c>
      <c r="C72" s="32" t="s">
        <v>2243</v>
      </c>
      <c r="D72" s="32"/>
      <c r="E72" s="32" t="s">
        <v>52</v>
      </c>
      <c r="F72" s="123" t="s">
        <v>482</v>
      </c>
      <c r="G72" s="129" t="s">
        <v>2252</v>
      </c>
      <c r="H72" s="39">
        <v>200</v>
      </c>
      <c r="I72" s="42">
        <v>42</v>
      </c>
      <c r="J72" s="108">
        <v>12</v>
      </c>
      <c r="K72" s="21">
        <v>10</v>
      </c>
      <c r="L72" s="21">
        <f t="shared" si="10"/>
        <v>54</v>
      </c>
      <c r="M72" s="21">
        <f t="shared" si="11"/>
        <v>146</v>
      </c>
      <c r="N72" s="21">
        <v>42</v>
      </c>
      <c r="O72" s="21"/>
      <c r="P72" s="5"/>
      <c r="Q72" s="43"/>
      <c r="R72" s="43"/>
      <c r="S72" s="21">
        <f t="shared" si="12"/>
        <v>0</v>
      </c>
      <c r="T72" s="43"/>
      <c r="U72" s="78">
        <f t="shared" si="13"/>
        <v>0</v>
      </c>
      <c r="V72" s="140"/>
      <c r="W72" s="147"/>
      <c r="X72" s="23"/>
      <c r="Y72" s="334"/>
      <c r="Z72" s="5"/>
      <c r="AC72" s="5"/>
      <c r="AD72" s="134" t="s">
        <v>20</v>
      </c>
      <c r="AE72" s="338"/>
      <c r="AF72" s="341" t="s">
        <v>686</v>
      </c>
      <c r="AG72" s="134" t="s">
        <v>20</v>
      </c>
      <c r="AH72" s="338">
        <v>210</v>
      </c>
      <c r="AI72" s="341" t="s">
        <v>687</v>
      </c>
      <c r="AJ72" s="134" t="s">
        <v>20</v>
      </c>
      <c r="AK72" s="338"/>
      <c r="AL72" s="5"/>
    </row>
    <row r="73" spans="1:40" x14ac:dyDescent="0.25">
      <c r="A73" s="143">
        <v>16</v>
      </c>
      <c r="B73" s="92">
        <v>45231</v>
      </c>
      <c r="C73" s="31"/>
      <c r="D73" s="32"/>
      <c r="E73" s="32"/>
      <c r="F73" s="32"/>
      <c r="G73" s="39"/>
      <c r="H73" s="39"/>
      <c r="I73" s="42"/>
      <c r="J73" s="43">
        <v>10</v>
      </c>
      <c r="K73" s="21">
        <f>U73-J73-O73</f>
        <v>-10</v>
      </c>
      <c r="L73" s="21">
        <f t="shared" si="10"/>
        <v>10</v>
      </c>
      <c r="M73" s="21">
        <f t="shared" si="11"/>
        <v>-10</v>
      </c>
      <c r="N73" s="21"/>
      <c r="O73" s="21"/>
      <c r="P73" s="5"/>
      <c r="Q73" s="43"/>
      <c r="R73" s="32"/>
      <c r="S73" s="21">
        <f t="shared" si="12"/>
        <v>0</v>
      </c>
      <c r="T73" s="131"/>
      <c r="U73" s="78">
        <f t="shared" si="13"/>
        <v>0</v>
      </c>
      <c r="V73" s="140"/>
      <c r="W73" s="147"/>
      <c r="X73" s="23"/>
      <c r="Y73" s="334"/>
      <c r="Z73" s="5"/>
      <c r="AC73" s="5" t="s">
        <v>685</v>
      </c>
      <c r="AD73" s="115" t="s">
        <v>684</v>
      </c>
      <c r="AE73" s="339"/>
      <c r="AF73" s="341"/>
      <c r="AG73" s="115" t="s">
        <v>684</v>
      </c>
      <c r="AH73" s="339"/>
      <c r="AI73" s="341"/>
      <c r="AJ73" s="115" t="s">
        <v>684</v>
      </c>
      <c r="AK73" s="339"/>
      <c r="AL73" s="5"/>
    </row>
    <row r="74" spans="1:40" x14ac:dyDescent="0.25">
      <c r="A74" s="143">
        <v>17</v>
      </c>
      <c r="B74" s="92">
        <v>45231</v>
      </c>
      <c r="C74" s="31"/>
      <c r="D74" s="32"/>
      <c r="E74" s="32"/>
      <c r="F74" s="32"/>
      <c r="G74" s="39"/>
      <c r="H74" s="39"/>
      <c r="I74" s="42"/>
      <c r="J74" s="43">
        <v>10</v>
      </c>
      <c r="K74" s="21">
        <f>U74-J74-O74</f>
        <v>-10</v>
      </c>
      <c r="L74" s="21">
        <f t="shared" si="10"/>
        <v>10</v>
      </c>
      <c r="M74" s="21">
        <f t="shared" si="11"/>
        <v>-10</v>
      </c>
      <c r="N74" s="21"/>
      <c r="O74" s="21"/>
      <c r="P74" s="5"/>
      <c r="Q74" s="43"/>
      <c r="R74" s="32"/>
      <c r="S74" s="21">
        <f t="shared" si="12"/>
        <v>0</v>
      </c>
      <c r="T74" s="132"/>
      <c r="U74" s="78">
        <f t="shared" si="13"/>
        <v>0</v>
      </c>
      <c r="V74" s="140"/>
      <c r="W74" s="147"/>
      <c r="X74" s="23"/>
      <c r="Y74" s="340"/>
      <c r="Z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40" x14ac:dyDescent="0.25">
      <c r="A75" s="143">
        <v>18</v>
      </c>
      <c r="B75" s="92">
        <v>45231</v>
      </c>
      <c r="C75" s="31"/>
      <c r="D75" s="32"/>
      <c r="E75" s="32"/>
      <c r="F75" s="32"/>
      <c r="G75" s="39"/>
      <c r="H75" s="39"/>
      <c r="I75" s="42"/>
      <c r="J75" s="43">
        <v>10</v>
      </c>
      <c r="K75" s="21">
        <f>U75-J75-O75</f>
        <v>-10</v>
      </c>
      <c r="L75" s="21">
        <f t="shared" si="10"/>
        <v>10</v>
      </c>
      <c r="M75" s="21">
        <f t="shared" si="11"/>
        <v>-10</v>
      </c>
      <c r="N75" s="21"/>
      <c r="O75" s="21"/>
      <c r="P75" s="5"/>
      <c r="Q75" s="135"/>
      <c r="R75" s="104"/>
      <c r="S75" s="21">
        <f t="shared" si="12"/>
        <v>0</v>
      </c>
      <c r="T75" s="131"/>
      <c r="U75" s="78">
        <f t="shared" si="13"/>
        <v>0</v>
      </c>
      <c r="V75" s="140"/>
      <c r="W75" s="138"/>
      <c r="X75" s="32"/>
      <c r="Z75" s="5"/>
    </row>
    <row r="76" spans="1:40" x14ac:dyDescent="0.25">
      <c r="A76" s="143">
        <v>19</v>
      </c>
      <c r="B76" s="92">
        <v>45231</v>
      </c>
      <c r="C76" s="31"/>
      <c r="D76" s="32"/>
      <c r="E76" s="32"/>
      <c r="F76" s="32"/>
      <c r="G76" s="39"/>
      <c r="H76" s="39"/>
      <c r="I76" s="42"/>
      <c r="J76" s="43">
        <v>10</v>
      </c>
      <c r="K76" s="21">
        <f>U76-J76-O76</f>
        <v>-10</v>
      </c>
      <c r="L76" s="21">
        <f t="shared" si="10"/>
        <v>10</v>
      </c>
      <c r="M76" s="21">
        <f t="shared" si="11"/>
        <v>-10</v>
      </c>
      <c r="N76" s="21"/>
      <c r="O76" s="21"/>
      <c r="P76" s="5"/>
      <c r="Q76" s="32"/>
      <c r="R76" s="32"/>
      <c r="S76" s="21">
        <f t="shared" si="12"/>
        <v>0</v>
      </c>
      <c r="T76" s="32"/>
      <c r="U76" s="78">
        <f t="shared" si="13"/>
        <v>0</v>
      </c>
      <c r="V76" s="140"/>
      <c r="W76" s="138"/>
      <c r="X76" s="32"/>
      <c r="Z76" s="5"/>
    </row>
    <row r="77" spans="1:40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22">
        <f>SUM(N60:N73)</f>
        <v>765</v>
      </c>
      <c r="O77" s="5"/>
      <c r="P77" s="5"/>
      <c r="Q77" s="5"/>
      <c r="R77" s="5"/>
      <c r="S77" s="5"/>
      <c r="T77" s="5"/>
      <c r="U77" s="5"/>
      <c r="V77" s="141"/>
      <c r="W77" s="5"/>
      <c r="X77" s="5"/>
      <c r="Y77" s="5"/>
      <c r="Z77" s="5"/>
    </row>
    <row r="81" spans="1:42" x14ac:dyDescent="0.25">
      <c r="K81" s="83">
        <f>+SUM(J89:J92)</f>
        <v>52</v>
      </c>
    </row>
    <row r="82" spans="1:42" x14ac:dyDescent="0.25">
      <c r="K82" s="83">
        <f>+K81+75</f>
        <v>127</v>
      </c>
    </row>
    <row r="84" spans="1:42" x14ac:dyDescent="0.25">
      <c r="A84" s="1" t="s">
        <v>0</v>
      </c>
      <c r="B84" s="1"/>
      <c r="C84" s="1"/>
      <c r="D84" s="1"/>
      <c r="E84" s="1"/>
      <c r="F84" s="1"/>
      <c r="G84" s="1"/>
      <c r="H84" s="1"/>
      <c r="I84" s="1" t="s">
        <v>148</v>
      </c>
      <c r="J84" s="1"/>
      <c r="K84" s="1"/>
      <c r="L84" s="1"/>
      <c r="M84" s="1"/>
      <c r="N84" s="1"/>
      <c r="O84" s="1"/>
      <c r="P84" s="1"/>
      <c r="Q84" s="1"/>
      <c r="R84" s="1"/>
      <c r="S84" s="342" t="s">
        <v>1</v>
      </c>
      <c r="T84" s="342"/>
      <c r="U84" s="5"/>
      <c r="V84" s="139"/>
      <c r="W84" s="1"/>
      <c r="X84" s="1"/>
      <c r="Y84" s="1"/>
      <c r="Z84" s="5"/>
      <c r="AC84" s="335" t="s">
        <v>160</v>
      </c>
      <c r="AD84" s="336"/>
      <c r="AG84" s="335" t="s">
        <v>170</v>
      </c>
      <c r="AH84" s="336"/>
      <c r="AJ84" s="337" t="s">
        <v>172</v>
      </c>
      <c r="AK84" s="337"/>
      <c r="AM84" s="337" t="s">
        <v>681</v>
      </c>
      <c r="AN84" s="337"/>
    </row>
    <row r="85" spans="1:42" ht="90" x14ac:dyDescent="0.25">
      <c r="A85" s="6" t="s">
        <v>2</v>
      </c>
      <c r="B85" s="7" t="s">
        <v>3</v>
      </c>
      <c r="C85" s="7" t="s">
        <v>4</v>
      </c>
      <c r="D85" s="6" t="s">
        <v>5</v>
      </c>
      <c r="E85" s="6" t="s">
        <v>6</v>
      </c>
      <c r="F85" s="6" t="s">
        <v>7</v>
      </c>
      <c r="G85" s="6" t="s">
        <v>8</v>
      </c>
      <c r="H85" s="8" t="s">
        <v>9</v>
      </c>
      <c r="I85" s="9" t="s">
        <v>10</v>
      </c>
      <c r="J85" s="8" t="s">
        <v>11</v>
      </c>
      <c r="K85" s="10" t="s">
        <v>12</v>
      </c>
      <c r="L85" s="10" t="s">
        <v>13</v>
      </c>
      <c r="M85" s="11" t="s">
        <v>14</v>
      </c>
      <c r="N85" s="10" t="s">
        <v>691</v>
      </c>
      <c r="O85" s="10" t="s">
        <v>28</v>
      </c>
      <c r="P85" s="5"/>
      <c r="Q85" s="10" t="s">
        <v>16</v>
      </c>
      <c r="R85" s="10" t="s">
        <v>17</v>
      </c>
      <c r="S85" s="10" t="s">
        <v>18</v>
      </c>
      <c r="T85" s="10" t="s">
        <v>19</v>
      </c>
      <c r="U85" s="10" t="s">
        <v>20</v>
      </c>
      <c r="V85" s="13"/>
      <c r="W85" s="136" t="s">
        <v>688</v>
      </c>
      <c r="X85" s="14" t="s">
        <v>22</v>
      </c>
      <c r="Y85" s="15" t="s">
        <v>23</v>
      </c>
      <c r="Z85" s="5"/>
      <c r="AB85">
        <v>24</v>
      </c>
      <c r="AC85" s="16" t="s">
        <v>161</v>
      </c>
      <c r="AD85" s="58">
        <f>+AB85*10</f>
        <v>240</v>
      </c>
      <c r="AF85">
        <v>29</v>
      </c>
      <c r="AG85" s="16" t="s">
        <v>161</v>
      </c>
      <c r="AH85" s="58">
        <f>+AF85*10</f>
        <v>290</v>
      </c>
      <c r="AJ85" s="61" t="s">
        <v>173</v>
      </c>
      <c r="AK85" s="62" t="s">
        <v>174</v>
      </c>
      <c r="AM85" s="16" t="s">
        <v>161</v>
      </c>
      <c r="AN85" s="58">
        <f>+AL85*10</f>
        <v>0</v>
      </c>
    </row>
    <row r="86" spans="1:42" x14ac:dyDescent="0.25">
      <c r="A86" s="16">
        <v>1</v>
      </c>
      <c r="B86" s="92">
        <v>45232</v>
      </c>
      <c r="C86" s="31" t="s">
        <v>1003</v>
      </c>
      <c r="D86" s="32"/>
      <c r="E86" s="32"/>
      <c r="F86" s="39"/>
      <c r="G86" s="39"/>
      <c r="H86" s="122">
        <v>103</v>
      </c>
      <c r="I86" s="32">
        <v>91</v>
      </c>
      <c r="J86" s="20">
        <v>12</v>
      </c>
      <c r="K86" s="21">
        <f>U86-J86-O86</f>
        <v>0</v>
      </c>
      <c r="L86" s="21">
        <f t="shared" ref="L86:L108" si="14">+I86+J86</f>
        <v>103</v>
      </c>
      <c r="M86" s="21">
        <f t="shared" ref="M86:M108" si="15">+H86-L86</f>
        <v>0</v>
      </c>
      <c r="N86" s="21"/>
      <c r="O86" s="21"/>
      <c r="P86" s="5"/>
      <c r="Q86" s="21">
        <v>200</v>
      </c>
      <c r="R86" s="16"/>
      <c r="S86" s="21">
        <f t="shared" ref="S86:S108" si="16">+Q86+R86</f>
        <v>200</v>
      </c>
      <c r="T86" s="21">
        <v>212</v>
      </c>
      <c r="U86" s="78">
        <f>T86-S86-O86</f>
        <v>12</v>
      </c>
      <c r="V86" s="13"/>
      <c r="W86" s="147"/>
      <c r="X86" s="23"/>
      <c r="Y86" s="333"/>
      <c r="Z86" s="5"/>
      <c r="AB86">
        <v>77.5</v>
      </c>
      <c r="AC86" s="59" t="s">
        <v>162</v>
      </c>
      <c r="AD86" s="18">
        <f>+AB86*1</f>
        <v>77.5</v>
      </c>
      <c r="AF86">
        <v>124</v>
      </c>
      <c r="AG86" s="59" t="s">
        <v>162</v>
      </c>
      <c r="AH86" s="18">
        <f>+AF86*1</f>
        <v>124</v>
      </c>
      <c r="AJ86" s="16"/>
      <c r="AK86" s="16"/>
      <c r="AM86" s="59" t="s">
        <v>162</v>
      </c>
      <c r="AN86" s="18">
        <f>+AL86*1</f>
        <v>0</v>
      </c>
    </row>
    <row r="87" spans="1:42" x14ac:dyDescent="0.25">
      <c r="A87" s="26">
        <v>2</v>
      </c>
      <c r="B87" s="92">
        <v>45232</v>
      </c>
      <c r="C87" s="31" t="s">
        <v>2253</v>
      </c>
      <c r="D87" s="32"/>
      <c r="E87" s="32" t="s">
        <v>106</v>
      </c>
      <c r="F87" s="32" t="s">
        <v>1148</v>
      </c>
      <c r="G87" s="39" t="s">
        <v>2254</v>
      </c>
      <c r="H87" s="122">
        <v>91</v>
      </c>
      <c r="I87" s="32">
        <v>71</v>
      </c>
      <c r="J87" s="20">
        <v>10</v>
      </c>
      <c r="K87" s="21">
        <f>U87-J87-O87</f>
        <v>-152</v>
      </c>
      <c r="L87" s="21">
        <f t="shared" si="14"/>
        <v>81</v>
      </c>
      <c r="M87" s="21">
        <f t="shared" si="15"/>
        <v>10</v>
      </c>
      <c r="N87" s="21"/>
      <c r="O87" s="21">
        <v>71</v>
      </c>
      <c r="P87" s="5"/>
      <c r="Q87" s="21"/>
      <c r="R87" s="16"/>
      <c r="S87" s="21">
        <f t="shared" si="16"/>
        <v>0</v>
      </c>
      <c r="T87" s="21"/>
      <c r="U87" s="78">
        <f t="shared" ref="U87:U108" si="17">T87-S87-O87</f>
        <v>-71</v>
      </c>
      <c r="V87" s="140"/>
      <c r="W87" s="147"/>
      <c r="X87" s="23"/>
      <c r="Y87" s="334"/>
      <c r="Z87" s="5"/>
      <c r="AB87">
        <v>20</v>
      </c>
      <c r="AC87" s="16" t="s">
        <v>163</v>
      </c>
      <c r="AD87" s="60">
        <f>+AB87*5</f>
        <v>100</v>
      </c>
      <c r="AF87">
        <v>28</v>
      </c>
      <c r="AG87" s="16" t="s">
        <v>163</v>
      </c>
      <c r="AH87" s="60">
        <f>+AF87*5</f>
        <v>140</v>
      </c>
      <c r="AJ87" s="16"/>
      <c r="AK87" s="16"/>
      <c r="AM87" s="16" t="s">
        <v>163</v>
      </c>
      <c r="AN87" s="60">
        <f>+AL87*5</f>
        <v>0</v>
      </c>
    </row>
    <row r="88" spans="1:42" x14ac:dyDescent="0.25">
      <c r="A88" s="143">
        <v>3</v>
      </c>
      <c r="B88" s="92">
        <v>45232</v>
      </c>
      <c r="C88" s="31" t="s">
        <v>1743</v>
      </c>
      <c r="D88" s="32"/>
      <c r="E88" s="32" t="s">
        <v>83</v>
      </c>
      <c r="F88" s="32" t="s">
        <v>1148</v>
      </c>
      <c r="G88" s="39" t="s">
        <v>2255</v>
      </c>
      <c r="H88" s="122">
        <v>50</v>
      </c>
      <c r="I88" s="32">
        <v>32</v>
      </c>
      <c r="J88" s="20">
        <v>12</v>
      </c>
      <c r="K88" s="21">
        <f>U88-J88-O88</f>
        <v>0</v>
      </c>
      <c r="L88" s="21">
        <f t="shared" si="14"/>
        <v>44</v>
      </c>
      <c r="M88" s="21">
        <f t="shared" si="15"/>
        <v>6</v>
      </c>
      <c r="N88" s="21"/>
      <c r="O88" s="21"/>
      <c r="P88" s="5"/>
      <c r="Q88" s="21"/>
      <c r="R88" s="16"/>
      <c r="S88" s="21">
        <f t="shared" si="16"/>
        <v>0</v>
      </c>
      <c r="T88" s="21">
        <v>12</v>
      </c>
      <c r="U88" s="78">
        <f t="shared" si="17"/>
        <v>12</v>
      </c>
      <c r="V88" s="140"/>
      <c r="W88" s="147"/>
      <c r="X88" s="23"/>
      <c r="Y88" s="334"/>
      <c r="Z88" s="5"/>
      <c r="AB88">
        <v>1</v>
      </c>
      <c r="AC88" s="16" t="s">
        <v>164</v>
      </c>
      <c r="AD88" s="18">
        <f>+AB88*200</f>
        <v>200</v>
      </c>
      <c r="AF88">
        <v>3</v>
      </c>
      <c r="AG88" s="16" t="s">
        <v>164</v>
      </c>
      <c r="AH88" s="18">
        <f>+AF88*200</f>
        <v>600</v>
      </c>
      <c r="AJ88" s="16"/>
      <c r="AK88" s="16"/>
      <c r="AM88" s="16" t="s">
        <v>164</v>
      </c>
      <c r="AN88" s="18">
        <f>+AL88*200</f>
        <v>0</v>
      </c>
    </row>
    <row r="89" spans="1:42" x14ac:dyDescent="0.25">
      <c r="A89" s="143">
        <v>4</v>
      </c>
      <c r="B89" s="92">
        <v>45232</v>
      </c>
      <c r="C89" s="31" t="s">
        <v>2256</v>
      </c>
      <c r="D89" s="32"/>
      <c r="E89" s="32" t="s">
        <v>83</v>
      </c>
      <c r="F89" s="32" t="s">
        <v>1480</v>
      </c>
      <c r="G89" s="39" t="s">
        <v>2257</v>
      </c>
      <c r="H89" s="122">
        <v>93</v>
      </c>
      <c r="I89" s="32">
        <v>76</v>
      </c>
      <c r="J89" s="20">
        <v>12</v>
      </c>
      <c r="K89" s="21">
        <v>5</v>
      </c>
      <c r="L89" s="21">
        <f t="shared" si="14"/>
        <v>88</v>
      </c>
      <c r="M89" s="21">
        <f t="shared" si="15"/>
        <v>5</v>
      </c>
      <c r="N89" s="21"/>
      <c r="O89" s="21"/>
      <c r="P89" s="5"/>
      <c r="Q89" s="21"/>
      <c r="R89" s="16"/>
      <c r="S89" s="21">
        <f t="shared" si="16"/>
        <v>0</v>
      </c>
      <c r="T89" s="21"/>
      <c r="U89" s="78">
        <f t="shared" si="17"/>
        <v>0</v>
      </c>
      <c r="V89" s="140"/>
      <c r="W89" s="147"/>
      <c r="X89" s="23"/>
      <c r="Y89" s="334"/>
      <c r="Z89" s="5"/>
      <c r="AB89">
        <v>4</v>
      </c>
      <c r="AC89" s="16" t="s">
        <v>165</v>
      </c>
      <c r="AD89" s="18">
        <f>+AB89*100</f>
        <v>400</v>
      </c>
      <c r="AF89">
        <v>5</v>
      </c>
      <c r="AG89" s="16" t="s">
        <v>165</v>
      </c>
      <c r="AH89" s="18">
        <f>+AF89*100</f>
        <v>500</v>
      </c>
      <c r="AJ89" s="16"/>
      <c r="AK89" s="16"/>
      <c r="AM89" s="16" t="s">
        <v>165</v>
      </c>
      <c r="AN89" s="18">
        <f>+AL89*100</f>
        <v>0</v>
      </c>
      <c r="AP89" t="s">
        <v>2276</v>
      </c>
    </row>
    <row r="90" spans="1:42" x14ac:dyDescent="0.25">
      <c r="A90" s="143">
        <v>5</v>
      </c>
      <c r="B90" s="92">
        <v>45232</v>
      </c>
      <c r="C90" s="31" t="s">
        <v>2258</v>
      </c>
      <c r="D90" s="32"/>
      <c r="E90" s="32" t="s">
        <v>106</v>
      </c>
      <c r="F90" s="32" t="s">
        <v>2259</v>
      </c>
      <c r="G90" s="32" t="s">
        <v>2260</v>
      </c>
      <c r="H90" s="122">
        <v>264</v>
      </c>
      <c r="I90" s="32">
        <v>250</v>
      </c>
      <c r="J90" s="20">
        <v>14</v>
      </c>
      <c r="K90" s="21">
        <v>0</v>
      </c>
      <c r="L90" s="21">
        <f t="shared" si="14"/>
        <v>264</v>
      </c>
      <c r="M90" s="21">
        <f t="shared" si="15"/>
        <v>0</v>
      </c>
      <c r="N90" s="21"/>
      <c r="O90" s="21">
        <v>250</v>
      </c>
      <c r="P90" s="5"/>
      <c r="Q90" s="16"/>
      <c r="R90" s="16"/>
      <c r="S90" s="21">
        <f t="shared" si="16"/>
        <v>0</v>
      </c>
      <c r="T90" s="21"/>
      <c r="U90" s="78">
        <f t="shared" si="17"/>
        <v>-250</v>
      </c>
      <c r="V90" s="140"/>
      <c r="W90" s="147"/>
      <c r="X90" s="23"/>
      <c r="Y90" s="334"/>
      <c r="Z90" s="5"/>
      <c r="AB90">
        <v>9</v>
      </c>
      <c r="AC90" s="16" t="s">
        <v>166</v>
      </c>
      <c r="AD90" s="18">
        <f>+AB90*50</f>
        <v>450</v>
      </c>
      <c r="AF90">
        <v>7</v>
      </c>
      <c r="AG90" s="16" t="s">
        <v>166</v>
      </c>
      <c r="AH90" s="18">
        <f>+AF90*50</f>
        <v>350</v>
      </c>
      <c r="AJ90" s="16"/>
      <c r="AK90" s="16"/>
      <c r="AM90" s="16" t="s">
        <v>166</v>
      </c>
      <c r="AN90" s="18">
        <f>+AL90*50</f>
        <v>0</v>
      </c>
      <c r="AP90">
        <v>500</v>
      </c>
    </row>
    <row r="91" spans="1:42" x14ac:dyDescent="0.25">
      <c r="A91" s="143">
        <v>6</v>
      </c>
      <c r="B91" s="92">
        <v>45232</v>
      </c>
      <c r="C91" s="31" t="s">
        <v>2261</v>
      </c>
      <c r="D91" s="32"/>
      <c r="E91" s="32" t="s">
        <v>1371</v>
      </c>
      <c r="F91" s="32" t="s">
        <v>2175</v>
      </c>
      <c r="G91" s="39" t="s">
        <v>2262</v>
      </c>
      <c r="H91" s="39">
        <v>99</v>
      </c>
      <c r="I91" s="42">
        <v>77</v>
      </c>
      <c r="J91" s="20">
        <v>12</v>
      </c>
      <c r="K91" s="21">
        <v>10</v>
      </c>
      <c r="L91" s="21">
        <f t="shared" si="14"/>
        <v>89</v>
      </c>
      <c r="M91" s="21">
        <f t="shared" si="15"/>
        <v>10</v>
      </c>
      <c r="N91" s="21"/>
      <c r="O91" s="21"/>
      <c r="P91" s="5"/>
      <c r="Q91" s="16"/>
      <c r="R91" s="16"/>
      <c r="S91" s="21">
        <f t="shared" si="16"/>
        <v>0</v>
      </c>
      <c r="T91" s="16"/>
      <c r="U91" s="78">
        <f t="shared" si="17"/>
        <v>0</v>
      </c>
      <c r="V91" s="140"/>
      <c r="W91" s="147"/>
      <c r="X91" s="23"/>
      <c r="Y91" s="334"/>
      <c r="Z91" s="5"/>
      <c r="AB91">
        <v>15</v>
      </c>
      <c r="AC91" s="16" t="s">
        <v>167</v>
      </c>
      <c r="AD91" s="18">
        <f>+AB91*20</f>
        <v>300</v>
      </c>
      <c r="AF91">
        <v>18</v>
      </c>
      <c r="AG91" s="16" t="s">
        <v>167</v>
      </c>
      <c r="AH91" s="18">
        <f>+AF91*20</f>
        <v>360</v>
      </c>
      <c r="AJ91" s="16"/>
      <c r="AK91" s="16"/>
      <c r="AM91" s="16" t="s">
        <v>167</v>
      </c>
      <c r="AN91" s="18">
        <f>+AL91*20</f>
        <v>0</v>
      </c>
      <c r="AP91">
        <v>500</v>
      </c>
    </row>
    <row r="92" spans="1:42" x14ac:dyDescent="0.25">
      <c r="A92" s="143">
        <v>7</v>
      </c>
      <c r="B92" s="92">
        <v>45232</v>
      </c>
      <c r="C92" s="31" t="s">
        <v>2258</v>
      </c>
      <c r="D92" s="32"/>
      <c r="E92" s="32" t="s">
        <v>106</v>
      </c>
      <c r="F92" s="32" t="s">
        <v>2259</v>
      </c>
      <c r="G92" s="39"/>
      <c r="H92" s="122">
        <v>178</v>
      </c>
      <c r="I92" s="42">
        <v>164</v>
      </c>
      <c r="J92" s="20">
        <v>14</v>
      </c>
      <c r="K92" s="21">
        <v>0</v>
      </c>
      <c r="L92" s="21">
        <f t="shared" si="14"/>
        <v>178</v>
      </c>
      <c r="M92" s="21">
        <f t="shared" si="15"/>
        <v>0</v>
      </c>
      <c r="N92" s="21"/>
      <c r="O92" s="21">
        <v>164</v>
      </c>
      <c r="P92" s="5"/>
      <c r="Q92" s="16"/>
      <c r="R92" s="16"/>
      <c r="S92" s="21">
        <f t="shared" si="16"/>
        <v>0</v>
      </c>
      <c r="T92" s="16"/>
      <c r="U92" s="78">
        <f t="shared" si="17"/>
        <v>-164</v>
      </c>
      <c r="V92" s="140"/>
      <c r="W92" s="147"/>
      <c r="X92" s="23"/>
      <c r="Y92" s="334"/>
      <c r="Z92" s="5"/>
      <c r="AB92">
        <v>1</v>
      </c>
      <c r="AC92" s="16" t="s">
        <v>171</v>
      </c>
      <c r="AD92" s="18">
        <f>+AB92*500</f>
        <v>500</v>
      </c>
      <c r="AG92" s="16" t="s">
        <v>171</v>
      </c>
      <c r="AH92" s="18">
        <f>+AF92*500</f>
        <v>0</v>
      </c>
      <c r="AJ92" s="16"/>
      <c r="AK92" s="16"/>
      <c r="AM92" s="16" t="s">
        <v>171</v>
      </c>
      <c r="AN92" s="18">
        <f>+AL92*500</f>
        <v>0</v>
      </c>
      <c r="AP92">
        <v>250</v>
      </c>
    </row>
    <row r="93" spans="1:42" x14ac:dyDescent="0.25">
      <c r="A93" s="143">
        <v>8</v>
      </c>
      <c r="B93" s="92">
        <v>45232</v>
      </c>
      <c r="C93" s="31" t="s">
        <v>1755</v>
      </c>
      <c r="D93" s="123"/>
      <c r="E93" s="123" t="s">
        <v>106</v>
      </c>
      <c r="F93" s="123" t="s">
        <v>2072</v>
      </c>
      <c r="G93" s="39" t="s">
        <v>2263</v>
      </c>
      <c r="H93" s="122"/>
      <c r="I93" s="32">
        <v>73</v>
      </c>
      <c r="J93" s="20">
        <v>12</v>
      </c>
      <c r="K93" s="21">
        <v>10</v>
      </c>
      <c r="L93" s="21">
        <f t="shared" si="14"/>
        <v>85</v>
      </c>
      <c r="M93" s="21">
        <f t="shared" si="15"/>
        <v>-85</v>
      </c>
      <c r="N93" s="21"/>
      <c r="O93" s="21">
        <v>73</v>
      </c>
      <c r="P93" s="5"/>
      <c r="Q93" s="16">
        <v>100</v>
      </c>
      <c r="R93" s="16"/>
      <c r="S93" s="21">
        <f t="shared" si="16"/>
        <v>100</v>
      </c>
      <c r="T93" s="16"/>
      <c r="U93" s="78">
        <f t="shared" si="17"/>
        <v>-173</v>
      </c>
      <c r="V93" s="140"/>
      <c r="W93" s="147"/>
      <c r="X93" s="23"/>
      <c r="Y93" s="334"/>
      <c r="Z93" s="5"/>
      <c r="AC93" s="16" t="s">
        <v>168</v>
      </c>
      <c r="AD93" s="18">
        <f>+AB93*1000</f>
        <v>0</v>
      </c>
      <c r="AG93" s="16" t="s">
        <v>168</v>
      </c>
      <c r="AH93" s="18">
        <f>+AF93*1000</f>
        <v>0</v>
      </c>
      <c r="AJ93" s="16"/>
      <c r="AK93" s="16"/>
      <c r="AM93" s="16" t="s">
        <v>168</v>
      </c>
      <c r="AN93" s="18">
        <f>+AL93*1000</f>
        <v>0</v>
      </c>
      <c r="AP93" t="s">
        <v>2275</v>
      </c>
    </row>
    <row r="94" spans="1:42" x14ac:dyDescent="0.25">
      <c r="A94" s="143">
        <v>9</v>
      </c>
      <c r="B94" s="92">
        <v>45232</v>
      </c>
      <c r="C94" s="31" t="s">
        <v>2266</v>
      </c>
      <c r="D94" s="32"/>
      <c r="E94" s="32" t="s">
        <v>31</v>
      </c>
      <c r="F94" s="32" t="s">
        <v>2264</v>
      </c>
      <c r="G94" s="39" t="s">
        <v>2265</v>
      </c>
      <c r="H94" s="39">
        <v>61</v>
      </c>
      <c r="I94" s="40">
        <v>49</v>
      </c>
      <c r="J94" s="20">
        <v>12</v>
      </c>
      <c r="K94" s="21">
        <v>10</v>
      </c>
      <c r="L94" s="21">
        <f t="shared" si="14"/>
        <v>61</v>
      </c>
      <c r="M94" s="21">
        <f t="shared" si="15"/>
        <v>0</v>
      </c>
      <c r="N94" s="21"/>
      <c r="O94" s="21"/>
      <c r="P94" s="5"/>
      <c r="Q94" s="16"/>
      <c r="R94" s="16"/>
      <c r="S94" s="21">
        <f t="shared" si="16"/>
        <v>0</v>
      </c>
      <c r="T94" s="16"/>
      <c r="U94" s="78">
        <f t="shared" si="17"/>
        <v>0</v>
      </c>
      <c r="V94" s="140"/>
      <c r="W94" s="147"/>
      <c r="X94" s="23"/>
      <c r="Y94" s="334"/>
      <c r="Z94" s="5"/>
      <c r="AC94" s="26"/>
      <c r="AD94" s="58"/>
      <c r="AG94" s="26"/>
      <c r="AH94" s="58"/>
      <c r="AJ94" s="16"/>
      <c r="AK94" s="16"/>
      <c r="AM94" s="26"/>
      <c r="AN94" s="58"/>
      <c r="AP94" t="s">
        <v>2279</v>
      </c>
    </row>
    <row r="95" spans="1:42" x14ac:dyDescent="0.25">
      <c r="A95" s="143">
        <v>10</v>
      </c>
      <c r="B95" s="92">
        <v>45232</v>
      </c>
      <c r="C95" s="31" t="s">
        <v>1797</v>
      </c>
      <c r="D95" s="32"/>
      <c r="E95" s="32"/>
      <c r="F95" s="32" t="s">
        <v>2137</v>
      </c>
      <c r="G95" s="39" t="s">
        <v>2269</v>
      </c>
      <c r="H95" s="122">
        <v>210</v>
      </c>
      <c r="I95" s="42">
        <v>196</v>
      </c>
      <c r="J95" s="20">
        <v>14</v>
      </c>
      <c r="K95" s="21">
        <v>10</v>
      </c>
      <c r="L95" s="21">
        <f t="shared" si="14"/>
        <v>210</v>
      </c>
      <c r="M95" s="21">
        <f t="shared" si="15"/>
        <v>0</v>
      </c>
      <c r="N95" s="21">
        <v>210</v>
      </c>
      <c r="O95" s="21"/>
      <c r="P95" s="5"/>
      <c r="Q95" s="16"/>
      <c r="R95" s="16"/>
      <c r="S95" s="21">
        <f t="shared" si="16"/>
        <v>0</v>
      </c>
      <c r="T95" s="16"/>
      <c r="U95" s="78">
        <f t="shared" si="17"/>
        <v>0</v>
      </c>
      <c r="V95" s="140"/>
      <c r="W95" s="147"/>
      <c r="X95" s="23"/>
      <c r="Y95" s="334"/>
      <c r="Z95" s="5"/>
      <c r="AC95" s="16" t="s">
        <v>169</v>
      </c>
      <c r="AD95" s="18">
        <f>SUM(AD85:AD94)</f>
        <v>2267.5</v>
      </c>
      <c r="AG95" s="16" t="s">
        <v>169</v>
      </c>
      <c r="AH95" s="18">
        <f>SUM(AH85:AH94)</f>
        <v>2364</v>
      </c>
      <c r="AJ95" s="16"/>
      <c r="AK95" s="16"/>
      <c r="AM95" s="16" t="s">
        <v>169</v>
      </c>
      <c r="AN95" s="18"/>
      <c r="AP95" t="s">
        <v>2280</v>
      </c>
    </row>
    <row r="96" spans="1:42" x14ac:dyDescent="0.25">
      <c r="A96" s="143">
        <v>11</v>
      </c>
      <c r="B96" s="92">
        <v>45232</v>
      </c>
      <c r="C96" s="31" t="s">
        <v>2267</v>
      </c>
      <c r="D96" s="124"/>
      <c r="E96" s="123"/>
      <c r="F96" s="123" t="s">
        <v>2270</v>
      </c>
      <c r="G96" s="39" t="s">
        <v>2265</v>
      </c>
      <c r="H96" s="122">
        <v>170</v>
      </c>
      <c r="I96" s="42">
        <v>156</v>
      </c>
      <c r="J96" s="20">
        <v>14</v>
      </c>
      <c r="K96" s="21">
        <v>20</v>
      </c>
      <c r="L96" s="21">
        <f t="shared" si="14"/>
        <v>170</v>
      </c>
      <c r="M96" s="21">
        <f t="shared" si="15"/>
        <v>0</v>
      </c>
      <c r="N96" s="21"/>
      <c r="O96" s="21">
        <v>156</v>
      </c>
      <c r="P96" s="5"/>
      <c r="Q96" s="16"/>
      <c r="R96" s="16"/>
      <c r="S96" s="21">
        <f t="shared" si="16"/>
        <v>0</v>
      </c>
      <c r="T96" s="16"/>
      <c r="U96" s="78">
        <f t="shared" si="17"/>
        <v>-156</v>
      </c>
      <c r="V96" s="140"/>
      <c r="W96" s="147"/>
      <c r="X96" s="23"/>
      <c r="Y96" s="334"/>
      <c r="Z96" s="5"/>
      <c r="AD96">
        <v>1862</v>
      </c>
      <c r="AJ96" s="16"/>
      <c r="AK96" s="16"/>
      <c r="AM96" s="16"/>
      <c r="AN96" s="16"/>
    </row>
    <row r="97" spans="1:40" x14ac:dyDescent="0.25">
      <c r="A97" s="143">
        <v>12</v>
      </c>
      <c r="B97" s="92">
        <v>45232</v>
      </c>
      <c r="C97" s="32" t="s">
        <v>2268</v>
      </c>
      <c r="D97" s="32"/>
      <c r="E97" s="124" t="s">
        <v>2273</v>
      </c>
      <c r="F97" s="123" t="s">
        <v>2131</v>
      </c>
      <c r="G97" s="39" t="s">
        <v>2271</v>
      </c>
      <c r="H97" s="39">
        <v>700</v>
      </c>
      <c r="I97" s="42">
        <v>480</v>
      </c>
      <c r="J97" s="20">
        <v>14</v>
      </c>
      <c r="K97" s="21">
        <v>30</v>
      </c>
      <c r="L97" s="21">
        <f t="shared" si="14"/>
        <v>494</v>
      </c>
      <c r="M97" s="21">
        <f t="shared" si="15"/>
        <v>206</v>
      </c>
      <c r="N97" s="21"/>
      <c r="O97" s="21"/>
      <c r="P97" s="5"/>
      <c r="Q97" s="45"/>
      <c r="R97" s="44"/>
      <c r="S97" s="21">
        <f t="shared" si="16"/>
        <v>0</v>
      </c>
      <c r="T97" s="45"/>
      <c r="U97" s="78">
        <f t="shared" si="17"/>
        <v>0</v>
      </c>
      <c r="V97" s="140"/>
      <c r="W97" s="147"/>
      <c r="X97" s="23"/>
      <c r="Y97" s="334"/>
      <c r="Z97" s="5"/>
      <c r="AJ97" s="63" t="s">
        <v>169</v>
      </c>
      <c r="AK97" s="63">
        <f>+SUM(AJ86:AJ96)-SUM(AK86:AK96)</f>
        <v>0</v>
      </c>
      <c r="AM97" s="63" t="s">
        <v>169</v>
      </c>
      <c r="AN97" s="85">
        <f>+SUM(AM85:AM96)-SUM(AN86:AN96)</f>
        <v>0</v>
      </c>
    </row>
    <row r="98" spans="1:40" x14ac:dyDescent="0.25">
      <c r="A98" s="143">
        <v>13</v>
      </c>
      <c r="B98" s="92">
        <v>45232</v>
      </c>
      <c r="C98" s="31" t="s">
        <v>319</v>
      </c>
      <c r="D98" s="32"/>
      <c r="E98" s="32" t="s">
        <v>2272</v>
      </c>
      <c r="F98" s="32" t="s">
        <v>1508</v>
      </c>
      <c r="G98" s="39" t="s">
        <v>2274</v>
      </c>
      <c r="H98" s="39">
        <v>72</v>
      </c>
      <c r="I98" s="42">
        <v>64</v>
      </c>
      <c r="J98" s="108">
        <v>14</v>
      </c>
      <c r="K98" s="21">
        <v>0</v>
      </c>
      <c r="L98" s="21">
        <f t="shared" si="14"/>
        <v>78</v>
      </c>
      <c r="M98" s="21">
        <f t="shared" si="15"/>
        <v>-6</v>
      </c>
      <c r="N98" s="21"/>
      <c r="O98" s="21"/>
      <c r="P98" s="5"/>
      <c r="Q98" s="43"/>
      <c r="R98" s="32"/>
      <c r="S98" s="21">
        <f t="shared" si="16"/>
        <v>0</v>
      </c>
      <c r="T98" s="43"/>
      <c r="U98" s="78">
        <f t="shared" si="17"/>
        <v>0</v>
      </c>
      <c r="V98" s="140"/>
      <c r="W98" s="147"/>
      <c r="X98" s="23"/>
      <c r="Y98" s="334"/>
      <c r="Z98" s="5"/>
      <c r="AH98" s="83"/>
    </row>
    <row r="99" spans="1:40" x14ac:dyDescent="0.25">
      <c r="A99" s="143">
        <v>14</v>
      </c>
      <c r="B99" s="92">
        <v>45232</v>
      </c>
      <c r="C99" s="31" t="s">
        <v>2278</v>
      </c>
      <c r="D99" s="32"/>
      <c r="E99" s="32" t="s">
        <v>672</v>
      </c>
      <c r="F99" s="32"/>
      <c r="G99" s="39" t="s">
        <v>2277</v>
      </c>
      <c r="H99" s="39">
        <v>350</v>
      </c>
      <c r="I99" s="42">
        <v>326</v>
      </c>
      <c r="J99" s="108">
        <v>20</v>
      </c>
      <c r="K99" s="21">
        <v>20</v>
      </c>
      <c r="L99" s="21">
        <f t="shared" si="14"/>
        <v>346</v>
      </c>
      <c r="M99" s="21">
        <f t="shared" si="15"/>
        <v>4</v>
      </c>
      <c r="N99" s="21"/>
      <c r="O99" s="21"/>
      <c r="P99" s="5"/>
      <c r="Q99" s="43">
        <v>500</v>
      </c>
      <c r="R99" s="43"/>
      <c r="S99" s="21">
        <f t="shared" si="16"/>
        <v>500</v>
      </c>
      <c r="T99" s="43"/>
      <c r="U99" s="78">
        <f t="shared" si="17"/>
        <v>-500</v>
      </c>
      <c r="V99" s="140"/>
      <c r="W99" s="147"/>
      <c r="X99" s="23"/>
      <c r="Y99" s="334"/>
      <c r="Z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40" x14ac:dyDescent="0.25">
      <c r="A100" s="143">
        <v>15</v>
      </c>
      <c r="B100" s="92">
        <v>45232</v>
      </c>
      <c r="C100" s="127" t="s">
        <v>2281</v>
      </c>
      <c r="D100" s="32"/>
      <c r="E100" s="32" t="s">
        <v>106</v>
      </c>
      <c r="F100" s="128" t="s">
        <v>2282</v>
      </c>
      <c r="G100" s="129" t="s">
        <v>2283</v>
      </c>
      <c r="H100" s="39">
        <v>301</v>
      </c>
      <c r="I100" s="42">
        <v>287</v>
      </c>
      <c r="J100" s="108">
        <v>14</v>
      </c>
      <c r="K100" s="21">
        <f>U100-J100-O100</f>
        <v>-1116</v>
      </c>
      <c r="L100" s="21">
        <f t="shared" si="14"/>
        <v>301</v>
      </c>
      <c r="M100" s="21">
        <f t="shared" si="15"/>
        <v>0</v>
      </c>
      <c r="N100" s="21"/>
      <c r="O100" s="21">
        <v>301</v>
      </c>
      <c r="P100" s="5"/>
      <c r="Q100" s="43">
        <v>500</v>
      </c>
      <c r="R100" s="43"/>
      <c r="S100" s="21">
        <f t="shared" si="16"/>
        <v>500</v>
      </c>
      <c r="T100" s="43"/>
      <c r="U100" s="78">
        <f t="shared" si="17"/>
        <v>-801</v>
      </c>
      <c r="V100" s="140"/>
      <c r="W100" s="147"/>
      <c r="X100" s="23"/>
      <c r="Y100" s="334"/>
      <c r="Z100" s="5"/>
      <c r="AC100" s="5"/>
      <c r="AD100" s="134" t="s">
        <v>20</v>
      </c>
      <c r="AE100" s="338"/>
      <c r="AF100" s="341" t="s">
        <v>686</v>
      </c>
      <c r="AG100" s="134" t="s">
        <v>20</v>
      </c>
      <c r="AH100" s="338">
        <v>110</v>
      </c>
      <c r="AI100" s="341" t="s">
        <v>687</v>
      </c>
      <c r="AJ100" s="134" t="s">
        <v>20</v>
      </c>
      <c r="AK100" s="338"/>
      <c r="AL100" s="5"/>
    </row>
    <row r="101" spans="1:40" x14ac:dyDescent="0.25">
      <c r="A101" s="143">
        <v>16</v>
      </c>
      <c r="B101" s="92">
        <v>45232</v>
      </c>
      <c r="C101" s="31" t="s">
        <v>319</v>
      </c>
      <c r="D101" s="32"/>
      <c r="E101" s="32" t="s">
        <v>106</v>
      </c>
      <c r="F101" s="32" t="s">
        <v>1508</v>
      </c>
      <c r="G101" s="39" t="s">
        <v>2284</v>
      </c>
      <c r="H101" s="39">
        <v>500</v>
      </c>
      <c r="I101" s="42">
        <v>168</v>
      </c>
      <c r="J101" s="43">
        <v>14</v>
      </c>
      <c r="K101" s="21">
        <v>15</v>
      </c>
      <c r="L101" s="21">
        <f t="shared" si="14"/>
        <v>182</v>
      </c>
      <c r="M101" s="21">
        <f t="shared" si="15"/>
        <v>318</v>
      </c>
      <c r="N101" s="21"/>
      <c r="O101" s="21">
        <v>168</v>
      </c>
      <c r="P101" s="5"/>
      <c r="Q101" s="43">
        <v>500</v>
      </c>
      <c r="R101" s="32"/>
      <c r="S101" s="21">
        <f t="shared" si="16"/>
        <v>500</v>
      </c>
      <c r="T101" s="131"/>
      <c r="U101" s="78">
        <f t="shared" si="17"/>
        <v>-668</v>
      </c>
      <c r="V101" s="140"/>
      <c r="W101" s="147"/>
      <c r="X101" s="23"/>
      <c r="Y101" s="334"/>
      <c r="Z101" s="5"/>
      <c r="AC101" s="5" t="s">
        <v>685</v>
      </c>
      <c r="AD101" s="115" t="s">
        <v>684</v>
      </c>
      <c r="AE101" s="339"/>
      <c r="AF101" s="341"/>
      <c r="AG101" s="115" t="s">
        <v>684</v>
      </c>
      <c r="AH101" s="339"/>
      <c r="AI101" s="341"/>
      <c r="AJ101" s="115" t="s">
        <v>684</v>
      </c>
      <c r="AK101" s="339"/>
      <c r="AL101" s="5"/>
    </row>
    <row r="102" spans="1:40" x14ac:dyDescent="0.25">
      <c r="A102" s="143">
        <v>17</v>
      </c>
      <c r="B102" s="92">
        <v>45232</v>
      </c>
      <c r="C102" s="31" t="s">
        <v>387</v>
      </c>
      <c r="D102" s="32"/>
      <c r="E102" s="32" t="s">
        <v>106</v>
      </c>
      <c r="F102" s="32" t="s">
        <v>760</v>
      </c>
      <c r="G102" s="39" t="s">
        <v>2285</v>
      </c>
      <c r="H102" s="39">
        <v>56</v>
      </c>
      <c r="I102" s="42">
        <v>44</v>
      </c>
      <c r="J102" s="43">
        <v>10</v>
      </c>
      <c r="K102" s="21">
        <v>10</v>
      </c>
      <c r="L102" s="21">
        <f t="shared" si="14"/>
        <v>54</v>
      </c>
      <c r="M102" s="21">
        <f t="shared" si="15"/>
        <v>2</v>
      </c>
      <c r="N102" s="21"/>
      <c r="O102" s="21">
        <v>44</v>
      </c>
      <c r="P102" s="5"/>
      <c r="Q102" s="43"/>
      <c r="R102" s="32"/>
      <c r="S102" s="21">
        <f t="shared" si="16"/>
        <v>0</v>
      </c>
      <c r="T102" s="132"/>
      <c r="U102" s="78">
        <f t="shared" si="17"/>
        <v>-44</v>
      </c>
      <c r="V102" s="140"/>
      <c r="W102" s="147"/>
      <c r="X102" s="23"/>
      <c r="Y102" s="340"/>
      <c r="Z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40" x14ac:dyDescent="0.25">
      <c r="A103" s="143">
        <v>18</v>
      </c>
      <c r="B103" s="92">
        <v>45232</v>
      </c>
      <c r="C103" s="31" t="s">
        <v>152</v>
      </c>
      <c r="D103" s="32"/>
      <c r="E103" s="32" t="s">
        <v>106</v>
      </c>
      <c r="F103" s="32" t="s">
        <v>192</v>
      </c>
      <c r="G103" s="39" t="s">
        <v>2286</v>
      </c>
      <c r="H103" s="39">
        <v>67</v>
      </c>
      <c r="I103" s="42">
        <v>57</v>
      </c>
      <c r="J103" s="43">
        <v>10</v>
      </c>
      <c r="K103" s="21">
        <v>0</v>
      </c>
      <c r="L103" s="21">
        <f t="shared" si="14"/>
        <v>67</v>
      </c>
      <c r="M103" s="21">
        <f t="shared" si="15"/>
        <v>0</v>
      </c>
      <c r="N103" s="21"/>
      <c r="O103" s="21">
        <v>57</v>
      </c>
      <c r="P103" s="5"/>
      <c r="Q103" s="135"/>
      <c r="R103" s="104"/>
      <c r="S103" s="21">
        <f t="shared" si="16"/>
        <v>0</v>
      </c>
      <c r="T103" s="131"/>
      <c r="U103" s="78">
        <f t="shared" si="17"/>
        <v>-57</v>
      </c>
      <c r="V103" s="140"/>
      <c r="W103" s="138"/>
      <c r="X103" s="32"/>
      <c r="Z103" s="5"/>
    </row>
    <row r="104" spans="1:40" x14ac:dyDescent="0.25">
      <c r="A104" s="143">
        <v>19</v>
      </c>
      <c r="B104" s="92">
        <v>45232</v>
      </c>
      <c r="C104" s="31" t="s">
        <v>2287</v>
      </c>
      <c r="D104" s="32"/>
      <c r="E104" s="32" t="s">
        <v>106</v>
      </c>
      <c r="F104" s="32" t="s">
        <v>220</v>
      </c>
      <c r="G104" s="39" t="s">
        <v>2288</v>
      </c>
      <c r="H104" s="39">
        <v>264</v>
      </c>
      <c r="I104" s="42">
        <v>250</v>
      </c>
      <c r="J104" s="43">
        <v>14</v>
      </c>
      <c r="K104" s="21">
        <v>0</v>
      </c>
      <c r="L104" s="21">
        <f>+I104+J104</f>
        <v>264</v>
      </c>
      <c r="M104" s="21">
        <f>+H104-L104</f>
        <v>0</v>
      </c>
      <c r="N104" s="21"/>
      <c r="O104" s="21">
        <v>250</v>
      </c>
      <c r="P104" s="5"/>
      <c r="Q104" s="135"/>
      <c r="R104" s="104"/>
      <c r="S104" s="21"/>
      <c r="T104" s="131"/>
      <c r="U104" s="78"/>
      <c r="V104" s="140"/>
      <c r="W104" s="138"/>
      <c r="X104" s="32"/>
      <c r="Z104" s="5"/>
    </row>
    <row r="105" spans="1:40" x14ac:dyDescent="0.25">
      <c r="A105" s="143">
        <v>20</v>
      </c>
      <c r="B105" s="92">
        <v>45232</v>
      </c>
      <c r="C105" s="31" t="s">
        <v>44</v>
      </c>
      <c r="D105" s="32"/>
      <c r="E105" s="32" t="s">
        <v>2290</v>
      </c>
      <c r="F105" s="32" t="s">
        <v>729</v>
      </c>
      <c r="G105" s="39" t="s">
        <v>2289</v>
      </c>
      <c r="H105" s="39">
        <v>32</v>
      </c>
      <c r="I105" s="42">
        <v>22</v>
      </c>
      <c r="J105" s="43">
        <v>10</v>
      </c>
      <c r="K105" s="21">
        <v>0</v>
      </c>
      <c r="L105" s="21">
        <f>+I105+J105</f>
        <v>32</v>
      </c>
      <c r="M105" s="21">
        <f>+H105-L105</f>
        <v>0</v>
      </c>
      <c r="N105" s="21">
        <v>32</v>
      </c>
      <c r="O105" s="21"/>
      <c r="P105" s="5"/>
      <c r="Q105" s="135"/>
      <c r="R105" s="104"/>
      <c r="S105" s="21"/>
      <c r="T105" s="131"/>
      <c r="U105" s="78"/>
      <c r="V105" s="140"/>
      <c r="W105" s="138"/>
      <c r="X105" s="32"/>
      <c r="Z105" s="5"/>
    </row>
    <row r="106" spans="1:40" x14ac:dyDescent="0.25">
      <c r="A106" s="143">
        <v>21</v>
      </c>
      <c r="B106" s="92">
        <v>45232</v>
      </c>
      <c r="C106" s="31" t="s">
        <v>30</v>
      </c>
      <c r="D106" s="32"/>
      <c r="E106" s="32" t="s">
        <v>106</v>
      </c>
      <c r="F106" s="32" t="s">
        <v>2291</v>
      </c>
      <c r="G106" s="39" t="s">
        <v>2292</v>
      </c>
      <c r="H106" s="39">
        <v>176</v>
      </c>
      <c r="I106" s="42">
        <v>167</v>
      </c>
      <c r="J106" s="43">
        <v>14</v>
      </c>
      <c r="K106" s="21">
        <v>10</v>
      </c>
      <c r="L106" s="21">
        <f>+I106+J106</f>
        <v>181</v>
      </c>
      <c r="M106" s="21">
        <f>+H106-L106</f>
        <v>-5</v>
      </c>
      <c r="N106" s="21">
        <v>176</v>
      </c>
      <c r="O106" s="21">
        <v>167</v>
      </c>
      <c r="P106" s="5"/>
      <c r="Q106" s="135"/>
      <c r="R106" s="104"/>
      <c r="S106" s="21"/>
      <c r="T106" s="131"/>
      <c r="U106" s="78"/>
      <c r="V106" s="140"/>
      <c r="W106" s="138"/>
      <c r="X106" s="32"/>
      <c r="Z106" s="5"/>
    </row>
    <row r="107" spans="1:40" x14ac:dyDescent="0.25">
      <c r="A107" s="143">
        <v>22</v>
      </c>
      <c r="B107" s="92">
        <v>45232</v>
      </c>
      <c r="C107" s="31"/>
      <c r="D107" s="32"/>
      <c r="E107" s="32"/>
      <c r="F107" s="32"/>
      <c r="G107" s="39"/>
      <c r="H107" s="39"/>
      <c r="I107" s="42"/>
      <c r="J107" s="43">
        <v>10</v>
      </c>
      <c r="K107" s="21">
        <v>0</v>
      </c>
      <c r="L107" s="21">
        <f>+I107+J107</f>
        <v>10</v>
      </c>
      <c r="M107" s="21">
        <f>+H107-L107</f>
        <v>-10</v>
      </c>
      <c r="N107" s="21"/>
      <c r="O107" s="21"/>
      <c r="P107" s="5"/>
      <c r="Q107" s="135"/>
      <c r="R107" s="104"/>
      <c r="S107" s="21"/>
      <c r="T107" s="131"/>
      <c r="U107" s="78"/>
      <c r="V107" s="140"/>
      <c r="W107" s="138"/>
      <c r="X107" s="32"/>
      <c r="Z107" s="5"/>
    </row>
    <row r="108" spans="1:40" x14ac:dyDescent="0.25">
      <c r="A108" s="143">
        <v>23</v>
      </c>
      <c r="B108" s="92">
        <v>45232</v>
      </c>
      <c r="C108" s="31"/>
      <c r="D108" s="32"/>
      <c r="E108" s="32"/>
      <c r="F108" s="32"/>
      <c r="G108" s="39"/>
      <c r="H108" s="39"/>
      <c r="I108" s="42"/>
      <c r="J108" s="43">
        <v>10</v>
      </c>
      <c r="K108" s="21">
        <v>0</v>
      </c>
      <c r="L108" s="21">
        <f t="shared" si="14"/>
        <v>10</v>
      </c>
      <c r="M108" s="21">
        <f t="shared" si="15"/>
        <v>-10</v>
      </c>
      <c r="N108" s="21"/>
      <c r="O108" s="21"/>
      <c r="P108" s="5"/>
      <c r="Q108" s="32"/>
      <c r="R108" s="32"/>
      <c r="S108" s="21">
        <f t="shared" si="16"/>
        <v>0</v>
      </c>
      <c r="T108" s="32"/>
      <c r="U108" s="78">
        <f t="shared" si="17"/>
        <v>0</v>
      </c>
      <c r="V108" s="140"/>
      <c r="W108" s="138"/>
      <c r="X108" s="32"/>
      <c r="Z108" s="5"/>
    </row>
    <row r="109" spans="1:40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22"/>
      <c r="K109" s="22"/>
      <c r="L109" s="5"/>
      <c r="M109" s="5"/>
      <c r="N109" s="5"/>
      <c r="O109" s="22">
        <f>SUM(O86:O106)</f>
        <v>1701</v>
      </c>
      <c r="P109" s="5"/>
      <c r="Q109" s="5"/>
      <c r="R109" s="5"/>
      <c r="S109" s="5"/>
      <c r="T109" s="5"/>
      <c r="U109" s="5"/>
      <c r="V109" s="141"/>
      <c r="W109" s="5"/>
      <c r="X109" s="5"/>
      <c r="Y109" s="5"/>
      <c r="Z109" s="5"/>
    </row>
    <row r="118" spans="1:40" x14ac:dyDescent="0.25">
      <c r="A118" s="1" t="s">
        <v>0</v>
      </c>
      <c r="B118" s="1"/>
      <c r="C118" s="1"/>
      <c r="D118" s="1"/>
      <c r="E118" s="1"/>
      <c r="F118" s="1"/>
      <c r="G118" s="1"/>
      <c r="H118" s="1"/>
      <c r="I118" s="1" t="s">
        <v>148</v>
      </c>
      <c r="J118" s="1"/>
      <c r="K118" s="1"/>
      <c r="L118" s="1"/>
      <c r="M118" s="1"/>
      <c r="N118" s="1"/>
      <c r="O118" s="1"/>
      <c r="P118" s="1"/>
      <c r="Q118" s="1"/>
      <c r="R118" s="1"/>
      <c r="S118" s="342" t="s">
        <v>1</v>
      </c>
      <c r="T118" s="342"/>
      <c r="U118" s="5"/>
      <c r="V118" s="139"/>
      <c r="W118" s="1"/>
      <c r="X118" s="1"/>
      <c r="Y118" s="1"/>
      <c r="Z118" s="5"/>
      <c r="AC118" s="335" t="s">
        <v>160</v>
      </c>
      <c r="AD118" s="336"/>
      <c r="AG118" s="335" t="s">
        <v>170</v>
      </c>
      <c r="AH118" s="336"/>
      <c r="AJ118" s="337" t="s">
        <v>172</v>
      </c>
      <c r="AK118" s="337"/>
      <c r="AM118" s="337" t="s">
        <v>681</v>
      </c>
      <c r="AN118" s="337"/>
    </row>
    <row r="119" spans="1:40" ht="90" x14ac:dyDescent="0.25">
      <c r="A119" s="6" t="s">
        <v>2</v>
      </c>
      <c r="B119" s="7" t="s">
        <v>3</v>
      </c>
      <c r="C119" s="7" t="s">
        <v>4</v>
      </c>
      <c r="D119" s="6" t="s">
        <v>5</v>
      </c>
      <c r="E119" s="6" t="s">
        <v>6</v>
      </c>
      <c r="F119" s="6" t="s">
        <v>7</v>
      </c>
      <c r="G119" s="6" t="s">
        <v>8</v>
      </c>
      <c r="H119" s="8" t="s">
        <v>9</v>
      </c>
      <c r="I119" s="9" t="s">
        <v>10</v>
      </c>
      <c r="J119" s="8" t="s">
        <v>11</v>
      </c>
      <c r="K119" s="10" t="s">
        <v>12</v>
      </c>
      <c r="L119" s="10" t="s">
        <v>13</v>
      </c>
      <c r="M119" s="11" t="s">
        <v>14</v>
      </c>
      <c r="N119" s="10" t="s">
        <v>691</v>
      </c>
      <c r="O119" s="10" t="s">
        <v>28</v>
      </c>
      <c r="P119" s="5"/>
      <c r="Q119" s="10" t="s">
        <v>16</v>
      </c>
      <c r="R119" s="10" t="s">
        <v>17</v>
      </c>
      <c r="S119" s="10" t="s">
        <v>18</v>
      </c>
      <c r="T119" s="10" t="s">
        <v>19</v>
      </c>
      <c r="U119" s="10" t="s">
        <v>20</v>
      </c>
      <c r="V119" s="13"/>
      <c r="W119" s="136" t="s">
        <v>688</v>
      </c>
      <c r="X119" s="14" t="s">
        <v>22</v>
      </c>
      <c r="Y119" s="15" t="s">
        <v>23</v>
      </c>
      <c r="Z119" s="5"/>
      <c r="AB119">
        <v>38</v>
      </c>
      <c r="AC119" s="16" t="s">
        <v>161</v>
      </c>
      <c r="AD119" s="58">
        <f>+AB119*10</f>
        <v>380</v>
      </c>
      <c r="AF119">
        <v>11</v>
      </c>
      <c r="AG119" s="16" t="s">
        <v>161</v>
      </c>
      <c r="AH119" s="58">
        <f>+AF119*10</f>
        <v>110</v>
      </c>
      <c r="AJ119" s="61" t="s">
        <v>173</v>
      </c>
      <c r="AK119" s="62" t="s">
        <v>174</v>
      </c>
      <c r="AM119" s="16" t="s">
        <v>161</v>
      </c>
      <c r="AN119" s="58">
        <f>+AL119*10</f>
        <v>0</v>
      </c>
    </row>
    <row r="120" spans="1:40" x14ac:dyDescent="0.25">
      <c r="A120" s="16">
        <v>1</v>
      </c>
      <c r="B120" s="92">
        <v>45233</v>
      </c>
      <c r="C120" s="31" t="s">
        <v>2293</v>
      </c>
      <c r="D120" s="32">
        <v>5549473476</v>
      </c>
      <c r="E120" s="32" t="s">
        <v>106</v>
      </c>
      <c r="F120" s="39" t="s">
        <v>2294</v>
      </c>
      <c r="G120" s="39" t="s">
        <v>2295</v>
      </c>
      <c r="H120" s="122">
        <v>233</v>
      </c>
      <c r="I120" s="32">
        <v>209</v>
      </c>
      <c r="J120" s="20">
        <v>14</v>
      </c>
      <c r="K120" s="21">
        <v>10</v>
      </c>
      <c r="L120" s="21">
        <f t="shared" ref="L120:L139" si="18">+I120+J120</f>
        <v>223</v>
      </c>
      <c r="M120" s="21">
        <f t="shared" ref="M120:M139" si="19">+H120-L120</f>
        <v>10</v>
      </c>
      <c r="N120" s="21"/>
      <c r="O120" s="21">
        <v>209</v>
      </c>
      <c r="P120" s="5"/>
      <c r="Q120" s="21">
        <v>600</v>
      </c>
      <c r="R120" s="16"/>
      <c r="S120" s="21">
        <f t="shared" ref="S120:S139" si="20">+Q120+R120</f>
        <v>600</v>
      </c>
      <c r="T120" s="21">
        <v>614</v>
      </c>
      <c r="U120" s="78">
        <f>T120-S120-O120</f>
        <v>-195</v>
      </c>
      <c r="V120" s="13"/>
      <c r="W120" s="147"/>
      <c r="X120" s="23"/>
      <c r="Y120" s="333"/>
      <c r="Z120" s="5"/>
      <c r="AB120">
        <v>127.5</v>
      </c>
      <c r="AC120" s="59" t="s">
        <v>162</v>
      </c>
      <c r="AD120" s="18">
        <f>+AB120*1</f>
        <v>127.5</v>
      </c>
      <c r="AG120" s="59" t="s">
        <v>162</v>
      </c>
      <c r="AH120" s="18">
        <f>+AF120*1</f>
        <v>0</v>
      </c>
      <c r="AJ120" s="16">
        <v>1000</v>
      </c>
      <c r="AK120" s="16"/>
      <c r="AM120" s="59" t="s">
        <v>162</v>
      </c>
      <c r="AN120" s="18">
        <f>+AL120*1</f>
        <v>0</v>
      </c>
    </row>
    <row r="121" spans="1:40" x14ac:dyDescent="0.25">
      <c r="A121" s="26">
        <v>2</v>
      </c>
      <c r="B121" s="92">
        <v>45233</v>
      </c>
      <c r="C121" s="31" t="s">
        <v>37</v>
      </c>
      <c r="D121" s="32"/>
      <c r="E121" s="32" t="s">
        <v>2339</v>
      </c>
      <c r="F121" s="32" t="s">
        <v>1423</v>
      </c>
      <c r="G121" s="39" t="s">
        <v>2338</v>
      </c>
      <c r="H121" s="122"/>
      <c r="I121" s="32">
        <v>28</v>
      </c>
      <c r="J121" s="20">
        <v>12</v>
      </c>
      <c r="K121" s="21">
        <v>10</v>
      </c>
      <c r="L121" s="21">
        <f t="shared" si="18"/>
        <v>40</v>
      </c>
      <c r="M121" s="21">
        <f t="shared" si="19"/>
        <v>-40</v>
      </c>
      <c r="N121" s="21"/>
      <c r="O121" s="21"/>
      <c r="P121" s="5"/>
      <c r="Q121" s="21"/>
      <c r="R121" s="16"/>
      <c r="S121" s="21">
        <f t="shared" si="20"/>
        <v>0</v>
      </c>
      <c r="T121" s="21">
        <v>12</v>
      </c>
      <c r="U121" s="78">
        <f t="shared" ref="U121:U139" si="21">T121-S121-O121</f>
        <v>12</v>
      </c>
      <c r="V121" s="140"/>
      <c r="W121" s="147"/>
      <c r="X121" s="23"/>
      <c r="Y121" s="334"/>
      <c r="Z121" s="5"/>
      <c r="AB121">
        <v>39</v>
      </c>
      <c r="AC121" s="16" t="s">
        <v>163</v>
      </c>
      <c r="AD121" s="60">
        <f>+AB121*5</f>
        <v>195</v>
      </c>
      <c r="AF121">
        <v>23</v>
      </c>
      <c r="AG121" s="16" t="s">
        <v>163</v>
      </c>
      <c r="AH121" s="60">
        <f>+AF121*5</f>
        <v>115</v>
      </c>
      <c r="AJ121" s="16">
        <v>82</v>
      </c>
      <c r="AK121" s="16"/>
      <c r="AM121" s="16" t="s">
        <v>163</v>
      </c>
      <c r="AN121" s="60">
        <f>+AL121*5</f>
        <v>0</v>
      </c>
    </row>
    <row r="122" spans="1:40" x14ac:dyDescent="0.25">
      <c r="A122" s="143">
        <v>3</v>
      </c>
      <c r="B122" s="92">
        <v>45233</v>
      </c>
      <c r="C122" s="31" t="s">
        <v>350</v>
      </c>
      <c r="D122" s="32">
        <v>5543821818</v>
      </c>
      <c r="E122" s="32" t="s">
        <v>106</v>
      </c>
      <c r="F122" s="32" t="s">
        <v>558</v>
      </c>
      <c r="G122" s="39" t="s">
        <v>2340</v>
      </c>
      <c r="H122" s="122"/>
      <c r="I122" s="32">
        <v>232</v>
      </c>
      <c r="J122" s="20">
        <v>14</v>
      </c>
      <c r="K122" s="21">
        <v>10</v>
      </c>
      <c r="L122" s="21">
        <f t="shared" si="18"/>
        <v>246</v>
      </c>
      <c r="M122" s="21">
        <f t="shared" si="19"/>
        <v>-246</v>
      </c>
      <c r="N122" s="21"/>
      <c r="O122" s="21">
        <v>232</v>
      </c>
      <c r="P122" s="5"/>
      <c r="Q122" s="21">
        <v>150</v>
      </c>
      <c r="R122" s="16"/>
      <c r="S122" s="21">
        <f t="shared" si="20"/>
        <v>150</v>
      </c>
      <c r="T122" s="21">
        <v>162</v>
      </c>
      <c r="U122" s="78">
        <f t="shared" si="21"/>
        <v>-220</v>
      </c>
      <c r="V122" s="140"/>
      <c r="W122" s="147"/>
      <c r="X122" s="23"/>
      <c r="Y122" s="334"/>
      <c r="Z122" s="5"/>
      <c r="AC122" s="16" t="s">
        <v>164</v>
      </c>
      <c r="AD122" s="18">
        <f>+AB122*200</f>
        <v>0</v>
      </c>
      <c r="AF122">
        <v>1</v>
      </c>
      <c r="AG122" s="16" t="s">
        <v>164</v>
      </c>
      <c r="AH122" s="18">
        <f>+AF122*200</f>
        <v>200</v>
      </c>
      <c r="AJ122" s="16"/>
      <c r="AK122" s="16"/>
      <c r="AM122" s="16" t="s">
        <v>164</v>
      </c>
      <c r="AN122" s="18">
        <f>+AL122*200</f>
        <v>0</v>
      </c>
    </row>
    <row r="123" spans="1:40" x14ac:dyDescent="0.25">
      <c r="A123" s="143">
        <v>4</v>
      </c>
      <c r="B123" s="92">
        <v>45233</v>
      </c>
      <c r="C123" s="31" t="s">
        <v>1755</v>
      </c>
      <c r="D123" s="32">
        <v>5583364429</v>
      </c>
      <c r="E123" s="32" t="s">
        <v>106</v>
      </c>
      <c r="F123" s="32" t="s">
        <v>2072</v>
      </c>
      <c r="G123" s="39" t="s">
        <v>2341</v>
      </c>
      <c r="H123" s="122"/>
      <c r="I123" s="32">
        <v>79</v>
      </c>
      <c r="J123" s="20">
        <v>12</v>
      </c>
      <c r="K123" s="21">
        <v>9</v>
      </c>
      <c r="L123" s="21">
        <f t="shared" si="18"/>
        <v>91</v>
      </c>
      <c r="M123" s="21">
        <f t="shared" si="19"/>
        <v>-91</v>
      </c>
      <c r="N123" s="21"/>
      <c r="O123" s="21">
        <v>79</v>
      </c>
      <c r="P123" s="5"/>
      <c r="Q123" s="21">
        <v>150</v>
      </c>
      <c r="R123" s="16"/>
      <c r="S123" s="21">
        <f t="shared" si="20"/>
        <v>150</v>
      </c>
      <c r="T123" s="21">
        <v>12</v>
      </c>
      <c r="U123" s="78">
        <f t="shared" si="21"/>
        <v>-217</v>
      </c>
      <c r="V123" s="140"/>
      <c r="W123" s="147"/>
      <c r="X123" s="23"/>
      <c r="Y123" s="334"/>
      <c r="Z123" s="5"/>
      <c r="AC123" s="16" t="s">
        <v>165</v>
      </c>
      <c r="AD123" s="18">
        <f>+AB123*100</f>
        <v>0</v>
      </c>
      <c r="AG123" s="16" t="s">
        <v>165</v>
      </c>
      <c r="AH123" s="18">
        <f>+AF123*100</f>
        <v>0</v>
      </c>
      <c r="AJ123" s="16"/>
      <c r="AK123" s="16"/>
      <c r="AM123" s="16" t="s">
        <v>165</v>
      </c>
      <c r="AN123" s="18">
        <f>+AL123*100</f>
        <v>0</v>
      </c>
    </row>
    <row r="124" spans="1:40" x14ac:dyDescent="0.25">
      <c r="A124" s="143">
        <v>5</v>
      </c>
      <c r="B124" s="92">
        <v>45233</v>
      </c>
      <c r="C124" s="31" t="s">
        <v>2342</v>
      </c>
      <c r="D124" s="32"/>
      <c r="E124" s="32" t="s">
        <v>106</v>
      </c>
      <c r="F124" s="32" t="s">
        <v>1885</v>
      </c>
      <c r="G124" s="32" t="s">
        <v>2343</v>
      </c>
      <c r="H124" s="122"/>
      <c r="I124" s="32">
        <v>45</v>
      </c>
      <c r="J124" s="20">
        <v>10</v>
      </c>
      <c r="K124" s="21"/>
      <c r="L124" s="21">
        <f t="shared" si="18"/>
        <v>55</v>
      </c>
      <c r="M124" s="21">
        <f t="shared" si="19"/>
        <v>-55</v>
      </c>
      <c r="N124" s="21"/>
      <c r="O124" s="21">
        <v>45</v>
      </c>
      <c r="P124" s="5"/>
      <c r="Q124" s="16">
        <v>100</v>
      </c>
      <c r="R124" s="16"/>
      <c r="S124" s="21">
        <f t="shared" si="20"/>
        <v>100</v>
      </c>
      <c r="T124" s="21">
        <v>55</v>
      </c>
      <c r="U124" s="78">
        <f t="shared" si="21"/>
        <v>-90</v>
      </c>
      <c r="V124" s="140"/>
      <c r="W124" s="147"/>
      <c r="X124" s="23"/>
      <c r="Y124" s="334"/>
      <c r="Z124" s="5"/>
      <c r="AC124" s="16" t="s">
        <v>166</v>
      </c>
      <c r="AD124" s="18">
        <f>+AB124*50</f>
        <v>0</v>
      </c>
      <c r="AG124" s="16" t="s">
        <v>166</v>
      </c>
      <c r="AH124" s="18">
        <f>+AF124*50</f>
        <v>0</v>
      </c>
      <c r="AJ124" s="16"/>
      <c r="AK124" s="16"/>
      <c r="AM124" s="16" t="s">
        <v>166</v>
      </c>
      <c r="AN124" s="18">
        <f>+AL124*50</f>
        <v>0</v>
      </c>
    </row>
    <row r="125" spans="1:40" x14ac:dyDescent="0.25">
      <c r="A125" s="143">
        <v>6</v>
      </c>
      <c r="B125" s="92">
        <v>45233</v>
      </c>
      <c r="C125" s="31" t="s">
        <v>496</v>
      </c>
      <c r="D125" s="32">
        <v>5553181275</v>
      </c>
      <c r="E125" s="32" t="s">
        <v>106</v>
      </c>
      <c r="F125" s="32" t="s">
        <v>2344</v>
      </c>
      <c r="G125" s="39" t="s">
        <v>2345</v>
      </c>
      <c r="H125" s="39"/>
      <c r="I125" s="42">
        <v>24</v>
      </c>
      <c r="J125" s="20">
        <v>12</v>
      </c>
      <c r="K125" s="21"/>
      <c r="L125" s="21">
        <f t="shared" si="18"/>
        <v>36</v>
      </c>
      <c r="M125" s="21">
        <f t="shared" si="19"/>
        <v>-36</v>
      </c>
      <c r="N125" s="21"/>
      <c r="O125" s="21">
        <v>24</v>
      </c>
      <c r="P125" s="5"/>
      <c r="Q125" s="16">
        <v>100</v>
      </c>
      <c r="R125" s="16"/>
      <c r="S125" s="21">
        <f t="shared" si="20"/>
        <v>100</v>
      </c>
      <c r="T125" s="16">
        <v>112</v>
      </c>
      <c r="U125" s="78">
        <f t="shared" si="21"/>
        <v>-12</v>
      </c>
      <c r="V125" s="140"/>
      <c r="W125" s="147"/>
      <c r="X125" s="23"/>
      <c r="Y125" s="334"/>
      <c r="Z125" s="5"/>
      <c r="AB125">
        <v>22</v>
      </c>
      <c r="AC125" s="16" t="s">
        <v>167</v>
      </c>
      <c r="AD125" s="18">
        <f>+AB125*20</f>
        <v>440</v>
      </c>
      <c r="AF125">
        <v>4</v>
      </c>
      <c r="AG125" s="16" t="s">
        <v>167</v>
      </c>
      <c r="AH125" s="18">
        <f>+AF125*20</f>
        <v>80</v>
      </c>
      <c r="AJ125" s="16"/>
      <c r="AK125" s="16"/>
      <c r="AM125" s="16" t="s">
        <v>167</v>
      </c>
      <c r="AN125" s="18">
        <f>+AL125*20</f>
        <v>0</v>
      </c>
    </row>
    <row r="126" spans="1:40" x14ac:dyDescent="0.25">
      <c r="A126" s="143">
        <v>7</v>
      </c>
      <c r="B126" s="92">
        <v>45233</v>
      </c>
      <c r="C126" s="31" t="s">
        <v>2346</v>
      </c>
      <c r="D126" s="32">
        <v>55630381453</v>
      </c>
      <c r="E126" s="32" t="s">
        <v>106</v>
      </c>
      <c r="F126" s="32" t="s">
        <v>1056</v>
      </c>
      <c r="G126" s="39" t="s">
        <v>2347</v>
      </c>
      <c r="H126" s="122"/>
      <c r="I126" s="42">
        <v>82</v>
      </c>
      <c r="J126" s="20">
        <v>12</v>
      </c>
      <c r="K126" s="21"/>
      <c r="L126" s="21">
        <f t="shared" si="18"/>
        <v>94</v>
      </c>
      <c r="M126" s="21">
        <f t="shared" si="19"/>
        <v>-94</v>
      </c>
      <c r="N126" s="21">
        <v>82</v>
      </c>
      <c r="O126" s="21">
        <v>82</v>
      </c>
      <c r="P126" s="5"/>
      <c r="Q126" s="16"/>
      <c r="R126" s="16"/>
      <c r="S126" s="21">
        <f t="shared" si="20"/>
        <v>0</v>
      </c>
      <c r="T126" s="16">
        <v>12</v>
      </c>
      <c r="U126" s="78">
        <f t="shared" si="21"/>
        <v>-70</v>
      </c>
      <c r="V126" s="140"/>
      <c r="W126" s="147"/>
      <c r="X126" s="23"/>
      <c r="Y126" s="334"/>
      <c r="Z126" s="5"/>
      <c r="AB126">
        <v>1</v>
      </c>
      <c r="AC126" s="16" t="s">
        <v>171</v>
      </c>
      <c r="AD126" s="18">
        <f>+AB126*500</f>
        <v>500</v>
      </c>
      <c r="AF126">
        <v>1</v>
      </c>
      <c r="AG126" s="16" t="s">
        <v>171</v>
      </c>
      <c r="AH126" s="18">
        <f>+AF126*500</f>
        <v>500</v>
      </c>
      <c r="AJ126" s="16"/>
      <c r="AK126" s="16"/>
      <c r="AM126" s="16" t="s">
        <v>171</v>
      </c>
      <c r="AN126" s="18">
        <f>+AL126*500</f>
        <v>0</v>
      </c>
    </row>
    <row r="127" spans="1:40" x14ac:dyDescent="0.25">
      <c r="A127" s="143">
        <v>8</v>
      </c>
      <c r="B127" s="92">
        <v>45233</v>
      </c>
      <c r="C127" s="31" t="s">
        <v>1610</v>
      </c>
      <c r="D127" s="123">
        <v>5612853273</v>
      </c>
      <c r="E127" s="123" t="s">
        <v>2350</v>
      </c>
      <c r="F127" s="123" t="s">
        <v>1746</v>
      </c>
      <c r="G127" s="39" t="s">
        <v>2351</v>
      </c>
      <c r="H127" s="122"/>
      <c r="I127" s="32"/>
      <c r="J127" s="20">
        <v>12</v>
      </c>
      <c r="K127" s="21"/>
      <c r="L127" s="21">
        <f t="shared" si="18"/>
        <v>12</v>
      </c>
      <c r="M127" s="21">
        <f t="shared" si="19"/>
        <v>-12</v>
      </c>
      <c r="N127" s="21"/>
      <c r="O127" s="21"/>
      <c r="P127" s="5"/>
      <c r="Q127" s="16">
        <v>500</v>
      </c>
      <c r="R127" s="16"/>
      <c r="S127" s="21">
        <f t="shared" si="20"/>
        <v>500</v>
      </c>
      <c r="T127" s="16"/>
      <c r="U127" s="78">
        <f t="shared" si="21"/>
        <v>-500</v>
      </c>
      <c r="V127" s="140"/>
      <c r="W127" s="147"/>
      <c r="X127" s="23"/>
      <c r="Y127" s="334"/>
      <c r="Z127" s="5"/>
      <c r="AC127" s="16" t="s">
        <v>168</v>
      </c>
      <c r="AD127" s="18">
        <f>+AB127*1000</f>
        <v>0</v>
      </c>
      <c r="AG127" s="16" t="s">
        <v>168</v>
      </c>
      <c r="AH127" s="18">
        <f>+AF127*1000</f>
        <v>0</v>
      </c>
      <c r="AJ127" s="16"/>
      <c r="AK127" s="16"/>
      <c r="AM127" s="16" t="s">
        <v>168</v>
      </c>
      <c r="AN127" s="18">
        <f>+AL127*1000</f>
        <v>0</v>
      </c>
    </row>
    <row r="128" spans="1:40" x14ac:dyDescent="0.25">
      <c r="A128" s="143">
        <v>9</v>
      </c>
      <c r="B128" s="92">
        <v>45233</v>
      </c>
      <c r="C128" s="31" t="s">
        <v>2302</v>
      </c>
      <c r="D128" s="32">
        <v>5572135350</v>
      </c>
      <c r="E128" s="32" t="s">
        <v>106</v>
      </c>
      <c r="F128" s="32" t="s">
        <v>1531</v>
      </c>
      <c r="G128" s="39" t="s">
        <v>2371</v>
      </c>
      <c r="H128" s="39"/>
      <c r="I128" s="40">
        <v>62</v>
      </c>
      <c r="J128" s="20">
        <v>14</v>
      </c>
      <c r="K128" s="21">
        <v>10</v>
      </c>
      <c r="L128" s="21">
        <f t="shared" si="18"/>
        <v>76</v>
      </c>
      <c r="M128" s="21">
        <f t="shared" si="19"/>
        <v>-76</v>
      </c>
      <c r="N128" s="21"/>
      <c r="O128" s="21">
        <v>62</v>
      </c>
      <c r="P128" s="5"/>
      <c r="Q128" s="16"/>
      <c r="R128" s="16"/>
      <c r="S128" s="21">
        <f t="shared" si="20"/>
        <v>0</v>
      </c>
      <c r="T128" s="16"/>
      <c r="U128" s="78">
        <f t="shared" si="21"/>
        <v>-62</v>
      </c>
      <c r="V128" s="140"/>
      <c r="W128" s="147"/>
      <c r="X128" s="23"/>
      <c r="Y128" s="334"/>
      <c r="Z128" s="5"/>
      <c r="AC128" s="26"/>
      <c r="AD128" s="58"/>
      <c r="AG128" s="26"/>
      <c r="AH128" s="58"/>
      <c r="AJ128" s="16"/>
      <c r="AK128" s="16"/>
      <c r="AM128" s="26"/>
      <c r="AN128" s="58"/>
    </row>
    <row r="129" spans="1:40" x14ac:dyDescent="0.25">
      <c r="A129" s="143">
        <v>10</v>
      </c>
      <c r="B129" s="92">
        <v>45233</v>
      </c>
      <c r="C129" s="31" t="s">
        <v>89</v>
      </c>
      <c r="D129" s="32"/>
      <c r="E129" s="32" t="s">
        <v>38</v>
      </c>
      <c r="F129" s="32" t="s">
        <v>195</v>
      </c>
      <c r="G129" s="39" t="s">
        <v>2352</v>
      </c>
      <c r="H129" s="122"/>
      <c r="I129" s="42"/>
      <c r="J129" s="20">
        <v>12</v>
      </c>
      <c r="K129" s="21">
        <v>10</v>
      </c>
      <c r="L129" s="21">
        <f t="shared" si="18"/>
        <v>12</v>
      </c>
      <c r="M129" s="21">
        <f t="shared" si="19"/>
        <v>-12</v>
      </c>
      <c r="N129" s="21"/>
      <c r="O129" s="21"/>
      <c r="P129" s="5"/>
      <c r="Q129" s="16"/>
      <c r="R129" s="16"/>
      <c r="S129" s="21">
        <f t="shared" si="20"/>
        <v>0</v>
      </c>
      <c r="T129" s="16"/>
      <c r="U129" s="78">
        <f t="shared" si="21"/>
        <v>0</v>
      </c>
      <c r="V129" s="140"/>
      <c r="W129" s="147"/>
      <c r="X129" s="23"/>
      <c r="Y129" s="334"/>
      <c r="Z129" s="5"/>
      <c r="AC129" s="16" t="s">
        <v>169</v>
      </c>
      <c r="AD129" s="18">
        <f>SUM(AD119:AD128)</f>
        <v>1642.5</v>
      </c>
      <c r="AG129" s="16" t="s">
        <v>169</v>
      </c>
      <c r="AH129" s="18">
        <f>SUM(AH119:AH128)</f>
        <v>1005</v>
      </c>
      <c r="AJ129" s="16"/>
      <c r="AK129" s="16"/>
      <c r="AM129" s="16" t="s">
        <v>169</v>
      </c>
      <c r="AN129" s="18"/>
    </row>
    <row r="130" spans="1:40" x14ac:dyDescent="0.25">
      <c r="A130" s="143">
        <v>11</v>
      </c>
      <c r="B130" s="92">
        <v>45233</v>
      </c>
      <c r="C130" s="31" t="s">
        <v>2355</v>
      </c>
      <c r="D130" s="124"/>
      <c r="E130" s="123" t="s">
        <v>41</v>
      </c>
      <c r="F130" s="123" t="s">
        <v>220</v>
      </c>
      <c r="G130" s="39" t="s">
        <v>2361</v>
      </c>
      <c r="H130" s="122">
        <v>886</v>
      </c>
      <c r="I130" s="42">
        <v>872</v>
      </c>
      <c r="J130" s="20">
        <v>20</v>
      </c>
      <c r="K130" s="21">
        <v>100</v>
      </c>
      <c r="L130" s="21">
        <f t="shared" si="18"/>
        <v>892</v>
      </c>
      <c r="M130" s="21">
        <f t="shared" si="19"/>
        <v>-6</v>
      </c>
      <c r="N130" s="21"/>
      <c r="O130" s="21"/>
      <c r="P130" s="5"/>
      <c r="Q130" s="16"/>
      <c r="R130" s="16"/>
      <c r="S130" s="21">
        <f t="shared" si="20"/>
        <v>0</v>
      </c>
      <c r="T130" s="16"/>
      <c r="U130" s="78">
        <f t="shared" si="21"/>
        <v>0</v>
      </c>
      <c r="V130" s="140"/>
      <c r="W130" s="147"/>
      <c r="X130" s="23"/>
      <c r="Y130" s="334"/>
      <c r="Z130" s="5"/>
      <c r="AD130">
        <v>2268</v>
      </c>
      <c r="AJ130" s="16"/>
      <c r="AK130" s="16"/>
      <c r="AM130" s="16"/>
      <c r="AN130" s="16"/>
    </row>
    <row r="131" spans="1:40" x14ac:dyDescent="0.25">
      <c r="A131" s="143">
        <v>12</v>
      </c>
      <c r="B131" s="92">
        <v>45233</v>
      </c>
      <c r="C131" s="32" t="s">
        <v>2353</v>
      </c>
      <c r="D131" s="32"/>
      <c r="E131" s="124" t="s">
        <v>38</v>
      </c>
      <c r="F131" s="123" t="s">
        <v>55</v>
      </c>
      <c r="G131" s="39" t="s">
        <v>2354</v>
      </c>
      <c r="H131" s="39">
        <v>212</v>
      </c>
      <c r="I131" s="42">
        <v>198</v>
      </c>
      <c r="J131" s="20">
        <v>14</v>
      </c>
      <c r="K131" s="21">
        <v>10</v>
      </c>
      <c r="L131" s="21">
        <f t="shared" si="18"/>
        <v>212</v>
      </c>
      <c r="M131" s="21">
        <f t="shared" si="19"/>
        <v>0</v>
      </c>
      <c r="N131" s="21"/>
      <c r="O131" s="21"/>
      <c r="P131" s="5"/>
      <c r="Q131" s="45"/>
      <c r="R131" s="44"/>
      <c r="S131" s="21">
        <f t="shared" si="20"/>
        <v>0</v>
      </c>
      <c r="T131" s="45"/>
      <c r="U131" s="78">
        <f t="shared" si="21"/>
        <v>0</v>
      </c>
      <c r="V131" s="140"/>
      <c r="W131" s="147"/>
      <c r="X131" s="23"/>
      <c r="Y131" s="334"/>
      <c r="Z131" s="5"/>
      <c r="AC131" t="s">
        <v>2348</v>
      </c>
      <c r="AH131" s="83">
        <f>39+143+AH129</f>
        <v>1187</v>
      </c>
      <c r="AJ131" s="63" t="s">
        <v>169</v>
      </c>
      <c r="AK131" s="63">
        <f>+SUM(AJ120:AJ130)-SUM(AK120:AK130)</f>
        <v>1082</v>
      </c>
      <c r="AM131" s="63" t="s">
        <v>169</v>
      </c>
      <c r="AN131" s="85">
        <f>+SUM(AM119:AM130)-SUM(AN120:AN130)</f>
        <v>0</v>
      </c>
    </row>
    <row r="132" spans="1:40" x14ac:dyDescent="0.25">
      <c r="A132" s="143">
        <v>13</v>
      </c>
      <c r="B132" s="92">
        <v>45233</v>
      </c>
      <c r="C132" s="194" t="s">
        <v>397</v>
      </c>
      <c r="D132" s="32"/>
      <c r="E132" s="32" t="s">
        <v>2357</v>
      </c>
      <c r="F132" s="32" t="s">
        <v>818</v>
      </c>
      <c r="G132" s="39" t="s">
        <v>2358</v>
      </c>
      <c r="H132" s="39">
        <v>500</v>
      </c>
      <c r="I132" s="42"/>
      <c r="J132" s="108">
        <v>14</v>
      </c>
      <c r="K132" s="21">
        <v>10</v>
      </c>
      <c r="L132" s="21">
        <f t="shared" si="18"/>
        <v>14</v>
      </c>
      <c r="M132" s="21">
        <f t="shared" si="19"/>
        <v>486</v>
      </c>
      <c r="N132" s="21"/>
      <c r="O132" s="21"/>
      <c r="P132" s="5"/>
      <c r="Q132" s="43"/>
      <c r="R132" s="32"/>
      <c r="S132" s="21">
        <f t="shared" si="20"/>
        <v>0</v>
      </c>
      <c r="T132" s="43"/>
      <c r="U132" s="78">
        <f t="shared" si="21"/>
        <v>0</v>
      </c>
      <c r="V132" s="140"/>
      <c r="W132" s="147"/>
      <c r="X132" s="23"/>
      <c r="Y132" s="334"/>
      <c r="Z132" s="5"/>
      <c r="AC132" t="s">
        <v>2349</v>
      </c>
      <c r="AH132" s="83"/>
    </row>
    <row r="133" spans="1:40" x14ac:dyDescent="0.25">
      <c r="A133" s="143">
        <v>14</v>
      </c>
      <c r="B133" s="92">
        <v>45233</v>
      </c>
      <c r="C133" s="31" t="s">
        <v>2356</v>
      </c>
      <c r="D133" s="32"/>
      <c r="E133" s="32" t="s">
        <v>38</v>
      </c>
      <c r="F133" s="32" t="s">
        <v>2359</v>
      </c>
      <c r="G133" s="39" t="s">
        <v>2360</v>
      </c>
      <c r="H133" s="39">
        <v>500</v>
      </c>
      <c r="I133" s="42">
        <v>39</v>
      </c>
      <c r="J133" s="108">
        <v>12</v>
      </c>
      <c r="K133" s="21">
        <v>0</v>
      </c>
      <c r="L133" s="21">
        <f t="shared" si="18"/>
        <v>51</v>
      </c>
      <c r="M133" s="21">
        <f t="shared" si="19"/>
        <v>449</v>
      </c>
      <c r="N133" s="21">
        <v>39</v>
      </c>
      <c r="O133" s="21"/>
      <c r="P133" s="5"/>
      <c r="Q133" s="43"/>
      <c r="R133" s="43"/>
      <c r="S133" s="21">
        <f t="shared" si="20"/>
        <v>0</v>
      </c>
      <c r="T133" s="43"/>
      <c r="U133" s="78">
        <f t="shared" si="21"/>
        <v>0</v>
      </c>
      <c r="V133" s="140"/>
      <c r="W133" s="147"/>
      <c r="X133" s="23"/>
      <c r="Y133" s="334"/>
      <c r="Z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40" x14ac:dyDescent="0.25">
      <c r="A134" s="143">
        <v>15</v>
      </c>
      <c r="B134" s="92">
        <v>45233</v>
      </c>
      <c r="C134" s="127" t="s">
        <v>906</v>
      </c>
      <c r="D134" s="32"/>
      <c r="E134" s="32" t="s">
        <v>41</v>
      </c>
      <c r="F134" s="128" t="s">
        <v>908</v>
      </c>
      <c r="G134" s="129" t="s">
        <v>2362</v>
      </c>
      <c r="H134" s="39">
        <v>143</v>
      </c>
      <c r="I134" s="42">
        <v>129</v>
      </c>
      <c r="J134" s="108">
        <v>14</v>
      </c>
      <c r="K134" s="21">
        <v>0</v>
      </c>
      <c r="L134" s="21">
        <f t="shared" si="18"/>
        <v>143</v>
      </c>
      <c r="M134" s="21">
        <f t="shared" si="19"/>
        <v>0</v>
      </c>
      <c r="N134" s="21">
        <v>143</v>
      </c>
      <c r="O134" s="21"/>
      <c r="P134" s="5"/>
      <c r="Q134" s="43"/>
      <c r="R134" s="43"/>
      <c r="S134" s="21">
        <f t="shared" si="20"/>
        <v>0</v>
      </c>
      <c r="T134" s="43"/>
      <c r="U134" s="78">
        <f t="shared" si="21"/>
        <v>0</v>
      </c>
      <c r="V134" s="140"/>
      <c r="W134" s="147"/>
      <c r="X134" s="23"/>
      <c r="Y134" s="334"/>
      <c r="Z134" s="5"/>
      <c r="AC134" s="5"/>
      <c r="AD134" s="134" t="s">
        <v>20</v>
      </c>
      <c r="AE134" s="338"/>
      <c r="AF134" s="341" t="s">
        <v>686</v>
      </c>
      <c r="AG134" s="134" t="s">
        <v>20</v>
      </c>
      <c r="AH134" s="338">
        <v>52</v>
      </c>
      <c r="AI134" s="341" t="s">
        <v>687</v>
      </c>
      <c r="AJ134" s="134" t="s">
        <v>20</v>
      </c>
      <c r="AK134" s="338"/>
      <c r="AL134" s="5"/>
    </row>
    <row r="135" spans="1:40" x14ac:dyDescent="0.25">
      <c r="A135" s="143">
        <v>16</v>
      </c>
      <c r="B135" s="92">
        <v>45233</v>
      </c>
      <c r="C135" s="31" t="s">
        <v>222</v>
      </c>
      <c r="D135" s="32"/>
      <c r="E135" s="32" t="s">
        <v>106</v>
      </c>
      <c r="F135" s="32" t="s">
        <v>220</v>
      </c>
      <c r="G135" s="39" t="s">
        <v>2363</v>
      </c>
      <c r="H135" s="39">
        <v>400</v>
      </c>
      <c r="I135" s="42"/>
      <c r="J135" s="43">
        <v>14</v>
      </c>
      <c r="K135" s="21"/>
      <c r="L135" s="21">
        <f t="shared" si="18"/>
        <v>14</v>
      </c>
      <c r="M135" s="21">
        <f t="shared" si="19"/>
        <v>386</v>
      </c>
      <c r="N135" s="21"/>
      <c r="O135" s="21">
        <v>290</v>
      </c>
      <c r="P135" s="5"/>
      <c r="Q135" s="43"/>
      <c r="R135" s="32"/>
      <c r="S135" s="21">
        <f t="shared" si="20"/>
        <v>0</v>
      </c>
      <c r="T135" s="131"/>
      <c r="U135" s="78">
        <f t="shared" si="21"/>
        <v>-290</v>
      </c>
      <c r="V135" s="140"/>
      <c r="W135" s="147"/>
      <c r="X135" s="23"/>
      <c r="Y135" s="334"/>
      <c r="Z135" s="5"/>
      <c r="AC135" s="5" t="s">
        <v>685</v>
      </c>
      <c r="AD135" s="115" t="s">
        <v>684</v>
      </c>
      <c r="AE135" s="339"/>
      <c r="AF135" s="341"/>
      <c r="AG135" s="115" t="s">
        <v>684</v>
      </c>
      <c r="AH135" s="339"/>
      <c r="AI135" s="341"/>
      <c r="AJ135" s="115" t="s">
        <v>684</v>
      </c>
      <c r="AK135" s="339"/>
      <c r="AL135" s="5"/>
    </row>
    <row r="136" spans="1:40" x14ac:dyDescent="0.25">
      <c r="A136" s="143">
        <v>17</v>
      </c>
      <c r="B136" s="92">
        <v>45233</v>
      </c>
      <c r="C136" s="31" t="s">
        <v>1518</v>
      </c>
      <c r="D136" s="32"/>
      <c r="E136" s="32" t="s">
        <v>41</v>
      </c>
      <c r="F136" s="32" t="s">
        <v>220</v>
      </c>
      <c r="G136" s="39" t="s">
        <v>2364</v>
      </c>
      <c r="H136" s="39">
        <v>600</v>
      </c>
      <c r="I136" s="42">
        <v>754</v>
      </c>
      <c r="J136" s="43">
        <v>14</v>
      </c>
      <c r="K136" s="21"/>
      <c r="L136" s="21">
        <f t="shared" si="18"/>
        <v>768</v>
      </c>
      <c r="M136" s="21">
        <f t="shared" si="19"/>
        <v>-168</v>
      </c>
      <c r="N136" s="21"/>
      <c r="O136" s="21"/>
      <c r="P136" s="5"/>
      <c r="Q136" s="43"/>
      <c r="R136" s="32"/>
      <c r="S136" s="21">
        <f t="shared" si="20"/>
        <v>0</v>
      </c>
      <c r="T136" s="132"/>
      <c r="U136" s="78">
        <f t="shared" si="21"/>
        <v>0</v>
      </c>
      <c r="V136" s="140"/>
      <c r="W136" s="147"/>
      <c r="X136" s="23"/>
      <c r="Y136" s="340"/>
      <c r="Z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40" x14ac:dyDescent="0.25">
      <c r="A137" s="143">
        <v>18</v>
      </c>
      <c r="B137" s="92">
        <v>45233</v>
      </c>
      <c r="C137" s="31" t="s">
        <v>2226</v>
      </c>
      <c r="D137" s="32"/>
      <c r="E137" s="32" t="s">
        <v>2365</v>
      </c>
      <c r="F137" s="32" t="s">
        <v>220</v>
      </c>
      <c r="G137" s="39" t="s">
        <v>2366</v>
      </c>
      <c r="H137" s="39">
        <v>170</v>
      </c>
      <c r="I137" s="42">
        <v>160</v>
      </c>
      <c r="J137" s="43">
        <v>20</v>
      </c>
      <c r="K137" s="21">
        <v>10</v>
      </c>
      <c r="L137" s="21">
        <f t="shared" si="18"/>
        <v>180</v>
      </c>
      <c r="M137" s="21">
        <f t="shared" si="19"/>
        <v>-10</v>
      </c>
      <c r="N137" s="21"/>
      <c r="O137" s="21"/>
      <c r="P137" s="5"/>
      <c r="Q137" s="135"/>
      <c r="R137" s="104"/>
      <c r="S137" s="21">
        <f t="shared" si="20"/>
        <v>0</v>
      </c>
      <c r="T137" s="131"/>
      <c r="U137" s="78">
        <f t="shared" si="21"/>
        <v>0</v>
      </c>
      <c r="V137" s="140"/>
      <c r="W137" s="138"/>
      <c r="X137" s="32"/>
      <c r="Z137" s="5"/>
    </row>
    <row r="138" spans="1:40" x14ac:dyDescent="0.25">
      <c r="A138" s="143">
        <v>19</v>
      </c>
      <c r="B138" s="92">
        <v>45233</v>
      </c>
      <c r="C138" s="31" t="s">
        <v>2367</v>
      </c>
      <c r="D138" s="32"/>
      <c r="E138" s="32" t="s">
        <v>106</v>
      </c>
      <c r="F138" s="32" t="s">
        <v>2368</v>
      </c>
      <c r="G138" s="39" t="s">
        <v>2369</v>
      </c>
      <c r="H138" s="39">
        <v>142</v>
      </c>
      <c r="I138" s="42">
        <v>132</v>
      </c>
      <c r="J138" s="43">
        <v>14</v>
      </c>
      <c r="K138" s="21"/>
      <c r="L138" s="21">
        <v>142</v>
      </c>
      <c r="M138" s="21">
        <v>0</v>
      </c>
      <c r="N138" s="21"/>
      <c r="O138" s="21"/>
      <c r="P138" s="5"/>
      <c r="Q138" s="135"/>
      <c r="R138" s="104"/>
      <c r="S138" s="21"/>
      <c r="T138" s="131"/>
      <c r="U138" s="78"/>
      <c r="V138" s="140"/>
      <c r="W138" s="138"/>
      <c r="X138" s="32"/>
      <c r="Z138" s="5"/>
    </row>
    <row r="139" spans="1:40" x14ac:dyDescent="0.25">
      <c r="A139" s="143">
        <v>20</v>
      </c>
      <c r="B139" s="92">
        <v>45233</v>
      </c>
      <c r="C139" s="31" t="s">
        <v>1639</v>
      </c>
      <c r="D139" s="32"/>
      <c r="E139" s="32" t="s">
        <v>106</v>
      </c>
      <c r="F139" s="32" t="s">
        <v>760</v>
      </c>
      <c r="G139" s="39" t="s">
        <v>2370</v>
      </c>
      <c r="H139" s="39">
        <v>600</v>
      </c>
      <c r="I139" s="42">
        <v>120</v>
      </c>
      <c r="J139" s="43">
        <v>14</v>
      </c>
      <c r="K139" s="21">
        <v>10</v>
      </c>
      <c r="L139" s="21">
        <f t="shared" si="18"/>
        <v>134</v>
      </c>
      <c r="M139" s="21">
        <f t="shared" si="19"/>
        <v>466</v>
      </c>
      <c r="N139" s="21"/>
      <c r="O139" s="21"/>
      <c r="P139" s="5"/>
      <c r="Q139" s="32"/>
      <c r="R139" s="32"/>
      <c r="S139" s="21">
        <f t="shared" si="20"/>
        <v>0</v>
      </c>
      <c r="T139" s="32"/>
      <c r="U139" s="78">
        <f t="shared" si="21"/>
        <v>0</v>
      </c>
      <c r="V139" s="140"/>
      <c r="W139" s="138"/>
      <c r="X139" s="32"/>
      <c r="Z139" s="5"/>
    </row>
    <row r="140" spans="1:40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22">
        <f>SUM(O120:O139)</f>
        <v>1023</v>
      </c>
      <c r="P140" s="5"/>
      <c r="Q140" s="5"/>
      <c r="R140" s="5"/>
      <c r="S140" s="5"/>
      <c r="T140" s="5"/>
      <c r="U140" s="5"/>
      <c r="V140" s="141"/>
      <c r="W140" s="5"/>
      <c r="X140" s="5"/>
      <c r="Y140" s="5"/>
      <c r="Z140" s="5"/>
    </row>
    <row r="144" spans="1:40" x14ac:dyDescent="0.25">
      <c r="I144" s="83">
        <f>+I159+I158-400</f>
        <v>-87</v>
      </c>
      <c r="J144" s="83">
        <f>+I159+214</f>
        <v>327</v>
      </c>
      <c r="L144" s="83">
        <f>+I159+214</f>
        <v>327</v>
      </c>
      <c r="M144" s="83">
        <f>+L144-400</f>
        <v>-73</v>
      </c>
    </row>
    <row r="145" spans="1:40" x14ac:dyDescent="0.25">
      <c r="I145" s="83">
        <f>+I144-214</f>
        <v>-301</v>
      </c>
    </row>
    <row r="146" spans="1:40" x14ac:dyDescent="0.25">
      <c r="A146" s="1" t="s">
        <v>0</v>
      </c>
      <c r="B146" s="1"/>
      <c r="C146" s="1"/>
      <c r="D146" s="1"/>
      <c r="E146" s="1"/>
      <c r="F146" s="1"/>
      <c r="G146" s="1"/>
      <c r="H146" s="1"/>
      <c r="I146" s="1" t="s">
        <v>148</v>
      </c>
      <c r="J146" s="1"/>
      <c r="K146" s="1"/>
      <c r="L146" s="1"/>
      <c r="M146" s="1"/>
      <c r="N146" s="1"/>
      <c r="O146" s="1"/>
      <c r="P146" s="1"/>
      <c r="Q146" s="1"/>
      <c r="R146" s="1"/>
      <c r="S146" s="342" t="s">
        <v>1</v>
      </c>
      <c r="T146" s="342"/>
      <c r="U146" s="5"/>
      <c r="V146" s="139"/>
      <c r="W146" s="1"/>
      <c r="X146" s="1"/>
      <c r="Y146" s="1"/>
      <c r="Z146" s="5"/>
      <c r="AC146" s="335" t="s">
        <v>160</v>
      </c>
      <c r="AD146" s="336"/>
      <c r="AG146" s="335" t="s">
        <v>170</v>
      </c>
      <c r="AH146" s="336"/>
      <c r="AJ146" s="337" t="s">
        <v>172</v>
      </c>
      <c r="AK146" s="337"/>
      <c r="AM146" s="337" t="s">
        <v>681</v>
      </c>
      <c r="AN146" s="337"/>
    </row>
    <row r="147" spans="1:40" ht="90" x14ac:dyDescent="0.25">
      <c r="A147" s="6" t="s">
        <v>2</v>
      </c>
      <c r="B147" s="7" t="s">
        <v>3</v>
      </c>
      <c r="C147" s="7" t="s">
        <v>4</v>
      </c>
      <c r="D147" s="6" t="s">
        <v>5</v>
      </c>
      <c r="E147" s="6" t="s">
        <v>6</v>
      </c>
      <c r="F147" s="6" t="s">
        <v>7</v>
      </c>
      <c r="G147" s="6" t="s">
        <v>8</v>
      </c>
      <c r="H147" s="8" t="s">
        <v>9</v>
      </c>
      <c r="I147" s="9" t="s">
        <v>10</v>
      </c>
      <c r="J147" s="8" t="s">
        <v>11</v>
      </c>
      <c r="K147" s="10" t="s">
        <v>12</v>
      </c>
      <c r="L147" s="10" t="s">
        <v>13</v>
      </c>
      <c r="M147" s="11" t="s">
        <v>14</v>
      </c>
      <c r="N147" s="10" t="s">
        <v>691</v>
      </c>
      <c r="O147" s="10" t="s">
        <v>28</v>
      </c>
      <c r="P147" s="5"/>
      <c r="Q147" s="10" t="s">
        <v>16</v>
      </c>
      <c r="R147" s="10" t="s">
        <v>17</v>
      </c>
      <c r="S147" s="10" t="s">
        <v>18</v>
      </c>
      <c r="T147" s="10" t="s">
        <v>19</v>
      </c>
      <c r="U147" s="10" t="s">
        <v>20</v>
      </c>
      <c r="V147" s="13"/>
      <c r="W147" s="136" t="s">
        <v>688</v>
      </c>
      <c r="X147" s="14" t="s">
        <v>22</v>
      </c>
      <c r="Y147" s="15" t="s">
        <v>23</v>
      </c>
      <c r="Z147" s="5"/>
      <c r="AB147">
        <v>9</v>
      </c>
      <c r="AC147" s="16" t="s">
        <v>161</v>
      </c>
      <c r="AD147" s="58">
        <f>+AB147*10</f>
        <v>90</v>
      </c>
      <c r="AF147">
        <v>4</v>
      </c>
      <c r="AG147" s="16" t="s">
        <v>161</v>
      </c>
      <c r="AH147" s="58">
        <f>+AF147*10</f>
        <v>40</v>
      </c>
      <c r="AJ147" s="61" t="s">
        <v>173</v>
      </c>
      <c r="AK147" s="62" t="s">
        <v>174</v>
      </c>
      <c r="AM147" s="16" t="s">
        <v>161</v>
      </c>
      <c r="AN147" s="58">
        <f>+AL147*10</f>
        <v>0</v>
      </c>
    </row>
    <row r="148" spans="1:40" x14ac:dyDescent="0.25">
      <c r="A148" s="16">
        <v>1</v>
      </c>
      <c r="B148" s="92">
        <v>45234</v>
      </c>
      <c r="C148" s="31" t="s">
        <v>1934</v>
      </c>
      <c r="D148" s="32">
        <v>5615394688</v>
      </c>
      <c r="E148" s="32" t="s">
        <v>2372</v>
      </c>
      <c r="F148" s="39" t="s">
        <v>2373</v>
      </c>
      <c r="G148" s="39" t="s">
        <v>2374</v>
      </c>
      <c r="H148" s="122">
        <v>60</v>
      </c>
      <c r="I148" s="32">
        <v>40</v>
      </c>
      <c r="J148" s="20">
        <v>20</v>
      </c>
      <c r="K148" s="21">
        <f>U148-J148-O148</f>
        <v>-70</v>
      </c>
      <c r="L148" s="21">
        <f t="shared" ref="L148:L166" si="22">+I148+J148</f>
        <v>60</v>
      </c>
      <c r="M148" s="21">
        <f t="shared" ref="M148:M166" si="23">+H148-L148</f>
        <v>0</v>
      </c>
      <c r="N148" s="21">
        <v>60</v>
      </c>
      <c r="O148" s="21"/>
      <c r="P148" s="5"/>
      <c r="Q148" s="21">
        <v>200</v>
      </c>
      <c r="R148" s="16"/>
      <c r="S148" s="21">
        <f t="shared" ref="S148:S166" si="24">+Q148+R148</f>
        <v>200</v>
      </c>
      <c r="T148" s="21">
        <v>150</v>
      </c>
      <c r="U148" s="78">
        <f>T148-S148-O148</f>
        <v>-50</v>
      </c>
      <c r="V148" s="13"/>
      <c r="W148" s="147"/>
      <c r="X148" s="23"/>
      <c r="Y148" s="333"/>
      <c r="Z148" s="5"/>
      <c r="AB148">
        <v>72.5</v>
      </c>
      <c r="AC148" s="59" t="s">
        <v>162</v>
      </c>
      <c r="AD148" s="18">
        <f>+AB148*1</f>
        <v>72.5</v>
      </c>
      <c r="AG148" s="59" t="s">
        <v>162</v>
      </c>
      <c r="AH148" s="18">
        <f>+AF148*1</f>
        <v>0</v>
      </c>
      <c r="AJ148" s="16"/>
      <c r="AK148" s="16"/>
      <c r="AM148" s="59" t="s">
        <v>162</v>
      </c>
      <c r="AN148" s="18">
        <f>+AL148*1</f>
        <v>0</v>
      </c>
    </row>
    <row r="149" spans="1:40" x14ac:dyDescent="0.25">
      <c r="A149" s="26">
        <v>2</v>
      </c>
      <c r="B149" s="92">
        <v>45234</v>
      </c>
      <c r="C149" s="31" t="s">
        <v>557</v>
      </c>
      <c r="D149" s="32">
        <v>5543821818</v>
      </c>
      <c r="E149" s="32" t="s">
        <v>106</v>
      </c>
      <c r="F149" s="32" t="s">
        <v>2375</v>
      </c>
      <c r="G149" s="39" t="s">
        <v>2376</v>
      </c>
      <c r="H149" s="122">
        <v>364</v>
      </c>
      <c r="I149" s="32">
        <v>350</v>
      </c>
      <c r="J149" s="20">
        <v>14</v>
      </c>
      <c r="K149" s="21">
        <f>U149-J149-O149</f>
        <v>-714</v>
      </c>
      <c r="L149" s="21">
        <f t="shared" si="22"/>
        <v>364</v>
      </c>
      <c r="M149" s="21">
        <f t="shared" si="23"/>
        <v>0</v>
      </c>
      <c r="N149" s="21"/>
      <c r="O149" s="21">
        <v>350</v>
      </c>
      <c r="P149" s="5"/>
      <c r="Q149" s="21"/>
      <c r="R149" s="16"/>
      <c r="S149" s="21">
        <f t="shared" si="24"/>
        <v>0</v>
      </c>
      <c r="T149" s="21"/>
      <c r="U149" s="78">
        <f t="shared" ref="U149:U166" si="25">T149-S149-O149</f>
        <v>-350</v>
      </c>
      <c r="V149" s="140"/>
      <c r="W149" s="147"/>
      <c r="X149" s="23"/>
      <c r="Y149" s="334"/>
      <c r="Z149" s="5"/>
      <c r="AB149">
        <v>23</v>
      </c>
      <c r="AC149" s="16" t="s">
        <v>163</v>
      </c>
      <c r="AD149" s="60">
        <f>+AB149*5</f>
        <v>115</v>
      </c>
      <c r="AG149" s="16" t="s">
        <v>163</v>
      </c>
      <c r="AH149" s="60">
        <f>+AF149*5</f>
        <v>0</v>
      </c>
      <c r="AJ149" s="16"/>
      <c r="AK149" s="16"/>
      <c r="AM149" s="16" t="s">
        <v>163</v>
      </c>
      <c r="AN149" s="60">
        <f>+AL149*5</f>
        <v>0</v>
      </c>
    </row>
    <row r="150" spans="1:40" x14ac:dyDescent="0.25">
      <c r="A150" s="143">
        <v>3</v>
      </c>
      <c r="B150" s="92">
        <v>45234</v>
      </c>
      <c r="C150" s="31" t="s">
        <v>2112</v>
      </c>
      <c r="D150" s="32">
        <v>5612050452</v>
      </c>
      <c r="E150" s="32" t="s">
        <v>2381</v>
      </c>
      <c r="F150" s="32" t="s">
        <v>2380</v>
      </c>
      <c r="G150" s="39" t="s">
        <v>2379</v>
      </c>
      <c r="H150" s="122">
        <v>305</v>
      </c>
      <c r="I150" s="32">
        <v>285</v>
      </c>
      <c r="J150" s="20">
        <v>20</v>
      </c>
      <c r="K150" s="21">
        <v>5</v>
      </c>
      <c r="L150" s="21">
        <f t="shared" si="22"/>
        <v>305</v>
      </c>
      <c r="M150" s="21">
        <f t="shared" si="23"/>
        <v>0</v>
      </c>
      <c r="N150" s="21"/>
      <c r="O150" s="21"/>
      <c r="P150" s="5"/>
      <c r="Q150" s="21"/>
      <c r="R150" s="16"/>
      <c r="S150" s="21">
        <f t="shared" si="24"/>
        <v>0</v>
      </c>
      <c r="T150" s="21"/>
      <c r="U150" s="78">
        <f t="shared" si="25"/>
        <v>0</v>
      </c>
      <c r="V150" s="140"/>
      <c r="W150" s="147"/>
      <c r="X150" s="23"/>
      <c r="Y150" s="334"/>
      <c r="Z150" s="5"/>
      <c r="AC150" s="16" t="s">
        <v>164</v>
      </c>
      <c r="AD150" s="18">
        <f>+AB150*200</f>
        <v>0</v>
      </c>
      <c r="AG150" s="16" t="s">
        <v>164</v>
      </c>
      <c r="AH150" s="18">
        <f>+AF150*200</f>
        <v>0</v>
      </c>
      <c r="AJ150" s="16"/>
      <c r="AK150" s="16"/>
      <c r="AM150" s="16" t="s">
        <v>164</v>
      </c>
      <c r="AN150" s="18">
        <f>+AL150*200</f>
        <v>0</v>
      </c>
    </row>
    <row r="151" spans="1:40" x14ac:dyDescent="0.25">
      <c r="A151" s="143">
        <v>4</v>
      </c>
      <c r="B151" s="92">
        <v>45234</v>
      </c>
      <c r="C151" s="31" t="s">
        <v>2377</v>
      </c>
      <c r="D151" s="32">
        <v>5541403377</v>
      </c>
      <c r="E151" s="32" t="s">
        <v>106</v>
      </c>
      <c r="F151" s="32" t="s">
        <v>1491</v>
      </c>
      <c r="G151" s="39" t="s">
        <v>2378</v>
      </c>
      <c r="H151" s="122">
        <v>223</v>
      </c>
      <c r="I151" s="32">
        <v>208</v>
      </c>
      <c r="J151" s="20">
        <v>15</v>
      </c>
      <c r="K151" s="21">
        <v>10</v>
      </c>
      <c r="L151" s="21">
        <f t="shared" si="22"/>
        <v>223</v>
      </c>
      <c r="M151" s="21">
        <f t="shared" si="23"/>
        <v>0</v>
      </c>
      <c r="N151" s="21"/>
      <c r="O151" s="21">
        <v>208</v>
      </c>
      <c r="P151" s="5"/>
      <c r="Q151" s="21"/>
      <c r="R151" s="16"/>
      <c r="S151" s="21">
        <f t="shared" si="24"/>
        <v>0</v>
      </c>
      <c r="T151" s="21"/>
      <c r="U151" s="78">
        <f t="shared" si="25"/>
        <v>-208</v>
      </c>
      <c r="V151" s="140"/>
      <c r="W151" s="147"/>
      <c r="X151" s="23"/>
      <c r="Y151" s="334"/>
      <c r="Z151" s="5"/>
      <c r="AC151" s="16" t="s">
        <v>165</v>
      </c>
      <c r="AD151" s="18">
        <f>+AB151*100</f>
        <v>0</v>
      </c>
      <c r="AF151">
        <v>1</v>
      </c>
      <c r="AG151" s="16" t="s">
        <v>165</v>
      </c>
      <c r="AH151" s="18">
        <f>+AF151*100</f>
        <v>100</v>
      </c>
      <c r="AJ151" s="16"/>
      <c r="AK151" s="16"/>
      <c r="AM151" s="16" t="s">
        <v>165</v>
      </c>
      <c r="AN151" s="18">
        <f>+AL151*100</f>
        <v>0</v>
      </c>
    </row>
    <row r="152" spans="1:40" x14ac:dyDescent="0.25">
      <c r="A152" s="143">
        <v>5</v>
      </c>
      <c r="B152" s="92">
        <v>45234</v>
      </c>
      <c r="C152" s="31" t="s">
        <v>2383</v>
      </c>
      <c r="D152" s="32"/>
      <c r="E152" s="32" t="s">
        <v>394</v>
      </c>
      <c r="F152" s="32" t="s">
        <v>1053</v>
      </c>
      <c r="G152" s="32" t="s">
        <v>2382</v>
      </c>
      <c r="H152" s="122"/>
      <c r="I152" s="32">
        <v>138</v>
      </c>
      <c r="J152" s="20">
        <v>12</v>
      </c>
      <c r="K152" s="21">
        <v>5</v>
      </c>
      <c r="L152" s="21">
        <f t="shared" si="22"/>
        <v>150</v>
      </c>
      <c r="M152" s="21">
        <f t="shared" si="23"/>
        <v>-150</v>
      </c>
      <c r="N152" s="21"/>
      <c r="O152" s="21"/>
      <c r="P152" s="5"/>
      <c r="Q152" s="16">
        <v>350</v>
      </c>
      <c r="R152" s="16"/>
      <c r="S152" s="21">
        <f t="shared" si="24"/>
        <v>350</v>
      </c>
      <c r="T152" s="21"/>
      <c r="U152" s="78">
        <f t="shared" si="25"/>
        <v>-350</v>
      </c>
      <c r="V152" s="140"/>
      <c r="W152" s="147"/>
      <c r="X152" s="23"/>
      <c r="Y152" s="334"/>
      <c r="Z152" s="5"/>
      <c r="AC152" s="16" t="s">
        <v>166</v>
      </c>
      <c r="AD152" s="18">
        <f>+AB152*50</f>
        <v>0</v>
      </c>
      <c r="AF152">
        <v>11</v>
      </c>
      <c r="AG152" s="16" t="s">
        <v>166</v>
      </c>
      <c r="AH152" s="18">
        <f>+AF152*50</f>
        <v>550</v>
      </c>
      <c r="AJ152" s="16"/>
      <c r="AK152" s="16"/>
      <c r="AM152" s="16" t="s">
        <v>166</v>
      </c>
      <c r="AN152" s="18">
        <f>+AL152*50</f>
        <v>0</v>
      </c>
    </row>
    <row r="153" spans="1:40" x14ac:dyDescent="0.25">
      <c r="A153" s="143">
        <v>6</v>
      </c>
      <c r="B153" s="92">
        <v>45234</v>
      </c>
      <c r="C153" s="31" t="s">
        <v>2384</v>
      </c>
      <c r="D153" s="32"/>
      <c r="E153" s="32" t="s">
        <v>106</v>
      </c>
      <c r="F153" s="32" t="s">
        <v>220</v>
      </c>
      <c r="G153" s="39" t="s">
        <v>2392</v>
      </c>
      <c r="H153" s="39"/>
      <c r="I153" s="42"/>
      <c r="J153" s="20">
        <v>12</v>
      </c>
      <c r="K153" s="21">
        <v>20</v>
      </c>
      <c r="L153" s="21">
        <f t="shared" si="22"/>
        <v>12</v>
      </c>
      <c r="M153" s="21">
        <f t="shared" si="23"/>
        <v>-12</v>
      </c>
      <c r="N153" s="21"/>
      <c r="O153" s="21">
        <v>100</v>
      </c>
      <c r="P153" s="5"/>
      <c r="Q153" s="16"/>
      <c r="R153" s="16"/>
      <c r="S153" s="21">
        <f t="shared" si="24"/>
        <v>0</v>
      </c>
      <c r="T153" s="16"/>
      <c r="U153" s="78">
        <f t="shared" si="25"/>
        <v>-100</v>
      </c>
      <c r="V153" s="140"/>
      <c r="W153" s="147"/>
      <c r="X153" s="23"/>
      <c r="Y153" s="334"/>
      <c r="Z153" s="5"/>
      <c r="AB153">
        <v>4</v>
      </c>
      <c r="AC153" s="16" t="s">
        <v>167</v>
      </c>
      <c r="AD153" s="18">
        <f>+AB153*20</f>
        <v>80</v>
      </c>
      <c r="AF153">
        <v>3</v>
      </c>
      <c r="AG153" s="16" t="s">
        <v>167</v>
      </c>
      <c r="AH153" s="18">
        <f>+AF153*20</f>
        <v>60</v>
      </c>
      <c r="AJ153" s="16"/>
      <c r="AK153" s="16"/>
      <c r="AM153" s="16" t="s">
        <v>167</v>
      </c>
      <c r="AN153" s="18">
        <f>+AL153*20</f>
        <v>0</v>
      </c>
    </row>
    <row r="154" spans="1:40" x14ac:dyDescent="0.25">
      <c r="A154" s="143">
        <v>7</v>
      </c>
      <c r="B154" s="92">
        <v>45234</v>
      </c>
      <c r="C154" s="31" t="s">
        <v>319</v>
      </c>
      <c r="D154" s="32"/>
      <c r="E154" s="32" t="s">
        <v>2385</v>
      </c>
      <c r="F154" s="32" t="s">
        <v>1508</v>
      </c>
      <c r="G154" s="39" t="s">
        <v>2386</v>
      </c>
      <c r="H154" s="122">
        <v>200</v>
      </c>
      <c r="I154" s="42">
        <v>187</v>
      </c>
      <c r="J154" s="20">
        <v>10</v>
      </c>
      <c r="K154" s="21"/>
      <c r="L154" s="21">
        <f t="shared" si="22"/>
        <v>197</v>
      </c>
      <c r="M154" s="21">
        <f t="shared" si="23"/>
        <v>3</v>
      </c>
      <c r="N154" s="21"/>
      <c r="O154" s="21"/>
      <c r="P154" s="5"/>
      <c r="Q154" s="16"/>
      <c r="R154" s="16"/>
      <c r="S154" s="21">
        <f t="shared" si="24"/>
        <v>0</v>
      </c>
      <c r="T154" s="16"/>
      <c r="U154" s="78">
        <f t="shared" si="25"/>
        <v>0</v>
      </c>
      <c r="V154" s="140"/>
      <c r="W154" s="147"/>
      <c r="X154" s="23"/>
      <c r="Y154" s="334"/>
      <c r="Z154" s="5"/>
      <c r="AB154">
        <v>1</v>
      </c>
      <c r="AC154" s="16" t="s">
        <v>171</v>
      </c>
      <c r="AD154" s="18">
        <f>+AB154*500</f>
        <v>500</v>
      </c>
      <c r="AG154" s="16" t="s">
        <v>171</v>
      </c>
      <c r="AH154" s="18">
        <f>+AF154*500</f>
        <v>0</v>
      </c>
      <c r="AJ154" s="16"/>
      <c r="AK154" s="16"/>
      <c r="AM154" s="16" t="s">
        <v>171</v>
      </c>
      <c r="AN154" s="18">
        <f>+AL154*500</f>
        <v>0</v>
      </c>
    </row>
    <row r="155" spans="1:40" x14ac:dyDescent="0.25">
      <c r="A155" s="143">
        <v>8</v>
      </c>
      <c r="B155" s="92">
        <v>45234</v>
      </c>
      <c r="C155" s="31" t="s">
        <v>2387</v>
      </c>
      <c r="D155" s="123"/>
      <c r="E155" s="123" t="s">
        <v>106</v>
      </c>
      <c r="F155" s="123" t="s">
        <v>2388</v>
      </c>
      <c r="G155" s="39" t="s">
        <v>2389</v>
      </c>
      <c r="H155" s="122">
        <v>200</v>
      </c>
      <c r="I155" s="32">
        <v>131</v>
      </c>
      <c r="J155" s="20">
        <v>10</v>
      </c>
      <c r="K155" s="21">
        <v>9</v>
      </c>
      <c r="L155" s="21">
        <f t="shared" si="22"/>
        <v>141</v>
      </c>
      <c r="M155" s="21">
        <f t="shared" si="23"/>
        <v>59</v>
      </c>
      <c r="N155" s="21"/>
      <c r="O155" s="21">
        <v>131</v>
      </c>
      <c r="P155" s="5"/>
      <c r="Q155" s="16"/>
      <c r="R155" s="16"/>
      <c r="S155" s="21">
        <f t="shared" si="24"/>
        <v>0</v>
      </c>
      <c r="T155" s="16"/>
      <c r="U155" s="78">
        <f t="shared" si="25"/>
        <v>-131</v>
      </c>
      <c r="V155" s="140"/>
      <c r="W155" s="147"/>
      <c r="X155" s="23"/>
      <c r="Y155" s="334"/>
      <c r="Z155" s="5"/>
      <c r="AC155" s="16" t="s">
        <v>168</v>
      </c>
      <c r="AD155" s="18">
        <f>+AB155*1000</f>
        <v>0</v>
      </c>
      <c r="AG155" s="16" t="s">
        <v>168</v>
      </c>
      <c r="AH155" s="18">
        <f>+AF155*1000</f>
        <v>0</v>
      </c>
      <c r="AJ155" s="16"/>
      <c r="AK155" s="16"/>
      <c r="AM155" s="16" t="s">
        <v>168</v>
      </c>
      <c r="AN155" s="18">
        <f>+AL155*1000</f>
        <v>0</v>
      </c>
    </row>
    <row r="156" spans="1:40" x14ac:dyDescent="0.25">
      <c r="A156" s="143">
        <v>9</v>
      </c>
      <c r="B156" s="92">
        <v>45234</v>
      </c>
      <c r="C156" s="31" t="s">
        <v>2384</v>
      </c>
      <c r="D156" s="32"/>
      <c r="E156" s="32" t="s">
        <v>394</v>
      </c>
      <c r="F156" s="32" t="s">
        <v>220</v>
      </c>
      <c r="G156" s="39" t="s">
        <v>2390</v>
      </c>
      <c r="H156" s="39">
        <v>376</v>
      </c>
      <c r="I156" s="40">
        <v>366</v>
      </c>
      <c r="J156" s="20">
        <v>10</v>
      </c>
      <c r="K156" s="21">
        <v>8</v>
      </c>
      <c r="L156" s="21">
        <f t="shared" si="22"/>
        <v>376</v>
      </c>
      <c r="M156" s="21">
        <f t="shared" si="23"/>
        <v>0</v>
      </c>
      <c r="N156" s="21"/>
      <c r="O156" s="21"/>
      <c r="P156" s="5"/>
      <c r="Q156" s="16"/>
      <c r="R156" s="16"/>
      <c r="S156" s="21">
        <f t="shared" si="24"/>
        <v>0</v>
      </c>
      <c r="T156" s="16"/>
      <c r="U156" s="78">
        <f t="shared" si="25"/>
        <v>0</v>
      </c>
      <c r="V156" s="140"/>
      <c r="W156" s="147"/>
      <c r="X156" s="23"/>
      <c r="Y156" s="334"/>
      <c r="Z156" s="5"/>
      <c r="AC156" s="26"/>
      <c r="AD156" s="58"/>
      <c r="AG156" s="26"/>
      <c r="AH156" s="58"/>
      <c r="AJ156" s="16"/>
      <c r="AK156" s="16"/>
      <c r="AM156" s="26"/>
      <c r="AN156" s="58"/>
    </row>
    <row r="157" spans="1:40" x14ac:dyDescent="0.25">
      <c r="A157" s="143">
        <v>10</v>
      </c>
      <c r="B157" s="92">
        <v>45234</v>
      </c>
      <c r="C157" s="31" t="s">
        <v>2391</v>
      </c>
      <c r="D157" s="32"/>
      <c r="E157" s="32" t="s">
        <v>106</v>
      </c>
      <c r="F157" s="32" t="s">
        <v>220</v>
      </c>
      <c r="G157" s="39" t="s">
        <v>2393</v>
      </c>
      <c r="H157" s="122">
        <v>55</v>
      </c>
      <c r="I157" s="42">
        <v>45</v>
      </c>
      <c r="J157" s="20">
        <v>10</v>
      </c>
      <c r="K157" s="21">
        <v>0</v>
      </c>
      <c r="L157" s="21">
        <f t="shared" si="22"/>
        <v>55</v>
      </c>
      <c r="M157" s="21">
        <f t="shared" si="23"/>
        <v>0</v>
      </c>
      <c r="N157" s="21"/>
      <c r="O157" s="21">
        <v>45</v>
      </c>
      <c r="P157" s="5"/>
      <c r="Q157" s="16"/>
      <c r="R157" s="16"/>
      <c r="S157" s="21">
        <f t="shared" si="24"/>
        <v>0</v>
      </c>
      <c r="T157" s="16"/>
      <c r="U157" s="78">
        <f t="shared" si="25"/>
        <v>-45</v>
      </c>
      <c r="V157" s="140"/>
      <c r="W157" s="147"/>
      <c r="X157" s="23"/>
      <c r="Y157" s="334"/>
      <c r="Z157" s="5"/>
      <c r="AC157" s="16" t="s">
        <v>169</v>
      </c>
      <c r="AD157" s="18">
        <f>SUM(AD147:AD156)</f>
        <v>857.5</v>
      </c>
      <c r="AG157" s="16" t="s">
        <v>169</v>
      </c>
      <c r="AH157" s="18">
        <f>SUM(AH147:AH156)</f>
        <v>750</v>
      </c>
      <c r="AJ157" s="16"/>
      <c r="AK157" s="16"/>
      <c r="AM157" s="16" t="s">
        <v>169</v>
      </c>
      <c r="AN157" s="18"/>
    </row>
    <row r="158" spans="1:40" x14ac:dyDescent="0.25">
      <c r="A158" s="143">
        <v>11</v>
      </c>
      <c r="B158" s="92">
        <v>45234</v>
      </c>
      <c r="C158" s="31" t="s">
        <v>319</v>
      </c>
      <c r="D158" s="124"/>
      <c r="E158" s="123" t="s">
        <v>394</v>
      </c>
      <c r="F158" s="123" t="s">
        <v>1053</v>
      </c>
      <c r="G158" s="39" t="s">
        <v>2395</v>
      </c>
      <c r="H158" s="122"/>
      <c r="I158" s="42">
        <v>200</v>
      </c>
      <c r="J158" s="20">
        <v>10</v>
      </c>
      <c r="K158" s="21">
        <v>0</v>
      </c>
      <c r="L158" s="21">
        <f t="shared" si="22"/>
        <v>210</v>
      </c>
      <c r="M158" s="21">
        <f t="shared" si="23"/>
        <v>-210</v>
      </c>
      <c r="N158" s="21"/>
      <c r="O158" s="21"/>
      <c r="P158" s="5"/>
      <c r="Q158" s="16">
        <v>400</v>
      </c>
      <c r="R158" s="16"/>
      <c r="S158" s="21">
        <f t="shared" si="24"/>
        <v>400</v>
      </c>
      <c r="T158" s="16"/>
      <c r="U158" s="78">
        <f t="shared" si="25"/>
        <v>-400</v>
      </c>
      <c r="V158" s="140"/>
      <c r="W158" s="147"/>
      <c r="X158" s="23"/>
      <c r="Y158" s="334"/>
      <c r="Z158" s="5"/>
      <c r="AJ158" s="16"/>
      <c r="AK158" s="16"/>
      <c r="AM158" s="16"/>
      <c r="AN158" s="16"/>
    </row>
    <row r="159" spans="1:40" x14ac:dyDescent="0.25">
      <c r="A159" s="143">
        <v>12</v>
      </c>
      <c r="B159" s="92">
        <v>45234</v>
      </c>
      <c r="C159" s="32" t="s">
        <v>2383</v>
      </c>
      <c r="D159" s="32"/>
      <c r="E159" s="124" t="s">
        <v>394</v>
      </c>
      <c r="F159" s="123" t="s">
        <v>269</v>
      </c>
      <c r="G159" s="39" t="s">
        <v>2394</v>
      </c>
      <c r="H159" s="39"/>
      <c r="I159" s="42">
        <v>113</v>
      </c>
      <c r="J159" s="20">
        <v>10</v>
      </c>
      <c r="K159" s="21">
        <v>0</v>
      </c>
      <c r="L159" s="21">
        <f t="shared" si="22"/>
        <v>123</v>
      </c>
      <c r="M159" s="21">
        <f t="shared" si="23"/>
        <v>-123</v>
      </c>
      <c r="N159" s="21"/>
      <c r="O159" s="21"/>
      <c r="P159" s="5"/>
      <c r="Q159" s="45"/>
      <c r="R159" s="44"/>
      <c r="S159" s="21">
        <f t="shared" si="24"/>
        <v>0</v>
      </c>
      <c r="T159" s="45">
        <v>214</v>
      </c>
      <c r="U159" s="78">
        <f t="shared" si="25"/>
        <v>214</v>
      </c>
      <c r="V159" s="140"/>
      <c r="W159" s="147"/>
      <c r="X159" s="23"/>
      <c r="Y159" s="334"/>
      <c r="Z159" s="5"/>
      <c r="AJ159" s="63" t="s">
        <v>169</v>
      </c>
      <c r="AK159" s="63">
        <f>+SUM(AJ148:AJ158)-SUM(AK148:AK158)</f>
        <v>0</v>
      </c>
      <c r="AM159" s="63" t="s">
        <v>169</v>
      </c>
      <c r="AN159" s="85">
        <f>+SUM(AM147:AM158)-SUM(AN148:AN158)</f>
        <v>0</v>
      </c>
    </row>
    <row r="160" spans="1:40" x14ac:dyDescent="0.25">
      <c r="A160" s="143">
        <v>13</v>
      </c>
      <c r="B160" s="92">
        <v>45234</v>
      </c>
      <c r="C160" s="31" t="s">
        <v>2396</v>
      </c>
      <c r="D160" s="32"/>
      <c r="E160" s="32" t="s">
        <v>1117</v>
      </c>
      <c r="F160" s="32" t="s">
        <v>597</v>
      </c>
      <c r="G160" s="39" t="s">
        <v>2397</v>
      </c>
      <c r="H160" s="39"/>
      <c r="I160" s="42">
        <v>135</v>
      </c>
      <c r="J160" s="108">
        <v>20</v>
      </c>
      <c r="K160" s="21">
        <f>U160-J160-O160</f>
        <v>-20</v>
      </c>
      <c r="L160" s="21">
        <f t="shared" si="22"/>
        <v>155</v>
      </c>
      <c r="M160" s="21">
        <f t="shared" si="23"/>
        <v>-155</v>
      </c>
      <c r="N160" s="21"/>
      <c r="O160" s="21"/>
      <c r="P160" s="5"/>
      <c r="Q160" s="43"/>
      <c r="R160" s="32"/>
      <c r="S160" s="21">
        <f t="shared" si="24"/>
        <v>0</v>
      </c>
      <c r="T160" s="43"/>
      <c r="U160" s="78">
        <f t="shared" si="25"/>
        <v>0</v>
      </c>
      <c r="V160" s="140"/>
      <c r="W160" s="147"/>
      <c r="X160" s="23"/>
      <c r="Y160" s="334"/>
      <c r="Z160" s="5"/>
      <c r="AH160" s="83"/>
    </row>
    <row r="161" spans="1:41" x14ac:dyDescent="0.25">
      <c r="A161" s="143">
        <v>14</v>
      </c>
      <c r="B161" s="92">
        <v>45234</v>
      </c>
      <c r="C161" s="32" t="s">
        <v>2383</v>
      </c>
      <c r="D161" s="32"/>
      <c r="E161" s="124" t="s">
        <v>394</v>
      </c>
      <c r="F161" s="123" t="s">
        <v>269</v>
      </c>
      <c r="G161" s="39" t="s">
        <v>2400</v>
      </c>
      <c r="H161" s="39"/>
      <c r="I161" s="42">
        <v>290</v>
      </c>
      <c r="J161" s="108">
        <v>10</v>
      </c>
      <c r="K161" s="21">
        <f>U161-J161-O161</f>
        <v>-10</v>
      </c>
      <c r="L161" s="21">
        <f t="shared" si="22"/>
        <v>300</v>
      </c>
      <c r="M161" s="21">
        <f t="shared" si="23"/>
        <v>-300</v>
      </c>
      <c r="N161" s="21"/>
      <c r="O161" s="21"/>
      <c r="P161" s="5"/>
      <c r="Q161" s="43"/>
      <c r="R161" s="43"/>
      <c r="S161" s="21">
        <f t="shared" si="24"/>
        <v>0</v>
      </c>
      <c r="T161" s="43"/>
      <c r="U161" s="78">
        <f t="shared" si="25"/>
        <v>0</v>
      </c>
      <c r="V161" s="140"/>
      <c r="W161" s="147"/>
      <c r="X161" s="23"/>
      <c r="Y161" s="334"/>
      <c r="Z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41" x14ac:dyDescent="0.25">
      <c r="A162" s="143">
        <v>15</v>
      </c>
      <c r="B162" s="92">
        <v>45234</v>
      </c>
      <c r="C162" s="127" t="s">
        <v>2304</v>
      </c>
      <c r="D162" s="32"/>
      <c r="E162" s="32" t="s">
        <v>1190</v>
      </c>
      <c r="F162" s="128" t="s">
        <v>2398</v>
      </c>
      <c r="G162" s="129" t="s">
        <v>2402</v>
      </c>
      <c r="H162" s="39"/>
      <c r="I162" s="42">
        <v>104</v>
      </c>
      <c r="J162" s="108">
        <v>20</v>
      </c>
      <c r="K162" s="21">
        <f>U162-J162-O162</f>
        <v>-20</v>
      </c>
      <c r="L162" s="21">
        <f t="shared" si="22"/>
        <v>124</v>
      </c>
      <c r="M162" s="21">
        <f t="shared" si="23"/>
        <v>-124</v>
      </c>
      <c r="N162" s="21">
        <v>140</v>
      </c>
      <c r="O162" s="21"/>
      <c r="P162" s="5"/>
      <c r="Q162" s="43"/>
      <c r="R162" s="43"/>
      <c r="S162" s="21">
        <f t="shared" si="24"/>
        <v>0</v>
      </c>
      <c r="T162" s="43"/>
      <c r="U162" s="78">
        <f t="shared" si="25"/>
        <v>0</v>
      </c>
      <c r="V162" s="140"/>
      <c r="W162" s="147"/>
      <c r="X162" s="23"/>
      <c r="Y162" s="334"/>
      <c r="Z162" s="5"/>
      <c r="AC162" s="5"/>
      <c r="AD162" s="134" t="s">
        <v>20</v>
      </c>
      <c r="AE162" s="338"/>
      <c r="AF162" s="341" t="s">
        <v>686</v>
      </c>
      <c r="AG162" s="134" t="s">
        <v>20</v>
      </c>
      <c r="AH162" s="338"/>
      <c r="AI162" s="341" t="s">
        <v>687</v>
      </c>
      <c r="AJ162" s="134" t="s">
        <v>20</v>
      </c>
      <c r="AK162" s="338"/>
      <c r="AL162" s="5"/>
    </row>
    <row r="163" spans="1:41" x14ac:dyDescent="0.25">
      <c r="A163" s="143">
        <v>16</v>
      </c>
      <c r="B163" s="92">
        <v>45234</v>
      </c>
      <c r="C163" s="31" t="s">
        <v>913</v>
      </c>
      <c r="D163" s="32"/>
      <c r="E163" s="32" t="s">
        <v>106</v>
      </c>
      <c r="F163" s="32" t="s">
        <v>1148</v>
      </c>
      <c r="G163" s="39" t="s">
        <v>2399</v>
      </c>
      <c r="H163" s="39"/>
      <c r="I163" s="42">
        <v>39</v>
      </c>
      <c r="J163" s="43">
        <v>10</v>
      </c>
      <c r="K163" s="21">
        <f>U163-J163-O163</f>
        <v>-88</v>
      </c>
      <c r="L163" s="21">
        <f t="shared" si="22"/>
        <v>49</v>
      </c>
      <c r="M163" s="21">
        <f t="shared" si="23"/>
        <v>-49</v>
      </c>
      <c r="N163" s="21"/>
      <c r="O163" s="21">
        <v>39</v>
      </c>
      <c r="P163" s="5"/>
      <c r="Q163" s="43"/>
      <c r="R163" s="32"/>
      <c r="S163" s="21">
        <f t="shared" si="24"/>
        <v>0</v>
      </c>
      <c r="T163" s="131"/>
      <c r="U163" s="78">
        <f t="shared" si="25"/>
        <v>-39</v>
      </c>
      <c r="V163" s="140"/>
      <c r="W163" s="147"/>
      <c r="X163" s="23"/>
      <c r="Y163" s="334"/>
      <c r="Z163" s="5"/>
      <c r="AC163" s="5" t="s">
        <v>685</v>
      </c>
      <c r="AD163" s="115" t="s">
        <v>684</v>
      </c>
      <c r="AE163" s="339"/>
      <c r="AF163" s="341"/>
      <c r="AG163" s="115" t="s">
        <v>684</v>
      </c>
      <c r="AH163" s="339"/>
      <c r="AI163" s="341"/>
      <c r="AJ163" s="115" t="s">
        <v>684</v>
      </c>
      <c r="AK163" s="339"/>
      <c r="AL163" s="5"/>
    </row>
    <row r="164" spans="1:41" x14ac:dyDescent="0.25">
      <c r="A164" s="143">
        <v>17</v>
      </c>
      <c r="B164" s="92">
        <v>45234</v>
      </c>
      <c r="C164" s="31" t="s">
        <v>2391</v>
      </c>
      <c r="D164" s="32"/>
      <c r="E164" s="32" t="s">
        <v>106</v>
      </c>
      <c r="F164" s="32" t="s">
        <v>1053</v>
      </c>
      <c r="G164" s="39" t="s">
        <v>2401</v>
      </c>
      <c r="H164" s="39"/>
      <c r="I164" s="42">
        <v>14</v>
      </c>
      <c r="J164" s="43">
        <v>11</v>
      </c>
      <c r="K164" s="21">
        <f>U164-J164-O164</f>
        <v>-39</v>
      </c>
      <c r="L164" s="21">
        <f t="shared" si="22"/>
        <v>25</v>
      </c>
      <c r="M164" s="21">
        <f t="shared" si="23"/>
        <v>-25</v>
      </c>
      <c r="N164" s="21"/>
      <c r="O164" s="21">
        <v>14</v>
      </c>
      <c r="P164" s="5"/>
      <c r="Q164" s="43"/>
      <c r="R164" s="32"/>
      <c r="S164" s="21">
        <f t="shared" si="24"/>
        <v>0</v>
      </c>
      <c r="T164" s="132"/>
      <c r="U164" s="78">
        <f t="shared" si="25"/>
        <v>-14</v>
      </c>
      <c r="V164" s="140"/>
      <c r="W164" s="147"/>
      <c r="X164" s="23"/>
      <c r="Y164" s="340"/>
      <c r="Z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41" x14ac:dyDescent="0.25">
      <c r="A165" s="143">
        <v>18</v>
      </c>
      <c r="B165" s="92">
        <v>45234</v>
      </c>
      <c r="C165" s="31" t="s">
        <v>2403</v>
      </c>
      <c r="D165" s="32"/>
      <c r="E165" s="32" t="s">
        <v>106</v>
      </c>
      <c r="F165" s="32" t="s">
        <v>195</v>
      </c>
      <c r="G165" s="39" t="s">
        <v>2404</v>
      </c>
      <c r="H165" s="39">
        <v>500</v>
      </c>
      <c r="I165" s="42">
        <v>145</v>
      </c>
      <c r="J165" s="43">
        <v>10</v>
      </c>
      <c r="K165" s="21">
        <v>0</v>
      </c>
      <c r="L165" s="21">
        <f t="shared" si="22"/>
        <v>155</v>
      </c>
      <c r="M165" s="21">
        <f t="shared" si="23"/>
        <v>345</v>
      </c>
      <c r="N165" s="21"/>
      <c r="O165" s="21">
        <v>145</v>
      </c>
      <c r="P165" s="5"/>
      <c r="Q165" s="135"/>
      <c r="R165" s="104"/>
      <c r="S165" s="21">
        <f t="shared" si="24"/>
        <v>0</v>
      </c>
      <c r="T165" s="131"/>
      <c r="U165" s="78">
        <f t="shared" si="25"/>
        <v>-145</v>
      </c>
      <c r="V165" s="140"/>
      <c r="W165" s="138"/>
      <c r="X165" s="32"/>
      <c r="Z165" s="5"/>
    </row>
    <row r="166" spans="1:41" x14ac:dyDescent="0.25">
      <c r="A166" s="143">
        <v>19</v>
      </c>
      <c r="B166" s="92">
        <v>45234</v>
      </c>
      <c r="C166" s="31"/>
      <c r="D166" s="32"/>
      <c r="E166" s="32"/>
      <c r="F166" s="32"/>
      <c r="G166" s="39"/>
      <c r="H166" s="39"/>
      <c r="I166" s="42"/>
      <c r="J166" s="43">
        <v>10</v>
      </c>
      <c r="K166" s="21">
        <f>U166-J166-O166</f>
        <v>-10</v>
      </c>
      <c r="L166" s="21">
        <f t="shared" si="22"/>
        <v>10</v>
      </c>
      <c r="M166" s="21">
        <f t="shared" si="23"/>
        <v>-10</v>
      </c>
      <c r="N166" s="21"/>
      <c r="O166" s="21"/>
      <c r="P166" s="5"/>
      <c r="Q166" s="32"/>
      <c r="R166" s="32"/>
      <c r="S166" s="21">
        <f t="shared" si="24"/>
        <v>0</v>
      </c>
      <c r="T166" s="32"/>
      <c r="U166" s="78">
        <f t="shared" si="25"/>
        <v>0</v>
      </c>
      <c r="V166" s="140"/>
      <c r="W166" s="138"/>
      <c r="X166" s="32"/>
      <c r="Z166" s="5"/>
    </row>
    <row r="167" spans="1:4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22">
        <f>SUM(O149:O166)</f>
        <v>1032</v>
      </c>
      <c r="P167" s="5"/>
      <c r="Q167" s="5"/>
      <c r="R167" s="5"/>
      <c r="S167" s="5"/>
      <c r="T167" s="5"/>
      <c r="U167" s="5"/>
      <c r="V167" s="141"/>
      <c r="W167" s="5"/>
      <c r="X167" s="5"/>
      <c r="Y167" s="5"/>
      <c r="Z167" s="5"/>
    </row>
    <row r="171" spans="1:41" x14ac:dyDescent="0.25">
      <c r="A171" s="1" t="s">
        <v>0</v>
      </c>
      <c r="B171" s="1"/>
      <c r="C171" s="1"/>
      <c r="D171" s="1"/>
      <c r="E171" s="1"/>
      <c r="F171" s="1"/>
      <c r="G171" s="1"/>
      <c r="H171" s="1"/>
      <c r="I171" s="1" t="s">
        <v>148</v>
      </c>
      <c r="J171" s="1"/>
      <c r="K171" s="1"/>
      <c r="L171" s="1"/>
      <c r="M171" s="1"/>
      <c r="N171" s="1"/>
      <c r="O171" s="1"/>
      <c r="P171" s="1"/>
      <c r="Q171" s="1"/>
      <c r="R171" s="1"/>
      <c r="S171" s="342" t="s">
        <v>1</v>
      </c>
      <c r="T171" s="342"/>
      <c r="U171" s="5"/>
      <c r="V171" s="139"/>
      <c r="W171" s="1"/>
      <c r="X171" s="1"/>
      <c r="Y171" s="1"/>
      <c r="Z171" s="5"/>
    </row>
    <row r="172" spans="1:41" ht="90" x14ac:dyDescent="0.25">
      <c r="A172" s="6" t="s">
        <v>2</v>
      </c>
      <c r="B172" s="7" t="s">
        <v>3</v>
      </c>
      <c r="C172" s="7" t="s">
        <v>4</v>
      </c>
      <c r="D172" s="6" t="s">
        <v>5</v>
      </c>
      <c r="E172" s="6" t="s">
        <v>6</v>
      </c>
      <c r="F172" s="6" t="s">
        <v>7</v>
      </c>
      <c r="G172" s="6" t="s">
        <v>8</v>
      </c>
      <c r="H172" s="8" t="s">
        <v>9</v>
      </c>
      <c r="I172" s="9" t="s">
        <v>10</v>
      </c>
      <c r="J172" s="8" t="s">
        <v>11</v>
      </c>
      <c r="K172" s="10" t="s">
        <v>12</v>
      </c>
      <c r="L172" s="10" t="s">
        <v>13</v>
      </c>
      <c r="M172" s="11" t="s">
        <v>14</v>
      </c>
      <c r="N172" s="10" t="s">
        <v>691</v>
      </c>
      <c r="O172" s="10" t="s">
        <v>28</v>
      </c>
      <c r="P172" s="5"/>
      <c r="Q172" s="10" t="s">
        <v>16</v>
      </c>
      <c r="R172" s="10" t="s">
        <v>17</v>
      </c>
      <c r="S172" s="10" t="s">
        <v>18</v>
      </c>
      <c r="T172" s="10" t="s">
        <v>19</v>
      </c>
      <c r="U172" s="10" t="s">
        <v>20</v>
      </c>
      <c r="V172" s="13"/>
      <c r="W172" s="136" t="s">
        <v>688</v>
      </c>
      <c r="X172" s="14" t="s">
        <v>22</v>
      </c>
      <c r="Y172" s="15" t="s">
        <v>23</v>
      </c>
      <c r="Z172" s="5"/>
      <c r="AD172" s="335" t="s">
        <v>160</v>
      </c>
      <c r="AE172" s="336"/>
      <c r="AH172" s="335" t="s">
        <v>170</v>
      </c>
      <c r="AI172" s="336"/>
      <c r="AK172" s="337" t="s">
        <v>172</v>
      </c>
      <c r="AL172" s="337"/>
      <c r="AN172" s="337" t="s">
        <v>681</v>
      </c>
      <c r="AO172" s="337"/>
    </row>
    <row r="173" spans="1:41" x14ac:dyDescent="0.25">
      <c r="A173" s="16">
        <v>1</v>
      </c>
      <c r="B173" s="92">
        <v>45235</v>
      </c>
      <c r="C173" s="31" t="s">
        <v>364</v>
      </c>
      <c r="D173" s="32"/>
      <c r="E173" s="32"/>
      <c r="F173" s="39" t="s">
        <v>1700</v>
      </c>
      <c r="G173" s="39" t="s">
        <v>2407</v>
      </c>
      <c r="H173" s="122">
        <v>200</v>
      </c>
      <c r="I173" s="32">
        <v>128</v>
      </c>
      <c r="J173" s="20">
        <v>10</v>
      </c>
      <c r="K173" s="21">
        <v>0</v>
      </c>
      <c r="L173" s="21">
        <f t="shared" ref="L173:L191" si="26">+I173+J173</f>
        <v>138</v>
      </c>
      <c r="M173" s="21">
        <f t="shared" ref="M173:M191" si="27">+H173-L173</f>
        <v>62</v>
      </c>
      <c r="N173" s="21"/>
      <c r="O173" s="21">
        <v>128</v>
      </c>
      <c r="P173" s="5"/>
      <c r="Q173" s="21"/>
      <c r="R173" s="16"/>
      <c r="S173" s="21">
        <f t="shared" ref="S173:S191" si="28">+Q173+R173</f>
        <v>0</v>
      </c>
      <c r="T173" s="21"/>
      <c r="U173" s="78">
        <f>T173-S173-O173</f>
        <v>-128</v>
      </c>
      <c r="V173" s="13"/>
      <c r="W173" s="147"/>
      <c r="X173" s="23"/>
      <c r="Y173" s="333"/>
      <c r="Z173" s="5"/>
      <c r="AD173" s="16" t="s">
        <v>161</v>
      </c>
      <c r="AE173" s="58">
        <f>+AC173*10</f>
        <v>0</v>
      </c>
      <c r="AG173">
        <v>9</v>
      </c>
      <c r="AH173" s="16" t="s">
        <v>161</v>
      </c>
      <c r="AI173" s="58">
        <f>+AG173*10</f>
        <v>90</v>
      </c>
      <c r="AK173" s="61" t="s">
        <v>173</v>
      </c>
      <c r="AL173" s="62" t="s">
        <v>174</v>
      </c>
      <c r="AN173" s="16" t="s">
        <v>161</v>
      </c>
      <c r="AO173" s="58">
        <f>+AM173*10</f>
        <v>0</v>
      </c>
    </row>
    <row r="174" spans="1:41" x14ac:dyDescent="0.25">
      <c r="A174" s="26">
        <v>2</v>
      </c>
      <c r="B174" s="92">
        <v>45235</v>
      </c>
      <c r="C174" s="31" t="s">
        <v>1602</v>
      </c>
      <c r="D174" s="32"/>
      <c r="E174" s="32"/>
      <c r="F174" s="32" t="s">
        <v>773</v>
      </c>
      <c r="G174" s="39" t="s">
        <v>2408</v>
      </c>
      <c r="H174" s="122">
        <v>250</v>
      </c>
      <c r="I174" s="32">
        <v>197</v>
      </c>
      <c r="J174" s="20">
        <v>14</v>
      </c>
      <c r="K174" s="21">
        <f t="shared" ref="K174:K191" si="29">U174-J174-O174</f>
        <v>-408</v>
      </c>
      <c r="L174" s="21">
        <f t="shared" si="26"/>
        <v>211</v>
      </c>
      <c r="M174" s="21">
        <f t="shared" si="27"/>
        <v>39</v>
      </c>
      <c r="N174" s="21"/>
      <c r="O174" s="21">
        <v>197</v>
      </c>
      <c r="P174" s="5"/>
      <c r="Q174" s="21"/>
      <c r="R174" s="16"/>
      <c r="S174" s="21">
        <f t="shared" si="28"/>
        <v>0</v>
      </c>
      <c r="T174" s="21"/>
      <c r="U174" s="78">
        <f t="shared" ref="U174:U191" si="30">T174-S174-O174</f>
        <v>-197</v>
      </c>
      <c r="V174" s="140"/>
      <c r="W174" s="147"/>
      <c r="X174" s="23"/>
      <c r="Y174" s="334"/>
      <c r="Z174" s="5"/>
      <c r="AD174" s="59" t="s">
        <v>162</v>
      </c>
      <c r="AE174" s="18">
        <f>+AC174*1</f>
        <v>0</v>
      </c>
      <c r="AG174">
        <v>68</v>
      </c>
      <c r="AH174" s="59" t="s">
        <v>162</v>
      </c>
      <c r="AI174" s="18">
        <f>+AG174*1</f>
        <v>68</v>
      </c>
      <c r="AK174" s="16"/>
      <c r="AL174" s="16"/>
      <c r="AN174" s="59" t="s">
        <v>162</v>
      </c>
      <c r="AO174" s="18">
        <f>+AM174*1</f>
        <v>0</v>
      </c>
    </row>
    <row r="175" spans="1:41" x14ac:dyDescent="0.25">
      <c r="A175" s="143">
        <v>3</v>
      </c>
      <c r="B175" s="92">
        <v>45235</v>
      </c>
      <c r="C175" t="s">
        <v>2353</v>
      </c>
      <c r="D175" s="32"/>
      <c r="E175" s="32"/>
      <c r="F175" s="32" t="s">
        <v>2406</v>
      </c>
      <c r="G175" s="31" t="s">
        <v>2405</v>
      </c>
      <c r="H175" s="122">
        <v>100</v>
      </c>
      <c r="I175" s="32">
        <v>85</v>
      </c>
      <c r="J175" s="20">
        <v>10</v>
      </c>
      <c r="K175" s="21">
        <v>0</v>
      </c>
      <c r="L175" s="21">
        <f t="shared" si="26"/>
        <v>95</v>
      </c>
      <c r="M175" s="21">
        <f t="shared" si="27"/>
        <v>5</v>
      </c>
      <c r="N175" s="21"/>
      <c r="O175" s="21">
        <v>85</v>
      </c>
      <c r="P175" s="5"/>
      <c r="Q175" s="21"/>
      <c r="R175" s="16"/>
      <c r="S175" s="21">
        <f t="shared" si="28"/>
        <v>0</v>
      </c>
      <c r="T175" s="21"/>
      <c r="U175" s="78">
        <f t="shared" si="30"/>
        <v>-85</v>
      </c>
      <c r="V175" s="140"/>
      <c r="W175" s="147"/>
      <c r="X175" s="23"/>
      <c r="Y175" s="334"/>
      <c r="Z175" s="5"/>
      <c r="AD175" s="16" t="s">
        <v>163</v>
      </c>
      <c r="AE175" s="60">
        <f>+AC175*5</f>
        <v>0</v>
      </c>
      <c r="AG175">
        <v>14</v>
      </c>
      <c r="AH175" s="16" t="s">
        <v>163</v>
      </c>
      <c r="AI175" s="60">
        <f>+AG175*5</f>
        <v>70</v>
      </c>
      <c r="AK175" s="16"/>
      <c r="AL175" s="16"/>
      <c r="AN175" s="16" t="s">
        <v>163</v>
      </c>
      <c r="AO175" s="60">
        <f>+AM175*5</f>
        <v>0</v>
      </c>
    </row>
    <row r="176" spans="1:41" x14ac:dyDescent="0.25">
      <c r="A176" s="143">
        <v>4</v>
      </c>
      <c r="B176" s="92">
        <v>45235</v>
      </c>
      <c r="C176" s="31" t="s">
        <v>1890</v>
      </c>
      <c r="D176" s="32"/>
      <c r="E176" s="32" t="s">
        <v>106</v>
      </c>
      <c r="F176" s="32" t="s">
        <v>2411</v>
      </c>
      <c r="G176" s="39" t="s">
        <v>2412</v>
      </c>
      <c r="H176" s="122">
        <v>100</v>
      </c>
      <c r="I176" s="32">
        <v>79</v>
      </c>
      <c r="J176" s="20">
        <v>10</v>
      </c>
      <c r="K176" s="21">
        <f t="shared" si="29"/>
        <v>-158</v>
      </c>
      <c r="L176" s="21">
        <f t="shared" si="26"/>
        <v>89</v>
      </c>
      <c r="M176" s="21">
        <f t="shared" si="27"/>
        <v>11</v>
      </c>
      <c r="N176" s="21"/>
      <c r="O176" s="21">
        <v>79</v>
      </c>
      <c r="P176" s="5"/>
      <c r="Q176" s="21">
        <v>150</v>
      </c>
      <c r="R176" s="16"/>
      <c r="S176" s="21">
        <f t="shared" si="28"/>
        <v>150</v>
      </c>
      <c r="T176" s="21">
        <v>160</v>
      </c>
      <c r="U176" s="78">
        <f t="shared" si="30"/>
        <v>-69</v>
      </c>
      <c r="V176" s="140"/>
      <c r="W176" s="147"/>
      <c r="X176" s="23"/>
      <c r="Y176" s="334"/>
      <c r="Z176" s="5"/>
      <c r="AD176" s="16" t="s">
        <v>164</v>
      </c>
      <c r="AE176" s="18">
        <f>+AC176*200</f>
        <v>0</v>
      </c>
      <c r="AG176">
        <v>1</v>
      </c>
      <c r="AH176" s="16" t="s">
        <v>164</v>
      </c>
      <c r="AI176" s="18">
        <f>+AG176*200</f>
        <v>200</v>
      </c>
      <c r="AK176" s="16"/>
      <c r="AL176" s="16"/>
      <c r="AN176" s="16" t="s">
        <v>164</v>
      </c>
      <c r="AO176" s="18">
        <f>+AM176*200</f>
        <v>0</v>
      </c>
    </row>
    <row r="177" spans="1:41" x14ac:dyDescent="0.25">
      <c r="A177" s="143">
        <v>5</v>
      </c>
      <c r="B177" s="92">
        <v>45235</v>
      </c>
      <c r="C177" s="31" t="s">
        <v>294</v>
      </c>
      <c r="D177" s="32"/>
      <c r="E177" s="32" t="s">
        <v>394</v>
      </c>
      <c r="F177" s="32" t="s">
        <v>2409</v>
      </c>
      <c r="G177" s="32" t="s">
        <v>2410</v>
      </c>
      <c r="H177" s="122">
        <v>200</v>
      </c>
      <c r="I177" s="32">
        <v>112</v>
      </c>
      <c r="J177" s="20">
        <v>10</v>
      </c>
      <c r="K177" s="21">
        <f t="shared" si="29"/>
        <v>20</v>
      </c>
      <c r="L177" s="21">
        <f t="shared" si="26"/>
        <v>122</v>
      </c>
      <c r="M177" s="21">
        <f t="shared" si="27"/>
        <v>78</v>
      </c>
      <c r="N177" s="21"/>
      <c r="O177" s="21"/>
      <c r="P177" s="5"/>
      <c r="Q177" s="16">
        <v>170</v>
      </c>
      <c r="R177" s="16"/>
      <c r="S177" s="21">
        <f t="shared" si="28"/>
        <v>170</v>
      </c>
      <c r="T177" s="21">
        <v>200</v>
      </c>
      <c r="U177" s="78">
        <f t="shared" si="30"/>
        <v>30</v>
      </c>
      <c r="V177" s="140"/>
      <c r="W177" s="147"/>
      <c r="X177" s="23"/>
      <c r="Y177" s="334"/>
      <c r="Z177" s="5"/>
      <c r="AD177" s="16" t="s">
        <v>165</v>
      </c>
      <c r="AE177" s="18">
        <f>+AC177*100</f>
        <v>0</v>
      </c>
      <c r="AH177" s="16" t="s">
        <v>165</v>
      </c>
      <c r="AI177" s="18">
        <f>+AG177*100</f>
        <v>0</v>
      </c>
      <c r="AK177" s="16"/>
      <c r="AL177" s="16"/>
      <c r="AN177" s="16" t="s">
        <v>165</v>
      </c>
      <c r="AO177" s="18">
        <f>+AM177*100</f>
        <v>0</v>
      </c>
    </row>
    <row r="178" spans="1:41" x14ac:dyDescent="0.25">
      <c r="A178" s="143">
        <v>6</v>
      </c>
      <c r="B178" s="92">
        <v>45235</v>
      </c>
      <c r="C178" s="31" t="s">
        <v>2413</v>
      </c>
      <c r="D178" s="32">
        <v>5545506858</v>
      </c>
      <c r="E178" s="32" t="s">
        <v>106</v>
      </c>
      <c r="F178" s="32" t="s">
        <v>2414</v>
      </c>
      <c r="G178" s="39" t="s">
        <v>2415</v>
      </c>
      <c r="H178" s="39">
        <v>200</v>
      </c>
      <c r="I178" s="42">
        <v>77</v>
      </c>
      <c r="J178" s="20">
        <v>10</v>
      </c>
      <c r="K178" s="21">
        <f t="shared" si="29"/>
        <v>-154</v>
      </c>
      <c r="L178" s="21">
        <f t="shared" si="26"/>
        <v>87</v>
      </c>
      <c r="M178" s="21">
        <f t="shared" si="27"/>
        <v>113</v>
      </c>
      <c r="N178" s="21"/>
      <c r="O178" s="21">
        <v>77</v>
      </c>
      <c r="P178" s="5"/>
      <c r="Q178" s="16">
        <v>200</v>
      </c>
      <c r="R178" s="16"/>
      <c r="S178" s="21">
        <f t="shared" si="28"/>
        <v>200</v>
      </c>
      <c r="T178" s="16">
        <v>210</v>
      </c>
      <c r="U178" s="78">
        <f t="shared" si="30"/>
        <v>-67</v>
      </c>
      <c r="V178" s="140"/>
      <c r="W178" s="147"/>
      <c r="X178" s="23"/>
      <c r="Y178" s="334"/>
      <c r="Z178" s="5"/>
      <c r="AD178" s="16" t="s">
        <v>166</v>
      </c>
      <c r="AE178" s="18">
        <f>+AC178*50</f>
        <v>0</v>
      </c>
      <c r="AG178">
        <v>1</v>
      </c>
      <c r="AH178" s="16" t="s">
        <v>166</v>
      </c>
      <c r="AI178" s="18">
        <f>+AG178*50</f>
        <v>50</v>
      </c>
      <c r="AK178" s="16"/>
      <c r="AL178" s="16"/>
      <c r="AN178" s="16" t="s">
        <v>166</v>
      </c>
      <c r="AO178" s="18">
        <f>+AM178*50</f>
        <v>0</v>
      </c>
    </row>
    <row r="179" spans="1:41" x14ac:dyDescent="0.25">
      <c r="A179" s="143">
        <v>7</v>
      </c>
      <c r="B179" s="92">
        <v>45235</v>
      </c>
      <c r="C179" s="31" t="s">
        <v>2416</v>
      </c>
      <c r="D179" s="32"/>
      <c r="E179" s="32" t="s">
        <v>106</v>
      </c>
      <c r="F179" s="32" t="s">
        <v>2417</v>
      </c>
      <c r="G179" s="39" t="s">
        <v>2418</v>
      </c>
      <c r="H179" s="122"/>
      <c r="I179" s="42">
        <f>88+24</f>
        <v>112</v>
      </c>
      <c r="J179" s="20">
        <v>10</v>
      </c>
      <c r="K179" s="21">
        <f t="shared" si="29"/>
        <v>-334</v>
      </c>
      <c r="L179" s="21">
        <f t="shared" si="26"/>
        <v>122</v>
      </c>
      <c r="M179" s="21">
        <f t="shared" si="27"/>
        <v>-122</v>
      </c>
      <c r="N179" s="21"/>
      <c r="O179" s="21">
        <v>112</v>
      </c>
      <c r="P179" s="5"/>
      <c r="Q179" s="16">
        <v>100</v>
      </c>
      <c r="R179" s="16"/>
      <c r="S179" s="21">
        <f t="shared" si="28"/>
        <v>100</v>
      </c>
      <c r="T179" s="16"/>
      <c r="U179" s="78">
        <f t="shared" si="30"/>
        <v>-212</v>
      </c>
      <c r="V179" s="140"/>
      <c r="W179" s="147"/>
      <c r="X179" s="23"/>
      <c r="Y179" s="334"/>
      <c r="Z179" s="5"/>
      <c r="AD179" s="16" t="s">
        <v>167</v>
      </c>
      <c r="AE179" s="18">
        <f>+AC179*20</f>
        <v>0</v>
      </c>
      <c r="AG179">
        <v>2</v>
      </c>
      <c r="AH179" s="16" t="s">
        <v>167</v>
      </c>
      <c r="AI179" s="18">
        <f>+AG179*20</f>
        <v>40</v>
      </c>
      <c r="AK179" s="16"/>
      <c r="AL179" s="16"/>
      <c r="AN179" s="16" t="s">
        <v>167</v>
      </c>
      <c r="AO179" s="18">
        <f>+AM179*20</f>
        <v>0</v>
      </c>
    </row>
    <row r="180" spans="1:41" x14ac:dyDescent="0.25">
      <c r="A180" s="143">
        <v>8</v>
      </c>
      <c r="B180" s="92">
        <v>45235</v>
      </c>
      <c r="C180" s="31" t="s">
        <v>1965</v>
      </c>
      <c r="D180" s="123"/>
      <c r="E180" s="123" t="s">
        <v>106</v>
      </c>
      <c r="F180" s="123" t="s">
        <v>269</v>
      </c>
      <c r="G180" s="39" t="s">
        <v>2419</v>
      </c>
      <c r="H180" s="122"/>
      <c r="I180" s="32"/>
      <c r="J180" s="20">
        <v>10</v>
      </c>
      <c r="K180" s="21">
        <f t="shared" si="29"/>
        <v>-244</v>
      </c>
      <c r="L180" s="21">
        <f t="shared" si="26"/>
        <v>10</v>
      </c>
      <c r="M180" s="21">
        <f t="shared" si="27"/>
        <v>-10</v>
      </c>
      <c r="N180" s="21"/>
      <c r="O180" s="21">
        <v>67</v>
      </c>
      <c r="P180" s="5"/>
      <c r="Q180" s="16">
        <v>100</v>
      </c>
      <c r="R180" s="16"/>
      <c r="S180" s="21">
        <f t="shared" si="28"/>
        <v>100</v>
      </c>
      <c r="T180" s="16"/>
      <c r="U180" s="78">
        <f t="shared" si="30"/>
        <v>-167</v>
      </c>
      <c r="V180" s="140"/>
      <c r="W180" s="147"/>
      <c r="X180" s="23"/>
      <c r="Y180" s="334"/>
      <c r="Z180" s="5"/>
      <c r="AD180" s="16" t="s">
        <v>171</v>
      </c>
      <c r="AE180" s="18">
        <f>+AC180*500</f>
        <v>0</v>
      </c>
      <c r="AH180" s="16" t="s">
        <v>171</v>
      </c>
      <c r="AI180" s="18">
        <f>+AG180*500</f>
        <v>0</v>
      </c>
      <c r="AK180" s="16"/>
      <c r="AL180" s="16"/>
      <c r="AN180" s="16" t="s">
        <v>171</v>
      </c>
      <c r="AO180" s="18">
        <f>+AM180*500</f>
        <v>0</v>
      </c>
    </row>
    <row r="181" spans="1:41" x14ac:dyDescent="0.25">
      <c r="A181" s="143">
        <v>9</v>
      </c>
      <c r="B181" s="92">
        <v>45235</v>
      </c>
      <c r="C181" s="31" t="s">
        <v>1965</v>
      </c>
      <c r="D181" s="32"/>
      <c r="E181" s="32" t="s">
        <v>2372</v>
      </c>
      <c r="F181" s="32" t="s">
        <v>269</v>
      </c>
      <c r="G181" s="39" t="s">
        <v>2420</v>
      </c>
      <c r="H181" s="39"/>
      <c r="I181" s="40"/>
      <c r="J181" s="20">
        <v>10</v>
      </c>
      <c r="K181" s="21">
        <f t="shared" si="29"/>
        <v>-10</v>
      </c>
      <c r="L181" s="21">
        <f t="shared" si="26"/>
        <v>10</v>
      </c>
      <c r="M181" s="21">
        <f t="shared" si="27"/>
        <v>-10</v>
      </c>
      <c r="N181" s="21"/>
      <c r="O181" s="21"/>
      <c r="P181" s="5"/>
      <c r="Q181" s="16"/>
      <c r="R181" s="16"/>
      <c r="S181" s="21">
        <f t="shared" si="28"/>
        <v>0</v>
      </c>
      <c r="T181" s="16"/>
      <c r="U181" s="78">
        <f t="shared" si="30"/>
        <v>0</v>
      </c>
      <c r="V181" s="140"/>
      <c r="W181" s="147"/>
      <c r="X181" s="23"/>
      <c r="Y181" s="334"/>
      <c r="Z181" s="5"/>
      <c r="AD181" s="16" t="s">
        <v>168</v>
      </c>
      <c r="AE181" s="18">
        <f>+AC181*1000</f>
        <v>0</v>
      </c>
      <c r="AH181" s="16" t="s">
        <v>168</v>
      </c>
      <c r="AI181" s="18">
        <f>+AG181*1000</f>
        <v>0</v>
      </c>
      <c r="AK181" s="16"/>
      <c r="AL181" s="16"/>
      <c r="AN181" s="16" t="s">
        <v>168</v>
      </c>
      <c r="AO181" s="18">
        <f>+AM181*1000</f>
        <v>0</v>
      </c>
    </row>
    <row r="182" spans="1:41" x14ac:dyDescent="0.25">
      <c r="A182" s="143">
        <v>10</v>
      </c>
      <c r="B182" s="92">
        <v>45235</v>
      </c>
      <c r="C182" s="31" t="s">
        <v>1518</v>
      </c>
      <c r="D182" s="32"/>
      <c r="E182" s="32" t="s">
        <v>674</v>
      </c>
      <c r="F182" s="32" t="s">
        <v>2422</v>
      </c>
      <c r="G182" s="39" t="s">
        <v>2421</v>
      </c>
      <c r="H182" s="122"/>
      <c r="I182" s="42">
        <v>149</v>
      </c>
      <c r="J182" s="20">
        <v>10</v>
      </c>
      <c r="K182" s="21">
        <f t="shared" si="29"/>
        <v>8</v>
      </c>
      <c r="L182" s="21">
        <f t="shared" si="26"/>
        <v>159</v>
      </c>
      <c r="M182" s="21">
        <f t="shared" si="27"/>
        <v>-159</v>
      </c>
      <c r="N182" s="21"/>
      <c r="O182" s="21"/>
      <c r="P182" s="5"/>
      <c r="Q182" s="16">
        <v>250</v>
      </c>
      <c r="R182" s="16"/>
      <c r="S182" s="21">
        <f t="shared" si="28"/>
        <v>250</v>
      </c>
      <c r="T182" s="16">
        <v>268</v>
      </c>
      <c r="U182" s="78">
        <f t="shared" si="30"/>
        <v>18</v>
      </c>
      <c r="V182" s="140"/>
      <c r="W182" s="147"/>
      <c r="X182" s="23"/>
      <c r="Y182" s="334"/>
      <c r="Z182" s="5"/>
      <c r="AD182" s="26"/>
      <c r="AE182" s="58"/>
      <c r="AH182" s="26"/>
      <c r="AI182" s="58"/>
      <c r="AK182" s="16"/>
      <c r="AL182" s="16"/>
      <c r="AN182" s="26"/>
      <c r="AO182" s="58"/>
    </row>
    <row r="183" spans="1:41" x14ac:dyDescent="0.25">
      <c r="A183" s="143">
        <v>11</v>
      </c>
      <c r="B183" s="92">
        <v>45235</v>
      </c>
      <c r="C183" s="31" t="s">
        <v>2058</v>
      </c>
      <c r="D183" s="124"/>
      <c r="E183" s="123" t="s">
        <v>106</v>
      </c>
      <c r="F183" s="123" t="s">
        <v>1493</v>
      </c>
      <c r="G183" s="39" t="s">
        <v>2423</v>
      </c>
      <c r="H183" s="122">
        <v>200</v>
      </c>
      <c r="I183" s="42">
        <v>101</v>
      </c>
      <c r="J183" s="20">
        <v>14</v>
      </c>
      <c r="K183" s="21">
        <f t="shared" si="29"/>
        <v>-216</v>
      </c>
      <c r="L183" s="21">
        <f t="shared" si="26"/>
        <v>115</v>
      </c>
      <c r="M183" s="21">
        <f t="shared" si="27"/>
        <v>85</v>
      </c>
      <c r="N183" s="21"/>
      <c r="O183" s="21">
        <v>101</v>
      </c>
      <c r="P183" s="5"/>
      <c r="Q183" s="16"/>
      <c r="R183" s="16"/>
      <c r="S183" s="21">
        <f t="shared" si="28"/>
        <v>0</v>
      </c>
      <c r="T183" s="16"/>
      <c r="U183" s="78">
        <f t="shared" si="30"/>
        <v>-101</v>
      </c>
      <c r="V183" s="140"/>
      <c r="W183" s="147"/>
      <c r="X183" s="23"/>
      <c r="Y183" s="334"/>
      <c r="Z183" s="5"/>
      <c r="AD183" s="16" t="s">
        <v>169</v>
      </c>
      <c r="AE183" s="18">
        <f>SUM(AE173:AE182)</f>
        <v>0</v>
      </c>
      <c r="AH183" s="16" t="s">
        <v>169</v>
      </c>
      <c r="AI183" s="18">
        <f>SUM(AI173:AI182)</f>
        <v>518</v>
      </c>
      <c r="AK183" s="16"/>
      <c r="AL183" s="16"/>
      <c r="AN183" s="16" t="s">
        <v>169</v>
      </c>
      <c r="AO183" s="18"/>
    </row>
    <row r="184" spans="1:41" x14ac:dyDescent="0.25">
      <c r="A184" s="143">
        <v>12</v>
      </c>
      <c r="B184" s="92">
        <v>45235</v>
      </c>
      <c r="C184" s="32" t="s">
        <v>557</v>
      </c>
      <c r="D184" s="32"/>
      <c r="E184" s="124" t="s">
        <v>106</v>
      </c>
      <c r="F184" s="123" t="s">
        <v>2424</v>
      </c>
      <c r="G184" s="39" t="s">
        <v>2425</v>
      </c>
      <c r="H184" s="39"/>
      <c r="I184" s="42"/>
      <c r="J184" s="20">
        <v>10</v>
      </c>
      <c r="K184" s="21">
        <f t="shared" si="29"/>
        <v>-166</v>
      </c>
      <c r="L184" s="21">
        <f t="shared" si="26"/>
        <v>10</v>
      </c>
      <c r="M184" s="21">
        <f t="shared" si="27"/>
        <v>-10</v>
      </c>
      <c r="N184" s="21"/>
      <c r="O184" s="21">
        <v>78</v>
      </c>
      <c r="P184" s="5"/>
      <c r="Q184" s="45"/>
      <c r="R184" s="44"/>
      <c r="S184" s="21">
        <f t="shared" si="28"/>
        <v>0</v>
      </c>
      <c r="T184" s="45"/>
      <c r="U184" s="78">
        <f t="shared" si="30"/>
        <v>-78</v>
      </c>
      <c r="V184" s="140"/>
      <c r="W184" s="147"/>
      <c r="X184" s="23"/>
      <c r="Y184" s="334"/>
      <c r="Z184" s="5"/>
      <c r="AK184" s="16"/>
      <c r="AL184" s="16"/>
      <c r="AN184" s="16"/>
      <c r="AO184" s="16"/>
    </row>
    <row r="185" spans="1:41" x14ac:dyDescent="0.25">
      <c r="A185" s="143">
        <v>13</v>
      </c>
      <c r="B185" s="92">
        <v>45235</v>
      </c>
      <c r="C185" s="31"/>
      <c r="D185" s="32"/>
      <c r="E185" s="32"/>
      <c r="F185" s="32"/>
      <c r="G185" s="39"/>
      <c r="H185" s="39"/>
      <c r="I185" s="42"/>
      <c r="J185" s="108">
        <v>10</v>
      </c>
      <c r="K185" s="21">
        <f t="shared" si="29"/>
        <v>-10</v>
      </c>
      <c r="L185" s="21">
        <f t="shared" si="26"/>
        <v>10</v>
      </c>
      <c r="M185" s="21">
        <f t="shared" si="27"/>
        <v>-10</v>
      </c>
      <c r="N185" s="21"/>
      <c r="O185" s="21"/>
      <c r="P185" s="5"/>
      <c r="Q185" s="43"/>
      <c r="R185" s="32"/>
      <c r="S185" s="21">
        <f t="shared" si="28"/>
        <v>0</v>
      </c>
      <c r="T185" s="43"/>
      <c r="U185" s="78">
        <f t="shared" si="30"/>
        <v>0</v>
      </c>
      <c r="V185" s="140"/>
      <c r="W185" s="147"/>
      <c r="X185" s="23"/>
      <c r="Y185" s="334"/>
      <c r="Z185" s="5"/>
      <c r="AK185" s="63" t="s">
        <v>169</v>
      </c>
      <c r="AL185" s="63">
        <f>+SUM(AK174:AK184)-SUM(AL174:AL184)</f>
        <v>0</v>
      </c>
      <c r="AN185" s="63" t="s">
        <v>169</v>
      </c>
      <c r="AO185" s="85">
        <f>+SUM(AN173:AN184)-SUM(AO174:AO184)</f>
        <v>0</v>
      </c>
    </row>
    <row r="186" spans="1:41" x14ac:dyDescent="0.25">
      <c r="A186" s="143">
        <v>14</v>
      </c>
      <c r="B186" s="92">
        <v>45235</v>
      </c>
      <c r="C186" s="31"/>
      <c r="D186" s="32"/>
      <c r="E186" s="32"/>
      <c r="F186" s="32"/>
      <c r="G186" s="39"/>
      <c r="H186" s="39"/>
      <c r="I186" s="42"/>
      <c r="J186" s="108">
        <v>10</v>
      </c>
      <c r="K186" s="21">
        <f t="shared" si="29"/>
        <v>-10</v>
      </c>
      <c r="L186" s="21">
        <f t="shared" si="26"/>
        <v>10</v>
      </c>
      <c r="M186" s="21">
        <f t="shared" si="27"/>
        <v>-10</v>
      </c>
      <c r="N186" s="21"/>
      <c r="O186" s="21"/>
      <c r="P186" s="5"/>
      <c r="Q186" s="43"/>
      <c r="R186" s="43"/>
      <c r="S186" s="21">
        <f t="shared" si="28"/>
        <v>0</v>
      </c>
      <c r="T186" s="43"/>
      <c r="U186" s="78">
        <f t="shared" si="30"/>
        <v>0</v>
      </c>
      <c r="V186" s="140"/>
      <c r="W186" s="147"/>
      <c r="X186" s="23"/>
      <c r="Y186" s="334"/>
      <c r="Z186" s="5"/>
    </row>
    <row r="187" spans="1:41" x14ac:dyDescent="0.25">
      <c r="A187" s="143">
        <v>15</v>
      </c>
      <c r="B187" s="92">
        <v>45235</v>
      </c>
      <c r="C187" s="127"/>
      <c r="D187" s="32"/>
      <c r="E187" s="32"/>
      <c r="F187" s="128"/>
      <c r="G187" s="129"/>
      <c r="H187" s="39"/>
      <c r="I187" s="42"/>
      <c r="J187" s="108">
        <v>10</v>
      </c>
      <c r="K187" s="21">
        <f t="shared" si="29"/>
        <v>-10</v>
      </c>
      <c r="L187" s="21">
        <f t="shared" si="26"/>
        <v>10</v>
      </c>
      <c r="M187" s="21">
        <f t="shared" si="27"/>
        <v>-10</v>
      </c>
      <c r="N187" s="21"/>
      <c r="O187" s="21"/>
      <c r="P187" s="5"/>
      <c r="Q187" s="43"/>
      <c r="R187" s="43"/>
      <c r="S187" s="21">
        <f t="shared" si="28"/>
        <v>0</v>
      </c>
      <c r="T187" s="43"/>
      <c r="U187" s="78">
        <f t="shared" si="30"/>
        <v>0</v>
      </c>
      <c r="V187" s="140"/>
      <c r="W187" s="147"/>
      <c r="X187" s="23"/>
      <c r="Y187" s="334"/>
      <c r="Z187" s="5"/>
    </row>
    <row r="188" spans="1:41" x14ac:dyDescent="0.25">
      <c r="A188" s="143">
        <v>16</v>
      </c>
      <c r="B188" s="92">
        <v>45235</v>
      </c>
      <c r="C188" s="31"/>
      <c r="D188" s="32"/>
      <c r="E188" s="32"/>
      <c r="F188" s="32"/>
      <c r="G188" s="39"/>
      <c r="H188" s="39"/>
      <c r="I188" s="42"/>
      <c r="J188" s="43">
        <v>10</v>
      </c>
      <c r="K188" s="21">
        <f t="shared" si="29"/>
        <v>-10</v>
      </c>
      <c r="L188" s="21">
        <f t="shared" si="26"/>
        <v>10</v>
      </c>
      <c r="M188" s="21">
        <f t="shared" si="27"/>
        <v>-10</v>
      </c>
      <c r="N188" s="21"/>
      <c r="O188" s="21"/>
      <c r="P188" s="5"/>
      <c r="Q188" s="43"/>
      <c r="R188" s="32"/>
      <c r="S188" s="21">
        <f t="shared" si="28"/>
        <v>0</v>
      </c>
      <c r="T188" s="131"/>
      <c r="U188" s="78">
        <f t="shared" si="30"/>
        <v>0</v>
      </c>
      <c r="V188" s="140"/>
      <c r="W188" s="147"/>
      <c r="X188" s="23"/>
      <c r="Y188" s="334"/>
      <c r="Z188" s="5"/>
    </row>
    <row r="189" spans="1:41" x14ac:dyDescent="0.25">
      <c r="A189" s="143">
        <v>17</v>
      </c>
      <c r="B189" s="142">
        <v>45182</v>
      </c>
      <c r="C189" s="31"/>
      <c r="D189" s="32"/>
      <c r="E189" s="32"/>
      <c r="F189" s="32"/>
      <c r="G189" s="39"/>
      <c r="H189" s="39"/>
      <c r="I189" s="42"/>
      <c r="J189" s="43">
        <v>10</v>
      </c>
      <c r="K189" s="21">
        <f t="shared" si="29"/>
        <v>-10</v>
      </c>
      <c r="L189" s="21">
        <f t="shared" si="26"/>
        <v>10</v>
      </c>
      <c r="M189" s="21">
        <f t="shared" si="27"/>
        <v>-10</v>
      </c>
      <c r="N189" s="21"/>
      <c r="O189" s="21"/>
      <c r="P189" s="5"/>
      <c r="Q189" s="43"/>
      <c r="R189" s="32"/>
      <c r="S189" s="21">
        <f t="shared" si="28"/>
        <v>0</v>
      </c>
      <c r="T189" s="132"/>
      <c r="U189" s="78">
        <f t="shared" si="30"/>
        <v>0</v>
      </c>
      <c r="V189" s="140"/>
      <c r="W189" s="147"/>
      <c r="X189" s="23"/>
      <c r="Y189" s="340"/>
      <c r="Z189" s="5"/>
    </row>
    <row r="190" spans="1:41" x14ac:dyDescent="0.25">
      <c r="A190" s="143">
        <v>18</v>
      </c>
      <c r="B190" s="142">
        <v>45182</v>
      </c>
      <c r="C190" s="31"/>
      <c r="D190" s="32"/>
      <c r="E190" s="32"/>
      <c r="F190" s="32"/>
      <c r="G190" s="39"/>
      <c r="H190" s="39"/>
      <c r="I190" s="42"/>
      <c r="J190" s="43">
        <v>10</v>
      </c>
      <c r="K190" s="21">
        <f t="shared" si="29"/>
        <v>-10</v>
      </c>
      <c r="L190" s="21">
        <f t="shared" si="26"/>
        <v>10</v>
      </c>
      <c r="M190" s="21">
        <f t="shared" si="27"/>
        <v>-10</v>
      </c>
      <c r="N190" s="21"/>
      <c r="O190" s="21"/>
      <c r="P190" s="5"/>
      <c r="Q190" s="135"/>
      <c r="R190" s="104"/>
      <c r="S190" s="21">
        <f t="shared" si="28"/>
        <v>0</v>
      </c>
      <c r="T190" s="131"/>
      <c r="U190" s="78">
        <f t="shared" si="30"/>
        <v>0</v>
      </c>
      <c r="V190" s="140"/>
      <c r="W190" s="138"/>
      <c r="X190" s="32"/>
      <c r="Z190" s="5"/>
    </row>
    <row r="191" spans="1:41" x14ac:dyDescent="0.25">
      <c r="A191" s="143">
        <v>19</v>
      </c>
      <c r="B191" s="92">
        <v>45235</v>
      </c>
      <c r="C191" s="31"/>
      <c r="D191" s="32"/>
      <c r="E191" s="32"/>
      <c r="F191" s="32"/>
      <c r="G191" s="39"/>
      <c r="H191" s="39"/>
      <c r="I191" s="42"/>
      <c r="J191" s="43">
        <v>10</v>
      </c>
      <c r="K191" s="21">
        <f t="shared" si="29"/>
        <v>-10</v>
      </c>
      <c r="L191" s="21">
        <f t="shared" si="26"/>
        <v>10</v>
      </c>
      <c r="M191" s="21">
        <f t="shared" si="27"/>
        <v>-10</v>
      </c>
      <c r="N191" s="21"/>
      <c r="O191" s="21"/>
      <c r="P191" s="5"/>
      <c r="Q191" s="32"/>
      <c r="R191" s="32"/>
      <c r="S191" s="21">
        <f t="shared" si="28"/>
        <v>0</v>
      </c>
      <c r="T191" s="32"/>
      <c r="U191" s="78">
        <f t="shared" si="30"/>
        <v>0</v>
      </c>
      <c r="V191" s="140"/>
      <c r="W191" s="138"/>
      <c r="X191" s="32"/>
      <c r="Z191" s="5"/>
    </row>
    <row r="192" spans="1:4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22">
        <f>SUM(O173:O191)</f>
        <v>924</v>
      </c>
      <c r="P192" s="5"/>
      <c r="Q192" s="5"/>
      <c r="R192" s="5"/>
      <c r="S192" s="5"/>
      <c r="T192" s="5"/>
      <c r="U192" s="5"/>
      <c r="V192" s="141"/>
      <c r="W192" s="5"/>
      <c r="X192" s="5"/>
      <c r="Y192" s="5"/>
      <c r="Z192" s="5"/>
    </row>
  </sheetData>
  <mergeCells count="72">
    <mergeCell ref="AN172:AO172"/>
    <mergeCell ref="S171:T171"/>
    <mergeCell ref="Y173:Y189"/>
    <mergeCell ref="AD172:AE172"/>
    <mergeCell ref="AH172:AI172"/>
    <mergeCell ref="AK172:AL172"/>
    <mergeCell ref="AK134:AK135"/>
    <mergeCell ref="Y120:Y136"/>
    <mergeCell ref="AE134:AE135"/>
    <mergeCell ref="AF134:AF135"/>
    <mergeCell ref="AH134:AH135"/>
    <mergeCell ref="AI134:AI135"/>
    <mergeCell ref="S118:T118"/>
    <mergeCell ref="AC118:AD118"/>
    <mergeCell ref="AG118:AH118"/>
    <mergeCell ref="AJ118:AK118"/>
    <mergeCell ref="AM118:AN118"/>
    <mergeCell ref="AM56:AN56"/>
    <mergeCell ref="Y58:Y74"/>
    <mergeCell ref="AE72:AE73"/>
    <mergeCell ref="AF72:AF73"/>
    <mergeCell ref="AH72:AH73"/>
    <mergeCell ref="AI72:AI73"/>
    <mergeCell ref="AK72:AK73"/>
    <mergeCell ref="S3:T3"/>
    <mergeCell ref="AC3:AD3"/>
    <mergeCell ref="AG3:AH3"/>
    <mergeCell ref="AJ3:AK3"/>
    <mergeCell ref="S56:T56"/>
    <mergeCell ref="AC56:AD56"/>
    <mergeCell ref="AG56:AH56"/>
    <mergeCell ref="AJ56:AK56"/>
    <mergeCell ref="S29:T29"/>
    <mergeCell ref="AC29:AD29"/>
    <mergeCell ref="AG29:AH29"/>
    <mergeCell ref="AJ29:AK29"/>
    <mergeCell ref="AM3:AN3"/>
    <mergeCell ref="Y5:Y21"/>
    <mergeCell ref="AE19:AE20"/>
    <mergeCell ref="AF19:AF20"/>
    <mergeCell ref="AH19:AH20"/>
    <mergeCell ref="AI19:AI20"/>
    <mergeCell ref="AK19:AK20"/>
    <mergeCell ref="AM29:AN29"/>
    <mergeCell ref="AK45:AK46"/>
    <mergeCell ref="Y31:Y47"/>
    <mergeCell ref="AE45:AE46"/>
    <mergeCell ref="AF45:AF46"/>
    <mergeCell ref="AH45:AH46"/>
    <mergeCell ref="AI45:AI46"/>
    <mergeCell ref="S84:T84"/>
    <mergeCell ref="AC84:AD84"/>
    <mergeCell ref="AG84:AH84"/>
    <mergeCell ref="AJ84:AK84"/>
    <mergeCell ref="AM84:AN84"/>
    <mergeCell ref="AK100:AK101"/>
    <mergeCell ref="Y86:Y102"/>
    <mergeCell ref="AE100:AE101"/>
    <mergeCell ref="AF100:AF101"/>
    <mergeCell ref="AH100:AH101"/>
    <mergeCell ref="AI100:AI101"/>
    <mergeCell ref="S146:T146"/>
    <mergeCell ref="AC146:AD146"/>
    <mergeCell ref="AG146:AH146"/>
    <mergeCell ref="AJ146:AK146"/>
    <mergeCell ref="AM146:AN146"/>
    <mergeCell ref="AK162:AK163"/>
    <mergeCell ref="Y148:Y164"/>
    <mergeCell ref="AE162:AE163"/>
    <mergeCell ref="AF162:AF163"/>
    <mergeCell ref="AH162:AH163"/>
    <mergeCell ref="AI162:AI163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3"/>
  <sheetViews>
    <sheetView topLeftCell="A3" workbookViewId="0">
      <selection activeCell="F10" sqref="F10"/>
    </sheetView>
  </sheetViews>
  <sheetFormatPr baseColWidth="10" defaultRowHeight="15" x14ac:dyDescent="0.25"/>
  <cols>
    <col min="3" max="3" width="12.42578125" bestFit="1" customWidth="1"/>
    <col min="5" max="5" width="13.42578125" customWidth="1"/>
    <col min="9" max="9" width="12.5703125" bestFit="1" customWidth="1"/>
  </cols>
  <sheetData>
    <row r="1" spans="1:39" x14ac:dyDescent="0.25">
      <c r="A1" s="1" t="s">
        <v>0</v>
      </c>
      <c r="B1" s="1"/>
      <c r="C1" s="1"/>
      <c r="D1" s="1"/>
      <c r="E1" s="1"/>
      <c r="F1" s="1"/>
      <c r="G1" s="1"/>
      <c r="H1" s="1"/>
      <c r="I1" s="1" t="s">
        <v>148</v>
      </c>
      <c r="J1" s="1"/>
      <c r="K1" s="1"/>
      <c r="L1" s="1"/>
      <c r="M1" s="1"/>
      <c r="N1" s="1"/>
      <c r="O1" s="1"/>
      <c r="P1" s="1"/>
      <c r="Q1" s="1"/>
      <c r="R1" s="1"/>
      <c r="S1" s="342" t="s">
        <v>1</v>
      </c>
      <c r="T1" s="342"/>
      <c r="U1" s="5"/>
      <c r="V1" s="139"/>
      <c r="W1" s="1"/>
      <c r="X1" s="1"/>
      <c r="Y1" s="1"/>
      <c r="Z1" s="5"/>
      <c r="AA1">
        <f>30015+40</f>
        <v>30055</v>
      </c>
    </row>
    <row r="2" spans="1:39" ht="90" x14ac:dyDescent="0.25">
      <c r="A2" s="6" t="s">
        <v>2</v>
      </c>
      <c r="B2" s="7" t="s">
        <v>3</v>
      </c>
      <c r="C2" s="7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8" t="s">
        <v>9</v>
      </c>
      <c r="I2" s="9" t="s">
        <v>10</v>
      </c>
      <c r="J2" s="8" t="s">
        <v>11</v>
      </c>
      <c r="K2" s="10" t="s">
        <v>12</v>
      </c>
      <c r="L2" s="10" t="s">
        <v>13</v>
      </c>
      <c r="M2" s="11" t="s">
        <v>14</v>
      </c>
      <c r="N2" s="10" t="s">
        <v>691</v>
      </c>
      <c r="O2" s="10" t="s">
        <v>28</v>
      </c>
      <c r="P2" s="5"/>
      <c r="Q2" s="10" t="s">
        <v>16</v>
      </c>
      <c r="R2" s="10" t="s">
        <v>17</v>
      </c>
      <c r="S2" s="10" t="s">
        <v>18</v>
      </c>
      <c r="T2" s="10" t="s">
        <v>19</v>
      </c>
      <c r="U2" s="10" t="s">
        <v>20</v>
      </c>
      <c r="V2" s="13"/>
      <c r="W2" s="136" t="s">
        <v>688</v>
      </c>
      <c r="X2" s="14" t="s">
        <v>22</v>
      </c>
      <c r="Y2" s="15" t="s">
        <v>23</v>
      </c>
      <c r="Z2" s="5"/>
      <c r="AB2" s="335" t="s">
        <v>160</v>
      </c>
      <c r="AC2" s="336"/>
      <c r="AF2" s="335" t="s">
        <v>170</v>
      </c>
      <c r="AG2" s="336"/>
      <c r="AI2" s="337" t="s">
        <v>172</v>
      </c>
      <c r="AJ2" s="337"/>
      <c r="AL2" s="337" t="s">
        <v>681</v>
      </c>
      <c r="AM2" s="337"/>
    </row>
    <row r="3" spans="1:39" x14ac:dyDescent="0.25">
      <c r="A3" s="16">
        <v>1</v>
      </c>
      <c r="B3" s="92">
        <v>45236</v>
      </c>
      <c r="C3" s="31" t="s">
        <v>1483</v>
      </c>
      <c r="D3" s="32"/>
      <c r="E3" s="32" t="s">
        <v>1847</v>
      </c>
      <c r="F3" s="39" t="s">
        <v>1483</v>
      </c>
      <c r="G3" s="39" t="s">
        <v>2111</v>
      </c>
      <c r="H3" s="122"/>
      <c r="I3" s="32">
        <v>250</v>
      </c>
      <c r="J3" s="20">
        <v>40</v>
      </c>
      <c r="K3" s="21">
        <f>U3-J3-O3</f>
        <v>0</v>
      </c>
      <c r="L3" s="21">
        <f t="shared" ref="L3:L21" si="0">+I3+J3</f>
        <v>290</v>
      </c>
      <c r="M3" s="21">
        <f t="shared" ref="M3:M21" si="1">+H3-L3</f>
        <v>-290</v>
      </c>
      <c r="N3" s="21"/>
      <c r="O3" s="21"/>
      <c r="P3" s="5"/>
      <c r="Q3" s="21">
        <v>300</v>
      </c>
      <c r="R3" s="16"/>
      <c r="S3" s="21">
        <f t="shared" ref="S3:S21" si="2">+Q3+R3</f>
        <v>300</v>
      </c>
      <c r="T3" s="21">
        <v>340</v>
      </c>
      <c r="U3" s="78">
        <f>T3-S3-O3</f>
        <v>40</v>
      </c>
      <c r="V3" s="13"/>
      <c r="W3" s="147"/>
      <c r="X3" s="23"/>
      <c r="Y3" s="333"/>
      <c r="Z3" s="5"/>
      <c r="AA3">
        <v>8</v>
      </c>
      <c r="AB3" s="16" t="s">
        <v>161</v>
      </c>
      <c r="AC3" s="58">
        <f>+AA3*10</f>
        <v>80</v>
      </c>
      <c r="AE3">
        <v>14</v>
      </c>
      <c r="AF3" s="16" t="s">
        <v>161</v>
      </c>
      <c r="AG3" s="58">
        <f>+AE3*10</f>
        <v>140</v>
      </c>
      <c r="AI3" s="61" t="s">
        <v>173</v>
      </c>
      <c r="AJ3" s="62" t="s">
        <v>174</v>
      </c>
      <c r="AL3" s="16" t="s">
        <v>161</v>
      </c>
      <c r="AM3" s="58">
        <f>+AK3*10</f>
        <v>0</v>
      </c>
    </row>
    <row r="4" spans="1:39" x14ac:dyDescent="0.25">
      <c r="A4" s="26">
        <v>2</v>
      </c>
      <c r="B4" s="92">
        <v>45236</v>
      </c>
      <c r="C4" s="31" t="s">
        <v>1483</v>
      </c>
      <c r="D4" s="32"/>
      <c r="E4" s="32" t="s">
        <v>1847</v>
      </c>
      <c r="F4" s="39" t="s">
        <v>1483</v>
      </c>
      <c r="G4" s="39" t="s">
        <v>2426</v>
      </c>
      <c r="H4" s="122"/>
      <c r="I4" s="32">
        <v>722</v>
      </c>
      <c r="J4" s="20">
        <v>40</v>
      </c>
      <c r="K4" s="21">
        <f t="shared" ref="K4:K21" si="3">U4-J4-O4</f>
        <v>0</v>
      </c>
      <c r="L4" s="21">
        <f t="shared" si="0"/>
        <v>762</v>
      </c>
      <c r="M4" s="21">
        <f t="shared" si="1"/>
        <v>-762</v>
      </c>
      <c r="N4" s="21"/>
      <c r="O4" s="21"/>
      <c r="P4" s="5"/>
      <c r="Q4" s="21">
        <v>400</v>
      </c>
      <c r="R4" s="16"/>
      <c r="S4" s="21">
        <f t="shared" si="2"/>
        <v>400</v>
      </c>
      <c r="T4" s="21">
        <v>440</v>
      </c>
      <c r="U4" s="78">
        <f t="shared" ref="U4:U21" si="4">T4-S4-O4</f>
        <v>40</v>
      </c>
      <c r="V4" s="140"/>
      <c r="W4" s="147"/>
      <c r="X4" s="23"/>
      <c r="Y4" s="334"/>
      <c r="Z4" s="5"/>
      <c r="AA4">
        <v>70.5</v>
      </c>
      <c r="AB4" s="59" t="s">
        <v>162</v>
      </c>
      <c r="AC4" s="18">
        <f>+AA4*1</f>
        <v>70.5</v>
      </c>
      <c r="AE4">
        <v>66</v>
      </c>
      <c r="AF4" s="59" t="s">
        <v>162</v>
      </c>
      <c r="AG4" s="18">
        <f>+AE4*1</f>
        <v>66</v>
      </c>
      <c r="AI4" s="16"/>
      <c r="AJ4" s="16"/>
      <c r="AL4" s="59" t="s">
        <v>162</v>
      </c>
      <c r="AM4" s="18">
        <f>+AK4*1</f>
        <v>0</v>
      </c>
    </row>
    <row r="5" spans="1:39" x14ac:dyDescent="0.25">
      <c r="A5" s="143">
        <v>3</v>
      </c>
      <c r="B5" s="92">
        <v>45236</v>
      </c>
      <c r="C5" s="31" t="s">
        <v>1003</v>
      </c>
      <c r="D5" s="32"/>
      <c r="E5" s="32" t="s">
        <v>106</v>
      </c>
      <c r="F5" s="32"/>
      <c r="G5" s="39" t="s">
        <v>2427</v>
      </c>
      <c r="H5" s="122"/>
      <c r="I5" s="32">
        <v>77</v>
      </c>
      <c r="J5" s="20">
        <v>12</v>
      </c>
      <c r="K5" s="21">
        <f t="shared" si="3"/>
        <v>-154</v>
      </c>
      <c r="L5" s="21">
        <f t="shared" si="0"/>
        <v>89</v>
      </c>
      <c r="M5" s="21">
        <f t="shared" si="1"/>
        <v>-89</v>
      </c>
      <c r="N5" s="21"/>
      <c r="O5" s="21">
        <v>77</v>
      </c>
      <c r="P5" s="5"/>
      <c r="Q5" s="21"/>
      <c r="R5" s="16"/>
      <c r="S5" s="21">
        <f t="shared" si="2"/>
        <v>0</v>
      </c>
      <c r="T5" s="21">
        <v>12</v>
      </c>
      <c r="U5" s="78">
        <f t="shared" si="4"/>
        <v>-65</v>
      </c>
      <c r="V5" s="140"/>
      <c r="W5" s="147"/>
      <c r="X5" s="23"/>
      <c r="Y5" s="334"/>
      <c r="Z5" s="5"/>
      <c r="AA5">
        <v>14</v>
      </c>
      <c r="AB5" s="16" t="s">
        <v>163</v>
      </c>
      <c r="AC5" s="60">
        <f>+AA5*5</f>
        <v>70</v>
      </c>
      <c r="AE5">
        <v>17</v>
      </c>
      <c r="AF5" s="16" t="s">
        <v>163</v>
      </c>
      <c r="AG5" s="60">
        <f>+AE5*5</f>
        <v>85</v>
      </c>
      <c r="AI5" s="16"/>
      <c r="AJ5" s="16"/>
      <c r="AL5" s="16" t="s">
        <v>163</v>
      </c>
      <c r="AM5" s="60">
        <f>+AK5*5</f>
        <v>0</v>
      </c>
    </row>
    <row r="6" spans="1:39" x14ac:dyDescent="0.25">
      <c r="A6" s="143">
        <v>4</v>
      </c>
      <c r="B6" s="92">
        <v>45236</v>
      </c>
      <c r="C6" s="31" t="s">
        <v>203</v>
      </c>
      <c r="D6" s="32"/>
      <c r="E6" s="32" t="s">
        <v>2428</v>
      </c>
      <c r="F6" s="32" t="s">
        <v>2429</v>
      </c>
      <c r="G6" s="39" t="s">
        <v>2430</v>
      </c>
      <c r="H6" s="122"/>
      <c r="I6" s="32">
        <v>123</v>
      </c>
      <c r="J6" s="20">
        <v>14</v>
      </c>
      <c r="K6" s="21">
        <f t="shared" si="3"/>
        <v>0</v>
      </c>
      <c r="L6" s="21">
        <f t="shared" si="0"/>
        <v>137</v>
      </c>
      <c r="M6" s="21">
        <f t="shared" si="1"/>
        <v>-137</v>
      </c>
      <c r="N6" s="21"/>
      <c r="O6" s="21"/>
      <c r="P6" s="5"/>
      <c r="Q6" s="21"/>
      <c r="R6" s="16"/>
      <c r="S6" s="21">
        <f t="shared" si="2"/>
        <v>0</v>
      </c>
      <c r="T6" s="21">
        <v>14</v>
      </c>
      <c r="U6" s="78">
        <f t="shared" si="4"/>
        <v>14</v>
      </c>
      <c r="V6" s="140"/>
      <c r="W6" s="147"/>
      <c r="X6" s="23"/>
      <c r="Y6" s="334"/>
      <c r="Z6" s="5"/>
      <c r="AA6">
        <v>1</v>
      </c>
      <c r="AB6" s="16" t="s">
        <v>164</v>
      </c>
      <c r="AC6" s="18">
        <f>+AA6*200</f>
        <v>200</v>
      </c>
      <c r="AF6" s="16" t="s">
        <v>164</v>
      </c>
      <c r="AG6" s="18">
        <f>+AE6*200</f>
        <v>0</v>
      </c>
      <c r="AI6" s="16"/>
      <c r="AJ6" s="16"/>
      <c r="AL6" s="16" t="s">
        <v>164</v>
      </c>
      <c r="AM6" s="18">
        <f>+AK6*200</f>
        <v>0</v>
      </c>
    </row>
    <row r="7" spans="1:39" x14ac:dyDescent="0.25">
      <c r="A7" s="143">
        <v>5</v>
      </c>
      <c r="B7" s="92">
        <v>45236</v>
      </c>
      <c r="C7" s="31" t="s">
        <v>1003</v>
      </c>
      <c r="D7" s="32"/>
      <c r="E7" s="32" t="s">
        <v>2431</v>
      </c>
      <c r="F7" s="32"/>
      <c r="G7" s="32" t="s">
        <v>2432</v>
      </c>
      <c r="H7" s="122"/>
      <c r="I7" s="32">
        <v>120</v>
      </c>
      <c r="J7" s="20">
        <v>14</v>
      </c>
      <c r="K7" s="21">
        <f t="shared" si="3"/>
        <v>0</v>
      </c>
      <c r="L7" s="21">
        <f t="shared" si="0"/>
        <v>134</v>
      </c>
      <c r="M7" s="21">
        <f t="shared" si="1"/>
        <v>-134</v>
      </c>
      <c r="N7" s="21"/>
      <c r="O7" s="21"/>
      <c r="P7" s="5"/>
      <c r="Q7" s="16">
        <v>200</v>
      </c>
      <c r="R7" s="16"/>
      <c r="S7" s="21">
        <f t="shared" si="2"/>
        <v>200</v>
      </c>
      <c r="T7" s="21">
        <v>214</v>
      </c>
      <c r="U7" s="78">
        <f t="shared" si="4"/>
        <v>14</v>
      </c>
      <c r="V7" s="140"/>
      <c r="W7" s="147"/>
      <c r="X7" s="23"/>
      <c r="Y7" s="334"/>
      <c r="Z7" s="5"/>
      <c r="AB7" s="16" t="s">
        <v>165</v>
      </c>
      <c r="AC7" s="18">
        <f>+AA7*100</f>
        <v>0</v>
      </c>
      <c r="AE7">
        <v>2</v>
      </c>
      <c r="AF7" s="16" t="s">
        <v>165</v>
      </c>
      <c r="AG7" s="18">
        <f>+AE7*100</f>
        <v>200</v>
      </c>
      <c r="AI7" s="16"/>
      <c r="AJ7" s="16"/>
      <c r="AL7" s="16" t="s">
        <v>165</v>
      </c>
      <c r="AM7" s="18">
        <f>+AK7*100</f>
        <v>0</v>
      </c>
    </row>
    <row r="8" spans="1:39" x14ac:dyDescent="0.25">
      <c r="A8" s="143">
        <v>6</v>
      </c>
      <c r="B8" s="92">
        <v>45236</v>
      </c>
      <c r="C8" s="31" t="s">
        <v>128</v>
      </c>
      <c r="D8" s="32"/>
      <c r="E8" s="32" t="s">
        <v>106</v>
      </c>
      <c r="F8" s="32" t="s">
        <v>2434</v>
      </c>
      <c r="G8" s="39" t="s">
        <v>2433</v>
      </c>
      <c r="H8" s="39"/>
      <c r="I8" s="42">
        <v>30</v>
      </c>
      <c r="J8" s="20">
        <v>12</v>
      </c>
      <c r="K8" s="21">
        <f t="shared" si="3"/>
        <v>-60</v>
      </c>
      <c r="L8" s="21">
        <f t="shared" si="0"/>
        <v>42</v>
      </c>
      <c r="M8" s="21">
        <f t="shared" si="1"/>
        <v>-42</v>
      </c>
      <c r="N8" s="21"/>
      <c r="O8" s="21">
        <v>30</v>
      </c>
      <c r="P8" s="5"/>
      <c r="Q8" s="16">
        <v>100</v>
      </c>
      <c r="R8" s="16"/>
      <c r="S8" s="21">
        <f t="shared" si="2"/>
        <v>100</v>
      </c>
      <c r="T8" s="16">
        <v>112</v>
      </c>
      <c r="U8" s="78">
        <f t="shared" si="4"/>
        <v>-18</v>
      </c>
      <c r="V8" s="140"/>
      <c r="W8" s="147"/>
      <c r="X8" s="23"/>
      <c r="Y8" s="334"/>
      <c r="Z8" s="5"/>
      <c r="AA8">
        <v>2</v>
      </c>
      <c r="AB8" s="16" t="s">
        <v>166</v>
      </c>
      <c r="AC8" s="18">
        <f>+AA8*50</f>
        <v>100</v>
      </c>
      <c r="AE8">
        <v>2</v>
      </c>
      <c r="AF8" s="16" t="s">
        <v>166</v>
      </c>
      <c r="AG8" s="18">
        <f>+AE8*50</f>
        <v>100</v>
      </c>
      <c r="AI8" s="16"/>
      <c r="AJ8" s="16"/>
      <c r="AL8" s="16" t="s">
        <v>166</v>
      </c>
      <c r="AM8" s="18">
        <f>+AK8*50</f>
        <v>0</v>
      </c>
    </row>
    <row r="9" spans="1:39" x14ac:dyDescent="0.25">
      <c r="A9" s="143">
        <v>7</v>
      </c>
      <c r="B9" s="92">
        <v>45236</v>
      </c>
      <c r="C9" s="31" t="s">
        <v>2128</v>
      </c>
      <c r="D9" s="32"/>
      <c r="E9" s="32" t="s">
        <v>2436</v>
      </c>
      <c r="F9" s="32" t="s">
        <v>2435</v>
      </c>
      <c r="G9" s="39" t="s">
        <v>2438</v>
      </c>
      <c r="H9" s="122"/>
      <c r="I9" s="42"/>
      <c r="J9" s="20">
        <v>20</v>
      </c>
      <c r="K9" s="21">
        <f t="shared" si="3"/>
        <v>-120</v>
      </c>
      <c r="L9" s="21">
        <f t="shared" si="0"/>
        <v>20</v>
      </c>
      <c r="M9" s="21">
        <f t="shared" si="1"/>
        <v>-20</v>
      </c>
      <c r="N9" s="21"/>
      <c r="O9" s="21"/>
      <c r="P9" s="5"/>
      <c r="Q9" s="16">
        <v>100</v>
      </c>
      <c r="R9" s="16"/>
      <c r="S9" s="21">
        <f t="shared" si="2"/>
        <v>100</v>
      </c>
      <c r="T9" s="16"/>
      <c r="U9" s="78">
        <f t="shared" si="4"/>
        <v>-100</v>
      </c>
      <c r="V9" s="140"/>
      <c r="W9" s="147"/>
      <c r="X9" s="23"/>
      <c r="Y9" s="334"/>
      <c r="Z9" s="5"/>
      <c r="AA9">
        <v>1</v>
      </c>
      <c r="AB9" s="16" t="s">
        <v>167</v>
      </c>
      <c r="AC9" s="18">
        <f>+AA9*20</f>
        <v>20</v>
      </c>
      <c r="AE9">
        <v>4</v>
      </c>
      <c r="AF9" s="16" t="s">
        <v>167</v>
      </c>
      <c r="AG9" s="18">
        <f>+AE9*20</f>
        <v>80</v>
      </c>
      <c r="AI9" s="16"/>
      <c r="AJ9" s="16"/>
      <c r="AL9" s="16" t="s">
        <v>167</v>
      </c>
      <c r="AM9" s="18">
        <f>+AK9*20</f>
        <v>0</v>
      </c>
    </row>
    <row r="10" spans="1:39" x14ac:dyDescent="0.25">
      <c r="A10" s="143">
        <v>8</v>
      </c>
      <c r="B10" s="92">
        <v>45236</v>
      </c>
      <c r="C10" s="31" t="s">
        <v>1743</v>
      </c>
      <c r="D10" s="123"/>
      <c r="E10" s="123" t="s">
        <v>1587</v>
      </c>
      <c r="F10" s="123" t="s">
        <v>2437</v>
      </c>
      <c r="G10" s="39" t="s">
        <v>2439</v>
      </c>
      <c r="H10" s="122"/>
      <c r="I10" s="32"/>
      <c r="J10" s="20">
        <v>10</v>
      </c>
      <c r="K10" s="21">
        <f t="shared" si="3"/>
        <v>-110</v>
      </c>
      <c r="L10" s="21">
        <f t="shared" si="0"/>
        <v>10</v>
      </c>
      <c r="M10" s="21">
        <f t="shared" si="1"/>
        <v>-10</v>
      </c>
      <c r="N10" s="21"/>
      <c r="O10" s="21"/>
      <c r="P10" s="5"/>
      <c r="Q10" s="16">
        <v>100</v>
      </c>
      <c r="R10" s="16"/>
      <c r="S10" s="21">
        <f t="shared" si="2"/>
        <v>100</v>
      </c>
      <c r="T10" s="16"/>
      <c r="U10" s="78">
        <f t="shared" si="4"/>
        <v>-100</v>
      </c>
      <c r="V10" s="140"/>
      <c r="W10" s="147"/>
      <c r="X10" s="23"/>
      <c r="Y10" s="334"/>
      <c r="Z10" s="5"/>
      <c r="AB10" s="16" t="s">
        <v>171</v>
      </c>
      <c r="AC10" s="18">
        <f>+AA10*500</f>
        <v>0</v>
      </c>
      <c r="AF10" s="16" t="s">
        <v>171</v>
      </c>
      <c r="AG10" s="18">
        <f>+AE10*500</f>
        <v>0</v>
      </c>
      <c r="AI10" s="16"/>
      <c r="AJ10" s="16"/>
      <c r="AL10" s="16" t="s">
        <v>171</v>
      </c>
      <c r="AM10" s="18">
        <f>+AK10*500</f>
        <v>0</v>
      </c>
    </row>
    <row r="11" spans="1:39" x14ac:dyDescent="0.25">
      <c r="A11" s="143">
        <v>9</v>
      </c>
      <c r="B11" s="92">
        <v>45236</v>
      </c>
      <c r="C11" s="31" t="s">
        <v>1939</v>
      </c>
      <c r="D11" s="32"/>
      <c r="E11" s="124" t="s">
        <v>2443</v>
      </c>
      <c r="F11" s="32" t="s">
        <v>1493</v>
      </c>
      <c r="G11" s="39" t="s">
        <v>2442</v>
      </c>
      <c r="H11" s="39">
        <v>78</v>
      </c>
      <c r="I11" s="40">
        <v>66</v>
      </c>
      <c r="J11" s="20">
        <v>12</v>
      </c>
      <c r="K11" s="21">
        <f t="shared" si="3"/>
        <v>0</v>
      </c>
      <c r="L11" s="21">
        <f t="shared" si="0"/>
        <v>78</v>
      </c>
      <c r="M11" s="21">
        <f t="shared" si="1"/>
        <v>0</v>
      </c>
      <c r="N11" s="21"/>
      <c r="O11" s="21"/>
      <c r="P11" s="5"/>
      <c r="Q11" s="16">
        <v>300</v>
      </c>
      <c r="R11" s="16"/>
      <c r="S11" s="21">
        <f t="shared" si="2"/>
        <v>300</v>
      </c>
      <c r="T11" s="16">
        <v>312</v>
      </c>
      <c r="U11" s="78">
        <f t="shared" si="4"/>
        <v>12</v>
      </c>
      <c r="V11" s="140"/>
      <c r="W11" s="147"/>
      <c r="X11" s="23"/>
      <c r="Y11" s="334"/>
      <c r="Z11" s="5"/>
      <c r="AB11" s="16" t="s">
        <v>168</v>
      </c>
      <c r="AC11" s="18">
        <f>+AA11*1000</f>
        <v>0</v>
      </c>
      <c r="AF11" s="16" t="s">
        <v>168</v>
      </c>
      <c r="AG11" s="18">
        <f>+AE11*1000</f>
        <v>0</v>
      </c>
      <c r="AI11" s="16"/>
      <c r="AJ11" s="16"/>
      <c r="AL11" s="16" t="s">
        <v>168</v>
      </c>
      <c r="AM11" s="18">
        <f>+AK11*1000</f>
        <v>0</v>
      </c>
    </row>
    <row r="12" spans="1:39" x14ac:dyDescent="0.25">
      <c r="A12" s="143">
        <v>10</v>
      </c>
      <c r="B12" s="92">
        <v>45236</v>
      </c>
      <c r="C12" s="31" t="s">
        <v>2440</v>
      </c>
      <c r="D12" s="32"/>
      <c r="E12" s="124" t="s">
        <v>38</v>
      </c>
      <c r="F12" s="32" t="s">
        <v>2131</v>
      </c>
      <c r="G12" s="39" t="s">
        <v>2441</v>
      </c>
      <c r="H12" s="122">
        <v>118</v>
      </c>
      <c r="I12" s="42">
        <v>104</v>
      </c>
      <c r="J12" s="20">
        <v>14</v>
      </c>
      <c r="K12" s="21">
        <v>0</v>
      </c>
      <c r="L12" s="21">
        <f t="shared" si="0"/>
        <v>118</v>
      </c>
      <c r="M12" s="21">
        <f t="shared" si="1"/>
        <v>0</v>
      </c>
      <c r="N12" s="21"/>
      <c r="O12" s="21"/>
      <c r="P12" s="5"/>
      <c r="Q12" s="16">
        <v>300</v>
      </c>
      <c r="R12" s="16"/>
      <c r="S12" s="21">
        <f t="shared" si="2"/>
        <v>300</v>
      </c>
      <c r="T12" s="16">
        <v>314</v>
      </c>
      <c r="U12" s="78">
        <f t="shared" si="4"/>
        <v>14</v>
      </c>
      <c r="V12" s="140"/>
      <c r="W12" s="147"/>
      <c r="X12" s="23"/>
      <c r="Y12" s="334"/>
      <c r="Z12" s="5"/>
      <c r="AB12" s="26"/>
      <c r="AC12" s="58"/>
      <c r="AF12" s="26"/>
      <c r="AG12" s="58"/>
      <c r="AI12" s="16"/>
      <c r="AJ12" s="16"/>
      <c r="AL12" s="26"/>
      <c r="AM12" s="58"/>
    </row>
    <row r="13" spans="1:39" x14ac:dyDescent="0.25">
      <c r="A13" s="143">
        <v>11</v>
      </c>
      <c r="B13" s="92">
        <v>45236</v>
      </c>
      <c r="C13" s="31" t="s">
        <v>149</v>
      </c>
      <c r="D13" s="124"/>
      <c r="E13" s="123" t="s">
        <v>106</v>
      </c>
      <c r="F13" s="123" t="s">
        <v>818</v>
      </c>
      <c r="G13" s="39" t="s">
        <v>2448</v>
      </c>
      <c r="H13" s="122">
        <v>135</v>
      </c>
      <c r="I13" s="42">
        <v>121</v>
      </c>
      <c r="J13" s="20">
        <v>14</v>
      </c>
      <c r="K13" s="21">
        <v>10</v>
      </c>
      <c r="L13" s="21">
        <f t="shared" si="0"/>
        <v>135</v>
      </c>
      <c r="M13" s="21">
        <f t="shared" si="1"/>
        <v>0</v>
      </c>
      <c r="N13" s="21"/>
      <c r="O13" s="21">
        <v>121</v>
      </c>
      <c r="P13" s="5"/>
      <c r="Q13" s="16">
        <v>280</v>
      </c>
      <c r="R13" s="16"/>
      <c r="S13" s="21">
        <f t="shared" si="2"/>
        <v>280</v>
      </c>
      <c r="T13" s="16"/>
      <c r="U13" s="78">
        <f t="shared" si="4"/>
        <v>-401</v>
      </c>
      <c r="V13" s="140"/>
      <c r="W13" s="147"/>
      <c r="X13" s="23"/>
      <c r="Y13" s="334"/>
      <c r="Z13" s="5"/>
      <c r="AB13" s="16" t="s">
        <v>169</v>
      </c>
      <c r="AC13" s="18">
        <f>SUM(AC3:AC12)</f>
        <v>540.5</v>
      </c>
      <c r="AF13" s="16" t="s">
        <v>169</v>
      </c>
      <c r="AG13" s="18">
        <f>SUM(AG3:AG12)</f>
        <v>671</v>
      </c>
      <c r="AI13" s="16"/>
      <c r="AJ13" s="16"/>
      <c r="AL13" s="16" t="s">
        <v>169</v>
      </c>
      <c r="AM13" s="18"/>
    </row>
    <row r="14" spans="1:39" x14ac:dyDescent="0.25">
      <c r="A14" s="143">
        <v>12</v>
      </c>
      <c r="B14" s="92">
        <v>45236</v>
      </c>
      <c r="C14" s="32" t="s">
        <v>2444</v>
      </c>
      <c r="D14" s="32"/>
      <c r="E14" s="124" t="s">
        <v>992</v>
      </c>
      <c r="F14" s="123" t="s">
        <v>2445</v>
      </c>
      <c r="G14" s="39" t="s">
        <v>1835</v>
      </c>
      <c r="H14" s="39">
        <v>30</v>
      </c>
      <c r="I14" s="42">
        <v>18</v>
      </c>
      <c r="J14" s="20">
        <v>12</v>
      </c>
      <c r="K14" s="21">
        <v>0</v>
      </c>
      <c r="L14" s="21">
        <f t="shared" si="0"/>
        <v>30</v>
      </c>
      <c r="M14" s="21">
        <f t="shared" si="1"/>
        <v>0</v>
      </c>
      <c r="N14" s="21"/>
      <c r="O14" s="21"/>
      <c r="P14" s="5"/>
      <c r="Q14" s="45">
        <v>280</v>
      </c>
      <c r="R14" s="44"/>
      <c r="S14" s="21">
        <f t="shared" si="2"/>
        <v>280</v>
      </c>
      <c r="T14" s="45"/>
      <c r="U14" s="78">
        <f t="shared" si="4"/>
        <v>-280</v>
      </c>
      <c r="V14" s="140"/>
      <c r="W14" s="147"/>
      <c r="X14" s="23"/>
      <c r="Y14" s="334"/>
      <c r="Z14" s="5"/>
      <c r="AI14" s="16"/>
      <c r="AJ14" s="16"/>
      <c r="AL14" s="16"/>
      <c r="AM14" s="16"/>
    </row>
    <row r="15" spans="1:39" x14ac:dyDescent="0.25">
      <c r="A15" s="143">
        <v>13</v>
      </c>
      <c r="B15" s="92">
        <v>45236</v>
      </c>
      <c r="C15" s="31" t="s">
        <v>2446</v>
      </c>
      <c r="D15" s="32"/>
      <c r="E15" s="32" t="s">
        <v>38</v>
      </c>
      <c r="F15" s="32" t="s">
        <v>2447</v>
      </c>
      <c r="G15" s="39" t="s">
        <v>2449</v>
      </c>
      <c r="H15" s="39">
        <v>27</v>
      </c>
      <c r="I15" s="42">
        <v>17</v>
      </c>
      <c r="J15" s="108">
        <v>10</v>
      </c>
      <c r="K15" s="21">
        <v>0</v>
      </c>
      <c r="L15" s="21">
        <f t="shared" si="0"/>
        <v>27</v>
      </c>
      <c r="M15" s="21">
        <f t="shared" si="1"/>
        <v>0</v>
      </c>
      <c r="N15" s="21"/>
      <c r="O15" s="21"/>
      <c r="P15" s="5"/>
      <c r="Q15" s="43">
        <v>280</v>
      </c>
      <c r="R15" s="32"/>
      <c r="S15" s="21">
        <f t="shared" si="2"/>
        <v>280</v>
      </c>
      <c r="T15" s="43"/>
      <c r="U15" s="78">
        <f t="shared" si="4"/>
        <v>-280</v>
      </c>
      <c r="V15" s="140"/>
      <c r="W15" s="147"/>
      <c r="X15" s="23"/>
      <c r="Y15" s="334"/>
      <c r="Z15" s="5"/>
      <c r="AI15" s="63" t="s">
        <v>169</v>
      </c>
      <c r="AJ15" s="63">
        <f>+SUM(AI4:AI14)-SUM(AJ4:AJ14)</f>
        <v>0</v>
      </c>
      <c r="AL15" s="63" t="s">
        <v>169</v>
      </c>
      <c r="AM15" s="85">
        <f>+SUM(AL3:AL14)-SUM(AM4:AM14)</f>
        <v>0</v>
      </c>
    </row>
    <row r="16" spans="1:39" x14ac:dyDescent="0.25">
      <c r="A16" s="143">
        <v>14</v>
      </c>
      <c r="B16" s="92">
        <v>45236</v>
      </c>
      <c r="C16" s="31" t="s">
        <v>2058</v>
      </c>
      <c r="D16" s="32"/>
      <c r="E16" s="32" t="s">
        <v>106</v>
      </c>
      <c r="F16" s="32" t="s">
        <v>1493</v>
      </c>
      <c r="G16" s="39" t="s">
        <v>2450</v>
      </c>
      <c r="H16" s="39">
        <v>82</v>
      </c>
      <c r="I16" s="42">
        <v>72</v>
      </c>
      <c r="J16" s="108">
        <v>10</v>
      </c>
      <c r="K16" s="21">
        <v>0</v>
      </c>
      <c r="L16" s="21">
        <f t="shared" si="0"/>
        <v>82</v>
      </c>
      <c r="M16" s="21">
        <f t="shared" si="1"/>
        <v>0</v>
      </c>
      <c r="N16" s="21"/>
      <c r="O16" s="21">
        <v>72</v>
      </c>
      <c r="P16" s="5"/>
      <c r="Q16" s="43">
        <v>280</v>
      </c>
      <c r="R16" s="43"/>
      <c r="S16" s="21">
        <f t="shared" si="2"/>
        <v>280</v>
      </c>
      <c r="T16" s="43"/>
      <c r="U16" s="78">
        <f t="shared" si="4"/>
        <v>-352</v>
      </c>
      <c r="V16" s="140"/>
      <c r="W16" s="147"/>
      <c r="X16" s="23"/>
      <c r="Y16" s="334"/>
      <c r="Z16" s="5"/>
      <c r="AG16" s="83"/>
    </row>
    <row r="17" spans="1:40" x14ac:dyDescent="0.25">
      <c r="A17" s="143">
        <v>15</v>
      </c>
      <c r="B17" s="92">
        <v>45236</v>
      </c>
      <c r="C17" s="127"/>
      <c r="D17" s="32"/>
      <c r="E17" s="32"/>
      <c r="F17" s="128"/>
      <c r="G17" s="129"/>
      <c r="H17" s="39"/>
      <c r="I17" s="42"/>
      <c r="J17" s="108">
        <v>10</v>
      </c>
      <c r="K17" s="21">
        <f t="shared" si="3"/>
        <v>-10</v>
      </c>
      <c r="L17" s="21">
        <f t="shared" si="0"/>
        <v>10</v>
      </c>
      <c r="M17" s="21">
        <f t="shared" si="1"/>
        <v>-10</v>
      </c>
      <c r="N17" s="21"/>
      <c r="O17" s="21"/>
      <c r="P17" s="5"/>
      <c r="Q17" s="43"/>
      <c r="R17" s="43"/>
      <c r="S17" s="21">
        <f t="shared" si="2"/>
        <v>0</v>
      </c>
      <c r="T17" s="43"/>
      <c r="U17" s="78">
        <f t="shared" si="4"/>
        <v>0</v>
      </c>
      <c r="V17" s="140"/>
      <c r="W17" s="147"/>
      <c r="X17" s="23"/>
      <c r="Y17" s="334"/>
      <c r="Z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40" x14ac:dyDescent="0.25">
      <c r="A18" s="143">
        <v>16</v>
      </c>
      <c r="B18" s="92">
        <v>45236</v>
      </c>
      <c r="C18" s="31"/>
      <c r="D18" s="32"/>
      <c r="E18" s="32"/>
      <c r="F18" s="32"/>
      <c r="G18" s="39"/>
      <c r="H18" s="39"/>
      <c r="I18" s="42"/>
      <c r="J18" s="43">
        <v>10</v>
      </c>
      <c r="K18" s="21">
        <f t="shared" si="3"/>
        <v>-10</v>
      </c>
      <c r="L18" s="21">
        <f t="shared" si="0"/>
        <v>10</v>
      </c>
      <c r="M18" s="21">
        <f t="shared" si="1"/>
        <v>-10</v>
      </c>
      <c r="N18" s="21"/>
      <c r="O18" s="21"/>
      <c r="P18" s="5"/>
      <c r="Q18" s="43"/>
      <c r="R18" s="32"/>
      <c r="S18" s="21">
        <f t="shared" si="2"/>
        <v>0</v>
      </c>
      <c r="T18" s="131"/>
      <c r="U18" s="78">
        <f t="shared" si="4"/>
        <v>0</v>
      </c>
      <c r="V18" s="140"/>
      <c r="W18" s="147"/>
      <c r="X18" s="23"/>
      <c r="Y18" s="334"/>
      <c r="Z18" s="5"/>
      <c r="AB18" s="5"/>
      <c r="AC18" s="134" t="s">
        <v>20</v>
      </c>
      <c r="AD18" s="338"/>
      <c r="AE18" s="341" t="s">
        <v>686</v>
      </c>
      <c r="AF18" s="134" t="s">
        <v>20</v>
      </c>
      <c r="AG18" s="338"/>
      <c r="AH18" s="341" t="s">
        <v>687</v>
      </c>
      <c r="AI18" s="134" t="s">
        <v>20</v>
      </c>
      <c r="AJ18" s="338"/>
      <c r="AK18" s="5"/>
    </row>
    <row r="19" spans="1:40" x14ac:dyDescent="0.25">
      <c r="A19" s="143">
        <v>17</v>
      </c>
      <c r="B19" s="92">
        <v>45236</v>
      </c>
      <c r="C19" s="31"/>
      <c r="D19" s="32"/>
      <c r="E19" s="32"/>
      <c r="F19" s="32"/>
      <c r="G19" s="39"/>
      <c r="H19" s="39"/>
      <c r="I19" s="42"/>
      <c r="J19" s="43">
        <v>10</v>
      </c>
      <c r="K19" s="21">
        <f t="shared" si="3"/>
        <v>-10</v>
      </c>
      <c r="L19" s="21">
        <f t="shared" si="0"/>
        <v>10</v>
      </c>
      <c r="M19" s="21">
        <f t="shared" si="1"/>
        <v>-10</v>
      </c>
      <c r="N19" s="21"/>
      <c r="O19" s="21"/>
      <c r="P19" s="5"/>
      <c r="Q19" s="43"/>
      <c r="R19" s="32"/>
      <c r="S19" s="21">
        <f t="shared" si="2"/>
        <v>0</v>
      </c>
      <c r="T19" s="132"/>
      <c r="U19" s="78">
        <f t="shared" si="4"/>
        <v>0</v>
      </c>
      <c r="V19" s="140"/>
      <c r="W19" s="147"/>
      <c r="X19" s="23"/>
      <c r="Y19" s="340"/>
      <c r="Z19" s="5"/>
      <c r="AB19" s="5" t="s">
        <v>685</v>
      </c>
      <c r="AC19" s="115" t="s">
        <v>684</v>
      </c>
      <c r="AD19" s="339"/>
      <c r="AE19" s="341"/>
      <c r="AF19" s="115" t="s">
        <v>684</v>
      </c>
      <c r="AG19" s="339"/>
      <c r="AH19" s="341"/>
      <c r="AI19" s="115" t="s">
        <v>684</v>
      </c>
      <c r="AJ19" s="339"/>
      <c r="AK19" s="5"/>
    </row>
    <row r="20" spans="1:40" x14ac:dyDescent="0.25">
      <c r="A20" s="143">
        <v>18</v>
      </c>
      <c r="B20" s="92">
        <v>45236</v>
      </c>
      <c r="C20" s="31"/>
      <c r="D20" s="32"/>
      <c r="E20" s="32"/>
      <c r="F20" s="32"/>
      <c r="G20" s="39"/>
      <c r="H20" s="39"/>
      <c r="I20" s="42"/>
      <c r="J20" s="43">
        <v>10</v>
      </c>
      <c r="K20" s="21">
        <f t="shared" si="3"/>
        <v>-10</v>
      </c>
      <c r="L20" s="21">
        <f t="shared" si="0"/>
        <v>10</v>
      </c>
      <c r="M20" s="21">
        <f t="shared" si="1"/>
        <v>-10</v>
      </c>
      <c r="N20" s="21"/>
      <c r="O20" s="21"/>
      <c r="P20" s="5"/>
      <c r="Q20" s="135"/>
      <c r="R20" s="104"/>
      <c r="S20" s="21">
        <f t="shared" si="2"/>
        <v>0</v>
      </c>
      <c r="T20" s="131"/>
      <c r="U20" s="78">
        <f t="shared" si="4"/>
        <v>0</v>
      </c>
      <c r="V20" s="140"/>
      <c r="W20" s="138"/>
      <c r="X20" s="32"/>
      <c r="Z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40" x14ac:dyDescent="0.25">
      <c r="A21" s="143">
        <v>19</v>
      </c>
      <c r="B21" s="92">
        <v>45236</v>
      </c>
      <c r="C21" s="31"/>
      <c r="D21" s="32"/>
      <c r="E21" s="32"/>
      <c r="F21" s="32"/>
      <c r="G21" s="39"/>
      <c r="H21" s="39"/>
      <c r="I21" s="42"/>
      <c r="J21" s="43">
        <v>10</v>
      </c>
      <c r="K21" s="21">
        <f t="shared" si="3"/>
        <v>-10</v>
      </c>
      <c r="L21" s="21">
        <f t="shared" si="0"/>
        <v>10</v>
      </c>
      <c r="M21" s="21">
        <f t="shared" si="1"/>
        <v>-10</v>
      </c>
      <c r="N21" s="21"/>
      <c r="O21" s="21"/>
      <c r="P21" s="5"/>
      <c r="Q21" s="32"/>
      <c r="R21" s="32"/>
      <c r="S21" s="21">
        <f t="shared" si="2"/>
        <v>0</v>
      </c>
      <c r="T21" s="32"/>
      <c r="U21" s="78">
        <f t="shared" si="4"/>
        <v>0</v>
      </c>
      <c r="V21" s="140"/>
      <c r="W21" s="138"/>
      <c r="X21" s="32"/>
      <c r="Z21" s="5"/>
    </row>
    <row r="22" spans="1:4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2">
        <f>SUM(O5:O21)</f>
        <v>300</v>
      </c>
      <c r="P22" s="5"/>
      <c r="Q22" s="5"/>
      <c r="R22" s="5"/>
      <c r="S22" s="5"/>
      <c r="T22" s="5"/>
      <c r="U22" s="5"/>
      <c r="V22" s="141"/>
      <c r="W22" s="5"/>
      <c r="X22" s="5"/>
      <c r="Y22" s="5"/>
      <c r="Z22" s="5"/>
    </row>
    <row r="29" spans="1:40" x14ac:dyDescent="0.25">
      <c r="A29" s="1" t="s">
        <v>0</v>
      </c>
      <c r="B29" s="1"/>
      <c r="C29" s="1"/>
      <c r="D29" s="1"/>
      <c r="E29" s="1"/>
      <c r="F29" s="1"/>
      <c r="G29" s="1"/>
      <c r="H29" s="1"/>
      <c r="I29" s="1" t="s">
        <v>148</v>
      </c>
      <c r="J29" s="1"/>
      <c r="K29" s="1"/>
      <c r="L29" s="1"/>
      <c r="M29" s="1"/>
      <c r="N29" s="1"/>
      <c r="O29" s="1"/>
      <c r="P29" s="1"/>
      <c r="Q29" s="1"/>
      <c r="R29" s="1"/>
      <c r="S29" s="342" t="s">
        <v>1</v>
      </c>
      <c r="T29" s="342"/>
      <c r="U29" s="5"/>
      <c r="V29" s="139"/>
      <c r="W29" s="1"/>
      <c r="X29" s="1"/>
      <c r="Y29" s="1"/>
      <c r="Z29" s="5"/>
      <c r="AC29" s="335" t="s">
        <v>160</v>
      </c>
      <c r="AD29" s="336"/>
      <c r="AG29" s="335" t="s">
        <v>170</v>
      </c>
      <c r="AH29" s="336"/>
      <c r="AJ29" s="337" t="s">
        <v>172</v>
      </c>
      <c r="AK29" s="337"/>
      <c r="AM29" s="337" t="s">
        <v>681</v>
      </c>
      <c r="AN29" s="337"/>
    </row>
    <row r="30" spans="1:40" ht="90" x14ac:dyDescent="0.25">
      <c r="A30" s="6" t="s">
        <v>2</v>
      </c>
      <c r="B30" s="7" t="s">
        <v>3</v>
      </c>
      <c r="C30" s="7" t="s">
        <v>4</v>
      </c>
      <c r="D30" s="6" t="s">
        <v>5</v>
      </c>
      <c r="E30" s="6" t="s">
        <v>6</v>
      </c>
      <c r="F30" s="6" t="s">
        <v>7</v>
      </c>
      <c r="G30" s="6" t="s">
        <v>8</v>
      </c>
      <c r="H30" s="8" t="s">
        <v>9</v>
      </c>
      <c r="I30" s="9" t="s">
        <v>10</v>
      </c>
      <c r="J30" s="8" t="s">
        <v>11</v>
      </c>
      <c r="K30" s="10" t="s">
        <v>12</v>
      </c>
      <c r="L30" s="10" t="s">
        <v>13</v>
      </c>
      <c r="M30" s="11" t="s">
        <v>14</v>
      </c>
      <c r="N30" s="10" t="s">
        <v>691</v>
      </c>
      <c r="O30" s="10" t="s">
        <v>28</v>
      </c>
      <c r="P30" s="5"/>
      <c r="Q30" s="10" t="s">
        <v>16</v>
      </c>
      <c r="R30" s="10" t="s">
        <v>17</v>
      </c>
      <c r="S30" s="10" t="s">
        <v>18</v>
      </c>
      <c r="T30" s="10" t="s">
        <v>19</v>
      </c>
      <c r="U30" s="10" t="s">
        <v>20</v>
      </c>
      <c r="V30" s="13"/>
      <c r="W30" s="136" t="s">
        <v>688</v>
      </c>
      <c r="X30" s="14" t="s">
        <v>22</v>
      </c>
      <c r="Y30" s="15" t="s">
        <v>23</v>
      </c>
      <c r="Z30" s="5"/>
      <c r="AB30">
        <v>17</v>
      </c>
      <c r="AC30" s="16" t="s">
        <v>161</v>
      </c>
      <c r="AD30" s="58">
        <f>+AB30*10</f>
        <v>170</v>
      </c>
      <c r="AG30" s="16" t="s">
        <v>161</v>
      </c>
      <c r="AH30" s="58">
        <f>+AF30*10</f>
        <v>0</v>
      </c>
      <c r="AJ30" s="61" t="s">
        <v>173</v>
      </c>
      <c r="AK30" s="62" t="s">
        <v>174</v>
      </c>
      <c r="AM30" s="16" t="s">
        <v>161</v>
      </c>
      <c r="AN30" s="58">
        <f>+AL30*10</f>
        <v>0</v>
      </c>
    </row>
    <row r="31" spans="1:40" x14ac:dyDescent="0.25">
      <c r="A31" s="16">
        <v>1</v>
      </c>
      <c r="B31" s="92">
        <v>45237</v>
      </c>
      <c r="C31" s="31" t="s">
        <v>1003</v>
      </c>
      <c r="D31" s="32"/>
      <c r="E31" s="32" t="s">
        <v>1606</v>
      </c>
      <c r="F31" s="39" t="s">
        <v>1423</v>
      </c>
      <c r="G31" s="39" t="s">
        <v>2451</v>
      </c>
      <c r="H31" s="122"/>
      <c r="I31" s="32">
        <v>50</v>
      </c>
      <c r="J31" s="20">
        <v>12</v>
      </c>
      <c r="K31" s="21">
        <f>U31-J31-O31</f>
        <v>0</v>
      </c>
      <c r="L31" s="21">
        <f t="shared" ref="L31:L49" si="5">+I31+J31</f>
        <v>62</v>
      </c>
      <c r="M31" s="21">
        <f t="shared" ref="M31:M49" si="6">+H31-L31</f>
        <v>-62</v>
      </c>
      <c r="N31" s="21"/>
      <c r="O31" s="21"/>
      <c r="P31" s="5"/>
      <c r="Q31" s="21">
        <v>100</v>
      </c>
      <c r="R31" s="16"/>
      <c r="S31" s="21">
        <f t="shared" ref="S31:S49" si="7">+Q31+R31</f>
        <v>100</v>
      </c>
      <c r="T31" s="21">
        <v>112</v>
      </c>
      <c r="U31" s="78">
        <f>T31-S31-O31</f>
        <v>12</v>
      </c>
      <c r="V31" s="13"/>
      <c r="W31" s="147"/>
      <c r="X31" s="23"/>
      <c r="Y31" s="333"/>
      <c r="Z31" s="5"/>
      <c r="AB31">
        <v>66.5</v>
      </c>
      <c r="AC31" s="59" t="s">
        <v>162</v>
      </c>
      <c r="AD31" s="18">
        <f>+AB31*1</f>
        <v>66.5</v>
      </c>
      <c r="AG31" s="59" t="s">
        <v>162</v>
      </c>
      <c r="AH31" s="18">
        <f>+AF31*1</f>
        <v>0</v>
      </c>
      <c r="AJ31" s="16"/>
      <c r="AK31" s="16"/>
      <c r="AM31" s="59" t="s">
        <v>162</v>
      </c>
      <c r="AN31" s="18">
        <f>+AL31*1</f>
        <v>0</v>
      </c>
    </row>
    <row r="32" spans="1:40" x14ac:dyDescent="0.25">
      <c r="A32" s="26">
        <v>2</v>
      </c>
      <c r="B32" s="92">
        <v>45237</v>
      </c>
      <c r="C32" s="31" t="s">
        <v>2498</v>
      </c>
      <c r="D32" s="32">
        <v>5581063423</v>
      </c>
      <c r="E32" s="32" t="s">
        <v>106</v>
      </c>
      <c r="F32" s="32" t="s">
        <v>2499</v>
      </c>
      <c r="G32" s="39" t="s">
        <v>2500</v>
      </c>
      <c r="H32" s="122"/>
      <c r="I32" s="32">
        <v>105</v>
      </c>
      <c r="J32" s="20">
        <v>14</v>
      </c>
      <c r="K32" s="21">
        <f t="shared" ref="K32:K49" si="8">U32-J32-O32</f>
        <v>1</v>
      </c>
      <c r="L32" s="21">
        <f t="shared" si="5"/>
        <v>119</v>
      </c>
      <c r="M32" s="21">
        <f t="shared" si="6"/>
        <v>-119</v>
      </c>
      <c r="N32" s="21"/>
      <c r="O32" s="21"/>
      <c r="P32" s="5"/>
      <c r="Q32" s="21">
        <v>200</v>
      </c>
      <c r="R32" s="16"/>
      <c r="S32" s="21">
        <f t="shared" si="7"/>
        <v>200</v>
      </c>
      <c r="T32" s="21">
        <v>215</v>
      </c>
      <c r="U32" s="78">
        <f t="shared" ref="U32:U49" si="9">T32-S32-O32</f>
        <v>15</v>
      </c>
      <c r="V32" s="140"/>
      <c r="W32" s="147"/>
      <c r="X32" s="23"/>
      <c r="Y32" s="334"/>
      <c r="Z32" s="5"/>
      <c r="AB32">
        <v>20</v>
      </c>
      <c r="AC32" s="16" t="s">
        <v>163</v>
      </c>
      <c r="AD32" s="60">
        <f>+AB32*5</f>
        <v>100</v>
      </c>
      <c r="AG32" s="16" t="s">
        <v>163</v>
      </c>
      <c r="AH32" s="60">
        <f>+AF32*5</f>
        <v>0</v>
      </c>
      <c r="AJ32" s="16"/>
      <c r="AK32" s="16"/>
      <c r="AM32" s="16" t="s">
        <v>163</v>
      </c>
      <c r="AN32" s="60">
        <f>+AL32*5</f>
        <v>0</v>
      </c>
    </row>
    <row r="33" spans="1:40" x14ac:dyDescent="0.25">
      <c r="A33" s="143">
        <v>3</v>
      </c>
      <c r="B33" s="92">
        <v>45237</v>
      </c>
      <c r="C33" s="31" t="s">
        <v>2293</v>
      </c>
      <c r="D33" s="32">
        <v>5549473476</v>
      </c>
      <c r="E33" s="32" t="s">
        <v>1375</v>
      </c>
      <c r="F33" s="32" t="s">
        <v>1674</v>
      </c>
      <c r="G33" s="39" t="s">
        <v>2501</v>
      </c>
      <c r="H33" s="122"/>
      <c r="I33" s="32">
        <v>66</v>
      </c>
      <c r="J33" s="20">
        <v>12</v>
      </c>
      <c r="K33" s="21">
        <f t="shared" si="8"/>
        <v>0</v>
      </c>
      <c r="L33" s="21">
        <f t="shared" si="5"/>
        <v>78</v>
      </c>
      <c r="M33" s="21">
        <f t="shared" si="6"/>
        <v>-78</v>
      </c>
      <c r="N33" s="21"/>
      <c r="O33" s="21"/>
      <c r="P33" s="5"/>
      <c r="Q33" s="21">
        <v>200</v>
      </c>
      <c r="R33" s="16"/>
      <c r="S33" s="21">
        <f t="shared" si="7"/>
        <v>200</v>
      </c>
      <c r="T33" s="21">
        <v>212</v>
      </c>
      <c r="U33" s="78">
        <f t="shared" si="9"/>
        <v>12</v>
      </c>
      <c r="V33" s="140"/>
      <c r="W33" s="147"/>
      <c r="X33" s="23"/>
      <c r="Y33" s="334"/>
      <c r="Z33" s="5"/>
      <c r="AC33" s="16" t="s">
        <v>164</v>
      </c>
      <c r="AD33" s="18">
        <f>+AB33*200</f>
        <v>0</v>
      </c>
      <c r="AG33" s="16" t="s">
        <v>164</v>
      </c>
      <c r="AH33" s="18">
        <f>+AF33*200</f>
        <v>0</v>
      </c>
      <c r="AJ33" s="16"/>
      <c r="AK33" s="16"/>
      <c r="AM33" s="16" t="s">
        <v>164</v>
      </c>
      <c r="AN33" s="18">
        <f>+AL33*200</f>
        <v>0</v>
      </c>
    </row>
    <row r="34" spans="1:40" x14ac:dyDescent="0.25">
      <c r="A34" s="143">
        <v>4</v>
      </c>
      <c r="B34" s="92">
        <v>45237</v>
      </c>
      <c r="C34" s="31" t="s">
        <v>1518</v>
      </c>
      <c r="D34" s="32"/>
      <c r="E34" s="32" t="s">
        <v>2504</v>
      </c>
      <c r="F34" s="32" t="s">
        <v>2422</v>
      </c>
      <c r="G34" s="39" t="s">
        <v>2505</v>
      </c>
      <c r="H34" s="122">
        <v>140</v>
      </c>
      <c r="I34" s="32">
        <v>130</v>
      </c>
      <c r="J34" s="20">
        <v>10</v>
      </c>
      <c r="K34" s="21">
        <f t="shared" si="8"/>
        <v>0</v>
      </c>
      <c r="L34" s="21">
        <f t="shared" si="5"/>
        <v>140</v>
      </c>
      <c r="M34" s="21">
        <f t="shared" si="6"/>
        <v>0</v>
      </c>
      <c r="N34" s="21"/>
      <c r="O34" s="21"/>
      <c r="P34" s="5"/>
      <c r="Q34" s="21">
        <v>300</v>
      </c>
      <c r="R34" s="16"/>
      <c r="S34" s="21">
        <f t="shared" si="7"/>
        <v>300</v>
      </c>
      <c r="T34" s="21">
        <v>310</v>
      </c>
      <c r="U34" s="78">
        <f t="shared" si="9"/>
        <v>10</v>
      </c>
      <c r="V34" s="140"/>
      <c r="W34" s="147"/>
      <c r="X34" s="23"/>
      <c r="Y34" s="334"/>
      <c r="Z34" s="5"/>
      <c r="AB34">
        <v>1</v>
      </c>
      <c r="AC34" s="16" t="s">
        <v>165</v>
      </c>
      <c r="AD34" s="18">
        <f>+AB34*100</f>
        <v>100</v>
      </c>
      <c r="AG34" s="16" t="s">
        <v>165</v>
      </c>
      <c r="AH34" s="18">
        <f>+AF34*100</f>
        <v>0</v>
      </c>
      <c r="AJ34" s="16"/>
      <c r="AK34" s="16"/>
      <c r="AM34" s="16" t="s">
        <v>165</v>
      </c>
      <c r="AN34" s="18">
        <f>+AL34*100</f>
        <v>0</v>
      </c>
    </row>
    <row r="35" spans="1:40" x14ac:dyDescent="0.25">
      <c r="A35" s="143">
        <v>5</v>
      </c>
      <c r="B35" s="92">
        <v>45237</v>
      </c>
      <c r="C35" s="31" t="s">
        <v>2502</v>
      </c>
      <c r="D35" s="32"/>
      <c r="E35" s="32" t="s">
        <v>2503</v>
      </c>
      <c r="F35" s="32" t="s">
        <v>1911</v>
      </c>
      <c r="G35" s="32" t="s">
        <v>2506</v>
      </c>
      <c r="H35" s="122">
        <v>260</v>
      </c>
      <c r="I35" s="32">
        <v>223</v>
      </c>
      <c r="J35" s="20">
        <v>37</v>
      </c>
      <c r="K35" s="21">
        <v>13</v>
      </c>
      <c r="L35" s="21">
        <f t="shared" si="5"/>
        <v>260</v>
      </c>
      <c r="M35" s="21">
        <f t="shared" si="6"/>
        <v>0</v>
      </c>
      <c r="N35" s="21">
        <v>260</v>
      </c>
      <c r="O35" s="21">
        <v>57</v>
      </c>
      <c r="P35" s="5"/>
      <c r="Q35" s="16">
        <v>300</v>
      </c>
      <c r="R35" s="16"/>
      <c r="S35" s="21">
        <f t="shared" si="7"/>
        <v>300</v>
      </c>
      <c r="T35" s="21">
        <v>337</v>
      </c>
      <c r="U35" s="78">
        <v>37</v>
      </c>
      <c r="V35" s="140"/>
      <c r="W35" s="147"/>
      <c r="X35" s="23"/>
      <c r="Y35" s="334"/>
      <c r="Z35" s="5"/>
      <c r="AB35">
        <v>2</v>
      </c>
      <c r="AC35" s="16" t="s">
        <v>166</v>
      </c>
      <c r="AD35" s="18">
        <f>+AB35*50</f>
        <v>100</v>
      </c>
      <c r="AG35" s="16" t="s">
        <v>166</v>
      </c>
      <c r="AH35" s="18">
        <f>+AF35*50</f>
        <v>0</v>
      </c>
      <c r="AJ35" s="16"/>
      <c r="AK35" s="16"/>
      <c r="AM35" s="16" t="s">
        <v>166</v>
      </c>
      <c r="AN35" s="18">
        <f>+AL35*50</f>
        <v>0</v>
      </c>
    </row>
    <row r="36" spans="1:40" x14ac:dyDescent="0.25">
      <c r="A36" s="143">
        <v>6</v>
      </c>
      <c r="B36" s="92">
        <v>45237</v>
      </c>
      <c r="C36" s="31" t="s">
        <v>2507</v>
      </c>
      <c r="D36" s="32"/>
      <c r="E36" s="32" t="s">
        <v>52</v>
      </c>
      <c r="F36" s="32" t="s">
        <v>2509</v>
      </c>
      <c r="G36" s="39" t="s">
        <v>2508</v>
      </c>
      <c r="H36" s="39">
        <v>42</v>
      </c>
      <c r="I36" s="42">
        <v>30</v>
      </c>
      <c r="J36" s="20">
        <v>12</v>
      </c>
      <c r="K36" s="21">
        <v>0</v>
      </c>
      <c r="L36" s="21">
        <f t="shared" si="5"/>
        <v>42</v>
      </c>
      <c r="M36" s="21">
        <f t="shared" si="6"/>
        <v>0</v>
      </c>
      <c r="N36" s="21"/>
      <c r="O36" s="21"/>
      <c r="P36" s="5"/>
      <c r="Q36" s="16">
        <v>250</v>
      </c>
      <c r="R36" s="16"/>
      <c r="S36" s="21">
        <f t="shared" si="7"/>
        <v>250</v>
      </c>
      <c r="T36" s="16">
        <v>262</v>
      </c>
      <c r="U36" s="78">
        <f t="shared" si="9"/>
        <v>12</v>
      </c>
      <c r="V36" s="140"/>
      <c r="W36" s="147"/>
      <c r="X36" s="23"/>
      <c r="Y36" s="334"/>
      <c r="Z36" s="5"/>
      <c r="AB36">
        <v>7</v>
      </c>
      <c r="AC36" s="16" t="s">
        <v>167</v>
      </c>
      <c r="AD36" s="18">
        <f>+AB36*20</f>
        <v>140</v>
      </c>
      <c r="AG36" s="16" t="s">
        <v>167</v>
      </c>
      <c r="AH36" s="18">
        <f>+AF36*20</f>
        <v>0</v>
      </c>
      <c r="AJ36" s="16"/>
      <c r="AK36" s="16"/>
      <c r="AM36" s="16" t="s">
        <v>167</v>
      </c>
      <c r="AN36" s="18">
        <f>+AL36*20</f>
        <v>0</v>
      </c>
    </row>
    <row r="37" spans="1:40" x14ac:dyDescent="0.25">
      <c r="A37" s="143">
        <v>7</v>
      </c>
      <c r="B37" s="92">
        <v>45237</v>
      </c>
      <c r="C37" s="31" t="s">
        <v>195</v>
      </c>
      <c r="D37" s="32"/>
      <c r="E37" s="32" t="s">
        <v>52</v>
      </c>
      <c r="F37" s="32" t="s">
        <v>1241</v>
      </c>
      <c r="G37" s="39" t="s">
        <v>2510</v>
      </c>
      <c r="H37" s="122">
        <v>150</v>
      </c>
      <c r="I37" s="42">
        <v>136</v>
      </c>
      <c r="J37" s="20">
        <v>14</v>
      </c>
      <c r="K37" s="21">
        <v>0</v>
      </c>
      <c r="L37" s="21">
        <f t="shared" si="5"/>
        <v>150</v>
      </c>
      <c r="M37" s="21">
        <f t="shared" si="6"/>
        <v>0</v>
      </c>
      <c r="N37" s="21"/>
      <c r="O37" s="21"/>
      <c r="P37" s="5"/>
      <c r="Q37" s="16"/>
      <c r="R37" s="16">
        <v>150</v>
      </c>
      <c r="S37" s="21">
        <f t="shared" si="7"/>
        <v>150</v>
      </c>
      <c r="T37" s="16"/>
      <c r="U37" s="78">
        <f t="shared" si="9"/>
        <v>-150</v>
      </c>
      <c r="V37" s="140"/>
      <c r="W37" s="147"/>
      <c r="X37" s="23"/>
      <c r="Y37" s="334"/>
      <c r="Z37" s="5"/>
      <c r="AC37" s="16" t="s">
        <v>171</v>
      </c>
      <c r="AD37" s="18">
        <f>+AB37*500</f>
        <v>0</v>
      </c>
      <c r="AG37" s="16" t="s">
        <v>171</v>
      </c>
      <c r="AH37" s="18">
        <f>+AF37*500</f>
        <v>0</v>
      </c>
      <c r="AJ37" s="16"/>
      <c r="AK37" s="16"/>
      <c r="AM37" s="16" t="s">
        <v>171</v>
      </c>
      <c r="AN37" s="18">
        <f>+AL37*500</f>
        <v>0</v>
      </c>
    </row>
    <row r="38" spans="1:40" x14ac:dyDescent="0.25">
      <c r="A38" s="143">
        <v>8</v>
      </c>
      <c r="B38" s="92">
        <v>45237</v>
      </c>
      <c r="C38" s="31" t="s">
        <v>319</v>
      </c>
      <c r="D38" s="123"/>
      <c r="E38" s="123" t="s">
        <v>2511</v>
      </c>
      <c r="F38" s="123" t="s">
        <v>1845</v>
      </c>
      <c r="G38" s="39" t="s">
        <v>2512</v>
      </c>
      <c r="H38" s="122">
        <v>400</v>
      </c>
      <c r="I38" s="32">
        <v>330</v>
      </c>
      <c r="J38" s="20">
        <v>30</v>
      </c>
      <c r="K38" s="21">
        <v>20</v>
      </c>
      <c r="L38" s="21">
        <f t="shared" si="5"/>
        <v>360</v>
      </c>
      <c r="M38" s="21">
        <f t="shared" si="6"/>
        <v>40</v>
      </c>
      <c r="N38" s="21"/>
      <c r="O38" s="21"/>
      <c r="P38" s="5"/>
      <c r="Q38" s="16">
        <v>400</v>
      </c>
      <c r="R38" s="16"/>
      <c r="S38" s="21">
        <f t="shared" si="7"/>
        <v>400</v>
      </c>
      <c r="T38" s="16">
        <v>430</v>
      </c>
      <c r="U38" s="78">
        <f t="shared" si="9"/>
        <v>30</v>
      </c>
      <c r="V38" s="140"/>
      <c r="W38" s="147"/>
      <c r="X38" s="23"/>
      <c r="Y38" s="334"/>
      <c r="Z38" s="5"/>
      <c r="AC38" s="16" t="s">
        <v>168</v>
      </c>
      <c r="AD38" s="18">
        <f>+AB38*1000</f>
        <v>0</v>
      </c>
      <c r="AG38" s="16" t="s">
        <v>168</v>
      </c>
      <c r="AH38" s="18">
        <f>+AF38*1000</f>
        <v>0</v>
      </c>
      <c r="AJ38" s="16"/>
      <c r="AK38" s="16"/>
      <c r="AM38" s="16" t="s">
        <v>168</v>
      </c>
      <c r="AN38" s="18">
        <f>+AL38*1000</f>
        <v>0</v>
      </c>
    </row>
    <row r="39" spans="1:40" x14ac:dyDescent="0.25">
      <c r="A39" s="143">
        <v>9</v>
      </c>
      <c r="B39" s="92">
        <v>45237</v>
      </c>
      <c r="C39" s="31" t="s">
        <v>2513</v>
      </c>
      <c r="D39" s="32"/>
      <c r="E39" s="32" t="s">
        <v>41</v>
      </c>
      <c r="F39" s="32" t="s">
        <v>220</v>
      </c>
      <c r="G39" s="39" t="s">
        <v>2514</v>
      </c>
      <c r="H39" s="39">
        <v>500</v>
      </c>
      <c r="I39" s="40">
        <v>425</v>
      </c>
      <c r="J39" s="20">
        <v>15</v>
      </c>
      <c r="K39" s="21">
        <f t="shared" si="8"/>
        <v>-5</v>
      </c>
      <c r="L39" s="21">
        <f t="shared" si="5"/>
        <v>440</v>
      </c>
      <c r="M39" s="21">
        <f t="shared" si="6"/>
        <v>60</v>
      </c>
      <c r="N39" s="21"/>
      <c r="O39" s="21"/>
      <c r="P39" s="5"/>
      <c r="Q39" s="16">
        <v>500</v>
      </c>
      <c r="R39" s="16"/>
      <c r="S39" s="21">
        <f t="shared" si="7"/>
        <v>500</v>
      </c>
      <c r="T39" s="16">
        <v>510</v>
      </c>
      <c r="U39" s="78">
        <f t="shared" si="9"/>
        <v>10</v>
      </c>
      <c r="V39" s="140"/>
      <c r="W39" s="147"/>
      <c r="X39" s="23"/>
      <c r="Y39" s="334"/>
      <c r="Z39" s="5"/>
      <c r="AC39" s="26"/>
      <c r="AD39" s="58"/>
      <c r="AG39" s="26"/>
      <c r="AH39" s="58"/>
      <c r="AJ39" s="16"/>
      <c r="AK39" s="16"/>
      <c r="AM39" s="26"/>
      <c r="AN39" s="58"/>
    </row>
    <row r="40" spans="1:40" x14ac:dyDescent="0.25">
      <c r="A40" s="143">
        <v>10</v>
      </c>
      <c r="B40" s="92">
        <v>45237</v>
      </c>
      <c r="C40" s="31"/>
      <c r="D40" s="32"/>
      <c r="E40" s="32"/>
      <c r="F40" s="32"/>
      <c r="G40" s="39"/>
      <c r="H40" s="122"/>
      <c r="I40" s="42"/>
      <c r="J40" s="20">
        <v>10</v>
      </c>
      <c r="K40" s="21">
        <f t="shared" si="8"/>
        <v>-10</v>
      </c>
      <c r="L40" s="21">
        <f t="shared" si="5"/>
        <v>10</v>
      </c>
      <c r="M40" s="21">
        <f t="shared" si="6"/>
        <v>-10</v>
      </c>
      <c r="N40" s="21"/>
      <c r="O40" s="21"/>
      <c r="P40" s="5"/>
      <c r="Q40" s="16"/>
      <c r="R40" s="16"/>
      <c r="S40" s="21">
        <f t="shared" si="7"/>
        <v>0</v>
      </c>
      <c r="T40" s="16"/>
      <c r="U40" s="78">
        <f t="shared" si="9"/>
        <v>0</v>
      </c>
      <c r="V40" s="140"/>
      <c r="W40" s="147"/>
      <c r="X40" s="23"/>
      <c r="Y40" s="334"/>
      <c r="Z40" s="5"/>
      <c r="AC40" s="16" t="s">
        <v>169</v>
      </c>
      <c r="AD40" s="18">
        <f>SUM(AD30:AD39)</f>
        <v>676.5</v>
      </c>
      <c r="AG40" s="16" t="s">
        <v>169</v>
      </c>
      <c r="AH40" s="18">
        <f>SUM(AH30:AH39)</f>
        <v>0</v>
      </c>
      <c r="AJ40" s="16"/>
      <c r="AK40" s="16"/>
      <c r="AM40" s="16" t="s">
        <v>169</v>
      </c>
      <c r="AN40" s="18"/>
    </row>
    <row r="41" spans="1:40" x14ac:dyDescent="0.25">
      <c r="A41" s="143">
        <v>11</v>
      </c>
      <c r="B41" s="92">
        <v>45237</v>
      </c>
      <c r="C41" s="31"/>
      <c r="D41" s="124"/>
      <c r="E41" s="123"/>
      <c r="F41" s="123"/>
      <c r="G41" s="39"/>
      <c r="H41" s="122"/>
      <c r="I41" s="42"/>
      <c r="J41" s="20">
        <v>10</v>
      </c>
      <c r="K41" s="21">
        <f t="shared" si="8"/>
        <v>-10</v>
      </c>
      <c r="L41" s="21">
        <f t="shared" si="5"/>
        <v>10</v>
      </c>
      <c r="M41" s="21">
        <f t="shared" si="6"/>
        <v>-10</v>
      </c>
      <c r="N41" s="21"/>
      <c r="O41" s="21"/>
      <c r="P41" s="5"/>
      <c r="Q41" s="16"/>
      <c r="R41" s="16"/>
      <c r="S41" s="21">
        <f t="shared" si="7"/>
        <v>0</v>
      </c>
      <c r="T41" s="16"/>
      <c r="U41" s="78">
        <f t="shared" si="9"/>
        <v>0</v>
      </c>
      <c r="V41" s="140"/>
      <c r="W41" s="147"/>
      <c r="X41" s="23"/>
      <c r="Y41" s="334"/>
      <c r="Z41" s="5"/>
      <c r="AD41">
        <v>676.5</v>
      </c>
      <c r="AJ41" s="16"/>
      <c r="AK41" s="16"/>
      <c r="AM41" s="16"/>
      <c r="AN41" s="16"/>
    </row>
    <row r="42" spans="1:40" x14ac:dyDescent="0.25">
      <c r="A42" s="143">
        <v>12</v>
      </c>
      <c r="B42" s="92">
        <v>45237</v>
      </c>
      <c r="C42" s="32"/>
      <c r="D42" s="32"/>
      <c r="E42" s="124"/>
      <c r="F42" s="123"/>
      <c r="G42" s="39"/>
      <c r="H42" s="39"/>
      <c r="I42" s="42"/>
      <c r="J42" s="20">
        <v>10</v>
      </c>
      <c r="K42" s="21">
        <f t="shared" si="8"/>
        <v>-10</v>
      </c>
      <c r="L42" s="21">
        <f t="shared" si="5"/>
        <v>10</v>
      </c>
      <c r="M42" s="21">
        <f t="shared" si="6"/>
        <v>-10</v>
      </c>
      <c r="N42" s="21"/>
      <c r="O42" s="21"/>
      <c r="P42" s="5"/>
      <c r="Q42" s="45"/>
      <c r="R42" s="44"/>
      <c r="S42" s="21">
        <f t="shared" si="7"/>
        <v>0</v>
      </c>
      <c r="T42" s="45"/>
      <c r="U42" s="78">
        <f t="shared" si="9"/>
        <v>0</v>
      </c>
      <c r="V42" s="140"/>
      <c r="W42" s="147"/>
      <c r="X42" s="23"/>
      <c r="Y42" s="334"/>
      <c r="Z42" s="5"/>
      <c r="AD42" s="83"/>
      <c r="AJ42" s="63" t="s">
        <v>169</v>
      </c>
      <c r="AK42" s="63">
        <f>+SUM(AJ31:AJ41)-SUM(AK31:AK41)</f>
        <v>0</v>
      </c>
      <c r="AM42" s="63" t="s">
        <v>169</v>
      </c>
      <c r="AN42" s="85">
        <f>+SUM(AM30:AM41)-SUM(AN31:AN41)</f>
        <v>0</v>
      </c>
    </row>
    <row r="43" spans="1:40" x14ac:dyDescent="0.25">
      <c r="A43" s="143">
        <v>13</v>
      </c>
      <c r="B43" s="92">
        <v>45237</v>
      </c>
      <c r="C43" s="31"/>
      <c r="D43" s="32"/>
      <c r="E43" s="32"/>
      <c r="F43" s="32"/>
      <c r="G43" s="39"/>
      <c r="H43" s="39"/>
      <c r="I43" s="42"/>
      <c r="J43" s="108">
        <v>10</v>
      </c>
      <c r="K43" s="21">
        <f t="shared" si="8"/>
        <v>-10</v>
      </c>
      <c r="L43" s="21">
        <f t="shared" si="5"/>
        <v>10</v>
      </c>
      <c r="M43" s="21">
        <f t="shared" si="6"/>
        <v>-10</v>
      </c>
      <c r="N43" s="21"/>
      <c r="O43" s="21"/>
      <c r="P43" s="5"/>
      <c r="Q43" s="43"/>
      <c r="R43" s="32"/>
      <c r="S43" s="21">
        <f t="shared" si="7"/>
        <v>0</v>
      </c>
      <c r="T43" s="43"/>
      <c r="U43" s="78">
        <f t="shared" si="9"/>
        <v>0</v>
      </c>
      <c r="V43" s="140"/>
      <c r="W43" s="147"/>
      <c r="X43" s="23"/>
      <c r="Y43" s="334"/>
      <c r="Z43" s="5"/>
      <c r="AH43" s="83"/>
    </row>
    <row r="44" spans="1:40" x14ac:dyDescent="0.25">
      <c r="A44" s="143">
        <v>14</v>
      </c>
      <c r="B44" s="92">
        <v>45237</v>
      </c>
      <c r="C44" s="31"/>
      <c r="D44" s="32"/>
      <c r="E44" s="32"/>
      <c r="F44" s="32"/>
      <c r="G44" s="39"/>
      <c r="H44" s="39"/>
      <c r="I44" s="42"/>
      <c r="J44" s="108">
        <v>10</v>
      </c>
      <c r="K44" s="21">
        <f t="shared" si="8"/>
        <v>-10</v>
      </c>
      <c r="L44" s="21">
        <f t="shared" si="5"/>
        <v>10</v>
      </c>
      <c r="M44" s="21">
        <f t="shared" si="6"/>
        <v>-10</v>
      </c>
      <c r="N44" s="21"/>
      <c r="O44" s="21"/>
      <c r="P44" s="5"/>
      <c r="Q44" s="43"/>
      <c r="R44" s="43"/>
      <c r="S44" s="21">
        <f t="shared" si="7"/>
        <v>0</v>
      </c>
      <c r="T44" s="43"/>
      <c r="U44" s="78">
        <f t="shared" si="9"/>
        <v>0</v>
      </c>
      <c r="V44" s="140"/>
      <c r="W44" s="147"/>
      <c r="X44" s="23"/>
      <c r="Y44" s="334"/>
      <c r="Z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40" x14ac:dyDescent="0.25">
      <c r="A45" s="143">
        <v>15</v>
      </c>
      <c r="B45" s="92">
        <v>45237</v>
      </c>
      <c r="C45" s="127"/>
      <c r="D45" s="32"/>
      <c r="E45" s="32"/>
      <c r="F45" s="128"/>
      <c r="G45" s="129"/>
      <c r="H45" s="39"/>
      <c r="I45" s="42"/>
      <c r="J45" s="108">
        <v>10</v>
      </c>
      <c r="K45" s="21">
        <f t="shared" si="8"/>
        <v>-10</v>
      </c>
      <c r="L45" s="21">
        <f t="shared" si="5"/>
        <v>10</v>
      </c>
      <c r="M45" s="21">
        <f t="shared" si="6"/>
        <v>-10</v>
      </c>
      <c r="N45" s="21"/>
      <c r="O45" s="21"/>
      <c r="P45" s="5"/>
      <c r="Q45" s="43"/>
      <c r="R45" s="43"/>
      <c r="S45" s="21">
        <f t="shared" si="7"/>
        <v>0</v>
      </c>
      <c r="T45" s="43"/>
      <c r="U45" s="78">
        <f t="shared" si="9"/>
        <v>0</v>
      </c>
      <c r="V45" s="140"/>
      <c r="W45" s="147"/>
      <c r="X45" s="23"/>
      <c r="Y45" s="334"/>
      <c r="Z45" s="5"/>
      <c r="AC45" s="5"/>
      <c r="AD45" s="134" t="s">
        <v>20</v>
      </c>
      <c r="AE45" s="338"/>
      <c r="AF45" s="341" t="s">
        <v>686</v>
      </c>
      <c r="AG45" s="134" t="s">
        <v>20</v>
      </c>
      <c r="AH45" s="338">
        <v>37.5</v>
      </c>
      <c r="AI45" s="341" t="s">
        <v>687</v>
      </c>
      <c r="AJ45" s="134" t="s">
        <v>20</v>
      </c>
      <c r="AK45" s="338"/>
      <c r="AL45" s="5"/>
    </row>
    <row r="46" spans="1:40" x14ac:dyDescent="0.25">
      <c r="A46" s="143">
        <v>16</v>
      </c>
      <c r="B46" s="92">
        <v>45237</v>
      </c>
      <c r="C46" s="31"/>
      <c r="D46" s="32"/>
      <c r="E46" s="32"/>
      <c r="F46" s="32"/>
      <c r="G46" s="39"/>
      <c r="H46" s="39"/>
      <c r="I46" s="42"/>
      <c r="J46" s="43">
        <v>10</v>
      </c>
      <c r="K46" s="21">
        <f t="shared" si="8"/>
        <v>-10</v>
      </c>
      <c r="L46" s="21">
        <f t="shared" si="5"/>
        <v>10</v>
      </c>
      <c r="M46" s="21">
        <f t="shared" si="6"/>
        <v>-10</v>
      </c>
      <c r="N46" s="21"/>
      <c r="O46" s="21"/>
      <c r="P46" s="5"/>
      <c r="Q46" s="43"/>
      <c r="R46" s="32"/>
      <c r="S46" s="21">
        <f t="shared" si="7"/>
        <v>0</v>
      </c>
      <c r="T46" s="131"/>
      <c r="U46" s="78">
        <f t="shared" si="9"/>
        <v>0</v>
      </c>
      <c r="V46" s="140"/>
      <c r="W46" s="147"/>
      <c r="X46" s="23"/>
      <c r="Y46" s="334"/>
      <c r="Z46" s="5"/>
      <c r="AC46" s="5" t="s">
        <v>685</v>
      </c>
      <c r="AD46" s="115" t="s">
        <v>684</v>
      </c>
      <c r="AE46" s="339"/>
      <c r="AF46" s="341"/>
      <c r="AG46" s="115" t="s">
        <v>684</v>
      </c>
      <c r="AH46" s="339"/>
      <c r="AI46" s="341"/>
      <c r="AJ46" s="115" t="s">
        <v>684</v>
      </c>
      <c r="AK46" s="339"/>
      <c r="AL46" s="5"/>
    </row>
    <row r="47" spans="1:40" x14ac:dyDescent="0.25">
      <c r="A47" s="143">
        <v>17</v>
      </c>
      <c r="B47" s="92">
        <v>45237</v>
      </c>
      <c r="C47" s="31"/>
      <c r="D47" s="32"/>
      <c r="E47" s="32"/>
      <c r="F47" s="32"/>
      <c r="G47" s="39"/>
      <c r="H47" s="39"/>
      <c r="I47" s="42"/>
      <c r="J47" s="43">
        <v>10</v>
      </c>
      <c r="K47" s="21">
        <f t="shared" si="8"/>
        <v>-10</v>
      </c>
      <c r="L47" s="21">
        <f t="shared" si="5"/>
        <v>10</v>
      </c>
      <c r="M47" s="21">
        <f t="shared" si="6"/>
        <v>-10</v>
      </c>
      <c r="N47" s="21"/>
      <c r="O47" s="21"/>
      <c r="P47" s="5"/>
      <c r="Q47" s="43"/>
      <c r="R47" s="32"/>
      <c r="S47" s="21">
        <f t="shared" si="7"/>
        <v>0</v>
      </c>
      <c r="T47" s="132"/>
      <c r="U47" s="78">
        <f t="shared" si="9"/>
        <v>0</v>
      </c>
      <c r="V47" s="140"/>
      <c r="W47" s="147"/>
      <c r="X47" s="23"/>
      <c r="Y47" s="340"/>
      <c r="Z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40" x14ac:dyDescent="0.25">
      <c r="A48" s="143">
        <v>18</v>
      </c>
      <c r="B48" s="92">
        <v>45237</v>
      </c>
      <c r="C48" s="31"/>
      <c r="D48" s="32"/>
      <c r="E48" s="32"/>
      <c r="F48" s="32"/>
      <c r="G48" s="39"/>
      <c r="H48" s="39"/>
      <c r="I48" s="42"/>
      <c r="J48" s="43">
        <v>10</v>
      </c>
      <c r="K48" s="21">
        <f t="shared" si="8"/>
        <v>-10</v>
      </c>
      <c r="L48" s="21">
        <f t="shared" si="5"/>
        <v>10</v>
      </c>
      <c r="M48" s="21">
        <f t="shared" si="6"/>
        <v>-10</v>
      </c>
      <c r="N48" s="21"/>
      <c r="O48" s="21"/>
      <c r="P48" s="5"/>
      <c r="Q48" s="135"/>
      <c r="R48" s="104"/>
      <c r="S48" s="21">
        <f t="shared" si="7"/>
        <v>0</v>
      </c>
      <c r="T48" s="131"/>
      <c r="U48" s="78">
        <f t="shared" si="9"/>
        <v>0</v>
      </c>
      <c r="V48" s="140"/>
      <c r="W48" s="138"/>
      <c r="X48" s="32"/>
      <c r="Z48" s="5"/>
    </row>
    <row r="49" spans="1:41" x14ac:dyDescent="0.25">
      <c r="A49" s="143">
        <v>19</v>
      </c>
      <c r="B49" s="92">
        <v>45237</v>
      </c>
      <c r="C49" s="31"/>
      <c r="D49" s="32"/>
      <c r="E49" s="32"/>
      <c r="F49" s="32"/>
      <c r="G49" s="39"/>
      <c r="H49" s="39"/>
      <c r="I49" s="42"/>
      <c r="J49" s="43">
        <v>10</v>
      </c>
      <c r="K49" s="21">
        <f t="shared" si="8"/>
        <v>-10</v>
      </c>
      <c r="L49" s="21">
        <f t="shared" si="5"/>
        <v>10</v>
      </c>
      <c r="M49" s="21">
        <f t="shared" si="6"/>
        <v>-10</v>
      </c>
      <c r="N49" s="21"/>
      <c r="O49" s="21"/>
      <c r="P49" s="5"/>
      <c r="Q49" s="32"/>
      <c r="R49" s="32"/>
      <c r="S49" s="21">
        <f t="shared" si="7"/>
        <v>0</v>
      </c>
      <c r="T49" s="32"/>
      <c r="U49" s="78">
        <f t="shared" si="9"/>
        <v>0</v>
      </c>
      <c r="V49" s="140"/>
      <c r="W49" s="138"/>
      <c r="X49" s="32"/>
      <c r="Z49" s="5"/>
    </row>
    <row r="50" spans="1:4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141"/>
      <c r="W50" s="5"/>
      <c r="X50" s="5"/>
      <c r="Y50" s="5"/>
      <c r="Z50" s="5"/>
    </row>
    <row r="52" spans="1:41" x14ac:dyDescent="0.25">
      <c r="I52">
        <f>72-200</f>
        <v>-128</v>
      </c>
    </row>
    <row r="55" spans="1:41" x14ac:dyDescent="0.25">
      <c r="A55" s="1" t="s">
        <v>0</v>
      </c>
      <c r="B55" s="1"/>
      <c r="C55" s="1"/>
      <c r="D55" s="1"/>
      <c r="E55" s="1"/>
      <c r="F55" s="1"/>
      <c r="G55" s="1"/>
      <c r="H55" s="1"/>
      <c r="I55" s="1"/>
      <c r="J55" s="1" t="s">
        <v>148</v>
      </c>
      <c r="K55" s="1"/>
      <c r="L55" s="1"/>
      <c r="M55" s="1"/>
      <c r="N55" s="1"/>
      <c r="O55" s="1"/>
      <c r="P55" s="1"/>
      <c r="Q55" s="1"/>
      <c r="R55" s="1"/>
      <c r="S55" s="1"/>
      <c r="T55" s="342" t="s">
        <v>1</v>
      </c>
      <c r="U55" s="342"/>
      <c r="V55" s="5"/>
      <c r="W55" s="139"/>
      <c r="X55" s="1"/>
      <c r="Y55" s="5"/>
      <c r="AD55" s="335" t="s">
        <v>160</v>
      </c>
      <c r="AE55" s="336"/>
      <c r="AH55" s="335" t="s">
        <v>170</v>
      </c>
      <c r="AI55" s="336"/>
      <c r="AK55" s="337" t="s">
        <v>172</v>
      </c>
      <c r="AL55" s="337"/>
      <c r="AN55" s="337" t="s">
        <v>681</v>
      </c>
      <c r="AO55" s="337"/>
    </row>
    <row r="56" spans="1:41" ht="90" x14ac:dyDescent="0.25">
      <c r="A56" s="6" t="s">
        <v>2</v>
      </c>
      <c r="B56" s="7" t="s">
        <v>3</v>
      </c>
      <c r="C56" s="245" t="s">
        <v>688</v>
      </c>
      <c r="D56" s="7" t="s">
        <v>4</v>
      </c>
      <c r="E56" s="6" t="s">
        <v>5</v>
      </c>
      <c r="F56" s="6" t="s">
        <v>6</v>
      </c>
      <c r="G56" s="6" t="s">
        <v>7</v>
      </c>
      <c r="H56" s="6" t="s">
        <v>8</v>
      </c>
      <c r="I56" s="8" t="s">
        <v>9</v>
      </c>
      <c r="J56" s="9" t="s">
        <v>10</v>
      </c>
      <c r="K56" s="8" t="s">
        <v>11</v>
      </c>
      <c r="L56" s="10" t="s">
        <v>12</v>
      </c>
      <c r="M56" s="10" t="s">
        <v>13</v>
      </c>
      <c r="N56" s="11" t="s">
        <v>14</v>
      </c>
      <c r="O56" s="10" t="s">
        <v>691</v>
      </c>
      <c r="P56" s="10" t="s">
        <v>28</v>
      </c>
      <c r="Q56" s="5"/>
      <c r="R56" s="10" t="s">
        <v>16</v>
      </c>
      <c r="S56" s="10" t="s">
        <v>17</v>
      </c>
      <c r="T56" s="10" t="s">
        <v>18</v>
      </c>
      <c r="U56" s="10" t="s">
        <v>19</v>
      </c>
      <c r="V56" s="10" t="s">
        <v>20</v>
      </c>
      <c r="W56" s="13"/>
      <c r="X56" s="15" t="s">
        <v>23</v>
      </c>
      <c r="Y56" s="5"/>
      <c r="AC56">
        <v>5</v>
      </c>
      <c r="AD56" s="16" t="s">
        <v>161</v>
      </c>
      <c r="AE56" s="58">
        <f>+AC56*10</f>
        <v>50</v>
      </c>
      <c r="AG56">
        <v>2</v>
      </c>
      <c r="AH56" s="16" t="s">
        <v>161</v>
      </c>
      <c r="AI56" s="58">
        <f>+AG56*10</f>
        <v>20</v>
      </c>
      <c r="AK56" s="61" t="s">
        <v>173</v>
      </c>
      <c r="AL56" s="62" t="s">
        <v>174</v>
      </c>
      <c r="AN56" s="16" t="s">
        <v>161</v>
      </c>
      <c r="AO56" s="58">
        <f>+AM56*10</f>
        <v>0</v>
      </c>
    </row>
    <row r="57" spans="1:41" x14ac:dyDescent="0.25">
      <c r="A57" s="16">
        <v>1</v>
      </c>
      <c r="B57" s="92">
        <v>45238</v>
      </c>
      <c r="C57" s="23">
        <v>0.4284722222222222</v>
      </c>
      <c r="D57" s="31" t="s">
        <v>364</v>
      </c>
      <c r="E57" s="32">
        <v>5553838178</v>
      </c>
      <c r="F57" s="32" t="s">
        <v>2515</v>
      </c>
      <c r="G57" s="39" t="s">
        <v>790</v>
      </c>
      <c r="H57" s="39" t="s">
        <v>2516</v>
      </c>
      <c r="I57" s="122">
        <v>200</v>
      </c>
      <c r="J57" s="32">
        <v>109</v>
      </c>
      <c r="K57" s="20">
        <v>20</v>
      </c>
      <c r="L57" s="21"/>
      <c r="M57" s="21">
        <f t="shared" ref="M57:M75" si="10">+J57+K57</f>
        <v>129</v>
      </c>
      <c r="N57" s="21">
        <f t="shared" ref="N57:N75" si="11">+I57-M57</f>
        <v>71</v>
      </c>
      <c r="O57" s="21"/>
      <c r="P57" s="21"/>
      <c r="Q57" s="5"/>
      <c r="R57" s="21">
        <v>200</v>
      </c>
      <c r="S57" s="16"/>
      <c r="T57" s="21">
        <f t="shared" ref="T57:T75" si="12">+R57+S57</f>
        <v>200</v>
      </c>
      <c r="U57" s="21">
        <v>230.5</v>
      </c>
      <c r="V57" s="78">
        <f>U57-T57+O57+P57</f>
        <v>30.5</v>
      </c>
      <c r="W57" s="13"/>
      <c r="X57" s="333"/>
      <c r="Y57" s="5"/>
      <c r="AC57">
        <v>78</v>
      </c>
      <c r="AD57" s="59" t="s">
        <v>162</v>
      </c>
      <c r="AE57" s="18">
        <f>+AC57*1</f>
        <v>78</v>
      </c>
      <c r="AG57">
        <v>64</v>
      </c>
      <c r="AH57" s="59" t="s">
        <v>162</v>
      </c>
      <c r="AI57" s="18">
        <f>+AG57*1</f>
        <v>64</v>
      </c>
      <c r="AK57" s="16"/>
      <c r="AL57" s="16"/>
      <c r="AN57" s="59" t="s">
        <v>162</v>
      </c>
      <c r="AO57" s="18">
        <f>+AM57*1</f>
        <v>0</v>
      </c>
    </row>
    <row r="58" spans="1:41" x14ac:dyDescent="0.25">
      <c r="A58" s="26">
        <v>2</v>
      </c>
      <c r="B58" s="92">
        <v>45238</v>
      </c>
      <c r="C58" s="23">
        <v>0.44236111111111115</v>
      </c>
      <c r="D58" s="31" t="s">
        <v>1033</v>
      </c>
      <c r="E58" s="32">
        <v>5516609716</v>
      </c>
      <c r="F58" s="32" t="s">
        <v>31</v>
      </c>
      <c r="G58" s="32" t="s">
        <v>2518</v>
      </c>
      <c r="H58" s="39" t="s">
        <v>2517</v>
      </c>
      <c r="I58" s="122">
        <v>70</v>
      </c>
      <c r="J58" s="32">
        <v>50</v>
      </c>
      <c r="K58" s="20">
        <v>10</v>
      </c>
      <c r="L58" s="21"/>
      <c r="M58" s="21">
        <f t="shared" si="10"/>
        <v>60</v>
      </c>
      <c r="N58" s="21">
        <f t="shared" si="11"/>
        <v>10</v>
      </c>
      <c r="O58" s="21"/>
      <c r="P58" s="21"/>
      <c r="Q58" s="5"/>
      <c r="R58" s="21">
        <v>150</v>
      </c>
      <c r="S58" s="16"/>
      <c r="T58" s="21">
        <f t="shared" si="12"/>
        <v>150</v>
      </c>
      <c r="U58" s="21">
        <v>160</v>
      </c>
      <c r="V58" s="78">
        <f t="shared" ref="V58:V75" si="13">U58-T58+O58+P58</f>
        <v>10</v>
      </c>
      <c r="W58" s="140"/>
      <c r="X58" s="334"/>
      <c r="Y58" s="5"/>
      <c r="AC58">
        <v>20</v>
      </c>
      <c r="AD58" s="16" t="s">
        <v>163</v>
      </c>
      <c r="AE58" s="60">
        <f>+AC58*5</f>
        <v>100</v>
      </c>
      <c r="AG58">
        <v>19</v>
      </c>
      <c r="AH58" s="16" t="s">
        <v>163</v>
      </c>
      <c r="AI58" s="60">
        <f>+AG58*5</f>
        <v>95</v>
      </c>
      <c r="AK58" s="16"/>
      <c r="AL58" s="16"/>
      <c r="AN58" s="16" t="s">
        <v>163</v>
      </c>
      <c r="AO58" s="60">
        <f>+AM58*5</f>
        <v>0</v>
      </c>
    </row>
    <row r="59" spans="1:41" x14ac:dyDescent="0.25">
      <c r="A59" s="143">
        <v>3</v>
      </c>
      <c r="B59" s="92">
        <v>45238</v>
      </c>
      <c r="C59" s="23">
        <v>0.45833333333333331</v>
      </c>
      <c r="D59" s="31" t="s">
        <v>2519</v>
      </c>
      <c r="E59" s="32">
        <v>5568676408</v>
      </c>
      <c r="F59" s="32" t="s">
        <v>76</v>
      </c>
      <c r="G59" s="32" t="s">
        <v>2520</v>
      </c>
      <c r="H59" s="39" t="s">
        <v>2521</v>
      </c>
      <c r="I59" s="122">
        <v>198</v>
      </c>
      <c r="J59" s="32">
        <v>178</v>
      </c>
      <c r="K59" s="20">
        <v>10</v>
      </c>
      <c r="L59" s="21"/>
      <c r="M59" s="21">
        <f t="shared" si="10"/>
        <v>188</v>
      </c>
      <c r="N59" s="21">
        <f t="shared" si="11"/>
        <v>10</v>
      </c>
      <c r="O59" s="21"/>
      <c r="P59" s="21"/>
      <c r="Q59" s="5"/>
      <c r="R59" s="21"/>
      <c r="S59" s="16"/>
      <c r="T59" s="21">
        <f t="shared" si="12"/>
        <v>0</v>
      </c>
      <c r="U59" s="21">
        <v>10</v>
      </c>
      <c r="V59" s="78">
        <f t="shared" si="13"/>
        <v>10</v>
      </c>
      <c r="W59" s="140"/>
      <c r="X59" s="334"/>
      <c r="Y59" s="5"/>
      <c r="AD59" s="16" t="s">
        <v>164</v>
      </c>
      <c r="AE59" s="18">
        <f>+AC59*200</f>
        <v>0</v>
      </c>
      <c r="AH59" s="16" t="s">
        <v>164</v>
      </c>
      <c r="AI59" s="18">
        <f>+AG59*200</f>
        <v>0</v>
      </c>
      <c r="AK59" s="16"/>
      <c r="AL59" s="16"/>
      <c r="AN59" s="16" t="s">
        <v>164</v>
      </c>
      <c r="AO59" s="18">
        <f>+AM59*200</f>
        <v>0</v>
      </c>
    </row>
    <row r="60" spans="1:41" x14ac:dyDescent="0.25">
      <c r="A60" s="143">
        <v>4</v>
      </c>
      <c r="B60" s="92">
        <v>45238</v>
      </c>
      <c r="C60" s="23">
        <v>0.47361111111111115</v>
      </c>
      <c r="D60" s="31" t="s">
        <v>2519</v>
      </c>
      <c r="E60" s="32">
        <v>5568676408</v>
      </c>
      <c r="F60" s="32" t="s">
        <v>31</v>
      </c>
      <c r="G60" s="32" t="s">
        <v>2520</v>
      </c>
      <c r="H60" s="39" t="s">
        <v>2522</v>
      </c>
      <c r="I60" s="122">
        <v>69</v>
      </c>
      <c r="J60" s="32">
        <v>39</v>
      </c>
      <c r="K60" s="20">
        <v>10</v>
      </c>
      <c r="L60" s="21"/>
      <c r="M60" s="21">
        <f t="shared" si="10"/>
        <v>49</v>
      </c>
      <c r="N60" s="21">
        <f t="shared" si="11"/>
        <v>20</v>
      </c>
      <c r="O60" s="21"/>
      <c r="P60" s="21"/>
      <c r="Q60" s="5"/>
      <c r="R60" s="21"/>
      <c r="S60" s="16"/>
      <c r="T60" s="21">
        <f t="shared" si="12"/>
        <v>0</v>
      </c>
      <c r="U60" s="21">
        <v>20</v>
      </c>
      <c r="V60" s="78">
        <f t="shared" si="13"/>
        <v>20</v>
      </c>
      <c r="W60" s="140"/>
      <c r="X60" s="334"/>
      <c r="Y60" s="5"/>
      <c r="AC60">
        <v>1</v>
      </c>
      <c r="AD60" s="16" t="s">
        <v>165</v>
      </c>
      <c r="AE60" s="18">
        <f>+AC60*100</f>
        <v>100</v>
      </c>
      <c r="AG60">
        <v>1</v>
      </c>
      <c r="AH60" s="16" t="s">
        <v>165</v>
      </c>
      <c r="AI60" s="18">
        <f>+AG60*100</f>
        <v>100</v>
      </c>
      <c r="AK60" s="16"/>
      <c r="AL60" s="16"/>
      <c r="AN60" s="16" t="s">
        <v>165</v>
      </c>
      <c r="AO60" s="18">
        <f>+AM60*100</f>
        <v>0</v>
      </c>
    </row>
    <row r="61" spans="1:41" x14ac:dyDescent="0.25">
      <c r="A61" s="143">
        <v>5</v>
      </c>
      <c r="B61" s="92">
        <v>45238</v>
      </c>
      <c r="C61" s="23">
        <v>0.48819444444444443</v>
      </c>
      <c r="D61" s="31" t="s">
        <v>1746</v>
      </c>
      <c r="E61" s="32">
        <v>5612853273</v>
      </c>
      <c r="F61" s="32" t="s">
        <v>1609</v>
      </c>
      <c r="G61" s="32" t="s">
        <v>1746</v>
      </c>
      <c r="H61" s="32" t="s">
        <v>2523</v>
      </c>
      <c r="I61" s="122">
        <v>200</v>
      </c>
      <c r="J61" s="32">
        <v>166</v>
      </c>
      <c r="K61" s="20">
        <v>10</v>
      </c>
      <c r="L61" s="21"/>
      <c r="M61" s="21">
        <f t="shared" si="10"/>
        <v>176</v>
      </c>
      <c r="N61" s="21">
        <f t="shared" si="11"/>
        <v>24</v>
      </c>
      <c r="O61" s="21"/>
      <c r="P61" s="21"/>
      <c r="Q61" s="5"/>
      <c r="R61" s="16">
        <v>300</v>
      </c>
      <c r="S61" s="16"/>
      <c r="T61" s="21">
        <f t="shared" si="12"/>
        <v>300</v>
      </c>
      <c r="U61" s="21">
        <v>320</v>
      </c>
      <c r="V61" s="78">
        <f t="shared" si="13"/>
        <v>20</v>
      </c>
      <c r="W61" s="140"/>
      <c r="X61" s="334"/>
      <c r="Y61" s="5"/>
      <c r="AC61">
        <v>1</v>
      </c>
      <c r="AD61" s="16" t="s">
        <v>166</v>
      </c>
      <c r="AE61" s="18">
        <f>+AC61*50</f>
        <v>50</v>
      </c>
      <c r="AG61">
        <v>1</v>
      </c>
      <c r="AH61" s="16" t="s">
        <v>166</v>
      </c>
      <c r="AI61" s="18">
        <f>+AG61*50</f>
        <v>50</v>
      </c>
      <c r="AK61" s="16"/>
      <c r="AL61" s="16"/>
      <c r="AN61" s="16" t="s">
        <v>166</v>
      </c>
      <c r="AO61" s="18">
        <f>+AM61*50</f>
        <v>0</v>
      </c>
    </row>
    <row r="62" spans="1:41" x14ac:dyDescent="0.25">
      <c r="A62" s="143">
        <v>6</v>
      </c>
      <c r="B62" s="92">
        <v>45238</v>
      </c>
      <c r="C62" s="23">
        <v>0.52986111111111112</v>
      </c>
      <c r="D62" s="31" t="s">
        <v>68</v>
      </c>
      <c r="E62" s="32">
        <v>5586180942</v>
      </c>
      <c r="F62" s="32" t="s">
        <v>31</v>
      </c>
      <c r="G62" s="32" t="s">
        <v>1388</v>
      </c>
      <c r="H62" s="39" t="s">
        <v>2524</v>
      </c>
      <c r="I62" s="39">
        <v>100</v>
      </c>
      <c r="J62" s="42">
        <v>72</v>
      </c>
      <c r="K62" s="20">
        <v>10</v>
      </c>
      <c r="L62" s="21"/>
      <c r="M62" s="21">
        <f t="shared" si="10"/>
        <v>82</v>
      </c>
      <c r="N62" s="21">
        <f t="shared" si="11"/>
        <v>18</v>
      </c>
      <c r="O62" s="21"/>
      <c r="P62" s="21"/>
      <c r="Q62" s="5"/>
      <c r="R62" s="16">
        <v>100</v>
      </c>
      <c r="S62" s="16"/>
      <c r="T62" s="21">
        <f t="shared" si="12"/>
        <v>100</v>
      </c>
      <c r="U62" s="16">
        <v>110</v>
      </c>
      <c r="V62" s="78">
        <f t="shared" si="13"/>
        <v>10</v>
      </c>
      <c r="W62" s="140"/>
      <c r="X62" s="334"/>
      <c r="Y62" s="5"/>
      <c r="AC62">
        <v>2</v>
      </c>
      <c r="AD62" s="16" t="s">
        <v>167</v>
      </c>
      <c r="AE62" s="18">
        <f>+AC62*20</f>
        <v>40</v>
      </c>
      <c r="AH62" s="16" t="s">
        <v>167</v>
      </c>
      <c r="AI62" s="18">
        <f>+AG62*20</f>
        <v>0</v>
      </c>
      <c r="AK62" s="16"/>
      <c r="AL62" s="16"/>
      <c r="AN62" s="16" t="s">
        <v>167</v>
      </c>
      <c r="AO62" s="18">
        <f>+AM62*20</f>
        <v>0</v>
      </c>
    </row>
    <row r="63" spans="1:41" x14ac:dyDescent="0.25">
      <c r="A63" s="143">
        <v>7</v>
      </c>
      <c r="B63" s="92">
        <v>45238</v>
      </c>
      <c r="C63" s="23">
        <v>0.62361111111111112</v>
      </c>
      <c r="D63" s="31" t="s">
        <v>1947</v>
      </c>
      <c r="E63" s="32">
        <v>5615589545</v>
      </c>
      <c r="F63" s="32" t="s">
        <v>1947</v>
      </c>
      <c r="G63" s="32" t="s">
        <v>2530</v>
      </c>
      <c r="H63" s="39" t="s">
        <v>2531</v>
      </c>
      <c r="I63" s="122">
        <v>200</v>
      </c>
      <c r="J63" s="42">
        <v>105</v>
      </c>
      <c r="K63" s="20">
        <v>10</v>
      </c>
      <c r="L63" s="21"/>
      <c r="M63" s="21">
        <f t="shared" si="10"/>
        <v>115</v>
      </c>
      <c r="N63" s="21">
        <f t="shared" si="11"/>
        <v>85</v>
      </c>
      <c r="O63" s="21"/>
      <c r="P63" s="21"/>
      <c r="Q63" s="5"/>
      <c r="R63" s="16">
        <v>250</v>
      </c>
      <c r="S63" s="16"/>
      <c r="T63" s="21">
        <f t="shared" si="12"/>
        <v>250</v>
      </c>
      <c r="U63" s="16">
        <v>264.5</v>
      </c>
      <c r="V63" s="78">
        <f t="shared" si="13"/>
        <v>14.5</v>
      </c>
      <c r="W63" s="140"/>
      <c r="X63" s="334"/>
      <c r="Y63" s="5"/>
      <c r="AD63" s="16" t="s">
        <v>171</v>
      </c>
      <c r="AE63" s="18">
        <f>+AC63*500</f>
        <v>0</v>
      </c>
      <c r="AH63" s="16" t="s">
        <v>171</v>
      </c>
      <c r="AI63" s="18">
        <f>+AG63*500</f>
        <v>0</v>
      </c>
      <c r="AK63" s="16"/>
      <c r="AL63" s="16"/>
      <c r="AN63" s="16" t="s">
        <v>171</v>
      </c>
      <c r="AO63" s="18">
        <f>+AM63*500</f>
        <v>0</v>
      </c>
    </row>
    <row r="64" spans="1:41" x14ac:dyDescent="0.25">
      <c r="A64" s="143">
        <v>8</v>
      </c>
      <c r="B64" s="92">
        <v>45238</v>
      </c>
      <c r="C64" s="23">
        <v>0.66666666666666663</v>
      </c>
      <c r="D64" s="31" t="s">
        <v>1701</v>
      </c>
      <c r="E64" s="123">
        <v>5535831305</v>
      </c>
      <c r="F64" s="123" t="s">
        <v>52</v>
      </c>
      <c r="G64" s="123" t="s">
        <v>2532</v>
      </c>
      <c r="H64" s="39" t="s">
        <v>2533</v>
      </c>
      <c r="I64" s="122">
        <v>200</v>
      </c>
      <c r="J64" s="32">
        <v>59</v>
      </c>
      <c r="K64" s="20">
        <v>10</v>
      </c>
      <c r="L64" s="21"/>
      <c r="M64" s="21">
        <f t="shared" si="10"/>
        <v>69</v>
      </c>
      <c r="N64" s="21">
        <f t="shared" si="11"/>
        <v>131</v>
      </c>
      <c r="O64" s="21"/>
      <c r="P64" s="21"/>
      <c r="Q64" s="5"/>
      <c r="R64" s="16"/>
      <c r="S64" s="16"/>
      <c r="T64" s="21">
        <f t="shared" si="12"/>
        <v>0</v>
      </c>
      <c r="U64" s="16"/>
      <c r="V64" s="78">
        <f t="shared" si="13"/>
        <v>0</v>
      </c>
      <c r="W64" s="140"/>
      <c r="X64" s="334"/>
      <c r="Y64" s="5"/>
      <c r="AD64" s="16" t="s">
        <v>168</v>
      </c>
      <c r="AE64" s="18">
        <f>+AC64*1000</f>
        <v>0</v>
      </c>
      <c r="AH64" s="16" t="s">
        <v>168</v>
      </c>
      <c r="AI64" s="18">
        <f>+AG64*1000</f>
        <v>0</v>
      </c>
      <c r="AK64" s="16"/>
      <c r="AL64" s="16"/>
      <c r="AN64" s="16" t="s">
        <v>168</v>
      </c>
      <c r="AO64" s="18">
        <f>+AM64*1000</f>
        <v>0</v>
      </c>
    </row>
    <row r="65" spans="1:41" x14ac:dyDescent="0.25">
      <c r="A65" s="143">
        <v>9</v>
      </c>
      <c r="B65" s="92">
        <v>45238</v>
      </c>
      <c r="C65" s="23" t="s">
        <v>2534</v>
      </c>
      <c r="D65" s="31" t="s">
        <v>2535</v>
      </c>
      <c r="E65" s="32">
        <v>5611128220</v>
      </c>
      <c r="F65" s="32" t="s">
        <v>41</v>
      </c>
      <c r="G65" s="32" t="s">
        <v>2536</v>
      </c>
      <c r="H65" s="39" t="s">
        <v>2537</v>
      </c>
      <c r="I65" s="39">
        <v>300</v>
      </c>
      <c r="J65" s="40">
        <v>190</v>
      </c>
      <c r="K65" s="20">
        <v>10</v>
      </c>
      <c r="L65" s="21"/>
      <c r="M65" s="21">
        <f t="shared" si="10"/>
        <v>200</v>
      </c>
      <c r="N65" s="21">
        <f t="shared" si="11"/>
        <v>100</v>
      </c>
      <c r="O65" s="21"/>
      <c r="P65" s="21">
        <v>160</v>
      </c>
      <c r="Q65" s="5"/>
      <c r="R65" s="16"/>
      <c r="S65" s="16"/>
      <c r="T65" s="21">
        <f t="shared" si="12"/>
        <v>0</v>
      </c>
      <c r="U65" s="16"/>
      <c r="V65" s="78">
        <f t="shared" si="13"/>
        <v>160</v>
      </c>
      <c r="W65" s="140"/>
      <c r="X65" s="334"/>
      <c r="Y65" s="5"/>
      <c r="AD65" s="26"/>
      <c r="AE65" s="58"/>
      <c r="AH65" s="26"/>
      <c r="AI65" s="58"/>
      <c r="AK65" s="16"/>
      <c r="AL65" s="16"/>
      <c r="AN65" s="26"/>
      <c r="AO65" s="58"/>
    </row>
    <row r="66" spans="1:41" x14ac:dyDescent="0.25">
      <c r="A66" s="143">
        <v>10</v>
      </c>
      <c r="B66" s="92">
        <v>45238</v>
      </c>
      <c r="C66" s="23">
        <v>0.77430555555555547</v>
      </c>
      <c r="D66" s="31" t="s">
        <v>2538</v>
      </c>
      <c r="E66" s="32">
        <v>232323232</v>
      </c>
      <c r="F66" s="32" t="s">
        <v>41</v>
      </c>
      <c r="G66" s="32" t="s">
        <v>2540</v>
      </c>
      <c r="H66" s="39" t="s">
        <v>2539</v>
      </c>
      <c r="I66" s="122">
        <v>300</v>
      </c>
      <c r="J66" s="42">
        <v>30</v>
      </c>
      <c r="K66" s="20">
        <v>10</v>
      </c>
      <c r="L66" s="21"/>
      <c r="M66" s="21">
        <f t="shared" si="10"/>
        <v>40</v>
      </c>
      <c r="N66" s="21">
        <f t="shared" si="11"/>
        <v>260</v>
      </c>
      <c r="O66" s="21"/>
      <c r="P66" s="21"/>
      <c r="Q66" s="5"/>
      <c r="R66" s="16"/>
      <c r="S66" s="16"/>
      <c r="T66" s="21">
        <f t="shared" si="12"/>
        <v>0</v>
      </c>
      <c r="U66" s="16"/>
      <c r="V66" s="78">
        <f t="shared" si="13"/>
        <v>0</v>
      </c>
      <c r="W66" s="140"/>
      <c r="X66" s="334"/>
      <c r="Y66" s="5"/>
      <c r="AD66" s="16" t="s">
        <v>169</v>
      </c>
      <c r="AE66" s="18">
        <f>SUM(AE56:AE65)</f>
        <v>418</v>
      </c>
      <c r="AH66" s="16" t="s">
        <v>169</v>
      </c>
      <c r="AI66" s="18">
        <f>SUM(AI56:AI65)</f>
        <v>329</v>
      </c>
      <c r="AK66" s="16"/>
      <c r="AL66" s="16"/>
      <c r="AN66" s="16" t="s">
        <v>169</v>
      </c>
      <c r="AO66" s="18"/>
    </row>
    <row r="67" spans="1:41" x14ac:dyDescent="0.25">
      <c r="A67" s="143">
        <v>11</v>
      </c>
      <c r="B67" s="92">
        <v>45238</v>
      </c>
      <c r="C67" s="23">
        <v>0.33333333333333331</v>
      </c>
      <c r="D67" s="31" t="s">
        <v>1629</v>
      </c>
      <c r="E67" s="124">
        <v>5572135350</v>
      </c>
      <c r="F67" s="123" t="s">
        <v>1867</v>
      </c>
      <c r="G67" s="123" t="s">
        <v>2541</v>
      </c>
      <c r="H67" s="39" t="s">
        <v>2543</v>
      </c>
      <c r="I67" s="122">
        <v>270</v>
      </c>
      <c r="J67" s="42">
        <v>45</v>
      </c>
      <c r="K67" s="20">
        <v>15</v>
      </c>
      <c r="L67" s="21"/>
      <c r="M67" s="21">
        <f t="shared" si="10"/>
        <v>60</v>
      </c>
      <c r="N67" s="21">
        <f t="shared" si="11"/>
        <v>210</v>
      </c>
      <c r="O67" s="21"/>
      <c r="P67" s="21">
        <v>45</v>
      </c>
      <c r="Q67" s="5"/>
      <c r="R67" s="16"/>
      <c r="S67" s="16"/>
      <c r="T67" s="21">
        <f t="shared" si="12"/>
        <v>0</v>
      </c>
      <c r="U67" s="16"/>
      <c r="V67" s="78">
        <f t="shared" si="13"/>
        <v>45</v>
      </c>
      <c r="W67" s="140"/>
      <c r="X67" s="334"/>
      <c r="Y67" s="5"/>
      <c r="AK67" s="16"/>
      <c r="AL67" s="16"/>
      <c r="AN67" s="16"/>
      <c r="AO67" s="16"/>
    </row>
    <row r="68" spans="1:41" x14ac:dyDescent="0.25">
      <c r="A68" s="143">
        <v>12</v>
      </c>
      <c r="B68" s="92">
        <v>45238</v>
      </c>
      <c r="C68" s="23">
        <v>816</v>
      </c>
      <c r="D68" s="32" t="s">
        <v>627</v>
      </c>
      <c r="E68" s="32">
        <v>5537803548</v>
      </c>
      <c r="F68" s="124" t="s">
        <v>52</v>
      </c>
      <c r="G68" s="123" t="s">
        <v>2542</v>
      </c>
      <c r="H68" s="39" t="s">
        <v>2544</v>
      </c>
      <c r="I68" s="39">
        <v>270</v>
      </c>
      <c r="J68" s="42">
        <v>130</v>
      </c>
      <c r="K68" s="20">
        <v>18</v>
      </c>
      <c r="L68" s="21">
        <v>22</v>
      </c>
      <c r="M68" s="21">
        <f t="shared" si="10"/>
        <v>148</v>
      </c>
      <c r="N68" s="21">
        <f t="shared" si="11"/>
        <v>122</v>
      </c>
      <c r="O68" s="21">
        <v>170</v>
      </c>
      <c r="P68" s="21">
        <v>130</v>
      </c>
      <c r="Q68" s="5"/>
      <c r="R68" s="45"/>
      <c r="S68" s="44"/>
      <c r="T68" s="21">
        <f t="shared" si="12"/>
        <v>0</v>
      </c>
      <c r="U68" s="45"/>
      <c r="V68" s="78">
        <f t="shared" si="13"/>
        <v>300</v>
      </c>
      <c r="W68" s="140"/>
      <c r="X68" s="334"/>
      <c r="Y68" s="5"/>
      <c r="AK68" s="63" t="s">
        <v>169</v>
      </c>
      <c r="AL68" s="63">
        <f>+SUM(AK57:AK67)-SUM(AL57:AL67)</f>
        <v>0</v>
      </c>
      <c r="AN68" s="63" t="s">
        <v>169</v>
      </c>
      <c r="AO68" s="85">
        <f>+SUM(AN56:AN67)-SUM(AO57:AO67)</f>
        <v>0</v>
      </c>
    </row>
    <row r="69" spans="1:41" x14ac:dyDescent="0.25">
      <c r="A69" s="143">
        <v>13</v>
      </c>
      <c r="B69" s="248">
        <v>45238</v>
      </c>
      <c r="C69" s="249" t="s">
        <v>2550</v>
      </c>
      <c r="D69" s="155" t="s">
        <v>2549</v>
      </c>
      <c r="E69" s="143">
        <v>5550125009</v>
      </c>
      <c r="F69" s="143"/>
      <c r="G69" s="143" t="s">
        <v>2546</v>
      </c>
      <c r="H69" s="156" t="s">
        <v>2545</v>
      </c>
      <c r="I69" s="156"/>
      <c r="J69" s="156">
        <v>85</v>
      </c>
      <c r="K69" s="250">
        <v>10</v>
      </c>
      <c r="L69" s="66"/>
      <c r="M69" s="66">
        <f t="shared" si="10"/>
        <v>95</v>
      </c>
      <c r="N69" s="66">
        <f t="shared" si="11"/>
        <v>-95</v>
      </c>
      <c r="O69" s="66"/>
      <c r="P69" s="66">
        <v>67</v>
      </c>
      <c r="Q69" s="5"/>
      <c r="R69" s="43"/>
      <c r="S69" s="32"/>
      <c r="T69" s="21">
        <f t="shared" si="12"/>
        <v>0</v>
      </c>
      <c r="U69" s="43"/>
      <c r="V69" s="78">
        <f t="shared" si="13"/>
        <v>67</v>
      </c>
      <c r="W69" s="140"/>
      <c r="X69" s="334"/>
      <c r="Y69" s="5"/>
      <c r="AI69" s="83"/>
    </row>
    <row r="70" spans="1:41" x14ac:dyDescent="0.25">
      <c r="A70" s="143">
        <v>14</v>
      </c>
      <c r="B70" s="92">
        <v>45238</v>
      </c>
      <c r="C70" s="23" t="s">
        <v>2548</v>
      </c>
      <c r="D70" s="31" t="s">
        <v>1518</v>
      </c>
      <c r="E70" s="32"/>
      <c r="F70" s="32" t="s">
        <v>52</v>
      </c>
      <c r="G70" s="32" t="s">
        <v>1689</v>
      </c>
      <c r="H70" s="39" t="s">
        <v>2547</v>
      </c>
      <c r="I70" s="39"/>
      <c r="J70" s="42">
        <v>119</v>
      </c>
      <c r="K70" s="108">
        <v>10</v>
      </c>
      <c r="L70" s="21">
        <v>10</v>
      </c>
      <c r="M70" s="21">
        <f t="shared" si="10"/>
        <v>129</v>
      </c>
      <c r="N70" s="21">
        <f t="shared" si="11"/>
        <v>-129</v>
      </c>
      <c r="O70" s="21"/>
      <c r="P70" s="21">
        <v>119</v>
      </c>
      <c r="Q70" s="5"/>
      <c r="R70" s="43">
        <v>200</v>
      </c>
      <c r="S70" s="43"/>
      <c r="T70" s="21">
        <f t="shared" si="12"/>
        <v>200</v>
      </c>
      <c r="U70" s="43">
        <v>210</v>
      </c>
      <c r="V70" s="78">
        <f t="shared" si="13"/>
        <v>129</v>
      </c>
      <c r="W70" s="140"/>
      <c r="X70" s="334"/>
      <c r="Y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1:41" x14ac:dyDescent="0.25">
      <c r="A71" s="143">
        <v>15</v>
      </c>
      <c r="B71" s="92">
        <v>45238</v>
      </c>
      <c r="C71" s="23" t="s">
        <v>2551</v>
      </c>
      <c r="D71" s="23" t="s">
        <v>765</v>
      </c>
      <c r="E71" s="32">
        <v>5537803548</v>
      </c>
      <c r="F71" s="124" t="s">
        <v>52</v>
      </c>
      <c r="G71" s="128" t="s">
        <v>1667</v>
      </c>
      <c r="H71" s="129" t="s">
        <v>2552</v>
      </c>
      <c r="I71" s="39"/>
      <c r="J71" s="42">
        <v>300</v>
      </c>
      <c r="K71" s="108">
        <v>15</v>
      </c>
      <c r="L71" s="21">
        <v>20</v>
      </c>
      <c r="M71" s="21">
        <f t="shared" si="10"/>
        <v>315</v>
      </c>
      <c r="N71" s="21">
        <f t="shared" si="11"/>
        <v>-315</v>
      </c>
      <c r="O71" s="21">
        <v>330</v>
      </c>
      <c r="P71" s="21">
        <v>300</v>
      </c>
      <c r="Q71" s="5"/>
      <c r="R71" s="43">
        <v>300</v>
      </c>
      <c r="S71" s="43"/>
      <c r="T71" s="21">
        <f t="shared" si="12"/>
        <v>300</v>
      </c>
      <c r="U71" s="43">
        <v>330</v>
      </c>
      <c r="V71" s="78">
        <v>30</v>
      </c>
      <c r="W71" s="140"/>
      <c r="X71" s="334"/>
      <c r="Y71" s="5"/>
      <c r="AD71" s="5"/>
      <c r="AE71" s="134" t="s">
        <v>20</v>
      </c>
      <c r="AF71" s="338">
        <v>34.5</v>
      </c>
      <c r="AG71" s="341" t="s">
        <v>686</v>
      </c>
      <c r="AH71" s="134" t="s">
        <v>20</v>
      </c>
      <c r="AI71" s="338"/>
      <c r="AJ71" s="341" t="s">
        <v>687</v>
      </c>
      <c r="AK71" s="134" t="s">
        <v>20</v>
      </c>
      <c r="AL71" s="338"/>
      <c r="AM71" s="5"/>
    </row>
    <row r="72" spans="1:41" x14ac:dyDescent="0.25">
      <c r="A72" s="143">
        <v>16</v>
      </c>
      <c r="B72" s="92">
        <v>45238</v>
      </c>
      <c r="C72" s="23">
        <v>0.43055555555555558</v>
      </c>
      <c r="D72" s="127" t="s">
        <v>478</v>
      </c>
      <c r="E72" s="32">
        <v>5618718638</v>
      </c>
      <c r="F72" s="32" t="s">
        <v>52</v>
      </c>
      <c r="G72" s="32" t="s">
        <v>197</v>
      </c>
      <c r="H72" s="39" t="s">
        <v>2553</v>
      </c>
      <c r="I72" s="39"/>
      <c r="J72" s="42">
        <v>99</v>
      </c>
      <c r="K72" s="43">
        <v>12</v>
      </c>
      <c r="L72" s="21">
        <v>10</v>
      </c>
      <c r="M72" s="21">
        <f t="shared" si="10"/>
        <v>111</v>
      </c>
      <c r="N72" s="21">
        <f t="shared" si="11"/>
        <v>-111</v>
      </c>
      <c r="O72" s="21"/>
      <c r="P72" s="21">
        <v>99</v>
      </c>
      <c r="Q72" s="5"/>
      <c r="R72" s="43">
        <v>100</v>
      </c>
      <c r="S72" s="32"/>
      <c r="T72" s="21">
        <f t="shared" si="12"/>
        <v>100</v>
      </c>
      <c r="U72" s="131">
        <v>120</v>
      </c>
      <c r="V72" s="78">
        <v>20</v>
      </c>
      <c r="W72" s="140"/>
      <c r="X72" s="334"/>
      <c r="Y72" s="5"/>
      <c r="AD72" s="5" t="s">
        <v>685</v>
      </c>
      <c r="AE72" s="115" t="s">
        <v>684</v>
      </c>
      <c r="AF72" s="339"/>
      <c r="AG72" s="341"/>
      <c r="AH72" s="115" t="s">
        <v>684</v>
      </c>
      <c r="AI72" s="339"/>
      <c r="AJ72" s="341"/>
      <c r="AK72" s="115" t="s">
        <v>684</v>
      </c>
      <c r="AL72" s="339"/>
      <c r="AM72" s="5"/>
    </row>
    <row r="73" spans="1:41" x14ac:dyDescent="0.25">
      <c r="A73" s="143">
        <v>17</v>
      </c>
      <c r="B73" s="92">
        <v>45238</v>
      </c>
      <c r="C73" s="23"/>
      <c r="D73" s="31"/>
      <c r="E73" s="32"/>
      <c r="F73" s="32"/>
      <c r="G73" s="32"/>
      <c r="H73" s="39"/>
      <c r="I73" s="39"/>
      <c r="J73" s="42"/>
      <c r="K73" s="43">
        <v>10</v>
      </c>
      <c r="L73" s="21"/>
      <c r="M73" s="21">
        <f t="shared" si="10"/>
        <v>10</v>
      </c>
      <c r="N73" s="21">
        <f t="shared" si="11"/>
        <v>-10</v>
      </c>
      <c r="O73" s="21"/>
      <c r="P73" s="21"/>
      <c r="Q73" s="5"/>
      <c r="R73" s="43"/>
      <c r="S73" s="32"/>
      <c r="T73" s="21">
        <f t="shared" si="12"/>
        <v>0</v>
      </c>
      <c r="U73" s="132"/>
      <c r="V73" s="78">
        <f t="shared" si="13"/>
        <v>0</v>
      </c>
      <c r="W73" s="140"/>
      <c r="X73" s="340"/>
      <c r="Y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1:41" x14ac:dyDescent="0.25">
      <c r="A74" s="143">
        <v>18</v>
      </c>
      <c r="B74" s="92">
        <v>45238</v>
      </c>
      <c r="C74" s="32"/>
      <c r="D74" s="31"/>
      <c r="E74" s="32"/>
      <c r="F74" s="32"/>
      <c r="G74" s="32"/>
      <c r="H74" s="39"/>
      <c r="I74" s="39"/>
      <c r="J74" s="42"/>
      <c r="K74" s="43">
        <v>10</v>
      </c>
      <c r="L74" s="21"/>
      <c r="M74" s="21">
        <f t="shared" si="10"/>
        <v>10</v>
      </c>
      <c r="N74" s="21">
        <f t="shared" si="11"/>
        <v>-10</v>
      </c>
      <c r="O74" s="21"/>
      <c r="P74" s="21"/>
      <c r="Q74" s="5"/>
      <c r="R74" s="135"/>
      <c r="S74" s="104"/>
      <c r="T74" s="21">
        <f t="shared" si="12"/>
        <v>0</v>
      </c>
      <c r="U74" s="131"/>
      <c r="V74" s="78">
        <f t="shared" si="13"/>
        <v>0</v>
      </c>
      <c r="W74" s="140"/>
      <c r="Y74" s="5"/>
    </row>
    <row r="75" spans="1:41" x14ac:dyDescent="0.25">
      <c r="A75" s="143">
        <v>19</v>
      </c>
      <c r="B75" s="92">
        <v>45238</v>
      </c>
      <c r="C75" s="32"/>
      <c r="D75" s="31"/>
      <c r="E75" s="32"/>
      <c r="F75" s="32"/>
      <c r="G75" s="32"/>
      <c r="H75" s="39"/>
      <c r="I75" s="39"/>
      <c r="J75" s="42"/>
      <c r="K75" s="43">
        <v>10</v>
      </c>
      <c r="L75" s="21"/>
      <c r="M75" s="21">
        <f t="shared" si="10"/>
        <v>10</v>
      </c>
      <c r="N75" s="21">
        <f t="shared" si="11"/>
        <v>-10</v>
      </c>
      <c r="O75" s="21"/>
      <c r="P75" s="21"/>
      <c r="Q75" s="5"/>
      <c r="R75" s="32"/>
      <c r="S75" s="32"/>
      <c r="T75" s="21">
        <f t="shared" si="12"/>
        <v>0</v>
      </c>
      <c r="U75" s="32"/>
      <c r="V75" s="78">
        <f t="shared" si="13"/>
        <v>0</v>
      </c>
      <c r="W75" s="140"/>
      <c r="Y75" s="5"/>
    </row>
    <row r="76" spans="1:4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141"/>
      <c r="X76" s="5"/>
      <c r="Y76" s="5"/>
    </row>
    <row r="79" spans="1:41" x14ac:dyDescent="0.25">
      <c r="N79" s="83">
        <f>+SUM(K87:L91)</f>
        <v>105</v>
      </c>
    </row>
    <row r="82" spans="1:41" x14ac:dyDescent="0.25">
      <c r="A82" s="1" t="s">
        <v>0</v>
      </c>
      <c r="B82" s="1"/>
      <c r="C82" s="1"/>
      <c r="D82" s="1"/>
      <c r="E82" s="1"/>
      <c r="F82" s="1"/>
      <c r="G82" s="1"/>
      <c r="H82" s="1"/>
      <c r="I82" s="1"/>
      <c r="J82" s="1" t="s">
        <v>148</v>
      </c>
      <c r="K82" s="1"/>
      <c r="L82" s="1"/>
      <c r="M82" s="1"/>
      <c r="N82" s="1"/>
      <c r="O82" s="1"/>
      <c r="P82" s="1"/>
      <c r="Q82" s="1"/>
      <c r="R82" s="1"/>
      <c r="S82" s="1"/>
      <c r="T82" s="342" t="s">
        <v>1</v>
      </c>
      <c r="U82" s="342"/>
      <c r="V82" s="5"/>
      <c r="W82" s="139"/>
      <c r="X82" s="1"/>
      <c r="Y82" s="5"/>
      <c r="AD82" s="335" t="s">
        <v>160</v>
      </c>
      <c r="AE82" s="336"/>
      <c r="AH82" s="335" t="s">
        <v>170</v>
      </c>
      <c r="AI82" s="336"/>
      <c r="AK82" s="337" t="s">
        <v>172</v>
      </c>
      <c r="AL82" s="337"/>
      <c r="AN82" s="337" t="s">
        <v>681</v>
      </c>
      <c r="AO82" s="337"/>
    </row>
    <row r="83" spans="1:41" ht="90" x14ac:dyDescent="0.25">
      <c r="A83" s="6" t="s">
        <v>2</v>
      </c>
      <c r="B83" s="7" t="s">
        <v>3</v>
      </c>
      <c r="C83" s="245" t="s">
        <v>688</v>
      </c>
      <c r="D83" s="7" t="s">
        <v>4</v>
      </c>
      <c r="E83" s="6" t="s">
        <v>5</v>
      </c>
      <c r="F83" s="6" t="s">
        <v>6</v>
      </c>
      <c r="G83" s="6" t="s">
        <v>7</v>
      </c>
      <c r="H83" s="6" t="s">
        <v>8</v>
      </c>
      <c r="I83" s="8" t="s">
        <v>9</v>
      </c>
      <c r="J83" s="9" t="s">
        <v>10</v>
      </c>
      <c r="K83" s="8" t="s">
        <v>11</v>
      </c>
      <c r="L83" s="10" t="s">
        <v>12</v>
      </c>
      <c r="M83" s="10" t="s">
        <v>13</v>
      </c>
      <c r="N83" s="11" t="s">
        <v>14</v>
      </c>
      <c r="O83" s="10" t="s">
        <v>691</v>
      </c>
      <c r="P83" s="10" t="s">
        <v>28</v>
      </c>
      <c r="Q83" s="5"/>
      <c r="R83" s="10" t="s">
        <v>16</v>
      </c>
      <c r="S83" s="10" t="s">
        <v>17</v>
      </c>
      <c r="T83" s="10" t="s">
        <v>18</v>
      </c>
      <c r="U83" s="10" t="s">
        <v>19</v>
      </c>
      <c r="V83" s="10" t="s">
        <v>20</v>
      </c>
      <c r="W83" s="13"/>
      <c r="X83" s="15" t="s">
        <v>23</v>
      </c>
      <c r="Y83" s="5"/>
      <c r="AA83" s="252" t="s">
        <v>2555</v>
      </c>
      <c r="AB83" s="83"/>
      <c r="AC83">
        <v>2</v>
      </c>
      <c r="AD83" s="16" t="s">
        <v>161</v>
      </c>
      <c r="AE83" s="58">
        <f>+AC83*10</f>
        <v>20</v>
      </c>
      <c r="AG83">
        <v>11</v>
      </c>
      <c r="AH83" s="16" t="s">
        <v>161</v>
      </c>
      <c r="AI83" s="58">
        <f>+AG83*10</f>
        <v>110</v>
      </c>
      <c r="AK83" s="61" t="s">
        <v>173</v>
      </c>
      <c r="AL83" s="62" t="s">
        <v>174</v>
      </c>
      <c r="AN83" s="16" t="s">
        <v>161</v>
      </c>
      <c r="AO83" s="58">
        <f>+AM83*10</f>
        <v>0</v>
      </c>
    </row>
    <row r="84" spans="1:41" x14ac:dyDescent="0.25">
      <c r="A84" s="16">
        <v>1</v>
      </c>
      <c r="B84" s="92">
        <v>45239</v>
      </c>
      <c r="C84" s="23">
        <v>0.45833333333333331</v>
      </c>
      <c r="D84" s="23" t="s">
        <v>1003</v>
      </c>
      <c r="E84" s="32">
        <v>5554180418</v>
      </c>
      <c r="F84" s="32" t="s">
        <v>2339</v>
      </c>
      <c r="G84" s="39" t="s">
        <v>2557</v>
      </c>
      <c r="H84" s="39" t="s">
        <v>2559</v>
      </c>
      <c r="I84" s="122">
        <v>500</v>
      </c>
      <c r="J84" s="32">
        <v>100</v>
      </c>
      <c r="K84" s="20">
        <v>20</v>
      </c>
      <c r="L84" s="21">
        <v>10</v>
      </c>
      <c r="M84" s="21">
        <f t="shared" ref="M84:M102" si="14">+J84+K84</f>
        <v>120</v>
      </c>
      <c r="N84" s="21">
        <f t="shared" ref="N84:N102" si="15">+I84-M84</f>
        <v>380</v>
      </c>
      <c r="O84" s="21"/>
      <c r="P84" s="21"/>
      <c r="Q84" s="5"/>
      <c r="R84" s="21">
        <v>500</v>
      </c>
      <c r="S84" s="16"/>
      <c r="T84" s="21">
        <f t="shared" ref="T84:T102" si="16">+R84+S84</f>
        <v>500</v>
      </c>
      <c r="U84" s="21">
        <v>530</v>
      </c>
      <c r="V84" s="78">
        <f>+U84-T84+O84+P84</f>
        <v>30</v>
      </c>
      <c r="W84" s="13"/>
      <c r="X84" s="333"/>
      <c r="Y84" s="5"/>
      <c r="AC84">
        <v>62.5</v>
      </c>
      <c r="AD84" s="59" t="s">
        <v>162</v>
      </c>
      <c r="AE84" s="18">
        <f>+AC84*1</f>
        <v>62.5</v>
      </c>
      <c r="AG84">
        <v>70</v>
      </c>
      <c r="AH84" s="59" t="s">
        <v>162</v>
      </c>
      <c r="AI84" s="18">
        <f>+AG84*1</f>
        <v>70</v>
      </c>
      <c r="AK84" s="16" t="s">
        <v>2593</v>
      </c>
      <c r="AL84" s="16"/>
      <c r="AN84" s="59" t="s">
        <v>162</v>
      </c>
      <c r="AO84" s="18">
        <f>+AM84*1</f>
        <v>0</v>
      </c>
    </row>
    <row r="85" spans="1:41" x14ac:dyDescent="0.25">
      <c r="A85" s="26">
        <v>2</v>
      </c>
      <c r="B85" s="92">
        <v>45239</v>
      </c>
      <c r="C85" s="23">
        <v>0.46111111111111108</v>
      </c>
      <c r="D85" s="23" t="s">
        <v>2556</v>
      </c>
      <c r="E85" s="32">
        <v>5615394688</v>
      </c>
      <c r="F85" s="32" t="s">
        <v>485</v>
      </c>
      <c r="G85" s="32" t="s">
        <v>2558</v>
      </c>
      <c r="H85" s="39" t="s">
        <v>2560</v>
      </c>
      <c r="I85" s="122">
        <v>69</v>
      </c>
      <c r="J85" s="32">
        <v>59</v>
      </c>
      <c r="K85" s="20">
        <v>10</v>
      </c>
      <c r="L85" s="21">
        <v>10</v>
      </c>
      <c r="M85" s="21">
        <f t="shared" si="14"/>
        <v>69</v>
      </c>
      <c r="N85" s="21">
        <f t="shared" si="15"/>
        <v>0</v>
      </c>
      <c r="O85" s="21">
        <v>69</v>
      </c>
      <c r="P85" s="21"/>
      <c r="Q85" s="5"/>
      <c r="R85" s="21"/>
      <c r="S85" s="16"/>
      <c r="T85" s="21">
        <f t="shared" si="16"/>
        <v>0</v>
      </c>
      <c r="U85" s="21">
        <v>20</v>
      </c>
      <c r="V85" s="78">
        <f>+U85-T85</f>
        <v>20</v>
      </c>
      <c r="W85" s="140"/>
      <c r="X85" s="334"/>
      <c r="Y85" s="5"/>
      <c r="AA85" s="83">
        <f>+AE94-AI66</f>
        <v>-1.5</v>
      </c>
      <c r="AC85">
        <v>19</v>
      </c>
      <c r="AD85" s="16" t="s">
        <v>163</v>
      </c>
      <c r="AE85" s="60">
        <f>+AC85*5</f>
        <v>95</v>
      </c>
      <c r="AG85">
        <v>28</v>
      </c>
      <c r="AH85" s="16" t="s">
        <v>163</v>
      </c>
      <c r="AI85" s="60">
        <f>+AG85*5</f>
        <v>140</v>
      </c>
      <c r="AK85" s="16"/>
      <c r="AL85" s="16"/>
      <c r="AN85" s="16" t="s">
        <v>163</v>
      </c>
      <c r="AO85" s="60">
        <f>+AM85*5</f>
        <v>0</v>
      </c>
    </row>
    <row r="86" spans="1:41" x14ac:dyDescent="0.25">
      <c r="A86" s="143">
        <v>3</v>
      </c>
      <c r="B86" s="92">
        <v>45239</v>
      </c>
      <c r="C86" s="23">
        <v>0.47430555555555554</v>
      </c>
      <c r="D86" s="31" t="s">
        <v>916</v>
      </c>
      <c r="E86" s="32">
        <v>5516609716</v>
      </c>
      <c r="F86" s="32" t="s">
        <v>28</v>
      </c>
      <c r="G86" s="32" t="s">
        <v>918</v>
      </c>
      <c r="H86" s="39" t="s">
        <v>2561</v>
      </c>
      <c r="I86" s="122">
        <v>82</v>
      </c>
      <c r="J86" s="32">
        <v>62</v>
      </c>
      <c r="K86" s="20">
        <v>10</v>
      </c>
      <c r="L86" s="21">
        <v>10</v>
      </c>
      <c r="M86" s="21">
        <f t="shared" si="14"/>
        <v>72</v>
      </c>
      <c r="N86" s="21">
        <f t="shared" si="15"/>
        <v>10</v>
      </c>
      <c r="O86" s="21"/>
      <c r="P86" s="21"/>
      <c r="Q86" s="5"/>
      <c r="R86" s="21">
        <v>450</v>
      </c>
      <c r="S86" s="16"/>
      <c r="T86" s="21">
        <f t="shared" si="16"/>
        <v>450</v>
      </c>
      <c r="U86" s="21">
        <v>470</v>
      </c>
      <c r="V86" s="78">
        <f t="shared" ref="V86:V102" si="17">+U86-T86+O86+P86</f>
        <v>20</v>
      </c>
      <c r="W86" s="140"/>
      <c r="X86" s="334"/>
      <c r="Y86" s="5"/>
      <c r="AD86" s="16" t="s">
        <v>164</v>
      </c>
      <c r="AE86" s="18">
        <f>+AC86*200</f>
        <v>0</v>
      </c>
      <c r="AH86" s="16" t="s">
        <v>164</v>
      </c>
      <c r="AI86" s="18">
        <f>+AG86*200</f>
        <v>0</v>
      </c>
      <c r="AK86" s="16"/>
      <c r="AL86" s="16"/>
      <c r="AN86" s="16" t="s">
        <v>164</v>
      </c>
      <c r="AO86" s="18">
        <f>+AM86*200</f>
        <v>0</v>
      </c>
    </row>
    <row r="87" spans="1:41" x14ac:dyDescent="0.25">
      <c r="A87" s="143">
        <v>4</v>
      </c>
      <c r="B87" s="92">
        <v>45239</v>
      </c>
      <c r="C87" s="23">
        <v>0.5</v>
      </c>
      <c r="D87" s="31" t="s">
        <v>2562</v>
      </c>
      <c r="E87" s="32">
        <v>5585668921</v>
      </c>
      <c r="F87" s="32" t="s">
        <v>2563</v>
      </c>
      <c r="G87" s="32" t="s">
        <v>2564</v>
      </c>
      <c r="H87" s="39" t="s">
        <v>2565</v>
      </c>
      <c r="I87" s="122">
        <v>500</v>
      </c>
      <c r="J87" s="32">
        <v>236</v>
      </c>
      <c r="K87" s="20">
        <v>20</v>
      </c>
      <c r="L87" s="21">
        <v>10</v>
      </c>
      <c r="M87" s="21">
        <f t="shared" si="14"/>
        <v>256</v>
      </c>
      <c r="N87" s="21">
        <f t="shared" si="15"/>
        <v>244</v>
      </c>
      <c r="O87" s="21"/>
      <c r="P87" s="21"/>
      <c r="Q87" s="5"/>
      <c r="R87" s="21">
        <v>500</v>
      </c>
      <c r="S87" s="16"/>
      <c r="T87" s="21">
        <f t="shared" si="16"/>
        <v>500</v>
      </c>
      <c r="U87" s="21">
        <v>530</v>
      </c>
      <c r="V87" s="78">
        <f t="shared" si="17"/>
        <v>30</v>
      </c>
      <c r="W87" s="140"/>
      <c r="X87" s="334"/>
      <c r="Y87" s="5"/>
      <c r="AC87">
        <v>1</v>
      </c>
      <c r="AD87" s="16" t="s">
        <v>165</v>
      </c>
      <c r="AE87" s="18">
        <f>+AC87*100</f>
        <v>100</v>
      </c>
      <c r="AH87" s="16" t="s">
        <v>165</v>
      </c>
      <c r="AI87" s="18">
        <f>+AG87*100</f>
        <v>0</v>
      </c>
      <c r="AK87" s="16"/>
      <c r="AL87" s="16"/>
      <c r="AN87" s="16" t="s">
        <v>165</v>
      </c>
      <c r="AO87" s="18">
        <f>+AM87*100</f>
        <v>0</v>
      </c>
    </row>
    <row r="88" spans="1:41" x14ac:dyDescent="0.25">
      <c r="A88" s="143">
        <v>5</v>
      </c>
      <c r="B88" s="92">
        <v>45239</v>
      </c>
      <c r="C88" s="23">
        <v>0.5131944444444444</v>
      </c>
      <c r="D88" s="31" t="s">
        <v>741</v>
      </c>
      <c r="E88" s="32">
        <v>9531286830</v>
      </c>
      <c r="F88" s="32" t="s">
        <v>2339</v>
      </c>
      <c r="G88" s="32" t="s">
        <v>2568</v>
      </c>
      <c r="H88" s="32" t="s">
        <v>2569</v>
      </c>
      <c r="I88" s="122">
        <v>118</v>
      </c>
      <c r="J88" s="32">
        <v>108</v>
      </c>
      <c r="K88" s="20">
        <v>10</v>
      </c>
      <c r="L88" s="21"/>
      <c r="M88" s="21">
        <f t="shared" si="14"/>
        <v>118</v>
      </c>
      <c r="N88" s="21">
        <f t="shared" si="15"/>
        <v>0</v>
      </c>
      <c r="O88" s="21"/>
      <c r="P88" s="21"/>
      <c r="Q88" s="5"/>
      <c r="R88" s="16"/>
      <c r="S88" s="16"/>
      <c r="T88" s="21">
        <f t="shared" si="16"/>
        <v>0</v>
      </c>
      <c r="U88" s="21">
        <v>10</v>
      </c>
      <c r="V88" s="78">
        <f t="shared" si="17"/>
        <v>10</v>
      </c>
      <c r="W88" s="140"/>
      <c r="X88" s="334"/>
      <c r="Y88" s="5"/>
      <c r="AC88">
        <v>1</v>
      </c>
      <c r="AD88" s="16" t="s">
        <v>166</v>
      </c>
      <c r="AE88" s="18">
        <f>+AC88*50</f>
        <v>50</v>
      </c>
      <c r="AH88" s="16" t="s">
        <v>166</v>
      </c>
      <c r="AI88" s="18">
        <f>+AG88*50</f>
        <v>0</v>
      </c>
      <c r="AK88" s="16"/>
      <c r="AL88" s="16"/>
      <c r="AN88" s="16" t="s">
        <v>166</v>
      </c>
      <c r="AO88" s="18">
        <f>+AM88*50</f>
        <v>0</v>
      </c>
    </row>
    <row r="89" spans="1:41" x14ac:dyDescent="0.25">
      <c r="A89" s="143">
        <v>6</v>
      </c>
      <c r="B89" s="92">
        <v>45239</v>
      </c>
      <c r="C89" s="23">
        <v>0.52152777777777781</v>
      </c>
      <c r="D89" s="31" t="s">
        <v>2577</v>
      </c>
      <c r="E89" s="32">
        <v>5613476389</v>
      </c>
      <c r="F89" s="32" t="s">
        <v>31</v>
      </c>
      <c r="G89" s="32" t="s">
        <v>2520</v>
      </c>
      <c r="H89" s="39" t="s">
        <v>2574</v>
      </c>
      <c r="I89" s="39">
        <v>117</v>
      </c>
      <c r="J89" s="42">
        <v>97</v>
      </c>
      <c r="K89" s="20">
        <v>10</v>
      </c>
      <c r="L89" s="21">
        <v>10</v>
      </c>
      <c r="M89" s="21">
        <f t="shared" si="14"/>
        <v>107</v>
      </c>
      <c r="N89" s="21">
        <f t="shared" si="15"/>
        <v>10</v>
      </c>
      <c r="O89" s="21"/>
      <c r="P89" s="21"/>
      <c r="Q89" s="5"/>
      <c r="R89" s="16"/>
      <c r="S89" s="16"/>
      <c r="T89" s="21">
        <f t="shared" si="16"/>
        <v>0</v>
      </c>
      <c r="U89" s="16">
        <v>15</v>
      </c>
      <c r="V89" s="78">
        <f t="shared" si="17"/>
        <v>15</v>
      </c>
      <c r="W89" s="140"/>
      <c r="X89" s="334"/>
      <c r="Y89" s="5"/>
      <c r="AD89" s="16" t="s">
        <v>167</v>
      </c>
      <c r="AE89" s="18">
        <f>+AC89*20</f>
        <v>0</v>
      </c>
      <c r="AG89">
        <v>2</v>
      </c>
      <c r="AH89" s="16" t="s">
        <v>167</v>
      </c>
      <c r="AI89" s="18">
        <f>+AG89*20</f>
        <v>40</v>
      </c>
      <c r="AK89" s="16"/>
      <c r="AL89" s="16"/>
      <c r="AN89" s="16" t="s">
        <v>167</v>
      </c>
      <c r="AO89" s="18">
        <f>+AM89*20</f>
        <v>0</v>
      </c>
    </row>
    <row r="90" spans="1:41" x14ac:dyDescent="0.25">
      <c r="A90" s="143">
        <v>7</v>
      </c>
      <c r="B90" s="92">
        <v>45239</v>
      </c>
      <c r="C90" s="23">
        <v>0.56736111111111109</v>
      </c>
      <c r="D90" s="31" t="s">
        <v>2566</v>
      </c>
      <c r="E90" s="32">
        <v>5536801894</v>
      </c>
      <c r="F90" s="32" t="s">
        <v>106</v>
      </c>
      <c r="G90" s="32" t="s">
        <v>2570</v>
      </c>
      <c r="H90" s="39" t="s">
        <v>2571</v>
      </c>
      <c r="I90" s="39">
        <v>35</v>
      </c>
      <c r="J90" s="42">
        <v>20</v>
      </c>
      <c r="K90" s="20">
        <v>10</v>
      </c>
      <c r="L90" s="21">
        <v>5</v>
      </c>
      <c r="M90" s="21">
        <f t="shared" si="14"/>
        <v>30</v>
      </c>
      <c r="N90" s="21">
        <f t="shared" si="15"/>
        <v>5</v>
      </c>
      <c r="O90" s="21"/>
      <c r="P90" s="21"/>
      <c r="Q90" s="5"/>
      <c r="R90" s="16"/>
      <c r="S90" s="16"/>
      <c r="T90" s="21">
        <f t="shared" si="16"/>
        <v>0</v>
      </c>
      <c r="U90" s="16">
        <v>30</v>
      </c>
      <c r="V90" s="78">
        <f t="shared" si="17"/>
        <v>30</v>
      </c>
      <c r="W90" s="140"/>
      <c r="X90" s="334"/>
      <c r="Y90" s="5"/>
      <c r="AD90" s="16" t="s">
        <v>171</v>
      </c>
      <c r="AE90" s="18">
        <f>+AC90*500</f>
        <v>0</v>
      </c>
      <c r="AH90" s="16" t="s">
        <v>171</v>
      </c>
      <c r="AI90" s="18">
        <f>+AG90*500</f>
        <v>0</v>
      </c>
      <c r="AK90" s="16"/>
      <c r="AL90" s="16"/>
      <c r="AN90" s="16" t="s">
        <v>171</v>
      </c>
      <c r="AO90" s="18">
        <f>+AM90*500</f>
        <v>0</v>
      </c>
    </row>
    <row r="91" spans="1:41" x14ac:dyDescent="0.25">
      <c r="A91" s="41">
        <v>8</v>
      </c>
      <c r="B91" s="92">
        <v>45239</v>
      </c>
      <c r="C91" s="23">
        <v>0.60763888888888895</v>
      </c>
      <c r="D91" s="31" t="s">
        <v>2567</v>
      </c>
      <c r="E91" s="32">
        <v>5553181586</v>
      </c>
      <c r="F91" s="32" t="s">
        <v>788</v>
      </c>
      <c r="G91" s="32" t="s">
        <v>2572</v>
      </c>
      <c r="H91" s="39" t="s">
        <v>2573</v>
      </c>
      <c r="I91" s="122">
        <v>200</v>
      </c>
      <c r="J91" s="42">
        <v>170</v>
      </c>
      <c r="K91" s="20">
        <v>10</v>
      </c>
      <c r="L91" s="21">
        <v>20</v>
      </c>
      <c r="M91" s="21">
        <f t="shared" si="14"/>
        <v>180</v>
      </c>
      <c r="N91" s="21">
        <f t="shared" si="15"/>
        <v>20</v>
      </c>
      <c r="O91" s="21"/>
      <c r="P91" s="21"/>
      <c r="Q91" s="5"/>
      <c r="R91" s="16"/>
      <c r="S91" s="16"/>
      <c r="T91" s="21">
        <f t="shared" si="16"/>
        <v>0</v>
      </c>
      <c r="U91" s="16">
        <v>30</v>
      </c>
      <c r="V91" s="78">
        <f t="shared" si="17"/>
        <v>30</v>
      </c>
      <c r="W91" s="140"/>
      <c r="X91" s="334"/>
      <c r="Y91" s="5"/>
      <c r="AD91" s="16" t="s">
        <v>168</v>
      </c>
      <c r="AE91" s="18">
        <f>+AC91*1000</f>
        <v>0</v>
      </c>
      <c r="AH91" s="16" t="s">
        <v>168</v>
      </c>
      <c r="AI91" s="18">
        <f>+AG91*1000</f>
        <v>0</v>
      </c>
      <c r="AK91" s="16"/>
      <c r="AL91" s="16"/>
      <c r="AN91" s="16" t="s">
        <v>168</v>
      </c>
      <c r="AO91" s="18">
        <f>+AM91*1000</f>
        <v>0</v>
      </c>
    </row>
    <row r="92" spans="1:41" x14ac:dyDescent="0.25">
      <c r="A92" s="143">
        <v>9</v>
      </c>
      <c r="B92" s="92">
        <v>45239</v>
      </c>
      <c r="C92" s="23">
        <v>0.64652777777777781</v>
      </c>
      <c r="D92" s="31" t="s">
        <v>2413</v>
      </c>
      <c r="E92" s="32">
        <v>5545506858</v>
      </c>
      <c r="F92" s="32" t="s">
        <v>394</v>
      </c>
      <c r="G92" s="32" t="s">
        <v>2575</v>
      </c>
      <c r="H92" s="39" t="s">
        <v>2576</v>
      </c>
      <c r="I92" s="39">
        <v>100</v>
      </c>
      <c r="J92" s="40">
        <v>79</v>
      </c>
      <c r="K92" s="20">
        <v>10</v>
      </c>
      <c r="L92" s="21"/>
      <c r="M92" s="21">
        <f t="shared" si="14"/>
        <v>89</v>
      </c>
      <c r="N92" s="21">
        <f t="shared" si="15"/>
        <v>11</v>
      </c>
      <c r="O92" s="21"/>
      <c r="P92" s="21"/>
      <c r="Q92" s="5"/>
      <c r="R92" s="16">
        <v>500</v>
      </c>
      <c r="S92" s="16"/>
      <c r="T92" s="21">
        <f t="shared" si="16"/>
        <v>500</v>
      </c>
      <c r="U92" s="16">
        <v>511</v>
      </c>
      <c r="V92" s="78">
        <f t="shared" si="17"/>
        <v>11</v>
      </c>
      <c r="W92" s="140"/>
      <c r="X92" s="334"/>
      <c r="Y92" s="5"/>
      <c r="AD92" s="26"/>
      <c r="AE92" s="58"/>
      <c r="AH92" s="26"/>
      <c r="AI92" s="58"/>
      <c r="AK92" s="16"/>
      <c r="AL92" s="16"/>
      <c r="AN92" s="26"/>
      <c r="AO92" s="58"/>
    </row>
    <row r="93" spans="1:41" x14ac:dyDescent="0.25">
      <c r="A93" s="143">
        <v>10</v>
      </c>
      <c r="B93" s="92">
        <v>45239</v>
      </c>
      <c r="C93" s="23">
        <v>0.67222222222222217</v>
      </c>
      <c r="D93" s="31" t="s">
        <v>2578</v>
      </c>
      <c r="E93" s="32">
        <v>5585652455</v>
      </c>
      <c r="F93" s="32" t="s">
        <v>1306</v>
      </c>
      <c r="G93" s="32" t="s">
        <v>2579</v>
      </c>
      <c r="H93" s="39" t="s">
        <v>2580</v>
      </c>
      <c r="I93" s="122">
        <v>100</v>
      </c>
      <c r="J93" s="42">
        <v>75</v>
      </c>
      <c r="K93" s="20">
        <v>13</v>
      </c>
      <c r="L93" s="21">
        <v>12</v>
      </c>
      <c r="M93" s="21">
        <f t="shared" si="14"/>
        <v>88</v>
      </c>
      <c r="N93" s="21">
        <v>0</v>
      </c>
      <c r="O93" s="21"/>
      <c r="P93" s="21"/>
      <c r="Q93" s="5"/>
      <c r="R93" s="16">
        <v>200</v>
      </c>
      <c r="S93" s="16"/>
      <c r="T93" s="21">
        <f t="shared" si="16"/>
        <v>200</v>
      </c>
      <c r="U93" s="16">
        <v>225</v>
      </c>
      <c r="V93" s="78">
        <f t="shared" si="17"/>
        <v>25</v>
      </c>
      <c r="W93" s="140"/>
      <c r="X93" s="334"/>
      <c r="Y93" s="5"/>
      <c r="AD93" s="16" t="s">
        <v>169</v>
      </c>
      <c r="AE93" s="18">
        <f>SUM(AE83:AE92)</f>
        <v>327.5</v>
      </c>
      <c r="AH93" s="16" t="s">
        <v>169</v>
      </c>
      <c r="AI93" s="18">
        <f>SUM(AI83:AI92)</f>
        <v>360</v>
      </c>
      <c r="AK93" s="16"/>
      <c r="AL93" s="16"/>
      <c r="AN93" s="16" t="s">
        <v>169</v>
      </c>
      <c r="AO93" s="18"/>
    </row>
    <row r="94" spans="1:41" x14ac:dyDescent="0.25">
      <c r="A94" s="143">
        <v>11</v>
      </c>
      <c r="B94" s="92">
        <v>45239</v>
      </c>
      <c r="C94" s="23">
        <v>0.74305555555555547</v>
      </c>
      <c r="D94" s="31" t="s">
        <v>307</v>
      </c>
      <c r="E94" s="124">
        <v>5527189840</v>
      </c>
      <c r="F94" s="123" t="s">
        <v>2581</v>
      </c>
      <c r="G94" s="123" t="s">
        <v>200</v>
      </c>
      <c r="H94" s="39" t="s">
        <v>2582</v>
      </c>
      <c r="I94" s="122">
        <v>300</v>
      </c>
      <c r="J94" s="42">
        <v>283</v>
      </c>
      <c r="K94" s="20">
        <v>17</v>
      </c>
      <c r="L94" s="21"/>
      <c r="M94" s="21">
        <f t="shared" si="14"/>
        <v>300</v>
      </c>
      <c r="N94" s="21">
        <f t="shared" si="15"/>
        <v>0</v>
      </c>
      <c r="O94" s="21">
        <v>300</v>
      </c>
      <c r="P94" s="21"/>
      <c r="Q94" s="5"/>
      <c r="R94" s="16">
        <v>300</v>
      </c>
      <c r="S94" s="16"/>
      <c r="T94" s="21">
        <f t="shared" si="16"/>
        <v>300</v>
      </c>
      <c r="U94" s="16">
        <v>310</v>
      </c>
      <c r="V94" s="78">
        <f t="shared" si="17"/>
        <v>310</v>
      </c>
      <c r="W94" s="140"/>
      <c r="X94" s="334"/>
      <c r="Y94" s="5"/>
      <c r="AE94">
        <v>327.5</v>
      </c>
      <c r="AK94" s="16"/>
      <c r="AL94" s="16"/>
      <c r="AN94" s="16"/>
      <c r="AO94" s="16"/>
    </row>
    <row r="95" spans="1:41" x14ac:dyDescent="0.25">
      <c r="A95" s="143">
        <v>12</v>
      </c>
      <c r="B95" s="92">
        <v>45239</v>
      </c>
      <c r="C95" s="23">
        <v>0.76180555555555562</v>
      </c>
      <c r="D95" s="32" t="s">
        <v>2486</v>
      </c>
      <c r="E95" s="32">
        <v>5520873875</v>
      </c>
      <c r="F95" s="124" t="s">
        <v>38</v>
      </c>
      <c r="G95" s="123" t="s">
        <v>760</v>
      </c>
      <c r="H95" s="39" t="s">
        <v>2583</v>
      </c>
      <c r="I95" s="39">
        <v>200</v>
      </c>
      <c r="J95" s="42">
        <v>45</v>
      </c>
      <c r="K95" s="20">
        <v>12</v>
      </c>
      <c r="L95" s="21">
        <v>15</v>
      </c>
      <c r="M95" s="21">
        <f t="shared" si="14"/>
        <v>57</v>
      </c>
      <c r="N95" s="21">
        <f t="shared" si="15"/>
        <v>143</v>
      </c>
      <c r="O95" s="21"/>
      <c r="P95" s="21"/>
      <c r="Q95" s="5"/>
      <c r="R95" s="45">
        <v>200</v>
      </c>
      <c r="S95" s="44"/>
      <c r="T95" s="21">
        <f t="shared" si="16"/>
        <v>200</v>
      </c>
      <c r="U95" s="45">
        <v>222</v>
      </c>
      <c r="V95" s="78">
        <f t="shared" si="17"/>
        <v>22</v>
      </c>
      <c r="W95" s="140"/>
      <c r="X95" s="334"/>
      <c r="Y95" s="5"/>
      <c r="AK95" s="63" t="s">
        <v>169</v>
      </c>
      <c r="AL95" s="63">
        <f>+SUM(AK84:AK94)-SUM(AL84:AL94)</f>
        <v>0</v>
      </c>
      <c r="AN95" s="63" t="s">
        <v>169</v>
      </c>
      <c r="AO95" s="85">
        <f>+SUM(AN83:AN94)-SUM(AO84:AO94)</f>
        <v>0</v>
      </c>
    </row>
    <row r="96" spans="1:41" x14ac:dyDescent="0.25">
      <c r="A96" s="143">
        <v>13</v>
      </c>
      <c r="B96" s="92">
        <v>45239</v>
      </c>
      <c r="C96" s="23">
        <v>0.80555555555555547</v>
      </c>
      <c r="D96" s="31" t="s">
        <v>245</v>
      </c>
      <c r="E96" s="32">
        <v>5530508709</v>
      </c>
      <c r="F96" s="32" t="s">
        <v>134</v>
      </c>
      <c r="G96" s="32" t="s">
        <v>2584</v>
      </c>
      <c r="H96" s="39" t="s">
        <v>2585</v>
      </c>
      <c r="I96" s="39">
        <v>129</v>
      </c>
      <c r="J96" s="42">
        <v>107</v>
      </c>
      <c r="K96" s="108">
        <v>15</v>
      </c>
      <c r="L96" s="21">
        <v>7</v>
      </c>
      <c r="M96" s="21">
        <f t="shared" si="14"/>
        <v>122</v>
      </c>
      <c r="N96" s="21">
        <v>0</v>
      </c>
      <c r="O96" s="21">
        <v>166</v>
      </c>
      <c r="P96" s="21"/>
      <c r="Q96" s="5"/>
      <c r="R96" s="43">
        <v>200</v>
      </c>
      <c r="S96" s="32"/>
      <c r="T96" s="21">
        <f t="shared" si="16"/>
        <v>200</v>
      </c>
      <c r="U96" s="43">
        <v>222</v>
      </c>
      <c r="V96" s="78">
        <v>22</v>
      </c>
      <c r="W96" s="140"/>
      <c r="X96" s="334"/>
      <c r="Y96" s="5"/>
      <c r="AI96" s="83"/>
    </row>
    <row r="97" spans="1:41" x14ac:dyDescent="0.25">
      <c r="A97" s="143">
        <v>14</v>
      </c>
      <c r="B97" s="92">
        <v>45239</v>
      </c>
      <c r="C97" s="23">
        <v>0.85416666666666663</v>
      </c>
      <c r="D97" s="31" t="s">
        <v>319</v>
      </c>
      <c r="E97" s="32">
        <v>5544332211</v>
      </c>
      <c r="F97" s="32" t="s">
        <v>52</v>
      </c>
      <c r="G97" s="32" t="s">
        <v>2590</v>
      </c>
      <c r="H97" s="32" t="s">
        <v>2586</v>
      </c>
      <c r="I97" s="39">
        <v>165</v>
      </c>
      <c r="J97" s="42">
        <v>155</v>
      </c>
      <c r="K97" s="108">
        <v>15</v>
      </c>
      <c r="L97" s="21"/>
      <c r="M97" s="21">
        <f t="shared" si="14"/>
        <v>170</v>
      </c>
      <c r="N97" s="21">
        <f t="shared" si="15"/>
        <v>-5</v>
      </c>
      <c r="O97" s="21"/>
      <c r="P97" s="21">
        <v>155</v>
      </c>
      <c r="Q97" s="5"/>
      <c r="R97" s="43" t="s">
        <v>2592</v>
      </c>
      <c r="S97" s="43"/>
      <c r="T97" s="21" t="e">
        <f t="shared" si="16"/>
        <v>#VALUE!</v>
      </c>
      <c r="U97" s="43"/>
      <c r="V97" s="78">
        <v>0</v>
      </c>
      <c r="W97" s="140"/>
      <c r="X97" s="334"/>
      <c r="Y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1:41" x14ac:dyDescent="0.25">
      <c r="A98" s="143">
        <v>15</v>
      </c>
      <c r="B98" s="92">
        <v>45239</v>
      </c>
      <c r="C98" s="23">
        <v>0.86805555555555547</v>
      </c>
      <c r="D98" s="127" t="s">
        <v>2513</v>
      </c>
      <c r="E98" s="32">
        <v>5559971116</v>
      </c>
      <c r="F98" s="32" t="s">
        <v>52</v>
      </c>
      <c r="G98" s="128" t="s">
        <v>220</v>
      </c>
      <c r="H98" s="128" t="s">
        <v>2587</v>
      </c>
      <c r="I98" s="39">
        <v>175</v>
      </c>
      <c r="J98" s="42">
        <v>163</v>
      </c>
      <c r="K98" s="108">
        <v>12</v>
      </c>
      <c r="L98" s="21"/>
      <c r="M98" s="21">
        <f t="shared" si="14"/>
        <v>175</v>
      </c>
      <c r="N98" s="21">
        <f t="shared" si="15"/>
        <v>0</v>
      </c>
      <c r="O98" s="21">
        <v>175</v>
      </c>
      <c r="P98" s="21">
        <v>163</v>
      </c>
      <c r="Q98" s="5"/>
      <c r="R98" s="43" t="s">
        <v>2592</v>
      </c>
      <c r="S98" s="43"/>
      <c r="T98" s="21" t="e">
        <f t="shared" si="16"/>
        <v>#VALUE!</v>
      </c>
      <c r="U98" s="43"/>
      <c r="V98" s="78">
        <v>0</v>
      </c>
      <c r="W98" s="140"/>
      <c r="X98" s="334"/>
      <c r="Y98" s="5"/>
      <c r="AD98" s="5"/>
      <c r="AE98" s="134" t="s">
        <v>20</v>
      </c>
      <c r="AF98" s="338"/>
      <c r="AG98" s="341" t="s">
        <v>686</v>
      </c>
      <c r="AH98" s="134" t="s">
        <v>20</v>
      </c>
      <c r="AI98" s="338"/>
      <c r="AJ98" s="341" t="s">
        <v>687</v>
      </c>
      <c r="AK98" s="134" t="s">
        <v>20</v>
      </c>
      <c r="AL98" s="338"/>
      <c r="AM98" s="5"/>
    </row>
    <row r="99" spans="1:41" x14ac:dyDescent="0.25">
      <c r="A99" s="143">
        <v>16</v>
      </c>
      <c r="B99" s="92">
        <v>45239</v>
      </c>
      <c r="C99" s="23">
        <v>0.89583333333333337</v>
      </c>
      <c r="D99" s="23" t="s">
        <v>2588</v>
      </c>
      <c r="E99" s="32">
        <v>5630381453</v>
      </c>
      <c r="F99" s="32" t="s">
        <v>52</v>
      </c>
      <c r="G99" s="32" t="s">
        <v>2591</v>
      </c>
      <c r="H99" s="32" t="s">
        <v>2589</v>
      </c>
      <c r="I99" s="39">
        <v>100</v>
      </c>
      <c r="J99" s="42">
        <v>100</v>
      </c>
      <c r="K99" s="43">
        <v>12</v>
      </c>
      <c r="L99" s="21">
        <v>15</v>
      </c>
      <c r="M99" s="21">
        <f t="shared" si="14"/>
        <v>112</v>
      </c>
      <c r="N99" s="21">
        <v>0</v>
      </c>
      <c r="O99" s="21">
        <v>112</v>
      </c>
      <c r="P99" s="21">
        <v>11</v>
      </c>
      <c r="Q99" s="5"/>
      <c r="R99" s="43" t="s">
        <v>2592</v>
      </c>
      <c r="S99" s="32"/>
      <c r="T99" s="21" t="e">
        <f t="shared" si="16"/>
        <v>#VALUE!</v>
      </c>
      <c r="U99" s="131"/>
      <c r="V99" s="78">
        <v>15</v>
      </c>
      <c r="W99" s="140"/>
      <c r="X99" s="334"/>
      <c r="Y99" s="5"/>
      <c r="AD99" s="5" t="s">
        <v>685</v>
      </c>
      <c r="AE99" s="115" t="s">
        <v>684</v>
      </c>
      <c r="AF99" s="339"/>
      <c r="AG99" s="341"/>
      <c r="AH99" s="115" t="s">
        <v>684</v>
      </c>
      <c r="AI99" s="339"/>
      <c r="AJ99" s="341"/>
      <c r="AK99" s="115" t="s">
        <v>684</v>
      </c>
      <c r="AL99" s="339"/>
      <c r="AM99" s="5"/>
    </row>
    <row r="100" spans="1:41" x14ac:dyDescent="0.25">
      <c r="A100" s="143">
        <v>17</v>
      </c>
      <c r="B100" s="92">
        <v>45239</v>
      </c>
      <c r="C100" s="23"/>
      <c r="D100" s="31"/>
      <c r="E100" s="32"/>
      <c r="F100" s="32"/>
      <c r="G100" s="32"/>
      <c r="H100" s="39"/>
      <c r="I100" s="39"/>
      <c r="J100" s="42"/>
      <c r="K100" s="43">
        <v>10</v>
      </c>
      <c r="L100" s="21"/>
      <c r="M100" s="21">
        <f t="shared" si="14"/>
        <v>10</v>
      </c>
      <c r="N100" s="21">
        <f t="shared" si="15"/>
        <v>-10</v>
      </c>
      <c r="O100" s="21"/>
      <c r="P100" s="21"/>
      <c r="Q100" s="5"/>
      <c r="R100" s="43"/>
      <c r="S100" s="32"/>
      <c r="T100" s="21">
        <f t="shared" si="16"/>
        <v>0</v>
      </c>
      <c r="U100" s="132"/>
      <c r="V100" s="78">
        <f t="shared" si="17"/>
        <v>0</v>
      </c>
      <c r="W100" s="140"/>
      <c r="X100" s="340"/>
      <c r="Y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1:41" x14ac:dyDescent="0.25">
      <c r="A101" s="143">
        <v>18</v>
      </c>
      <c r="B101" s="92">
        <v>45239</v>
      </c>
      <c r="C101" s="32"/>
      <c r="D101" s="31"/>
      <c r="E101" s="32"/>
      <c r="F101" s="32"/>
      <c r="G101" s="32"/>
      <c r="H101" s="39"/>
      <c r="I101" s="39"/>
      <c r="J101" s="42"/>
      <c r="K101" s="43">
        <v>10</v>
      </c>
      <c r="L101" s="21"/>
      <c r="M101" s="21">
        <f t="shared" si="14"/>
        <v>10</v>
      </c>
      <c r="N101" s="21">
        <f t="shared" si="15"/>
        <v>-10</v>
      </c>
      <c r="O101" s="21"/>
      <c r="P101" s="21"/>
      <c r="Q101" s="5"/>
      <c r="R101" s="135"/>
      <c r="S101" s="104"/>
      <c r="T101" s="21">
        <f t="shared" si="16"/>
        <v>0</v>
      </c>
      <c r="U101" s="131"/>
      <c r="V101" s="78">
        <f t="shared" si="17"/>
        <v>0</v>
      </c>
      <c r="W101" s="140"/>
      <c r="Y101" s="5"/>
    </row>
    <row r="102" spans="1:41" x14ac:dyDescent="0.25">
      <c r="A102" s="143">
        <v>19</v>
      </c>
      <c r="B102" s="92">
        <v>45239</v>
      </c>
      <c r="C102" s="32"/>
      <c r="D102" s="31"/>
      <c r="E102" s="32"/>
      <c r="F102" s="32"/>
      <c r="G102" s="32"/>
      <c r="H102" s="39"/>
      <c r="I102" s="39"/>
      <c r="J102" s="42"/>
      <c r="K102" s="43">
        <v>10</v>
      </c>
      <c r="L102" s="21"/>
      <c r="M102" s="21">
        <f t="shared" si="14"/>
        <v>10</v>
      </c>
      <c r="N102" s="21">
        <f t="shared" si="15"/>
        <v>-10</v>
      </c>
      <c r="O102" s="21"/>
      <c r="P102" s="21"/>
      <c r="Q102" s="5"/>
      <c r="R102" s="32"/>
      <c r="S102" s="32"/>
      <c r="T102" s="21">
        <f t="shared" si="16"/>
        <v>0</v>
      </c>
      <c r="U102" s="32"/>
      <c r="V102" s="78">
        <f t="shared" si="17"/>
        <v>0</v>
      </c>
      <c r="W102" s="140"/>
      <c r="Y102" s="5"/>
    </row>
    <row r="103" spans="1:4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141"/>
      <c r="X103" s="5"/>
      <c r="Y103" s="5"/>
    </row>
    <row r="104" spans="1:41" x14ac:dyDescent="0.25">
      <c r="J104" t="s">
        <v>2609</v>
      </c>
    </row>
    <row r="106" spans="1:41" x14ac:dyDescent="0.25">
      <c r="A106" s="1" t="s">
        <v>0</v>
      </c>
      <c r="B106" s="1"/>
      <c r="C106" s="1"/>
      <c r="D106" s="1"/>
      <c r="E106" s="1"/>
      <c r="F106" s="1"/>
      <c r="G106" s="1"/>
      <c r="H106" s="1"/>
      <c r="I106" s="1"/>
      <c r="J106" s="1" t="s">
        <v>148</v>
      </c>
      <c r="K106" s="1"/>
      <c r="L106" s="1"/>
      <c r="M106" s="1"/>
      <c r="N106" s="1"/>
      <c r="O106" s="1"/>
      <c r="P106" s="1"/>
      <c r="Q106" s="1"/>
      <c r="R106" s="1"/>
      <c r="S106" s="1"/>
      <c r="T106" s="342" t="s">
        <v>1</v>
      </c>
      <c r="U106" s="342"/>
      <c r="V106" s="5"/>
      <c r="W106" s="139"/>
      <c r="X106" s="1"/>
      <c r="Y106" s="5"/>
      <c r="AD106" s="335" t="s">
        <v>160</v>
      </c>
      <c r="AE106" s="336"/>
      <c r="AH106" s="335" t="s">
        <v>170</v>
      </c>
      <c r="AI106" s="336"/>
      <c r="AK106" s="337" t="s">
        <v>172</v>
      </c>
      <c r="AL106" s="337"/>
      <c r="AN106" s="337" t="s">
        <v>681</v>
      </c>
      <c r="AO106" s="337"/>
    </row>
    <row r="107" spans="1:41" ht="90" x14ac:dyDescent="0.25">
      <c r="A107" s="6" t="s">
        <v>2</v>
      </c>
      <c r="B107" s="7" t="s">
        <v>3</v>
      </c>
      <c r="C107" s="245" t="s">
        <v>688</v>
      </c>
      <c r="D107" s="7" t="s">
        <v>4</v>
      </c>
      <c r="E107" s="6" t="s">
        <v>5</v>
      </c>
      <c r="F107" s="6" t="s">
        <v>6</v>
      </c>
      <c r="G107" s="6" t="s">
        <v>7</v>
      </c>
      <c r="H107" s="6" t="s">
        <v>8</v>
      </c>
      <c r="I107" s="8" t="s">
        <v>9</v>
      </c>
      <c r="J107" s="9" t="s">
        <v>10</v>
      </c>
      <c r="K107" s="8" t="s">
        <v>11</v>
      </c>
      <c r="L107" s="10" t="s">
        <v>12</v>
      </c>
      <c r="M107" s="10" t="s">
        <v>13</v>
      </c>
      <c r="N107" s="11" t="s">
        <v>14</v>
      </c>
      <c r="O107" s="10" t="s">
        <v>691</v>
      </c>
      <c r="P107" s="10" t="s">
        <v>28</v>
      </c>
      <c r="Q107" s="5"/>
      <c r="R107" s="10" t="s">
        <v>16</v>
      </c>
      <c r="S107" s="10" t="s">
        <v>17</v>
      </c>
      <c r="T107" s="10" t="s">
        <v>18</v>
      </c>
      <c r="U107" s="10" t="s">
        <v>19</v>
      </c>
      <c r="V107" s="10" t="s">
        <v>20</v>
      </c>
      <c r="W107" s="13"/>
      <c r="X107" s="15" t="s">
        <v>23</v>
      </c>
      <c r="Y107" s="5"/>
      <c r="AA107" s="251" t="s">
        <v>2554</v>
      </c>
      <c r="AC107">
        <v>21</v>
      </c>
      <c r="AD107" s="16" t="s">
        <v>161</v>
      </c>
      <c r="AE107" s="58">
        <f>+AC107*10</f>
        <v>210</v>
      </c>
      <c r="AH107" s="16" t="s">
        <v>161</v>
      </c>
      <c r="AI107" s="58">
        <f>+AG107*10</f>
        <v>0</v>
      </c>
      <c r="AK107" s="61" t="s">
        <v>173</v>
      </c>
      <c r="AL107" s="62" t="s">
        <v>174</v>
      </c>
      <c r="AN107" s="16" t="s">
        <v>161</v>
      </c>
      <c r="AO107" s="58">
        <f>+AM107*10</f>
        <v>0</v>
      </c>
    </row>
    <row r="108" spans="1:41" x14ac:dyDescent="0.25">
      <c r="A108" s="16">
        <v>1</v>
      </c>
      <c r="B108" s="92">
        <v>45179</v>
      </c>
      <c r="C108" s="23">
        <v>0.44930555555555557</v>
      </c>
      <c r="D108" s="31" t="s">
        <v>627</v>
      </c>
      <c r="E108" s="32">
        <v>5537803548</v>
      </c>
      <c r="F108" t="s">
        <v>1190</v>
      </c>
      <c r="G108" s="39" t="s">
        <v>2595</v>
      </c>
      <c r="H108" s="32" t="s">
        <v>2594</v>
      </c>
      <c r="I108" s="122">
        <v>149</v>
      </c>
      <c r="J108" s="32">
        <v>119.5</v>
      </c>
      <c r="K108" s="20">
        <v>10</v>
      </c>
      <c r="L108" s="21">
        <v>7.5</v>
      </c>
      <c r="M108" s="21">
        <f t="shared" ref="M108:M126" si="18">+J108+K108</f>
        <v>129.5</v>
      </c>
      <c r="N108" s="21"/>
      <c r="O108" s="21"/>
      <c r="P108" s="21"/>
      <c r="Q108" s="5"/>
      <c r="R108" s="21">
        <v>250</v>
      </c>
      <c r="S108" s="16"/>
      <c r="T108" s="21">
        <f t="shared" ref="T108:T126" si="19">+R108+S108</f>
        <v>250</v>
      </c>
      <c r="U108" s="21">
        <v>287.5</v>
      </c>
      <c r="V108" s="78">
        <f>+U108-T108+O108+P108</f>
        <v>37.5</v>
      </c>
      <c r="W108" s="13"/>
      <c r="X108" s="333"/>
      <c r="Y108" s="5"/>
      <c r="AC108">
        <v>74</v>
      </c>
      <c r="AD108" s="59" t="s">
        <v>162</v>
      </c>
      <c r="AE108" s="18">
        <f>+AC108*1</f>
        <v>74</v>
      </c>
      <c r="AH108" s="59" t="s">
        <v>162</v>
      </c>
      <c r="AI108" s="18">
        <f>+AG108*1</f>
        <v>0</v>
      </c>
      <c r="AK108" s="16"/>
      <c r="AL108" s="16"/>
      <c r="AN108" s="59" t="s">
        <v>162</v>
      </c>
      <c r="AO108" s="18">
        <f>+AM108*1</f>
        <v>0</v>
      </c>
    </row>
    <row r="109" spans="1:41" x14ac:dyDescent="0.25">
      <c r="A109" s="26">
        <v>2</v>
      </c>
      <c r="B109" s="92">
        <v>45179</v>
      </c>
      <c r="C109" s="23">
        <v>0.45833333333333331</v>
      </c>
      <c r="D109" s="31" t="s">
        <v>2596</v>
      </c>
      <c r="E109" s="32">
        <v>5589529270</v>
      </c>
      <c r="F109" s="32" t="s">
        <v>2210</v>
      </c>
      <c r="G109" s="32" t="s">
        <v>2597</v>
      </c>
      <c r="H109" s="39" t="s">
        <v>1229</v>
      </c>
      <c r="I109" s="122">
        <v>240</v>
      </c>
      <c r="J109" s="32">
        <v>200</v>
      </c>
      <c r="K109" s="20">
        <v>40</v>
      </c>
      <c r="L109" s="21"/>
      <c r="M109" s="21">
        <f t="shared" si="18"/>
        <v>240</v>
      </c>
      <c r="N109" s="21">
        <f t="shared" ref="N109:N126" si="20">+I109-M109</f>
        <v>0</v>
      </c>
      <c r="O109" s="21"/>
      <c r="P109" s="21"/>
      <c r="Q109" s="5"/>
      <c r="R109" s="21">
        <v>200</v>
      </c>
      <c r="S109" s="16"/>
      <c r="T109" s="21">
        <f t="shared" si="19"/>
        <v>200</v>
      </c>
      <c r="U109" s="21">
        <v>240</v>
      </c>
      <c r="V109" s="78">
        <f t="shared" ref="V109:V126" si="21">+U109-T109+O109+P109</f>
        <v>40</v>
      </c>
      <c r="W109" s="140"/>
      <c r="X109" s="334"/>
      <c r="Y109" s="5"/>
      <c r="AC109">
        <v>41</v>
      </c>
      <c r="AD109" s="16" t="s">
        <v>163</v>
      </c>
      <c r="AE109" s="60">
        <f>+AC109*5</f>
        <v>205</v>
      </c>
      <c r="AH109" s="16" t="s">
        <v>163</v>
      </c>
      <c r="AI109" s="60">
        <f>+AG109*5</f>
        <v>0</v>
      </c>
      <c r="AK109" s="16"/>
      <c r="AL109" s="16"/>
      <c r="AN109" s="16" t="s">
        <v>163</v>
      </c>
      <c r="AO109" s="60">
        <f>+AM109*5</f>
        <v>0</v>
      </c>
    </row>
    <row r="110" spans="1:41" x14ac:dyDescent="0.25">
      <c r="A110" s="143">
        <v>3</v>
      </c>
      <c r="B110" s="92">
        <v>45179</v>
      </c>
      <c r="C110" s="23">
        <v>1200</v>
      </c>
      <c r="D110" s="31" t="s">
        <v>2598</v>
      </c>
      <c r="E110" s="32">
        <v>5624838483</v>
      </c>
      <c r="F110" s="32" t="s">
        <v>2599</v>
      </c>
      <c r="G110" s="32" t="s">
        <v>2600</v>
      </c>
      <c r="H110" s="39"/>
      <c r="I110" s="122">
        <v>226</v>
      </c>
      <c r="J110" s="32">
        <v>213</v>
      </c>
      <c r="K110" s="20">
        <v>13</v>
      </c>
      <c r="L110" s="21"/>
      <c r="M110" s="21">
        <f t="shared" si="18"/>
        <v>226</v>
      </c>
      <c r="N110" s="21">
        <f t="shared" si="20"/>
        <v>0</v>
      </c>
      <c r="O110" s="21"/>
      <c r="P110" s="21">
        <v>103</v>
      </c>
      <c r="Q110" s="5"/>
      <c r="R110" s="21">
        <v>400</v>
      </c>
      <c r="S110" s="16"/>
      <c r="T110" s="21">
        <f t="shared" si="19"/>
        <v>400</v>
      </c>
      <c r="U110" s="21">
        <v>413</v>
      </c>
      <c r="V110" s="78">
        <f t="shared" si="21"/>
        <v>116</v>
      </c>
      <c r="W110" s="140"/>
      <c r="X110" s="334"/>
      <c r="Y110" s="5"/>
      <c r="AC110">
        <v>1</v>
      </c>
      <c r="AD110" s="16" t="s">
        <v>164</v>
      </c>
      <c r="AE110" s="18">
        <f>+AC110*200</f>
        <v>200</v>
      </c>
      <c r="AH110" s="16" t="s">
        <v>164</v>
      </c>
      <c r="AI110" s="18">
        <f>+AG110*200</f>
        <v>0</v>
      </c>
      <c r="AK110" s="16"/>
      <c r="AL110" s="16"/>
      <c r="AN110" s="16" t="s">
        <v>164</v>
      </c>
      <c r="AO110" s="18">
        <f>+AM110*200</f>
        <v>0</v>
      </c>
    </row>
    <row r="111" spans="1:41" x14ac:dyDescent="0.25">
      <c r="A111" s="143">
        <v>4</v>
      </c>
      <c r="B111" s="92">
        <v>45179</v>
      </c>
      <c r="C111" s="23">
        <v>0.51388888888888895</v>
      </c>
      <c r="D111" s="31" t="s">
        <v>2588</v>
      </c>
      <c r="E111" s="32">
        <v>5630381453</v>
      </c>
      <c r="F111" s="32" t="s">
        <v>849</v>
      </c>
      <c r="G111" s="32" t="s">
        <v>2591</v>
      </c>
      <c r="H111" s="39" t="s">
        <v>2601</v>
      </c>
      <c r="I111" s="122">
        <v>150</v>
      </c>
      <c r="J111" s="32">
        <v>67</v>
      </c>
      <c r="K111" s="20">
        <v>12</v>
      </c>
      <c r="L111" s="21">
        <v>9</v>
      </c>
      <c r="M111" s="21">
        <f t="shared" si="18"/>
        <v>79</v>
      </c>
      <c r="N111" s="21">
        <f t="shared" si="20"/>
        <v>71</v>
      </c>
      <c r="O111" s="21">
        <v>78</v>
      </c>
      <c r="P111" s="21"/>
      <c r="Q111" s="5"/>
      <c r="R111" s="21">
        <v>150</v>
      </c>
      <c r="S111" s="16"/>
      <c r="T111" s="21">
        <f t="shared" si="19"/>
        <v>150</v>
      </c>
      <c r="U111" s="21">
        <v>172</v>
      </c>
      <c r="V111" s="78">
        <f t="shared" si="21"/>
        <v>100</v>
      </c>
      <c r="W111" s="140"/>
      <c r="X111" s="334"/>
      <c r="Y111" s="5"/>
      <c r="AD111" s="16" t="s">
        <v>165</v>
      </c>
      <c r="AE111" s="18">
        <f>+AC111*100</f>
        <v>0</v>
      </c>
      <c r="AH111" s="16" t="s">
        <v>165</v>
      </c>
      <c r="AI111" s="18">
        <f>+AG111*100</f>
        <v>0</v>
      </c>
      <c r="AK111" s="16"/>
      <c r="AL111" s="16"/>
      <c r="AN111" s="16" t="s">
        <v>165</v>
      </c>
      <c r="AO111" s="18">
        <f>+AM111*100</f>
        <v>0</v>
      </c>
    </row>
    <row r="112" spans="1:41" x14ac:dyDescent="0.25">
      <c r="A112" s="143">
        <v>5</v>
      </c>
      <c r="B112" s="92">
        <v>45179</v>
      </c>
      <c r="C112" s="23">
        <v>6.9444444444444434E-2</v>
      </c>
      <c r="D112" s="31" t="s">
        <v>2602</v>
      </c>
      <c r="E112" s="32">
        <v>5510466400</v>
      </c>
      <c r="F112" s="32" t="s">
        <v>968</v>
      </c>
      <c r="G112" s="32" t="s">
        <v>2603</v>
      </c>
      <c r="H112" s="32" t="s">
        <v>2604</v>
      </c>
      <c r="I112" s="122">
        <v>107</v>
      </c>
      <c r="J112" s="32">
        <v>95</v>
      </c>
      <c r="K112" s="20">
        <v>12</v>
      </c>
      <c r="L112" s="21"/>
      <c r="M112" s="21">
        <f t="shared" si="18"/>
        <v>107</v>
      </c>
      <c r="N112" s="21">
        <f t="shared" si="20"/>
        <v>0</v>
      </c>
      <c r="O112" s="21">
        <v>107</v>
      </c>
      <c r="P112" s="21"/>
      <c r="Q112" s="5"/>
      <c r="R112" s="18">
        <v>300</v>
      </c>
      <c r="S112" s="16"/>
      <c r="T112" s="21">
        <f t="shared" si="19"/>
        <v>300</v>
      </c>
      <c r="U112" s="21">
        <v>312</v>
      </c>
      <c r="V112" s="78">
        <f t="shared" si="21"/>
        <v>119</v>
      </c>
      <c r="W112" s="140"/>
      <c r="X112" s="334"/>
      <c r="Y112" s="5"/>
      <c r="AD112" s="16" t="s">
        <v>166</v>
      </c>
      <c r="AE112" s="18">
        <f>+AC112*50</f>
        <v>0</v>
      </c>
      <c r="AH112" s="16" t="s">
        <v>166</v>
      </c>
      <c r="AI112" s="18">
        <f>+AG112*50</f>
        <v>0</v>
      </c>
      <c r="AK112" s="16"/>
      <c r="AL112" s="16"/>
      <c r="AN112" s="16" t="s">
        <v>166</v>
      </c>
      <c r="AO112" s="18">
        <f>+AM112*50</f>
        <v>0</v>
      </c>
    </row>
    <row r="113" spans="1:41" x14ac:dyDescent="0.25">
      <c r="A113" s="143">
        <v>6</v>
      </c>
      <c r="B113" s="92">
        <v>45179</v>
      </c>
      <c r="C113" s="23">
        <v>0.14305555555555557</v>
      </c>
      <c r="D113" s="31" t="s">
        <v>203</v>
      </c>
      <c r="E113" s="32">
        <v>5578861024</v>
      </c>
      <c r="F113" s="32" t="s">
        <v>788</v>
      </c>
      <c r="G113" s="32" t="s">
        <v>1148</v>
      </c>
      <c r="H113" s="39" t="s">
        <v>2607</v>
      </c>
      <c r="I113" s="39"/>
      <c r="J113" s="42">
        <v>56</v>
      </c>
      <c r="K113" s="20">
        <v>10</v>
      </c>
      <c r="L113" s="21"/>
      <c r="M113" s="21">
        <f t="shared" si="18"/>
        <v>66</v>
      </c>
      <c r="N113" s="21">
        <f t="shared" si="20"/>
        <v>-66</v>
      </c>
      <c r="O113" s="21"/>
      <c r="P113" s="21"/>
      <c r="Q113" s="5"/>
      <c r="R113" s="16"/>
      <c r="S113" s="16"/>
      <c r="T113" s="21">
        <f t="shared" si="19"/>
        <v>0</v>
      </c>
      <c r="U113" s="16"/>
      <c r="V113" s="78">
        <f t="shared" si="21"/>
        <v>0</v>
      </c>
      <c r="W113" s="140"/>
      <c r="X113" s="334"/>
      <c r="Y113" s="5"/>
      <c r="AC113">
        <v>5</v>
      </c>
      <c r="AD113" s="16" t="s">
        <v>167</v>
      </c>
      <c r="AE113" s="18">
        <f>+AC113*20</f>
        <v>100</v>
      </c>
      <c r="AH113" s="16" t="s">
        <v>167</v>
      </c>
      <c r="AI113" s="18">
        <f>+AG113*20</f>
        <v>0</v>
      </c>
      <c r="AK113" s="16"/>
      <c r="AL113" s="16"/>
      <c r="AN113" s="16" t="s">
        <v>167</v>
      </c>
      <c r="AO113" s="18">
        <f>+AM113*20</f>
        <v>0</v>
      </c>
    </row>
    <row r="114" spans="1:41" x14ac:dyDescent="0.25">
      <c r="A114" s="143">
        <v>7</v>
      </c>
      <c r="B114" s="92">
        <v>45179</v>
      </c>
      <c r="C114" s="23"/>
      <c r="D114" s="31" t="s">
        <v>1890</v>
      </c>
      <c r="E114" s="32"/>
      <c r="F114" s="32" t="s">
        <v>2605</v>
      </c>
      <c r="G114" s="32" t="s">
        <v>2411</v>
      </c>
      <c r="H114" s="39" t="s">
        <v>2606</v>
      </c>
      <c r="I114" s="122"/>
      <c r="J114" s="42">
        <v>280</v>
      </c>
      <c r="K114" s="20">
        <v>20</v>
      </c>
      <c r="L114" s="21"/>
      <c r="M114" s="21">
        <f t="shared" si="18"/>
        <v>300</v>
      </c>
      <c r="N114" s="21">
        <f t="shared" si="20"/>
        <v>-300</v>
      </c>
      <c r="O114" s="21"/>
      <c r="P114" s="21"/>
      <c r="Q114" s="5"/>
      <c r="R114" s="16"/>
      <c r="S114" s="16"/>
      <c r="T114" s="21">
        <f t="shared" si="19"/>
        <v>0</v>
      </c>
      <c r="U114" s="16"/>
      <c r="V114" s="78">
        <f t="shared" si="21"/>
        <v>0</v>
      </c>
      <c r="W114" s="140"/>
      <c r="X114" s="334"/>
      <c r="Y114" s="5"/>
      <c r="AD114" s="16" t="s">
        <v>171</v>
      </c>
      <c r="AE114" s="18">
        <f>+AC114*500</f>
        <v>0</v>
      </c>
      <c r="AH114" s="16" t="s">
        <v>171</v>
      </c>
      <c r="AI114" s="18">
        <f>+AG114*500</f>
        <v>0</v>
      </c>
      <c r="AK114" s="16"/>
      <c r="AL114" s="16"/>
      <c r="AN114" s="16" t="s">
        <v>171</v>
      </c>
      <c r="AO114" s="18">
        <f>+AM114*500</f>
        <v>0</v>
      </c>
    </row>
    <row r="115" spans="1:41" x14ac:dyDescent="0.25">
      <c r="A115" s="143">
        <v>8</v>
      </c>
      <c r="B115" s="92">
        <v>45179</v>
      </c>
      <c r="C115" s="23">
        <v>0.38194444444444442</v>
      </c>
      <c r="D115" s="31" t="s">
        <v>2109</v>
      </c>
      <c r="E115" s="123"/>
      <c r="F115" s="123" t="s">
        <v>106</v>
      </c>
      <c r="G115" s="123" t="s">
        <v>269</v>
      </c>
      <c r="H115" s="39" t="s">
        <v>2608</v>
      </c>
      <c r="I115" s="122"/>
      <c r="J115" s="32">
        <v>25</v>
      </c>
      <c r="K115" s="20">
        <v>10</v>
      </c>
      <c r="L115" s="21"/>
      <c r="M115" s="21">
        <f t="shared" si="18"/>
        <v>35</v>
      </c>
      <c r="N115" s="21">
        <f t="shared" si="20"/>
        <v>-35</v>
      </c>
      <c r="O115" s="21"/>
      <c r="P115" s="21"/>
      <c r="Q115" s="5"/>
      <c r="R115" s="16"/>
      <c r="S115" s="16"/>
      <c r="T115" s="21">
        <f t="shared" si="19"/>
        <v>0</v>
      </c>
      <c r="U115" s="16"/>
      <c r="V115" s="78">
        <f t="shared" si="21"/>
        <v>0</v>
      </c>
      <c r="W115" s="140"/>
      <c r="X115" s="334"/>
      <c r="Y115" s="5"/>
      <c r="AD115" s="16" t="s">
        <v>168</v>
      </c>
      <c r="AE115" s="18">
        <f>+AC115*1000</f>
        <v>0</v>
      </c>
      <c r="AH115" s="16" t="s">
        <v>168</v>
      </c>
      <c r="AI115" s="18">
        <f>+AG115*1000</f>
        <v>0</v>
      </c>
      <c r="AK115" s="16"/>
      <c r="AL115" s="16"/>
      <c r="AN115" s="16" t="s">
        <v>168</v>
      </c>
      <c r="AO115" s="18">
        <f>+AM115*1000</f>
        <v>0</v>
      </c>
    </row>
    <row r="116" spans="1:41" x14ac:dyDescent="0.25">
      <c r="A116" s="143">
        <v>9</v>
      </c>
      <c r="B116" s="92">
        <v>45179</v>
      </c>
      <c r="C116" s="23"/>
      <c r="D116" s="31"/>
      <c r="E116" s="32"/>
      <c r="F116" s="32"/>
      <c r="G116" s="32"/>
      <c r="H116" s="39"/>
      <c r="I116" s="39"/>
      <c r="J116" s="40"/>
      <c r="K116" s="20">
        <v>10</v>
      </c>
      <c r="L116" s="21"/>
      <c r="M116" s="21">
        <f t="shared" si="18"/>
        <v>10</v>
      </c>
      <c r="N116" s="21">
        <f t="shared" si="20"/>
        <v>-10</v>
      </c>
      <c r="O116" s="21"/>
      <c r="P116" s="21"/>
      <c r="Q116" s="5"/>
      <c r="R116" s="16"/>
      <c r="S116" s="16"/>
      <c r="T116" s="21">
        <f t="shared" si="19"/>
        <v>0</v>
      </c>
      <c r="U116" s="16"/>
      <c r="V116" s="78">
        <f t="shared" si="21"/>
        <v>0</v>
      </c>
      <c r="W116" s="140"/>
      <c r="X116" s="334"/>
      <c r="Y116" s="5"/>
      <c r="AD116" s="26"/>
      <c r="AE116" s="58"/>
      <c r="AH116" s="26"/>
      <c r="AI116" s="58"/>
      <c r="AK116" s="16"/>
      <c r="AL116" s="16"/>
      <c r="AN116" s="26"/>
      <c r="AO116" s="58"/>
    </row>
    <row r="117" spans="1:41" x14ac:dyDescent="0.25">
      <c r="A117" s="143">
        <v>10</v>
      </c>
      <c r="B117" s="92">
        <v>45179</v>
      </c>
      <c r="C117" s="23"/>
      <c r="D117" s="31"/>
      <c r="E117" s="32"/>
      <c r="F117" s="32"/>
      <c r="G117" s="32"/>
      <c r="H117" s="39"/>
      <c r="I117" s="122"/>
      <c r="J117" s="42"/>
      <c r="K117" s="20">
        <v>10</v>
      </c>
      <c r="L117" s="21"/>
      <c r="M117" s="21">
        <f t="shared" si="18"/>
        <v>10</v>
      </c>
      <c r="N117" s="21">
        <f t="shared" si="20"/>
        <v>-10</v>
      </c>
      <c r="O117" s="21"/>
      <c r="P117" s="21"/>
      <c r="Q117" s="5"/>
      <c r="R117" s="16"/>
      <c r="S117" s="16"/>
      <c r="T117" s="21">
        <f t="shared" si="19"/>
        <v>0</v>
      </c>
      <c r="U117" s="16"/>
      <c r="V117" s="78">
        <f t="shared" si="21"/>
        <v>0</v>
      </c>
      <c r="W117" s="140"/>
      <c r="X117" s="334"/>
      <c r="Y117" s="5"/>
      <c r="AD117" s="16" t="s">
        <v>169</v>
      </c>
      <c r="AE117" s="18">
        <f>SUM(AE107:AE116)</f>
        <v>789</v>
      </c>
      <c r="AH117" s="16" t="s">
        <v>169</v>
      </c>
      <c r="AI117" s="18">
        <f>SUM(AI107:AI116)</f>
        <v>0</v>
      </c>
      <c r="AK117" s="16"/>
      <c r="AL117" s="16"/>
      <c r="AN117" s="16" t="s">
        <v>169</v>
      </c>
      <c r="AO117" s="18"/>
    </row>
    <row r="118" spans="1:41" x14ac:dyDescent="0.25">
      <c r="A118" s="143">
        <v>11</v>
      </c>
      <c r="B118" s="92">
        <v>45179</v>
      </c>
      <c r="C118" s="23"/>
      <c r="D118" s="31"/>
      <c r="E118" s="124"/>
      <c r="F118" s="123"/>
      <c r="G118" s="123"/>
      <c r="H118" s="39"/>
      <c r="I118" s="122"/>
      <c r="J118" s="42"/>
      <c r="K118" s="20">
        <v>10</v>
      </c>
      <c r="L118" s="21"/>
      <c r="M118" s="21">
        <f t="shared" si="18"/>
        <v>10</v>
      </c>
      <c r="N118" s="21">
        <f t="shared" si="20"/>
        <v>-10</v>
      </c>
      <c r="O118" s="21"/>
      <c r="P118" s="21"/>
      <c r="Q118" s="5"/>
      <c r="R118" s="16"/>
      <c r="S118" s="16"/>
      <c r="T118" s="21">
        <f t="shared" si="19"/>
        <v>0</v>
      </c>
      <c r="U118" s="16"/>
      <c r="V118" s="78">
        <f t="shared" si="21"/>
        <v>0</v>
      </c>
      <c r="W118" s="140"/>
      <c r="X118" s="334"/>
      <c r="Y118" s="5"/>
      <c r="AK118" s="16"/>
      <c r="AL118" s="16"/>
      <c r="AN118" s="16"/>
      <c r="AO118" s="16"/>
    </row>
    <row r="119" spans="1:41" x14ac:dyDescent="0.25">
      <c r="A119" s="143">
        <v>12</v>
      </c>
      <c r="B119" s="92">
        <v>45179</v>
      </c>
      <c r="C119" s="23"/>
      <c r="D119" s="32"/>
      <c r="E119" s="32"/>
      <c r="F119" s="124"/>
      <c r="G119" s="123"/>
      <c r="H119" s="39"/>
      <c r="I119" s="39"/>
      <c r="J119" s="42"/>
      <c r="K119" s="20">
        <v>10</v>
      </c>
      <c r="L119" s="21"/>
      <c r="M119" s="21">
        <f t="shared" si="18"/>
        <v>10</v>
      </c>
      <c r="N119" s="21">
        <f t="shared" si="20"/>
        <v>-10</v>
      </c>
      <c r="O119" s="21"/>
      <c r="P119" s="21"/>
      <c r="Q119" s="5"/>
      <c r="R119" s="45"/>
      <c r="S119" s="44"/>
      <c r="T119" s="21">
        <f t="shared" si="19"/>
        <v>0</v>
      </c>
      <c r="U119" s="45"/>
      <c r="V119" s="78">
        <f t="shared" si="21"/>
        <v>0</v>
      </c>
      <c r="W119" s="140"/>
      <c r="X119" s="334"/>
      <c r="Y119" s="5"/>
      <c r="AK119" s="63" t="s">
        <v>169</v>
      </c>
      <c r="AL119" s="63">
        <f>+SUM(AK108:AK118)-SUM(AL108:AL118)</f>
        <v>0</v>
      </c>
      <c r="AN119" s="63" t="s">
        <v>169</v>
      </c>
      <c r="AO119" s="85">
        <f>+SUM(AN107:AN118)-SUM(AO108:AO118)</f>
        <v>0</v>
      </c>
    </row>
    <row r="120" spans="1:41" x14ac:dyDescent="0.25">
      <c r="A120" s="143">
        <v>13</v>
      </c>
      <c r="B120" s="92">
        <v>45179</v>
      </c>
      <c r="C120" s="23"/>
      <c r="D120" s="31"/>
      <c r="E120" s="32"/>
      <c r="F120" s="32"/>
      <c r="G120" s="32"/>
      <c r="H120" s="39"/>
      <c r="I120" s="39"/>
      <c r="J120" s="42"/>
      <c r="K120" s="108">
        <v>10</v>
      </c>
      <c r="L120" s="21"/>
      <c r="M120" s="21">
        <f t="shared" si="18"/>
        <v>10</v>
      </c>
      <c r="N120" s="21">
        <f t="shared" si="20"/>
        <v>-10</v>
      </c>
      <c r="O120" s="21"/>
      <c r="P120" s="21"/>
      <c r="Q120" s="5"/>
      <c r="R120" s="43"/>
      <c r="S120" s="32"/>
      <c r="T120" s="21">
        <f t="shared" si="19"/>
        <v>0</v>
      </c>
      <c r="U120" s="43"/>
      <c r="V120" s="78">
        <f t="shared" si="21"/>
        <v>0</v>
      </c>
      <c r="W120" s="140"/>
      <c r="X120" s="334"/>
      <c r="Y120" s="5"/>
      <c r="AI120" s="83"/>
    </row>
    <row r="121" spans="1:41" x14ac:dyDescent="0.25">
      <c r="A121" s="143">
        <v>14</v>
      </c>
      <c r="B121" s="92">
        <v>45179</v>
      </c>
      <c r="C121" s="23"/>
      <c r="D121" s="31"/>
      <c r="E121" s="32"/>
      <c r="F121" s="32"/>
      <c r="G121" s="32"/>
      <c r="H121" s="39"/>
      <c r="I121" s="39"/>
      <c r="J121" s="42"/>
      <c r="K121" s="108">
        <v>10</v>
      </c>
      <c r="L121" s="21"/>
      <c r="M121" s="21">
        <f t="shared" si="18"/>
        <v>10</v>
      </c>
      <c r="N121" s="21">
        <f t="shared" si="20"/>
        <v>-10</v>
      </c>
      <c r="O121" s="21"/>
      <c r="P121" s="21"/>
      <c r="Q121" s="5"/>
      <c r="R121" s="43"/>
      <c r="S121" s="43"/>
      <c r="T121" s="21">
        <f t="shared" si="19"/>
        <v>0</v>
      </c>
      <c r="U121" s="43"/>
      <c r="V121" s="78">
        <f t="shared" si="21"/>
        <v>0</v>
      </c>
      <c r="W121" s="140"/>
      <c r="X121" s="334"/>
      <c r="Y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</row>
    <row r="122" spans="1:41" x14ac:dyDescent="0.25">
      <c r="A122" s="143">
        <v>15</v>
      </c>
      <c r="B122" s="92">
        <v>45179</v>
      </c>
      <c r="C122" s="23"/>
      <c r="D122" s="127"/>
      <c r="E122" s="32"/>
      <c r="F122" s="32"/>
      <c r="G122" s="128"/>
      <c r="H122" s="129"/>
      <c r="I122" s="39"/>
      <c r="J122" s="42"/>
      <c r="K122" s="108">
        <v>10</v>
      </c>
      <c r="L122" s="21"/>
      <c r="M122" s="21">
        <f t="shared" si="18"/>
        <v>10</v>
      </c>
      <c r="N122" s="21">
        <f t="shared" si="20"/>
        <v>-10</v>
      </c>
      <c r="O122" s="21"/>
      <c r="P122" s="21"/>
      <c r="Q122" s="5"/>
      <c r="R122" s="43"/>
      <c r="S122" s="43"/>
      <c r="T122" s="21">
        <f t="shared" si="19"/>
        <v>0</v>
      </c>
      <c r="U122" s="43"/>
      <c r="V122" s="78">
        <f t="shared" si="21"/>
        <v>0</v>
      </c>
      <c r="W122" s="140"/>
      <c r="X122" s="334"/>
      <c r="Y122" s="5"/>
      <c r="AD122" s="5"/>
      <c r="AE122" s="134" t="s">
        <v>20</v>
      </c>
      <c r="AF122" s="338"/>
      <c r="AG122" s="341" t="s">
        <v>686</v>
      </c>
      <c r="AH122" s="134" t="s">
        <v>20</v>
      </c>
      <c r="AI122" s="338">
        <v>140</v>
      </c>
      <c r="AJ122" s="341" t="s">
        <v>687</v>
      </c>
      <c r="AK122" s="134" t="s">
        <v>20</v>
      </c>
      <c r="AL122" s="338"/>
      <c r="AM122" s="5"/>
    </row>
    <row r="123" spans="1:41" x14ac:dyDescent="0.25">
      <c r="A123" s="143">
        <v>16</v>
      </c>
      <c r="B123" s="92">
        <v>45179</v>
      </c>
      <c r="C123" s="23"/>
      <c r="D123" s="31"/>
      <c r="E123" s="32"/>
      <c r="F123" s="32"/>
      <c r="G123" s="32"/>
      <c r="H123" s="39"/>
      <c r="I123" s="39"/>
      <c r="J123" s="42"/>
      <c r="K123" s="43">
        <v>10</v>
      </c>
      <c r="L123" s="21"/>
      <c r="M123" s="21">
        <f t="shared" si="18"/>
        <v>10</v>
      </c>
      <c r="N123" s="21">
        <f t="shared" si="20"/>
        <v>-10</v>
      </c>
      <c r="O123" s="21"/>
      <c r="P123" s="21"/>
      <c r="Q123" s="5"/>
      <c r="R123" s="43"/>
      <c r="S123" s="32"/>
      <c r="T123" s="21">
        <f t="shared" si="19"/>
        <v>0</v>
      </c>
      <c r="U123" s="131"/>
      <c r="V123" s="78">
        <f t="shared" si="21"/>
        <v>0</v>
      </c>
      <c r="W123" s="140"/>
      <c r="X123" s="334"/>
      <c r="Y123" s="5"/>
      <c r="AD123" s="5" t="s">
        <v>685</v>
      </c>
      <c r="AE123" s="115" t="s">
        <v>684</v>
      </c>
      <c r="AF123" s="339"/>
      <c r="AG123" s="341"/>
      <c r="AH123" s="115" t="s">
        <v>684</v>
      </c>
      <c r="AI123" s="339"/>
      <c r="AJ123" s="341"/>
      <c r="AK123" s="115" t="s">
        <v>684</v>
      </c>
      <c r="AL123" s="339"/>
      <c r="AM123" s="5"/>
    </row>
    <row r="124" spans="1:41" x14ac:dyDescent="0.25">
      <c r="A124" s="143">
        <v>17</v>
      </c>
      <c r="B124" s="92">
        <v>45179</v>
      </c>
      <c r="C124" s="23"/>
      <c r="D124" s="31"/>
      <c r="E124" s="32"/>
      <c r="F124" s="32"/>
      <c r="G124" s="32"/>
      <c r="H124" s="39"/>
      <c r="I124" s="39"/>
      <c r="J124" s="42"/>
      <c r="K124" s="43">
        <v>10</v>
      </c>
      <c r="L124" s="21"/>
      <c r="M124" s="21">
        <f t="shared" si="18"/>
        <v>10</v>
      </c>
      <c r="N124" s="21">
        <f t="shared" si="20"/>
        <v>-10</v>
      </c>
      <c r="O124" s="21"/>
      <c r="P124" s="21"/>
      <c r="Q124" s="5"/>
      <c r="R124" s="43"/>
      <c r="S124" s="32"/>
      <c r="T124" s="21">
        <f t="shared" si="19"/>
        <v>0</v>
      </c>
      <c r="U124" s="132"/>
      <c r="V124" s="78">
        <f t="shared" si="21"/>
        <v>0</v>
      </c>
      <c r="W124" s="140"/>
      <c r="X124" s="340"/>
      <c r="Y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</row>
    <row r="125" spans="1:41" x14ac:dyDescent="0.25">
      <c r="A125" s="143">
        <v>18</v>
      </c>
      <c r="B125" s="92">
        <v>45179</v>
      </c>
      <c r="C125" s="32"/>
      <c r="D125" s="31"/>
      <c r="E125" s="32"/>
      <c r="F125" s="32"/>
      <c r="G125" s="32"/>
      <c r="H125" s="39"/>
      <c r="I125" s="39"/>
      <c r="J125" s="42"/>
      <c r="K125" s="43">
        <v>10</v>
      </c>
      <c r="L125" s="21"/>
      <c r="M125" s="21">
        <f t="shared" si="18"/>
        <v>10</v>
      </c>
      <c r="N125" s="21">
        <f t="shared" si="20"/>
        <v>-10</v>
      </c>
      <c r="O125" s="21"/>
      <c r="P125" s="21"/>
      <c r="Q125" s="5"/>
      <c r="R125" s="135"/>
      <c r="S125" s="104"/>
      <c r="T125" s="21">
        <f t="shared" si="19"/>
        <v>0</v>
      </c>
      <c r="U125" s="131"/>
      <c r="V125" s="78">
        <f t="shared" si="21"/>
        <v>0</v>
      </c>
      <c r="W125" s="140"/>
      <c r="Y125" s="5"/>
    </row>
    <row r="126" spans="1:41" x14ac:dyDescent="0.25">
      <c r="A126" s="143">
        <v>19</v>
      </c>
      <c r="B126" s="92">
        <v>45179</v>
      </c>
      <c r="C126" s="32"/>
      <c r="D126" s="31"/>
      <c r="E126" s="32"/>
      <c r="F126" s="32"/>
      <c r="G126" s="32"/>
      <c r="H126" s="39"/>
      <c r="I126" s="39"/>
      <c r="J126" s="42"/>
      <c r="K126" s="43">
        <v>10</v>
      </c>
      <c r="L126" s="21"/>
      <c r="M126" s="21">
        <f t="shared" si="18"/>
        <v>10</v>
      </c>
      <c r="N126" s="21">
        <f t="shared" si="20"/>
        <v>-10</v>
      </c>
      <c r="O126" s="21"/>
      <c r="P126" s="21"/>
      <c r="Q126" s="5"/>
      <c r="R126" s="32"/>
      <c r="S126" s="32"/>
      <c r="T126" s="21">
        <f t="shared" si="19"/>
        <v>0</v>
      </c>
      <c r="U126" s="32"/>
      <c r="V126" s="78">
        <f t="shared" si="21"/>
        <v>0</v>
      </c>
      <c r="W126" s="140"/>
      <c r="Y126" s="5"/>
    </row>
    <row r="127" spans="1:4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141"/>
      <c r="X127" s="5"/>
      <c r="Y127" s="5"/>
    </row>
    <row r="130" spans="1:41" x14ac:dyDescent="0.25">
      <c r="T130">
        <f>328+60</f>
        <v>388</v>
      </c>
    </row>
    <row r="132" spans="1:41" x14ac:dyDescent="0.25">
      <c r="A132" s="1" t="s">
        <v>0</v>
      </c>
      <c r="B132" s="1"/>
      <c r="C132" s="1"/>
      <c r="D132" s="1"/>
      <c r="E132" s="1"/>
      <c r="F132" s="1"/>
      <c r="G132" s="1"/>
      <c r="H132" s="1"/>
      <c r="I132" s="1"/>
      <c r="J132" s="1" t="s">
        <v>148</v>
      </c>
      <c r="K132" s="1"/>
      <c r="L132" s="1"/>
      <c r="M132" s="1"/>
      <c r="N132" s="1"/>
      <c r="O132" s="1"/>
      <c r="P132" s="1"/>
      <c r="Q132" s="1"/>
      <c r="R132" s="1"/>
      <c r="S132" s="1"/>
      <c r="T132" s="342" t="s">
        <v>1</v>
      </c>
      <c r="U132" s="342"/>
      <c r="V132" s="5"/>
      <c r="W132" s="139"/>
      <c r="X132" s="1"/>
      <c r="Y132" s="5"/>
      <c r="AD132" s="335" t="s">
        <v>160</v>
      </c>
      <c r="AE132" s="336"/>
      <c r="AH132" s="335" t="s">
        <v>170</v>
      </c>
      <c r="AI132" s="336"/>
      <c r="AK132" s="337" t="s">
        <v>172</v>
      </c>
      <c r="AL132" s="337"/>
      <c r="AN132" s="337" t="s">
        <v>681</v>
      </c>
      <c r="AO132" s="337"/>
    </row>
    <row r="133" spans="1:41" ht="90" x14ac:dyDescent="0.25">
      <c r="A133" s="6" t="s">
        <v>2</v>
      </c>
      <c r="B133" s="7" t="s">
        <v>3</v>
      </c>
      <c r="C133" s="245" t="s">
        <v>688</v>
      </c>
      <c r="D133" s="7" t="s">
        <v>4</v>
      </c>
      <c r="E133" s="6" t="s">
        <v>5</v>
      </c>
      <c r="F133" s="6" t="s">
        <v>6</v>
      </c>
      <c r="G133" s="6" t="s">
        <v>7</v>
      </c>
      <c r="H133" s="6" t="s">
        <v>8</v>
      </c>
      <c r="I133" s="8" t="s">
        <v>9</v>
      </c>
      <c r="J133" s="9" t="s">
        <v>10</v>
      </c>
      <c r="K133" s="8" t="s">
        <v>11</v>
      </c>
      <c r="L133" s="10" t="s">
        <v>12</v>
      </c>
      <c r="M133" s="10" t="s">
        <v>13</v>
      </c>
      <c r="N133" s="11" t="s">
        <v>14</v>
      </c>
      <c r="O133" s="10" t="s">
        <v>691</v>
      </c>
      <c r="P133" s="10" t="s">
        <v>28</v>
      </c>
      <c r="Q133" s="5"/>
      <c r="R133" s="10" t="s">
        <v>16</v>
      </c>
      <c r="S133" s="10" t="s">
        <v>17</v>
      </c>
      <c r="T133" s="10" t="s">
        <v>18</v>
      </c>
      <c r="U133" s="10" t="s">
        <v>19</v>
      </c>
      <c r="V133" s="10" t="s">
        <v>20</v>
      </c>
      <c r="W133" s="13"/>
      <c r="X133" s="15" t="s">
        <v>23</v>
      </c>
      <c r="Y133" s="5"/>
      <c r="AA133" s="251" t="s">
        <v>2554</v>
      </c>
      <c r="AD133" s="16" t="s">
        <v>161</v>
      </c>
      <c r="AE133" s="58">
        <f>+AC133*10</f>
        <v>0</v>
      </c>
      <c r="AG133">
        <v>15</v>
      </c>
      <c r="AH133" s="16" t="s">
        <v>161</v>
      </c>
      <c r="AI133" s="58">
        <f>+AG133*10</f>
        <v>150</v>
      </c>
      <c r="AK133" s="61" t="s">
        <v>173</v>
      </c>
      <c r="AL133" s="62" t="s">
        <v>174</v>
      </c>
      <c r="AN133" s="16" t="s">
        <v>161</v>
      </c>
      <c r="AO133" s="58">
        <f>+AM133*10</f>
        <v>0</v>
      </c>
    </row>
    <row r="134" spans="1:41" x14ac:dyDescent="0.25">
      <c r="A134" s="16">
        <v>1</v>
      </c>
      <c r="B134" s="92">
        <v>45242</v>
      </c>
      <c r="C134" s="23">
        <v>0.47013888888888888</v>
      </c>
      <c r="D134" s="31" t="s">
        <v>2610</v>
      </c>
      <c r="E134" s="32">
        <v>5578037085</v>
      </c>
      <c r="F134" s="32" t="s">
        <v>106</v>
      </c>
      <c r="G134" s="39" t="s">
        <v>2611</v>
      </c>
      <c r="H134" s="39" t="s">
        <v>2612</v>
      </c>
      <c r="I134" s="122"/>
      <c r="J134" s="32"/>
      <c r="K134" s="20">
        <v>10</v>
      </c>
      <c r="L134" s="21"/>
      <c r="M134" s="21">
        <f t="shared" ref="M134:M152" si="22">+J134+K134</f>
        <v>10</v>
      </c>
      <c r="N134" s="21">
        <f t="shared" ref="N134:N152" si="23">+I134-M134</f>
        <v>-10</v>
      </c>
      <c r="O134" s="21"/>
      <c r="P134" s="21"/>
      <c r="Q134" s="5"/>
      <c r="R134" s="21">
        <v>300</v>
      </c>
      <c r="S134" s="16"/>
      <c r="T134" s="21">
        <f t="shared" ref="T134:T152" si="24">+R134+S134</f>
        <v>300</v>
      </c>
      <c r="U134" s="21">
        <v>228</v>
      </c>
      <c r="V134" s="78">
        <f>+U134-T134+O134+P134</f>
        <v>-72</v>
      </c>
      <c r="W134" s="13"/>
      <c r="X134" s="333"/>
      <c r="Y134" s="5"/>
      <c r="AD134" s="59" t="s">
        <v>162</v>
      </c>
      <c r="AE134" s="18">
        <f>+AC134*1</f>
        <v>0</v>
      </c>
      <c r="AG134">
        <v>89</v>
      </c>
      <c r="AH134" s="59" t="s">
        <v>162</v>
      </c>
      <c r="AI134" s="18">
        <f>+AG134*1</f>
        <v>89</v>
      </c>
      <c r="AK134" s="16">
        <v>80</v>
      </c>
      <c r="AL134" s="16"/>
      <c r="AN134" s="59" t="s">
        <v>162</v>
      </c>
      <c r="AO134" s="18">
        <f>+AM134*1</f>
        <v>0</v>
      </c>
    </row>
    <row r="135" spans="1:41" x14ac:dyDescent="0.25">
      <c r="A135" s="26">
        <v>2</v>
      </c>
      <c r="B135" s="92">
        <v>45242</v>
      </c>
      <c r="C135" s="23">
        <v>0.4777777777777778</v>
      </c>
      <c r="D135" s="31" t="s">
        <v>1934</v>
      </c>
      <c r="E135" s="32">
        <v>5615394688</v>
      </c>
      <c r="F135" s="32" t="s">
        <v>2605</v>
      </c>
      <c r="G135" s="32" t="s">
        <v>1086</v>
      </c>
      <c r="H135" s="39" t="s">
        <v>2374</v>
      </c>
      <c r="I135" s="122">
        <v>80</v>
      </c>
      <c r="J135" s="32">
        <v>60</v>
      </c>
      <c r="K135" s="20">
        <v>20</v>
      </c>
      <c r="L135" s="21"/>
      <c r="M135" s="21">
        <f t="shared" si="22"/>
        <v>80</v>
      </c>
      <c r="N135" s="21">
        <f t="shared" si="23"/>
        <v>0</v>
      </c>
      <c r="O135" s="21">
        <v>80</v>
      </c>
      <c r="P135" s="21"/>
      <c r="Q135" s="5"/>
      <c r="R135" s="21">
        <v>60</v>
      </c>
      <c r="S135" s="16"/>
      <c r="T135" s="21">
        <f t="shared" si="24"/>
        <v>60</v>
      </c>
      <c r="U135" s="21"/>
      <c r="V135" s="78">
        <f t="shared" ref="V135:V152" si="25">+U135-T135+O135+P135</f>
        <v>20</v>
      </c>
      <c r="W135" s="140"/>
      <c r="X135" s="334"/>
      <c r="Y135" s="5"/>
      <c r="AD135" s="16" t="s">
        <v>163</v>
      </c>
      <c r="AE135" s="60">
        <f>+AC135*5</f>
        <v>0</v>
      </c>
      <c r="AG135">
        <v>56</v>
      </c>
      <c r="AH135" s="16" t="s">
        <v>163</v>
      </c>
      <c r="AI135" s="60">
        <f>+AG135*5</f>
        <v>280</v>
      </c>
      <c r="AK135" s="16">
        <v>240</v>
      </c>
      <c r="AL135" s="16"/>
      <c r="AN135" s="16" t="s">
        <v>163</v>
      </c>
      <c r="AO135" s="60">
        <f>+AM135*5</f>
        <v>0</v>
      </c>
    </row>
    <row r="136" spans="1:41" x14ac:dyDescent="0.25">
      <c r="A136" s="143">
        <v>3</v>
      </c>
      <c r="B136" s="92">
        <v>45242</v>
      </c>
      <c r="C136" s="23">
        <v>0.48472222222222222</v>
      </c>
      <c r="D136" s="31" t="s">
        <v>30</v>
      </c>
      <c r="E136" s="32">
        <v>5537803548</v>
      </c>
      <c r="F136" s="32" t="s">
        <v>106</v>
      </c>
      <c r="G136" s="32" t="s">
        <v>2613</v>
      </c>
      <c r="H136" s="39" t="s">
        <v>2614</v>
      </c>
      <c r="I136" s="122">
        <v>500</v>
      </c>
      <c r="J136" s="32">
        <v>216</v>
      </c>
      <c r="K136" s="20">
        <v>10</v>
      </c>
      <c r="L136" s="21">
        <v>24</v>
      </c>
      <c r="M136" s="21">
        <f t="shared" si="22"/>
        <v>226</v>
      </c>
      <c r="N136" s="21">
        <f t="shared" si="23"/>
        <v>274</v>
      </c>
      <c r="O136" s="21"/>
      <c r="P136" s="21"/>
      <c r="Q136" s="5"/>
      <c r="R136" s="21">
        <v>500</v>
      </c>
      <c r="S136" s="16"/>
      <c r="T136" s="21">
        <f t="shared" si="24"/>
        <v>500</v>
      </c>
      <c r="U136" s="21">
        <v>625</v>
      </c>
      <c r="V136" s="78">
        <f t="shared" si="25"/>
        <v>125</v>
      </c>
      <c r="W136" s="140"/>
      <c r="X136" s="334"/>
      <c r="Y136" s="5"/>
      <c r="AD136" s="16" t="s">
        <v>164</v>
      </c>
      <c r="AE136" s="18">
        <f>+AC136*200</f>
        <v>0</v>
      </c>
      <c r="AH136" s="16" t="s">
        <v>164</v>
      </c>
      <c r="AI136" s="18">
        <f>+AG136*200</f>
        <v>0</v>
      </c>
      <c r="AK136" s="16">
        <v>120</v>
      </c>
      <c r="AL136" s="16"/>
      <c r="AN136" s="16" t="s">
        <v>164</v>
      </c>
      <c r="AO136" s="18">
        <f>+AM136*200</f>
        <v>0</v>
      </c>
    </row>
    <row r="137" spans="1:41" x14ac:dyDescent="0.25">
      <c r="A137" s="143">
        <v>4</v>
      </c>
      <c r="B137" s="92">
        <v>45242</v>
      </c>
      <c r="C137" s="23">
        <v>0.52916666666666667</v>
      </c>
      <c r="D137" s="31" t="s">
        <v>2615</v>
      </c>
      <c r="E137" s="32">
        <v>5523163096</v>
      </c>
      <c r="F137" s="32" t="s">
        <v>2616</v>
      </c>
      <c r="G137" s="32" t="s">
        <v>2618</v>
      </c>
      <c r="H137" s="39" t="s">
        <v>2617</v>
      </c>
      <c r="I137" s="122">
        <v>108</v>
      </c>
      <c r="J137" s="32">
        <v>195</v>
      </c>
      <c r="K137" s="20">
        <v>13</v>
      </c>
      <c r="L137" s="21">
        <v>20</v>
      </c>
      <c r="M137" s="21">
        <f t="shared" si="22"/>
        <v>208</v>
      </c>
      <c r="N137" s="21">
        <f t="shared" si="23"/>
        <v>-100</v>
      </c>
      <c r="O137" s="21"/>
      <c r="P137" s="21"/>
      <c r="Q137" s="5"/>
      <c r="R137" s="21"/>
      <c r="S137" s="16"/>
      <c r="T137" s="21">
        <f t="shared" si="24"/>
        <v>0</v>
      </c>
      <c r="U137" s="21"/>
      <c r="V137" s="78">
        <f t="shared" si="25"/>
        <v>0</v>
      </c>
      <c r="W137" s="140"/>
      <c r="X137" s="334"/>
      <c r="Y137" s="5"/>
      <c r="AD137" s="16" t="s">
        <v>165</v>
      </c>
      <c r="AE137" s="18">
        <f>+AC137*100</f>
        <v>0</v>
      </c>
      <c r="AG137">
        <v>1</v>
      </c>
      <c r="AH137" s="16" t="s">
        <v>165</v>
      </c>
      <c r="AI137" s="18">
        <f>+AG137*100</f>
        <v>100</v>
      </c>
      <c r="AK137" s="16">
        <v>36</v>
      </c>
      <c r="AL137" s="16"/>
      <c r="AN137" s="16" t="s">
        <v>165</v>
      </c>
      <c r="AO137" s="18">
        <f>+AM137*100</f>
        <v>0</v>
      </c>
    </row>
    <row r="138" spans="1:41" x14ac:dyDescent="0.25">
      <c r="A138" s="143">
        <v>5</v>
      </c>
      <c r="B138" s="92">
        <v>45242</v>
      </c>
      <c r="C138" s="23">
        <v>0.625</v>
      </c>
      <c r="D138" s="31" t="s">
        <v>30</v>
      </c>
      <c r="E138" s="32">
        <v>5523163096</v>
      </c>
      <c r="F138" s="32" t="s">
        <v>106</v>
      </c>
      <c r="G138" s="32" t="s">
        <v>2619</v>
      </c>
      <c r="H138" s="32" t="s">
        <v>2622</v>
      </c>
      <c r="I138" s="122">
        <v>37</v>
      </c>
      <c r="J138" s="32">
        <v>26</v>
      </c>
      <c r="K138" s="20">
        <v>11</v>
      </c>
      <c r="L138" s="21"/>
      <c r="M138" s="21">
        <f t="shared" si="22"/>
        <v>37</v>
      </c>
      <c r="N138" s="21">
        <f t="shared" si="23"/>
        <v>0</v>
      </c>
      <c r="O138" s="21"/>
      <c r="P138" s="21"/>
      <c r="Q138" s="5"/>
      <c r="R138" s="16">
        <v>50</v>
      </c>
      <c r="S138" s="16"/>
      <c r="T138" s="21">
        <f t="shared" si="24"/>
        <v>50</v>
      </c>
      <c r="U138" s="21">
        <v>61</v>
      </c>
      <c r="V138" s="78">
        <f t="shared" si="25"/>
        <v>11</v>
      </c>
      <c r="W138" s="140"/>
      <c r="X138" s="334"/>
      <c r="Y138" s="5"/>
      <c r="AD138" s="16" t="s">
        <v>166</v>
      </c>
      <c r="AE138" s="18">
        <f>+AC138*50</f>
        <v>0</v>
      </c>
      <c r="AH138" s="16" t="s">
        <v>166</v>
      </c>
      <c r="AI138" s="18">
        <f>+AG138*50</f>
        <v>0</v>
      </c>
      <c r="AK138" s="16">
        <v>92</v>
      </c>
      <c r="AL138" s="16"/>
      <c r="AN138" s="16" t="s">
        <v>166</v>
      </c>
      <c r="AO138" s="18">
        <f>+AM138*50</f>
        <v>0</v>
      </c>
    </row>
    <row r="139" spans="1:41" x14ac:dyDescent="0.25">
      <c r="A139" s="143">
        <v>6</v>
      </c>
      <c r="B139" s="92">
        <v>45242</v>
      </c>
      <c r="C139" s="23">
        <v>0.62847222222222221</v>
      </c>
      <c r="D139" s="31" t="s">
        <v>447</v>
      </c>
      <c r="E139" s="32">
        <v>5522701719</v>
      </c>
      <c r="F139" s="32" t="s">
        <v>2620</v>
      </c>
      <c r="G139" s="32" t="s">
        <v>2621</v>
      </c>
      <c r="H139" s="39" t="s">
        <v>2623</v>
      </c>
      <c r="I139" s="39">
        <v>0</v>
      </c>
      <c r="J139" s="42">
        <v>685</v>
      </c>
      <c r="K139" s="20">
        <v>20</v>
      </c>
      <c r="L139" s="21"/>
      <c r="M139" s="21">
        <f t="shared" si="22"/>
        <v>705</v>
      </c>
      <c r="N139" s="21">
        <f t="shared" si="23"/>
        <v>-705</v>
      </c>
      <c r="O139" s="21"/>
      <c r="P139" s="21"/>
      <c r="Q139" s="5"/>
      <c r="R139" s="16"/>
      <c r="S139" s="16"/>
      <c r="T139" s="21">
        <f t="shared" si="24"/>
        <v>0</v>
      </c>
      <c r="U139" s="16"/>
      <c r="V139" s="78">
        <v>20</v>
      </c>
      <c r="W139" s="140"/>
      <c r="X139" s="334"/>
      <c r="Y139" s="5"/>
      <c r="AD139" s="16" t="s">
        <v>167</v>
      </c>
      <c r="AE139" s="18">
        <f>+AC139*20</f>
        <v>0</v>
      </c>
      <c r="AH139" s="16" t="s">
        <v>167</v>
      </c>
      <c r="AI139" s="18">
        <f>+AG139*20</f>
        <v>0</v>
      </c>
      <c r="AK139" s="16"/>
      <c r="AL139" s="16"/>
      <c r="AN139" s="16" t="s">
        <v>167</v>
      </c>
      <c r="AO139" s="18">
        <f>+AM139*20</f>
        <v>0</v>
      </c>
    </row>
    <row r="140" spans="1:41" x14ac:dyDescent="0.25">
      <c r="A140" s="143">
        <v>7</v>
      </c>
      <c r="B140" s="92">
        <v>45242</v>
      </c>
      <c r="C140" s="23" t="s">
        <v>2624</v>
      </c>
      <c r="D140" s="31" t="s">
        <v>2625</v>
      </c>
      <c r="E140" s="32">
        <v>5559912411</v>
      </c>
      <c r="F140" s="32" t="s">
        <v>2273</v>
      </c>
      <c r="G140" s="32" t="s">
        <v>2626</v>
      </c>
      <c r="H140" s="39" t="s">
        <v>2627</v>
      </c>
      <c r="I140" s="122">
        <v>100</v>
      </c>
      <c r="J140" s="42">
        <v>69</v>
      </c>
      <c r="K140" s="20">
        <v>10</v>
      </c>
      <c r="L140" s="21">
        <v>5</v>
      </c>
      <c r="M140" s="21">
        <f t="shared" si="22"/>
        <v>79</v>
      </c>
      <c r="N140" s="21">
        <f t="shared" si="23"/>
        <v>21</v>
      </c>
      <c r="O140" s="21"/>
      <c r="P140" s="21"/>
      <c r="Q140" s="5"/>
      <c r="R140" s="16">
        <v>100</v>
      </c>
      <c r="S140" s="16"/>
      <c r="T140" s="21">
        <f t="shared" si="24"/>
        <v>100</v>
      </c>
      <c r="U140" s="16">
        <v>115</v>
      </c>
      <c r="V140" s="78">
        <f t="shared" si="25"/>
        <v>15</v>
      </c>
      <c r="W140" s="140"/>
      <c r="X140" s="334"/>
      <c r="Y140" s="5"/>
      <c r="AD140" s="16" t="s">
        <v>171</v>
      </c>
      <c r="AE140" s="18">
        <f>+AC140*500</f>
        <v>0</v>
      </c>
      <c r="AH140" s="16" t="s">
        <v>171</v>
      </c>
      <c r="AI140" s="18">
        <f>+AG140*500</f>
        <v>0</v>
      </c>
      <c r="AK140" s="16"/>
      <c r="AL140" s="16"/>
      <c r="AN140" s="16" t="s">
        <v>171</v>
      </c>
      <c r="AO140" s="18">
        <f>+AM140*500</f>
        <v>0</v>
      </c>
    </row>
    <row r="141" spans="1:41" x14ac:dyDescent="0.25">
      <c r="A141" s="143">
        <v>8</v>
      </c>
      <c r="B141" s="92">
        <v>45242</v>
      </c>
      <c r="C141" s="23"/>
      <c r="D141" s="31" t="s">
        <v>2628</v>
      </c>
      <c r="E141" s="123"/>
      <c r="F141" s="123"/>
      <c r="G141" s="123"/>
      <c r="H141" s="39" t="s">
        <v>2630</v>
      </c>
      <c r="I141" s="122">
        <v>500</v>
      </c>
      <c r="J141" s="32">
        <v>63</v>
      </c>
      <c r="K141" s="20">
        <v>13</v>
      </c>
      <c r="L141" s="21"/>
      <c r="M141" s="21">
        <f t="shared" si="22"/>
        <v>76</v>
      </c>
      <c r="N141" s="21">
        <f t="shared" si="23"/>
        <v>424</v>
      </c>
      <c r="O141" s="21"/>
      <c r="P141" s="21"/>
      <c r="Q141" s="5"/>
      <c r="R141" s="16">
        <v>150</v>
      </c>
      <c r="S141" s="16"/>
      <c r="T141" s="21">
        <f t="shared" si="24"/>
        <v>150</v>
      </c>
      <c r="U141" s="16">
        <v>173</v>
      </c>
      <c r="V141" s="78">
        <f t="shared" si="25"/>
        <v>23</v>
      </c>
      <c r="W141" s="140"/>
      <c r="X141" s="334"/>
      <c r="Y141" s="5"/>
      <c r="AD141" s="16" t="s">
        <v>168</v>
      </c>
      <c r="AE141" s="18">
        <f>+AC141*1000</f>
        <v>0</v>
      </c>
      <c r="AH141" s="16" t="s">
        <v>168</v>
      </c>
      <c r="AI141" s="18">
        <f>+AG141*1000</f>
        <v>0</v>
      </c>
      <c r="AK141" s="16"/>
      <c r="AL141" s="16"/>
      <c r="AN141" s="16" t="s">
        <v>168</v>
      </c>
      <c r="AO141" s="18">
        <f>+AM141*1000</f>
        <v>0</v>
      </c>
    </row>
    <row r="142" spans="1:41" x14ac:dyDescent="0.25">
      <c r="A142" s="143">
        <v>9</v>
      </c>
      <c r="B142" s="92">
        <v>45242</v>
      </c>
      <c r="C142" s="23"/>
      <c r="D142" s="31" t="s">
        <v>1311</v>
      </c>
      <c r="E142" s="32"/>
      <c r="F142" s="32"/>
      <c r="G142" s="32"/>
      <c r="H142" s="39" t="s">
        <v>2629</v>
      </c>
      <c r="I142" s="39"/>
      <c r="J142" s="40">
        <v>220</v>
      </c>
      <c r="K142" s="20">
        <v>10</v>
      </c>
      <c r="L142" s="21"/>
      <c r="M142" s="21">
        <f t="shared" si="22"/>
        <v>230</v>
      </c>
      <c r="N142" s="21">
        <f t="shared" si="23"/>
        <v>-230</v>
      </c>
      <c r="O142" s="21"/>
      <c r="P142" s="21"/>
      <c r="Q142" s="5"/>
      <c r="R142" s="16">
        <v>220</v>
      </c>
      <c r="S142" s="16"/>
      <c r="T142" s="21">
        <f t="shared" si="24"/>
        <v>220</v>
      </c>
      <c r="U142" s="16">
        <v>250</v>
      </c>
      <c r="V142" s="78">
        <f t="shared" si="25"/>
        <v>30</v>
      </c>
      <c r="W142" s="140"/>
      <c r="X142" s="334"/>
      <c r="Y142" s="5"/>
      <c r="AD142" s="26"/>
      <c r="AE142" s="58"/>
      <c r="AH142" s="26"/>
      <c r="AI142" s="58"/>
      <c r="AK142" s="16"/>
      <c r="AL142" s="16"/>
      <c r="AN142" s="26"/>
      <c r="AO142" s="58"/>
    </row>
    <row r="143" spans="1:41" x14ac:dyDescent="0.25">
      <c r="A143" s="143">
        <v>10</v>
      </c>
      <c r="B143" s="92">
        <v>45242</v>
      </c>
      <c r="C143" s="23"/>
      <c r="D143" s="31" t="s">
        <v>30</v>
      </c>
      <c r="E143" s="32"/>
      <c r="F143" s="32"/>
      <c r="G143" s="32"/>
      <c r="H143" s="39" t="s">
        <v>2633</v>
      </c>
      <c r="I143" s="122">
        <v>156</v>
      </c>
      <c r="J143" s="42">
        <v>90</v>
      </c>
      <c r="K143" s="20">
        <v>10</v>
      </c>
      <c r="L143" s="21"/>
      <c r="M143" s="21">
        <f t="shared" si="22"/>
        <v>100</v>
      </c>
      <c r="N143" s="21">
        <f t="shared" si="23"/>
        <v>56</v>
      </c>
      <c r="O143" s="21">
        <f>120+36</f>
        <v>156</v>
      </c>
      <c r="P143" s="21"/>
      <c r="Q143" s="5"/>
      <c r="R143" s="16">
        <v>100</v>
      </c>
      <c r="S143" s="16"/>
      <c r="T143" s="21">
        <f t="shared" si="24"/>
        <v>100</v>
      </c>
      <c r="U143" s="16"/>
      <c r="V143" s="78">
        <f t="shared" si="25"/>
        <v>56</v>
      </c>
      <c r="W143" s="140"/>
      <c r="X143" s="334"/>
      <c r="Y143" s="5"/>
      <c r="AD143" s="16" t="s">
        <v>169</v>
      </c>
      <c r="AE143" s="18">
        <f>SUM(AE133:AE142)</f>
        <v>0</v>
      </c>
      <c r="AH143" s="16" t="s">
        <v>169</v>
      </c>
      <c r="AI143" s="18">
        <f>SUM(AI133:AI142)</f>
        <v>619</v>
      </c>
      <c r="AK143" s="16"/>
      <c r="AL143" s="16"/>
      <c r="AN143" s="16" t="s">
        <v>169</v>
      </c>
      <c r="AO143" s="18"/>
    </row>
    <row r="144" spans="1:41" x14ac:dyDescent="0.25">
      <c r="A144" s="143">
        <v>11</v>
      </c>
      <c r="B144" s="92">
        <v>45242</v>
      </c>
      <c r="C144" s="23"/>
      <c r="D144" s="31" t="s">
        <v>2058</v>
      </c>
      <c r="E144" s="124"/>
      <c r="F144" s="123"/>
      <c r="G144" s="123"/>
      <c r="H144" s="39" t="s">
        <v>2632</v>
      </c>
      <c r="I144" s="122">
        <v>100</v>
      </c>
      <c r="J144" s="42">
        <v>56</v>
      </c>
      <c r="K144" s="20">
        <v>10</v>
      </c>
      <c r="L144" s="21"/>
      <c r="M144" s="21">
        <f t="shared" si="22"/>
        <v>66</v>
      </c>
      <c r="N144" s="21">
        <f t="shared" si="23"/>
        <v>34</v>
      </c>
      <c r="O144" s="21"/>
      <c r="P144" s="21"/>
      <c r="Q144" s="5"/>
      <c r="R144" s="16"/>
      <c r="S144" s="16"/>
      <c r="T144" s="21">
        <f t="shared" si="24"/>
        <v>0</v>
      </c>
      <c r="U144" s="16">
        <v>10</v>
      </c>
      <c r="V144" s="78">
        <f t="shared" si="25"/>
        <v>10</v>
      </c>
      <c r="W144" s="140"/>
      <c r="X144" s="334"/>
      <c r="Y144" s="5"/>
      <c r="AK144" s="16"/>
      <c r="AL144" s="16"/>
      <c r="AN144" s="16"/>
      <c r="AO144" s="16"/>
    </row>
    <row r="145" spans="1:41" x14ac:dyDescent="0.25">
      <c r="A145" s="143">
        <v>12</v>
      </c>
      <c r="B145" s="92">
        <v>45242</v>
      </c>
      <c r="C145" s="23"/>
      <c r="D145" s="32" t="s">
        <v>2631</v>
      </c>
      <c r="E145" s="32"/>
      <c r="F145" s="124"/>
      <c r="G145" s="123"/>
      <c r="H145" s="39" t="s">
        <v>2634</v>
      </c>
      <c r="I145" s="39"/>
      <c r="J145" s="42">
        <v>82</v>
      </c>
      <c r="K145" s="20">
        <v>10</v>
      </c>
      <c r="L145" s="21">
        <v>12</v>
      </c>
      <c r="M145" s="21">
        <f t="shared" si="22"/>
        <v>92</v>
      </c>
      <c r="N145" s="21">
        <f t="shared" si="23"/>
        <v>-92</v>
      </c>
      <c r="O145" s="21"/>
      <c r="P145" s="21"/>
      <c r="Q145" s="5"/>
      <c r="R145" s="45"/>
      <c r="S145" s="44"/>
      <c r="T145" s="21">
        <f t="shared" si="24"/>
        <v>0</v>
      </c>
      <c r="U145" s="45">
        <v>10</v>
      </c>
      <c r="V145" s="78">
        <f t="shared" si="25"/>
        <v>10</v>
      </c>
      <c r="W145" s="140"/>
      <c r="X145" s="334"/>
      <c r="Y145" s="5"/>
      <c r="AK145" s="63" t="s">
        <v>169</v>
      </c>
      <c r="AL145" s="63">
        <f>+SUM(AK134:AK144)-SUM(AL134:AL144)</f>
        <v>568</v>
      </c>
      <c r="AN145" s="63" t="s">
        <v>169</v>
      </c>
      <c r="AO145" s="85">
        <f>+SUM(AN133:AN144)-SUM(AO134:AO144)</f>
        <v>0</v>
      </c>
    </row>
    <row r="146" spans="1:41" x14ac:dyDescent="0.25">
      <c r="A146" s="143">
        <v>13</v>
      </c>
      <c r="B146" s="92">
        <v>45242</v>
      </c>
      <c r="C146" s="23"/>
      <c r="D146" s="31"/>
      <c r="E146" s="32"/>
      <c r="F146" s="32"/>
      <c r="G146" s="32"/>
      <c r="H146" s="39"/>
      <c r="I146" s="39"/>
      <c r="J146" s="42"/>
      <c r="K146" s="108">
        <v>10</v>
      </c>
      <c r="L146" s="21"/>
      <c r="M146" s="21">
        <f t="shared" si="22"/>
        <v>10</v>
      </c>
      <c r="N146" s="21">
        <f t="shared" si="23"/>
        <v>-10</v>
      </c>
      <c r="O146" s="21"/>
      <c r="P146" s="21"/>
      <c r="Q146" s="5"/>
      <c r="R146" s="43"/>
      <c r="S146" s="32"/>
      <c r="T146" s="21">
        <f t="shared" si="24"/>
        <v>0</v>
      </c>
      <c r="U146" s="43"/>
      <c r="V146" s="78">
        <f t="shared" si="25"/>
        <v>0</v>
      </c>
      <c r="W146" s="140"/>
      <c r="X146" s="334"/>
      <c r="Y146" s="5"/>
      <c r="AI146" s="83"/>
    </row>
    <row r="147" spans="1:41" x14ac:dyDescent="0.25">
      <c r="A147" s="143">
        <v>14</v>
      </c>
      <c r="B147" s="92">
        <v>45242</v>
      </c>
      <c r="C147" s="23"/>
      <c r="D147" s="31"/>
      <c r="E147" s="32"/>
      <c r="F147" s="32"/>
      <c r="G147" s="32"/>
      <c r="H147" s="39"/>
      <c r="I147" s="39"/>
      <c r="J147" s="42"/>
      <c r="K147" s="108">
        <v>10</v>
      </c>
      <c r="L147" s="21"/>
      <c r="M147" s="21">
        <f t="shared" si="22"/>
        <v>10</v>
      </c>
      <c r="N147" s="21">
        <f t="shared" si="23"/>
        <v>-10</v>
      </c>
      <c r="O147" s="21"/>
      <c r="P147" s="21"/>
      <c r="Q147" s="5"/>
      <c r="R147" s="43"/>
      <c r="S147" s="43"/>
      <c r="T147" s="21">
        <f t="shared" si="24"/>
        <v>0</v>
      </c>
      <c r="U147" s="43"/>
      <c r="V147" s="78">
        <f t="shared" si="25"/>
        <v>0</v>
      </c>
      <c r="W147" s="140"/>
      <c r="X147" s="334"/>
      <c r="Y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</row>
    <row r="148" spans="1:41" x14ac:dyDescent="0.25">
      <c r="A148" s="143">
        <v>15</v>
      </c>
      <c r="B148" s="92">
        <v>45242</v>
      </c>
      <c r="C148" s="23"/>
      <c r="D148" s="127"/>
      <c r="E148" s="32"/>
      <c r="F148" s="32"/>
      <c r="G148" s="128"/>
      <c r="H148" s="129"/>
      <c r="I148" s="39"/>
      <c r="J148" s="42"/>
      <c r="K148" s="108">
        <v>10</v>
      </c>
      <c r="L148" s="21"/>
      <c r="M148" s="21">
        <f t="shared" si="22"/>
        <v>10</v>
      </c>
      <c r="N148" s="21">
        <f t="shared" si="23"/>
        <v>-10</v>
      </c>
      <c r="O148" s="21"/>
      <c r="P148" s="21"/>
      <c r="Q148" s="5"/>
      <c r="R148" s="43"/>
      <c r="S148" s="43"/>
      <c r="T148" s="21">
        <f t="shared" si="24"/>
        <v>0</v>
      </c>
      <c r="U148" s="43"/>
      <c r="V148" s="78">
        <f t="shared" si="25"/>
        <v>0</v>
      </c>
      <c r="W148" s="140"/>
      <c r="X148" s="334"/>
      <c r="Y148" s="5"/>
      <c r="AD148" s="5"/>
      <c r="AE148" s="134" t="s">
        <v>20</v>
      </c>
      <c r="AF148" s="338"/>
      <c r="AG148" s="341" t="s">
        <v>686</v>
      </c>
      <c r="AH148" s="134" t="s">
        <v>20</v>
      </c>
      <c r="AI148" s="338"/>
      <c r="AJ148" s="341" t="s">
        <v>687</v>
      </c>
      <c r="AK148" s="134" t="s">
        <v>20</v>
      </c>
      <c r="AL148" s="338"/>
      <c r="AM148" s="5"/>
    </row>
    <row r="149" spans="1:41" x14ac:dyDescent="0.25">
      <c r="A149" s="143">
        <v>16</v>
      </c>
      <c r="B149" s="92">
        <v>45242</v>
      </c>
      <c r="C149" s="23"/>
      <c r="D149" s="31"/>
      <c r="E149" s="32"/>
      <c r="F149" s="32"/>
      <c r="G149" s="32"/>
      <c r="H149" s="39"/>
      <c r="I149" s="39"/>
      <c r="J149" s="42"/>
      <c r="K149" s="43">
        <v>10</v>
      </c>
      <c r="L149" s="21"/>
      <c r="M149" s="21">
        <f t="shared" si="22"/>
        <v>10</v>
      </c>
      <c r="N149" s="21">
        <f t="shared" si="23"/>
        <v>-10</v>
      </c>
      <c r="O149" s="21"/>
      <c r="P149" s="21"/>
      <c r="Q149" s="5"/>
      <c r="R149" s="43"/>
      <c r="S149" s="32"/>
      <c r="T149" s="21">
        <f t="shared" si="24"/>
        <v>0</v>
      </c>
      <c r="U149" s="131"/>
      <c r="V149" s="78">
        <f t="shared" si="25"/>
        <v>0</v>
      </c>
      <c r="W149" s="140"/>
      <c r="X149" s="334"/>
      <c r="Y149" s="5"/>
      <c r="AD149" s="5" t="s">
        <v>685</v>
      </c>
      <c r="AE149" s="115" t="s">
        <v>684</v>
      </c>
      <c r="AF149" s="339"/>
      <c r="AG149" s="341"/>
      <c r="AH149" s="115" t="s">
        <v>684</v>
      </c>
      <c r="AI149" s="339"/>
      <c r="AJ149" s="341"/>
      <c r="AK149" s="115" t="s">
        <v>684</v>
      </c>
      <c r="AL149" s="339"/>
      <c r="AM149" s="5"/>
    </row>
    <row r="150" spans="1:41" x14ac:dyDescent="0.25">
      <c r="A150" s="143">
        <v>17</v>
      </c>
      <c r="B150" s="92">
        <v>45242</v>
      </c>
      <c r="C150" s="23"/>
      <c r="D150" s="31"/>
      <c r="E150" s="32"/>
      <c r="F150" s="32"/>
      <c r="G150" s="32"/>
      <c r="H150" s="39"/>
      <c r="I150" s="39"/>
      <c r="J150" s="42"/>
      <c r="K150" s="43">
        <v>10</v>
      </c>
      <c r="L150" s="21"/>
      <c r="M150" s="21">
        <f t="shared" si="22"/>
        <v>10</v>
      </c>
      <c r="N150" s="21">
        <f t="shared" si="23"/>
        <v>-10</v>
      </c>
      <c r="O150" s="21"/>
      <c r="P150" s="21"/>
      <c r="Q150" s="5"/>
      <c r="R150" s="43"/>
      <c r="S150" s="32"/>
      <c r="T150" s="21">
        <f t="shared" si="24"/>
        <v>0</v>
      </c>
      <c r="U150" s="132"/>
      <c r="V150" s="78">
        <f t="shared" si="25"/>
        <v>0</v>
      </c>
      <c r="W150" s="140"/>
      <c r="X150" s="340"/>
      <c r="Y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</row>
    <row r="151" spans="1:41" x14ac:dyDescent="0.25">
      <c r="A151" s="143">
        <v>18</v>
      </c>
      <c r="B151" s="92">
        <v>45242</v>
      </c>
      <c r="C151" s="32"/>
      <c r="D151" s="31"/>
      <c r="E151" s="32"/>
      <c r="F151" s="32"/>
      <c r="G151" s="32"/>
      <c r="H151" s="39"/>
      <c r="I151" s="39"/>
      <c r="J151" s="42"/>
      <c r="K151" s="43">
        <v>10</v>
      </c>
      <c r="L151" s="21"/>
      <c r="M151" s="21">
        <f t="shared" si="22"/>
        <v>10</v>
      </c>
      <c r="N151" s="21">
        <f t="shared" si="23"/>
        <v>-10</v>
      </c>
      <c r="O151" s="21"/>
      <c r="P151" s="21"/>
      <c r="Q151" s="5"/>
      <c r="R151" s="135"/>
      <c r="S151" s="104"/>
      <c r="T151" s="21">
        <f t="shared" si="24"/>
        <v>0</v>
      </c>
      <c r="U151" s="131"/>
      <c r="V151" s="78">
        <f t="shared" si="25"/>
        <v>0</v>
      </c>
      <c r="W151" s="140"/>
      <c r="Y151" s="5"/>
    </row>
    <row r="152" spans="1:41" x14ac:dyDescent="0.25">
      <c r="A152" s="143">
        <v>19</v>
      </c>
      <c r="B152" s="92">
        <v>45242</v>
      </c>
      <c r="C152" s="32"/>
      <c r="D152" s="31"/>
      <c r="E152" s="32"/>
      <c r="F152" s="32"/>
      <c r="G152" s="32"/>
      <c r="H152" s="39"/>
      <c r="I152" s="39"/>
      <c r="J152" s="42"/>
      <c r="K152" s="43">
        <v>10</v>
      </c>
      <c r="L152" s="21"/>
      <c r="M152" s="21">
        <f t="shared" si="22"/>
        <v>10</v>
      </c>
      <c r="N152" s="21">
        <f t="shared" si="23"/>
        <v>-10</v>
      </c>
      <c r="O152" s="21"/>
      <c r="P152" s="21"/>
      <c r="Q152" s="5"/>
      <c r="R152" s="32"/>
      <c r="S152" s="32"/>
      <c r="T152" s="21">
        <f t="shared" si="24"/>
        <v>0</v>
      </c>
      <c r="U152" s="32"/>
      <c r="V152" s="78">
        <f t="shared" si="25"/>
        <v>0</v>
      </c>
      <c r="W152" s="140"/>
      <c r="Y152" s="5"/>
    </row>
    <row r="153" spans="1:4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141"/>
      <c r="X153" s="5"/>
      <c r="Y153" s="5"/>
    </row>
  </sheetData>
  <mergeCells count="66">
    <mergeCell ref="AL148:AL149"/>
    <mergeCell ref="X134:X150"/>
    <mergeCell ref="AF148:AF149"/>
    <mergeCell ref="AG148:AG149"/>
    <mergeCell ref="AI148:AI149"/>
    <mergeCell ref="AJ148:AJ149"/>
    <mergeCell ref="T132:U132"/>
    <mergeCell ref="AD132:AE132"/>
    <mergeCell ref="AH132:AI132"/>
    <mergeCell ref="AK132:AL132"/>
    <mergeCell ref="AN132:AO132"/>
    <mergeCell ref="AL122:AL123"/>
    <mergeCell ref="X108:X124"/>
    <mergeCell ref="AF122:AF123"/>
    <mergeCell ref="AG122:AG123"/>
    <mergeCell ref="AI122:AI123"/>
    <mergeCell ref="AJ122:AJ123"/>
    <mergeCell ref="T106:U106"/>
    <mergeCell ref="AD106:AE106"/>
    <mergeCell ref="AH106:AI106"/>
    <mergeCell ref="AK106:AL106"/>
    <mergeCell ref="AN106:AO106"/>
    <mergeCell ref="AK45:AK46"/>
    <mergeCell ref="Y31:Y47"/>
    <mergeCell ref="AE45:AE46"/>
    <mergeCell ref="AF45:AF46"/>
    <mergeCell ref="AH45:AH46"/>
    <mergeCell ref="AI45:AI46"/>
    <mergeCell ref="S29:T29"/>
    <mergeCell ref="AC29:AD29"/>
    <mergeCell ref="AG29:AH29"/>
    <mergeCell ref="AJ29:AK29"/>
    <mergeCell ref="AM29:AN29"/>
    <mergeCell ref="AL2:AM2"/>
    <mergeCell ref="AD18:AD19"/>
    <mergeCell ref="AE18:AE19"/>
    <mergeCell ref="AG18:AG19"/>
    <mergeCell ref="AH18:AH19"/>
    <mergeCell ref="AJ18:AJ19"/>
    <mergeCell ref="S1:T1"/>
    <mergeCell ref="Y3:Y19"/>
    <mergeCell ref="AB2:AC2"/>
    <mergeCell ref="AF2:AG2"/>
    <mergeCell ref="AI2:AJ2"/>
    <mergeCell ref="T55:U55"/>
    <mergeCell ref="AD55:AE55"/>
    <mergeCell ref="AH55:AI55"/>
    <mergeCell ref="AK55:AL55"/>
    <mergeCell ref="AN55:AO55"/>
    <mergeCell ref="AL71:AL72"/>
    <mergeCell ref="X57:X73"/>
    <mergeCell ref="AF71:AF72"/>
    <mergeCell ref="AG71:AG72"/>
    <mergeCell ref="AI71:AI72"/>
    <mergeCell ref="AJ71:AJ72"/>
    <mergeCell ref="T82:U82"/>
    <mergeCell ref="AD82:AE82"/>
    <mergeCell ref="AH82:AI82"/>
    <mergeCell ref="AK82:AL82"/>
    <mergeCell ref="AN82:AO82"/>
    <mergeCell ref="AL98:AL99"/>
    <mergeCell ref="X84:X100"/>
    <mergeCell ref="AF98:AF99"/>
    <mergeCell ref="AG98:AG99"/>
    <mergeCell ref="AI98:AI99"/>
    <mergeCell ref="AJ98:AJ99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6"/>
  <sheetViews>
    <sheetView topLeftCell="D108" workbookViewId="0">
      <selection activeCell="D116" sqref="D116"/>
    </sheetView>
  </sheetViews>
  <sheetFormatPr baseColWidth="10" defaultRowHeight="15" x14ac:dyDescent="0.25"/>
  <cols>
    <col min="3" max="3" width="12.42578125" bestFit="1" customWidth="1"/>
    <col min="4" max="4" width="18.7109375" bestFit="1" customWidth="1"/>
    <col min="5" max="5" width="14.5703125" bestFit="1" customWidth="1"/>
    <col min="27" max="27" width="14.7109375" customWidth="1"/>
  </cols>
  <sheetData>
    <row r="1" spans="1:41" x14ac:dyDescent="0.25">
      <c r="U1" s="83"/>
    </row>
    <row r="4" spans="1:41" x14ac:dyDescent="0.25">
      <c r="A4" s="1" t="s">
        <v>0</v>
      </c>
      <c r="B4" s="1"/>
      <c r="C4" s="1"/>
      <c r="D4" s="1"/>
      <c r="E4" s="1"/>
      <c r="F4" s="1"/>
      <c r="G4" s="1"/>
      <c r="H4" s="1"/>
      <c r="I4" s="1"/>
      <c r="J4" s="1" t="s">
        <v>148</v>
      </c>
      <c r="K4" s="1"/>
      <c r="L4" s="1"/>
      <c r="M4" s="1"/>
      <c r="N4" s="1"/>
      <c r="O4" s="1"/>
      <c r="P4" s="1"/>
      <c r="Q4" s="1"/>
      <c r="R4" s="1"/>
      <c r="S4" s="1"/>
      <c r="T4" s="342" t="s">
        <v>1</v>
      </c>
      <c r="U4" s="342"/>
      <c r="V4" s="5"/>
      <c r="W4" s="139"/>
      <c r="X4" s="1"/>
      <c r="Y4" s="5"/>
      <c r="AD4" s="335" t="s">
        <v>160</v>
      </c>
      <c r="AE4" s="336"/>
      <c r="AH4" s="335" t="s">
        <v>170</v>
      </c>
      <c r="AI4" s="336"/>
      <c r="AK4" s="337" t="s">
        <v>172</v>
      </c>
      <c r="AL4" s="337"/>
      <c r="AN4" s="337" t="s">
        <v>681</v>
      </c>
      <c r="AO4" s="337"/>
    </row>
    <row r="5" spans="1:41" ht="90" x14ac:dyDescent="0.25">
      <c r="A5" s="6" t="s">
        <v>2</v>
      </c>
      <c r="B5" s="7" t="s">
        <v>3</v>
      </c>
      <c r="C5" s="245" t="s">
        <v>688</v>
      </c>
      <c r="D5" s="7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8" t="s">
        <v>9</v>
      </c>
      <c r="J5" s="9" t="s">
        <v>10</v>
      </c>
      <c r="K5" s="8" t="s">
        <v>11</v>
      </c>
      <c r="L5" s="10" t="s">
        <v>12</v>
      </c>
      <c r="M5" s="10" t="s">
        <v>13</v>
      </c>
      <c r="N5" s="11" t="s">
        <v>14</v>
      </c>
      <c r="O5" s="10" t="s">
        <v>691</v>
      </c>
      <c r="P5" s="10" t="s">
        <v>28</v>
      </c>
      <c r="Q5" s="5"/>
      <c r="R5" s="10" t="s">
        <v>16</v>
      </c>
      <c r="S5" s="10" t="s">
        <v>17</v>
      </c>
      <c r="T5" s="10" t="s">
        <v>18</v>
      </c>
      <c r="U5" s="10" t="s">
        <v>19</v>
      </c>
      <c r="V5" s="10" t="s">
        <v>20</v>
      </c>
      <c r="W5" s="13"/>
      <c r="X5" s="15" t="s">
        <v>23</v>
      </c>
      <c r="Y5" s="5"/>
      <c r="AA5" s="251" t="s">
        <v>2554</v>
      </c>
      <c r="AC5">
        <v>14</v>
      </c>
      <c r="AD5" s="16" t="s">
        <v>161</v>
      </c>
      <c r="AE5" s="58">
        <f>+AC5*10</f>
        <v>140</v>
      </c>
      <c r="AG5">
        <v>17</v>
      </c>
      <c r="AH5" s="16" t="s">
        <v>161</v>
      </c>
      <c r="AI5" s="58">
        <f>+AG5*10</f>
        <v>170</v>
      </c>
      <c r="AK5" s="61" t="s">
        <v>173</v>
      </c>
      <c r="AL5" s="62" t="s">
        <v>174</v>
      </c>
      <c r="AN5" s="16" t="s">
        <v>161</v>
      </c>
      <c r="AO5" s="58">
        <f>+AM5*10</f>
        <v>0</v>
      </c>
    </row>
    <row r="6" spans="1:41" x14ac:dyDescent="0.25">
      <c r="A6" s="16">
        <v>1</v>
      </c>
      <c r="B6" s="92">
        <v>45243</v>
      </c>
      <c r="C6" s="23">
        <v>0.40625</v>
      </c>
      <c r="D6" s="31" t="s">
        <v>1755</v>
      </c>
      <c r="E6" s="32">
        <v>5535975295</v>
      </c>
      <c r="F6" s="32" t="s">
        <v>2636</v>
      </c>
      <c r="G6" s="39" t="s">
        <v>1351</v>
      </c>
      <c r="H6" s="39" t="s">
        <v>2635</v>
      </c>
      <c r="I6" s="122">
        <v>100</v>
      </c>
      <c r="J6" s="32">
        <v>50</v>
      </c>
      <c r="K6" s="20">
        <v>30</v>
      </c>
      <c r="L6" s="21">
        <v>20</v>
      </c>
      <c r="M6" s="21">
        <f t="shared" ref="M6:M24" si="0">+J6+K6</f>
        <v>80</v>
      </c>
      <c r="N6" s="21">
        <f t="shared" ref="N6:N24" si="1">+I6-M6</f>
        <v>20</v>
      </c>
      <c r="O6" s="21"/>
      <c r="P6" s="21"/>
      <c r="Q6" s="5"/>
      <c r="R6" s="21">
        <v>150</v>
      </c>
      <c r="S6" s="16"/>
      <c r="T6" s="21">
        <f t="shared" ref="T6:T24" si="2">+R6+S6</f>
        <v>150</v>
      </c>
      <c r="U6" s="21">
        <v>200</v>
      </c>
      <c r="V6" s="78">
        <f>+U6-T6+O6+P6</f>
        <v>50</v>
      </c>
      <c r="W6" s="13"/>
      <c r="X6" s="333"/>
      <c r="Y6" s="5"/>
      <c r="AA6">
        <v>619</v>
      </c>
      <c r="AC6">
        <v>69</v>
      </c>
      <c r="AD6" s="59" t="s">
        <v>162</v>
      </c>
      <c r="AE6" s="18">
        <f>+AC6*1</f>
        <v>69</v>
      </c>
      <c r="AG6">
        <v>112</v>
      </c>
      <c r="AH6" s="59" t="s">
        <v>162</v>
      </c>
      <c r="AI6" s="18">
        <f>+AG6*1</f>
        <v>112</v>
      </c>
      <c r="AK6" s="16"/>
      <c r="AL6" s="16"/>
      <c r="AN6" s="59" t="s">
        <v>162</v>
      </c>
      <c r="AO6" s="18">
        <f>+AM6*1</f>
        <v>0</v>
      </c>
    </row>
    <row r="7" spans="1:41" x14ac:dyDescent="0.25">
      <c r="A7" s="26">
        <v>2</v>
      </c>
      <c r="B7" s="92">
        <v>45243</v>
      </c>
      <c r="C7" s="23">
        <v>0.4993055555555555</v>
      </c>
      <c r="D7" s="31" t="s">
        <v>2267</v>
      </c>
      <c r="E7" s="32">
        <v>5579945373</v>
      </c>
      <c r="F7" s="32" t="s">
        <v>106</v>
      </c>
      <c r="G7" s="32" t="s">
        <v>2645</v>
      </c>
      <c r="H7" s="39" t="s">
        <v>2646</v>
      </c>
      <c r="I7" s="122">
        <v>200</v>
      </c>
      <c r="J7" s="32">
        <v>122</v>
      </c>
      <c r="K7" s="20">
        <v>14</v>
      </c>
      <c r="L7" s="21">
        <v>10</v>
      </c>
      <c r="M7" s="21">
        <f t="shared" si="0"/>
        <v>136</v>
      </c>
      <c r="N7" s="21">
        <f t="shared" si="1"/>
        <v>64</v>
      </c>
      <c r="O7" s="21">
        <v>136</v>
      </c>
      <c r="P7" s="21"/>
      <c r="Q7" s="5"/>
      <c r="R7" s="21">
        <v>500</v>
      </c>
      <c r="S7" s="16"/>
      <c r="T7" s="21">
        <f t="shared" si="2"/>
        <v>500</v>
      </c>
      <c r="U7" s="21">
        <v>398</v>
      </c>
      <c r="V7" s="78">
        <f>+U7-T7+O7+P7</f>
        <v>34</v>
      </c>
      <c r="W7" s="140"/>
      <c r="X7" s="334"/>
      <c r="Y7" s="5"/>
      <c r="AA7" s="83">
        <f>+AE15-600</f>
        <v>449</v>
      </c>
      <c r="AC7">
        <v>48</v>
      </c>
      <c r="AD7" s="16" t="s">
        <v>163</v>
      </c>
      <c r="AE7" s="60">
        <f>+AC7*5</f>
        <v>240</v>
      </c>
      <c r="AG7">
        <v>78</v>
      </c>
      <c r="AH7" s="16" t="s">
        <v>163</v>
      </c>
      <c r="AI7" s="60">
        <f>+AG7*5</f>
        <v>390</v>
      </c>
      <c r="AK7" s="16"/>
      <c r="AL7" s="16"/>
      <c r="AN7" s="16" t="s">
        <v>163</v>
      </c>
      <c r="AO7" s="60">
        <f>+AM7*5</f>
        <v>0</v>
      </c>
    </row>
    <row r="8" spans="1:41" x14ac:dyDescent="0.25">
      <c r="A8" s="143">
        <v>3</v>
      </c>
      <c r="B8" s="92">
        <v>45243</v>
      </c>
      <c r="C8" s="23">
        <v>0.53402777777777777</v>
      </c>
      <c r="D8" s="31" t="s">
        <v>2045</v>
      </c>
      <c r="E8" s="32">
        <v>5529573104</v>
      </c>
      <c r="F8" s="32" t="s">
        <v>2647</v>
      </c>
      <c r="G8" s="32" t="s">
        <v>126</v>
      </c>
      <c r="H8" s="39" t="s">
        <v>2648</v>
      </c>
      <c r="I8" s="122">
        <v>200</v>
      </c>
      <c r="J8" s="32">
        <v>80</v>
      </c>
      <c r="K8" s="20">
        <v>10</v>
      </c>
      <c r="L8" s="21">
        <v>10</v>
      </c>
      <c r="M8" s="21">
        <f t="shared" si="0"/>
        <v>90</v>
      </c>
      <c r="N8" s="21">
        <f t="shared" si="1"/>
        <v>110</v>
      </c>
      <c r="O8" s="21"/>
      <c r="P8" s="21"/>
      <c r="Q8" s="5"/>
      <c r="R8" s="21"/>
      <c r="S8" s="16"/>
      <c r="T8" s="21">
        <f t="shared" si="2"/>
        <v>0</v>
      </c>
      <c r="U8" s="21">
        <v>20</v>
      </c>
      <c r="V8" s="78">
        <f t="shared" ref="V8:V24" si="3">+U8-T8+O8+P8</f>
        <v>20</v>
      </c>
      <c r="W8" s="140"/>
      <c r="X8" s="334"/>
      <c r="Y8" s="5"/>
      <c r="AC8">
        <v>2</v>
      </c>
      <c r="AD8" s="16" t="s">
        <v>164</v>
      </c>
      <c r="AE8" s="18">
        <f>+AC8*200</f>
        <v>400</v>
      </c>
      <c r="AG8">
        <v>2</v>
      </c>
      <c r="AH8" s="16" t="s">
        <v>164</v>
      </c>
      <c r="AI8" s="18">
        <f>+AG8*200</f>
        <v>400</v>
      </c>
      <c r="AK8" s="16"/>
      <c r="AL8" s="16"/>
      <c r="AN8" s="16" t="s">
        <v>164</v>
      </c>
      <c r="AO8" s="18">
        <f>+AM8*200</f>
        <v>0</v>
      </c>
    </row>
    <row r="9" spans="1:41" x14ac:dyDescent="0.25">
      <c r="A9" s="143">
        <v>4</v>
      </c>
      <c r="B9" s="92">
        <v>45243</v>
      </c>
      <c r="C9" s="23">
        <v>0.62916666666666665</v>
      </c>
      <c r="D9" s="31" t="s">
        <v>2391</v>
      </c>
      <c r="E9" s="32">
        <v>5510080515</v>
      </c>
      <c r="F9" s="32" t="s">
        <v>106</v>
      </c>
      <c r="G9" s="32" t="s">
        <v>1053</v>
      </c>
      <c r="H9" s="39" t="s">
        <v>2651</v>
      </c>
      <c r="I9" s="122">
        <v>100</v>
      </c>
      <c r="J9" s="32">
        <v>88</v>
      </c>
      <c r="K9" s="20">
        <v>10</v>
      </c>
      <c r="L9" s="21"/>
      <c r="M9" s="21">
        <f t="shared" si="0"/>
        <v>98</v>
      </c>
      <c r="N9" s="21">
        <f t="shared" si="1"/>
        <v>2</v>
      </c>
      <c r="O9" s="21"/>
      <c r="P9" s="21"/>
      <c r="Q9" s="5"/>
      <c r="R9" s="21">
        <v>100</v>
      </c>
      <c r="S9" s="16"/>
      <c r="T9" s="21">
        <f t="shared" si="2"/>
        <v>100</v>
      </c>
      <c r="U9" s="21">
        <v>115</v>
      </c>
      <c r="V9" s="78">
        <f t="shared" si="3"/>
        <v>15</v>
      </c>
      <c r="W9" s="140"/>
      <c r="X9" s="334"/>
      <c r="Y9" s="5"/>
      <c r="AD9" s="16" t="s">
        <v>165</v>
      </c>
      <c r="AE9" s="18">
        <f>+AC9*100</f>
        <v>0</v>
      </c>
      <c r="AG9">
        <v>2</v>
      </c>
      <c r="AH9" s="16" t="s">
        <v>165</v>
      </c>
      <c r="AI9" s="18">
        <f>+AG9*100</f>
        <v>200</v>
      </c>
      <c r="AK9" s="16"/>
      <c r="AL9" s="16"/>
      <c r="AN9" s="16" t="s">
        <v>165</v>
      </c>
      <c r="AO9" s="18">
        <f>+AM9*100</f>
        <v>0</v>
      </c>
    </row>
    <row r="10" spans="1:41" x14ac:dyDescent="0.25">
      <c r="A10" s="143">
        <v>5</v>
      </c>
      <c r="B10" s="92">
        <v>45243</v>
      </c>
      <c r="C10" s="23">
        <v>0.1423611111111111</v>
      </c>
      <c r="D10" s="31" t="s">
        <v>2654</v>
      </c>
      <c r="E10" s="32"/>
      <c r="F10" s="32" t="s">
        <v>242</v>
      </c>
      <c r="G10" s="32" t="s">
        <v>2653</v>
      </c>
      <c r="H10" s="32" t="s">
        <v>2652</v>
      </c>
      <c r="I10" s="122">
        <v>500</v>
      </c>
      <c r="J10" s="32">
        <v>243</v>
      </c>
      <c r="K10" s="20">
        <v>10</v>
      </c>
      <c r="L10" s="21"/>
      <c r="M10" s="21">
        <f t="shared" si="0"/>
        <v>253</v>
      </c>
      <c r="N10" s="21">
        <f t="shared" si="1"/>
        <v>247</v>
      </c>
      <c r="O10" s="21"/>
      <c r="P10" s="21"/>
      <c r="Q10" s="5"/>
      <c r="R10" s="16">
        <v>400</v>
      </c>
      <c r="S10" s="16"/>
      <c r="T10" s="21">
        <f t="shared" si="2"/>
        <v>400</v>
      </c>
      <c r="U10" s="21">
        <v>410</v>
      </c>
      <c r="V10" s="78">
        <f t="shared" si="3"/>
        <v>10</v>
      </c>
      <c r="W10" s="140"/>
      <c r="X10" s="334"/>
      <c r="Y10" s="5"/>
      <c r="AC10">
        <v>4</v>
      </c>
      <c r="AD10" s="16" t="s">
        <v>166</v>
      </c>
      <c r="AE10" s="18">
        <f>+AC10*50</f>
        <v>200</v>
      </c>
      <c r="AG10">
        <v>3</v>
      </c>
      <c r="AH10" s="16" t="s">
        <v>166</v>
      </c>
      <c r="AI10" s="18">
        <f>+AG10*50</f>
        <v>150</v>
      </c>
      <c r="AK10" s="16"/>
      <c r="AL10" s="16"/>
      <c r="AN10" s="16" t="s">
        <v>166</v>
      </c>
      <c r="AO10" s="18">
        <f>+AM10*50</f>
        <v>0</v>
      </c>
    </row>
    <row r="11" spans="1:41" x14ac:dyDescent="0.25">
      <c r="A11" s="143">
        <v>6</v>
      </c>
      <c r="B11" s="92">
        <v>45243</v>
      </c>
      <c r="C11" s="23">
        <v>0.7284722222222223</v>
      </c>
      <c r="D11" s="31" t="s">
        <v>2655</v>
      </c>
      <c r="E11" s="32">
        <v>5514920308</v>
      </c>
      <c r="F11" s="32" t="s">
        <v>2656</v>
      </c>
      <c r="G11" s="32" t="s">
        <v>2657</v>
      </c>
      <c r="H11" s="39" t="s">
        <v>2658</v>
      </c>
      <c r="I11" s="39">
        <v>42</v>
      </c>
      <c r="J11" s="42">
        <v>32</v>
      </c>
      <c r="K11" s="20">
        <v>12</v>
      </c>
      <c r="L11" s="21"/>
      <c r="M11" s="21">
        <f t="shared" si="0"/>
        <v>44</v>
      </c>
      <c r="N11" s="21">
        <f t="shared" si="1"/>
        <v>-2</v>
      </c>
      <c r="O11" s="21"/>
      <c r="P11" s="21"/>
      <c r="Q11" s="5"/>
      <c r="R11" s="16"/>
      <c r="S11" s="16"/>
      <c r="T11" s="21">
        <f t="shared" si="2"/>
        <v>0</v>
      </c>
      <c r="U11" s="16"/>
      <c r="V11" s="78">
        <f t="shared" si="3"/>
        <v>0</v>
      </c>
      <c r="W11" s="140"/>
      <c r="X11" s="334"/>
      <c r="Y11" s="5"/>
      <c r="AD11" s="16" t="s">
        <v>167</v>
      </c>
      <c r="AE11" s="18">
        <f>+AC11*20</f>
        <v>0</v>
      </c>
      <c r="AG11">
        <v>3</v>
      </c>
      <c r="AH11" s="16" t="s">
        <v>167</v>
      </c>
      <c r="AI11" s="18">
        <f>+AG11*20</f>
        <v>60</v>
      </c>
      <c r="AK11" s="16"/>
      <c r="AL11" s="16"/>
      <c r="AN11" s="16" t="s">
        <v>167</v>
      </c>
      <c r="AO11" s="18">
        <f>+AM11*20</f>
        <v>0</v>
      </c>
    </row>
    <row r="12" spans="1:41" x14ac:dyDescent="0.25">
      <c r="A12" s="143">
        <v>7</v>
      </c>
      <c r="B12" s="92">
        <v>45243</v>
      </c>
      <c r="C12" s="23">
        <v>0.7368055555555556</v>
      </c>
      <c r="D12" s="31" t="s">
        <v>2654</v>
      </c>
      <c r="E12" s="32">
        <v>7029645152</v>
      </c>
      <c r="F12" s="32" t="s">
        <v>106</v>
      </c>
      <c r="G12" s="32" t="s">
        <v>2659</v>
      </c>
      <c r="H12" s="39" t="s">
        <v>2660</v>
      </c>
      <c r="I12" s="122">
        <v>75</v>
      </c>
      <c r="J12" s="42">
        <v>58</v>
      </c>
      <c r="K12" s="20">
        <v>12</v>
      </c>
      <c r="L12" s="21">
        <v>5</v>
      </c>
      <c r="M12" s="21">
        <f t="shared" si="0"/>
        <v>70</v>
      </c>
      <c r="N12" s="21">
        <f t="shared" si="1"/>
        <v>5</v>
      </c>
      <c r="O12" s="21"/>
      <c r="P12" s="21"/>
      <c r="Q12" s="5"/>
      <c r="R12" s="16"/>
      <c r="S12" s="16"/>
      <c r="T12" s="21">
        <f t="shared" si="2"/>
        <v>0</v>
      </c>
      <c r="U12" s="16"/>
      <c r="V12" s="78">
        <f t="shared" si="3"/>
        <v>0</v>
      </c>
      <c r="W12" s="140"/>
      <c r="X12" s="334"/>
      <c r="Y12" s="5"/>
      <c r="AD12" s="16" t="s">
        <v>171</v>
      </c>
      <c r="AE12" s="18">
        <f>+AC12*500</f>
        <v>0</v>
      </c>
      <c r="AH12" s="16" t="s">
        <v>171</v>
      </c>
      <c r="AI12" s="18">
        <f>+AG12*500</f>
        <v>0</v>
      </c>
      <c r="AK12" s="16"/>
      <c r="AL12" s="16"/>
      <c r="AN12" s="16" t="s">
        <v>171</v>
      </c>
      <c r="AO12" s="18">
        <f>+AM12*500</f>
        <v>0</v>
      </c>
    </row>
    <row r="13" spans="1:41" x14ac:dyDescent="0.25">
      <c r="A13" s="143">
        <v>8</v>
      </c>
      <c r="B13" s="92">
        <v>45243</v>
      </c>
      <c r="C13" s="23">
        <v>0.77847222222222223</v>
      </c>
      <c r="D13" s="31" t="s">
        <v>37</v>
      </c>
      <c r="E13" s="123">
        <v>5554180418</v>
      </c>
      <c r="F13" s="123" t="s">
        <v>106</v>
      </c>
      <c r="G13" s="123" t="s">
        <v>2661</v>
      </c>
      <c r="H13" s="39" t="s">
        <v>2662</v>
      </c>
      <c r="I13" s="122">
        <v>260</v>
      </c>
      <c r="J13" s="32">
        <v>250</v>
      </c>
      <c r="K13" s="20">
        <v>10</v>
      </c>
      <c r="L13" s="21"/>
      <c r="M13" s="21">
        <f t="shared" si="0"/>
        <v>260</v>
      </c>
      <c r="N13" s="21">
        <f t="shared" si="1"/>
        <v>0</v>
      </c>
      <c r="O13" s="21"/>
      <c r="P13" s="21"/>
      <c r="Q13" s="5"/>
      <c r="R13" s="16"/>
      <c r="S13" s="16"/>
      <c r="T13" s="21">
        <f t="shared" si="2"/>
        <v>0</v>
      </c>
      <c r="U13" s="16"/>
      <c r="V13" s="78">
        <f t="shared" si="3"/>
        <v>0</v>
      </c>
      <c r="W13" s="140"/>
      <c r="X13" s="334"/>
      <c r="Y13" s="5"/>
      <c r="AD13" s="16" t="s">
        <v>168</v>
      </c>
      <c r="AE13" s="18">
        <f>+AC13*1000</f>
        <v>0</v>
      </c>
      <c r="AH13" s="16" t="s">
        <v>168</v>
      </c>
      <c r="AI13" s="18">
        <f>+AG13*1000</f>
        <v>0</v>
      </c>
      <c r="AK13" s="16"/>
      <c r="AL13" s="16"/>
      <c r="AN13" s="16" t="s">
        <v>168</v>
      </c>
      <c r="AO13" s="18">
        <f>+AM13*1000</f>
        <v>0</v>
      </c>
    </row>
    <row r="14" spans="1:41" x14ac:dyDescent="0.25">
      <c r="A14" s="143">
        <v>9</v>
      </c>
      <c r="B14" s="92">
        <v>45243</v>
      </c>
      <c r="C14" s="23">
        <v>0.31597222222222221</v>
      </c>
      <c r="D14" s="31" t="s">
        <v>2663</v>
      </c>
      <c r="E14" s="32">
        <v>5614311291</v>
      </c>
      <c r="F14" s="32" t="s">
        <v>2664</v>
      </c>
      <c r="G14" s="32" t="s">
        <v>2665</v>
      </c>
      <c r="H14" s="39" t="s">
        <v>2666</v>
      </c>
      <c r="I14" s="39">
        <v>85</v>
      </c>
      <c r="J14" s="40">
        <v>73</v>
      </c>
      <c r="K14" s="20">
        <v>12</v>
      </c>
      <c r="L14" s="21"/>
      <c r="M14" s="21">
        <f t="shared" si="0"/>
        <v>85</v>
      </c>
      <c r="N14" s="21">
        <f t="shared" si="1"/>
        <v>0</v>
      </c>
      <c r="O14" s="21"/>
      <c r="P14" s="21"/>
      <c r="Q14" s="5"/>
      <c r="R14" s="16"/>
      <c r="S14" s="16"/>
      <c r="T14" s="21">
        <f t="shared" si="2"/>
        <v>0</v>
      </c>
      <c r="U14" s="16"/>
      <c r="V14" s="78">
        <f t="shared" si="3"/>
        <v>0</v>
      </c>
      <c r="W14" s="140"/>
      <c r="X14" s="334"/>
      <c r="Y14" s="5"/>
      <c r="AD14" s="26"/>
      <c r="AE14" s="58"/>
      <c r="AH14" s="26"/>
      <c r="AI14" s="58"/>
      <c r="AK14" s="16"/>
      <c r="AL14" s="16"/>
      <c r="AN14" s="26"/>
      <c r="AO14" s="58"/>
    </row>
    <row r="15" spans="1:41" x14ac:dyDescent="0.25">
      <c r="A15" s="143">
        <v>10</v>
      </c>
      <c r="B15" s="92">
        <v>45243</v>
      </c>
      <c r="C15" s="23">
        <v>0.36805555555555558</v>
      </c>
      <c r="D15" s="31" t="s">
        <v>350</v>
      </c>
      <c r="E15" s="32">
        <v>5543821818</v>
      </c>
      <c r="F15" s="32" t="s">
        <v>106</v>
      </c>
      <c r="G15" s="32" t="s">
        <v>2667</v>
      </c>
      <c r="H15" s="39" t="s">
        <v>2668</v>
      </c>
      <c r="I15" s="122">
        <v>500</v>
      </c>
      <c r="J15" s="42">
        <v>183</v>
      </c>
      <c r="K15" s="20">
        <v>12</v>
      </c>
      <c r="L15" s="21"/>
      <c r="M15" s="21">
        <f t="shared" si="0"/>
        <v>195</v>
      </c>
      <c r="N15" s="21">
        <f t="shared" si="1"/>
        <v>305</v>
      </c>
      <c r="O15" s="21"/>
      <c r="P15" s="21"/>
      <c r="Q15" s="5"/>
      <c r="R15" s="16"/>
      <c r="S15" s="16"/>
      <c r="T15" s="21">
        <f t="shared" si="2"/>
        <v>0</v>
      </c>
      <c r="U15" s="16"/>
      <c r="V15" s="78">
        <f t="shared" si="3"/>
        <v>0</v>
      </c>
      <c r="W15" s="140"/>
      <c r="X15" s="334"/>
      <c r="Y15" s="5"/>
      <c r="AD15" s="16" t="s">
        <v>169</v>
      </c>
      <c r="AE15" s="18">
        <f>SUM(AE5:AE14)</f>
        <v>1049</v>
      </c>
      <c r="AH15" s="16" t="s">
        <v>169</v>
      </c>
      <c r="AI15" s="18">
        <f>SUM(AI5:AI14)</f>
        <v>1482</v>
      </c>
      <c r="AK15" s="16"/>
      <c r="AL15" s="16"/>
      <c r="AN15" s="16" t="s">
        <v>169</v>
      </c>
      <c r="AO15" s="18"/>
    </row>
    <row r="16" spans="1:41" x14ac:dyDescent="0.25">
      <c r="A16" s="143">
        <v>11</v>
      </c>
      <c r="B16" s="92">
        <v>45243</v>
      </c>
      <c r="C16" s="23">
        <v>0.90972222222222221</v>
      </c>
      <c r="D16" s="31" t="s">
        <v>2669</v>
      </c>
      <c r="E16" s="124">
        <v>5555554443</v>
      </c>
      <c r="F16" s="123" t="s">
        <v>106</v>
      </c>
      <c r="G16" s="123" t="s">
        <v>2670</v>
      </c>
      <c r="H16" s="39" t="s">
        <v>2671</v>
      </c>
      <c r="I16" s="122">
        <v>100</v>
      </c>
      <c r="J16" s="42">
        <v>86</v>
      </c>
      <c r="K16" s="20">
        <v>12</v>
      </c>
      <c r="L16" s="21">
        <v>2</v>
      </c>
      <c r="M16" s="21">
        <f t="shared" si="0"/>
        <v>98</v>
      </c>
      <c r="N16" s="21">
        <v>0</v>
      </c>
      <c r="O16" s="21"/>
      <c r="P16" s="21"/>
      <c r="Q16" s="5"/>
      <c r="R16" s="16"/>
      <c r="S16" s="16"/>
      <c r="T16" s="21">
        <f t="shared" si="2"/>
        <v>0</v>
      </c>
      <c r="U16" s="16"/>
      <c r="V16" s="78">
        <f t="shared" si="3"/>
        <v>0</v>
      </c>
      <c r="W16" s="140"/>
      <c r="X16" s="334"/>
      <c r="Y16" s="5"/>
      <c r="AK16" s="16"/>
      <c r="AL16" s="16"/>
      <c r="AN16" s="16"/>
      <c r="AO16" s="16"/>
    </row>
    <row r="17" spans="1:41" x14ac:dyDescent="0.25">
      <c r="A17" s="143">
        <v>12</v>
      </c>
      <c r="B17" s="92">
        <v>45243</v>
      </c>
      <c r="C17" s="23"/>
      <c r="D17" s="32"/>
      <c r="E17" s="32"/>
      <c r="F17" s="124"/>
      <c r="G17" s="123"/>
      <c r="H17" s="39"/>
      <c r="I17" s="39"/>
      <c r="J17" s="42"/>
      <c r="K17" s="20">
        <v>10</v>
      </c>
      <c r="L17" s="21"/>
      <c r="M17" s="21">
        <f t="shared" si="0"/>
        <v>10</v>
      </c>
      <c r="N17" s="21">
        <f t="shared" si="1"/>
        <v>-10</v>
      </c>
      <c r="O17" s="21"/>
      <c r="P17" s="21"/>
      <c r="Q17" s="5"/>
      <c r="R17" s="45"/>
      <c r="S17" s="44"/>
      <c r="T17" s="21">
        <f t="shared" si="2"/>
        <v>0</v>
      </c>
      <c r="U17" s="45"/>
      <c r="V17" s="78">
        <f t="shared" si="3"/>
        <v>0</v>
      </c>
      <c r="W17" s="140"/>
      <c r="X17" s="334"/>
      <c r="Y17" s="5"/>
      <c r="AK17" s="63" t="s">
        <v>169</v>
      </c>
      <c r="AL17" s="63">
        <f>+SUM(AK6:AK16)-SUM(AL6:AL16)</f>
        <v>0</v>
      </c>
      <c r="AN17" s="63" t="s">
        <v>169</v>
      </c>
      <c r="AO17" s="85">
        <f>+SUM(AN5:AN16)-SUM(AO6:AO16)</f>
        <v>0</v>
      </c>
    </row>
    <row r="18" spans="1:41" x14ac:dyDescent="0.25">
      <c r="A18" s="143">
        <v>13</v>
      </c>
      <c r="B18" s="92">
        <v>45243</v>
      </c>
      <c r="C18" s="23"/>
      <c r="D18" s="31"/>
      <c r="E18" s="32"/>
      <c r="F18" s="32"/>
      <c r="G18" s="32"/>
      <c r="H18" s="39"/>
      <c r="I18" s="39"/>
      <c r="J18" s="42"/>
      <c r="K18" s="108">
        <v>10</v>
      </c>
      <c r="L18" s="21"/>
      <c r="M18" s="21">
        <f t="shared" si="0"/>
        <v>10</v>
      </c>
      <c r="N18" s="21">
        <f t="shared" si="1"/>
        <v>-10</v>
      </c>
      <c r="O18" s="21"/>
      <c r="P18" s="21"/>
      <c r="Q18" s="5"/>
      <c r="R18" s="43"/>
      <c r="S18" s="32"/>
      <c r="T18" s="21">
        <f t="shared" si="2"/>
        <v>0</v>
      </c>
      <c r="U18" s="43"/>
      <c r="V18" s="78">
        <f t="shared" si="3"/>
        <v>0</v>
      </c>
      <c r="W18" s="140"/>
      <c r="X18" s="334"/>
      <c r="Y18" s="5"/>
      <c r="AI18" s="83"/>
    </row>
    <row r="19" spans="1:41" x14ac:dyDescent="0.25">
      <c r="A19" s="143">
        <v>14</v>
      </c>
      <c r="B19" s="92">
        <v>45243</v>
      </c>
      <c r="C19" s="23"/>
      <c r="D19" s="31"/>
      <c r="E19" s="32"/>
      <c r="F19" s="32"/>
      <c r="G19" s="32"/>
      <c r="H19" s="39"/>
      <c r="I19" s="39"/>
      <c r="J19" s="42"/>
      <c r="K19" s="108">
        <v>10</v>
      </c>
      <c r="L19" s="21"/>
      <c r="M19" s="21">
        <f t="shared" si="0"/>
        <v>10</v>
      </c>
      <c r="N19" s="21">
        <f t="shared" si="1"/>
        <v>-10</v>
      </c>
      <c r="O19" s="21"/>
      <c r="P19" s="21"/>
      <c r="Q19" s="5"/>
      <c r="R19" s="43"/>
      <c r="S19" s="43"/>
      <c r="T19" s="21">
        <f t="shared" si="2"/>
        <v>0</v>
      </c>
      <c r="U19" s="43"/>
      <c r="V19" s="78">
        <f t="shared" si="3"/>
        <v>0</v>
      </c>
      <c r="W19" s="140"/>
      <c r="X19" s="334"/>
      <c r="Y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41" x14ac:dyDescent="0.25">
      <c r="A20" s="143">
        <v>15</v>
      </c>
      <c r="B20" s="92">
        <v>45243</v>
      </c>
      <c r="C20" s="23"/>
      <c r="D20" s="127"/>
      <c r="E20" s="32"/>
      <c r="F20" s="32"/>
      <c r="G20" s="128"/>
      <c r="H20" s="129"/>
      <c r="I20" s="39"/>
      <c r="J20" s="42"/>
      <c r="K20" s="108">
        <v>10</v>
      </c>
      <c r="L20" s="21"/>
      <c r="M20" s="21">
        <f t="shared" si="0"/>
        <v>10</v>
      </c>
      <c r="N20" s="21">
        <f t="shared" si="1"/>
        <v>-10</v>
      </c>
      <c r="O20" s="21"/>
      <c r="P20" s="21"/>
      <c r="Q20" s="5"/>
      <c r="R20" s="43"/>
      <c r="S20" s="43"/>
      <c r="T20" s="21">
        <f t="shared" si="2"/>
        <v>0</v>
      </c>
      <c r="U20" s="43"/>
      <c r="V20" s="78">
        <f t="shared" si="3"/>
        <v>0</v>
      </c>
      <c r="W20" s="140"/>
      <c r="X20" s="334"/>
      <c r="Y20" s="5"/>
      <c r="AD20" s="5"/>
      <c r="AE20" s="134" t="s">
        <v>20</v>
      </c>
      <c r="AF20" s="338"/>
      <c r="AG20" s="341" t="s">
        <v>686</v>
      </c>
      <c r="AH20" s="134" t="s">
        <v>20</v>
      </c>
      <c r="AI20" s="338">
        <v>128</v>
      </c>
      <c r="AJ20" s="341" t="s">
        <v>687</v>
      </c>
      <c r="AK20" s="134" t="s">
        <v>20</v>
      </c>
      <c r="AL20" s="338"/>
      <c r="AM20" s="5"/>
    </row>
    <row r="21" spans="1:41" x14ac:dyDescent="0.25">
      <c r="A21" s="143">
        <v>16</v>
      </c>
      <c r="B21" s="92">
        <v>45243</v>
      </c>
      <c r="C21" s="23"/>
      <c r="D21" s="31"/>
      <c r="E21" s="32"/>
      <c r="F21" s="32"/>
      <c r="G21" s="32"/>
      <c r="H21" s="39"/>
      <c r="I21" s="39"/>
      <c r="J21" s="42"/>
      <c r="K21" s="43">
        <v>10</v>
      </c>
      <c r="L21" s="21"/>
      <c r="M21" s="21">
        <f t="shared" si="0"/>
        <v>10</v>
      </c>
      <c r="N21" s="21">
        <f t="shared" si="1"/>
        <v>-10</v>
      </c>
      <c r="O21" s="21"/>
      <c r="P21" s="21"/>
      <c r="Q21" s="5"/>
      <c r="R21" s="43"/>
      <c r="S21" s="32"/>
      <c r="T21" s="21">
        <f t="shared" si="2"/>
        <v>0</v>
      </c>
      <c r="U21" s="131"/>
      <c r="V21" s="78">
        <f t="shared" si="3"/>
        <v>0</v>
      </c>
      <c r="W21" s="140"/>
      <c r="X21" s="334"/>
      <c r="Y21" s="5"/>
      <c r="AD21" s="5" t="s">
        <v>685</v>
      </c>
      <c r="AE21" s="115" t="s">
        <v>684</v>
      </c>
      <c r="AF21" s="339"/>
      <c r="AG21" s="341"/>
      <c r="AH21" s="115" t="s">
        <v>684</v>
      </c>
      <c r="AI21" s="339"/>
      <c r="AJ21" s="341"/>
      <c r="AK21" s="115" t="s">
        <v>684</v>
      </c>
      <c r="AL21" s="339"/>
      <c r="AM21" s="5"/>
    </row>
    <row r="22" spans="1:41" x14ac:dyDescent="0.25">
      <c r="A22" s="143">
        <v>17</v>
      </c>
      <c r="B22" s="92">
        <v>45243</v>
      </c>
      <c r="C22" s="23"/>
      <c r="D22" s="31"/>
      <c r="E22" s="32"/>
      <c r="F22" s="32"/>
      <c r="G22" s="32"/>
      <c r="H22" s="39"/>
      <c r="I22" s="39"/>
      <c r="J22" s="42"/>
      <c r="K22" s="43">
        <v>10</v>
      </c>
      <c r="L22" s="21"/>
      <c r="M22" s="21">
        <f t="shared" si="0"/>
        <v>10</v>
      </c>
      <c r="N22" s="21">
        <f t="shared" si="1"/>
        <v>-10</v>
      </c>
      <c r="O22" s="21"/>
      <c r="P22" s="21"/>
      <c r="Q22" s="5"/>
      <c r="R22" s="43"/>
      <c r="S22" s="32"/>
      <c r="T22" s="21">
        <f t="shared" si="2"/>
        <v>0</v>
      </c>
      <c r="U22" s="132"/>
      <c r="V22" s="78">
        <f t="shared" si="3"/>
        <v>0</v>
      </c>
      <c r="W22" s="140"/>
      <c r="X22" s="340"/>
      <c r="Y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41" x14ac:dyDescent="0.25">
      <c r="A23" s="143">
        <v>18</v>
      </c>
      <c r="B23" s="92">
        <v>45243</v>
      </c>
      <c r="C23" s="32"/>
      <c r="D23" s="31"/>
      <c r="E23" s="32"/>
      <c r="F23" s="32"/>
      <c r="G23" s="32"/>
      <c r="H23" s="39"/>
      <c r="I23" s="39"/>
      <c r="J23" s="42"/>
      <c r="K23" s="43">
        <v>10</v>
      </c>
      <c r="L23" s="21"/>
      <c r="M23" s="21">
        <f t="shared" si="0"/>
        <v>10</v>
      </c>
      <c r="N23" s="21">
        <f t="shared" si="1"/>
        <v>-10</v>
      </c>
      <c r="O23" s="21"/>
      <c r="P23" s="21"/>
      <c r="Q23" s="5"/>
      <c r="R23" s="135"/>
      <c r="S23" s="104"/>
      <c r="T23" s="21">
        <f t="shared" si="2"/>
        <v>0</v>
      </c>
      <c r="U23" s="131"/>
      <c r="V23" s="78">
        <f t="shared" si="3"/>
        <v>0</v>
      </c>
      <c r="W23" s="140"/>
      <c r="Y23" s="5"/>
    </row>
    <row r="24" spans="1:41" x14ac:dyDescent="0.25">
      <c r="A24" s="143">
        <v>19</v>
      </c>
      <c r="B24" s="92">
        <v>45243</v>
      </c>
      <c r="C24" s="32"/>
      <c r="D24" s="31"/>
      <c r="E24" s="32"/>
      <c r="F24" s="32"/>
      <c r="G24" s="32"/>
      <c r="H24" s="39"/>
      <c r="I24" s="39"/>
      <c r="J24" s="42"/>
      <c r="K24" s="43">
        <v>10</v>
      </c>
      <c r="L24" s="21"/>
      <c r="M24" s="21">
        <f t="shared" si="0"/>
        <v>10</v>
      </c>
      <c r="N24" s="21">
        <f t="shared" si="1"/>
        <v>-10</v>
      </c>
      <c r="O24" s="21"/>
      <c r="P24" s="21"/>
      <c r="Q24" s="5"/>
      <c r="R24" s="32"/>
      <c r="S24" s="32"/>
      <c r="T24" s="21">
        <f t="shared" si="2"/>
        <v>0</v>
      </c>
      <c r="U24" s="32"/>
      <c r="V24" s="78">
        <f t="shared" si="3"/>
        <v>0</v>
      </c>
      <c r="W24" s="140"/>
      <c r="Y24" s="5"/>
    </row>
    <row r="25" spans="1:4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141"/>
      <c r="X25" s="5"/>
      <c r="Y25" s="5"/>
    </row>
    <row r="28" spans="1:41" x14ac:dyDescent="0.25">
      <c r="B28" t="s">
        <v>2679</v>
      </c>
      <c r="F28">
        <v>130</v>
      </c>
    </row>
    <row r="29" spans="1:41" x14ac:dyDescent="0.25">
      <c r="F29">
        <v>14</v>
      </c>
    </row>
    <row r="30" spans="1:41" x14ac:dyDescent="0.25">
      <c r="A30" s="1" t="s">
        <v>0</v>
      </c>
      <c r="B30" s="1"/>
      <c r="C30" s="1"/>
      <c r="D30" s="1"/>
      <c r="E30" s="1"/>
      <c r="F30" s="1"/>
      <c r="G30" s="1"/>
      <c r="H30" s="1"/>
      <c r="I30" s="1"/>
      <c r="J30" s="1" t="s">
        <v>148</v>
      </c>
      <c r="K30" s="1"/>
      <c r="L30" s="1"/>
      <c r="M30" s="1"/>
      <c r="N30" s="1"/>
      <c r="O30" s="1"/>
      <c r="P30" s="1"/>
      <c r="Q30" s="1"/>
      <c r="R30" s="1"/>
      <c r="S30" s="1"/>
      <c r="T30" s="342" t="s">
        <v>1</v>
      </c>
      <c r="U30" s="342"/>
      <c r="V30" s="5"/>
      <c r="W30" s="139"/>
      <c r="X30" s="1"/>
      <c r="Y30" s="5"/>
      <c r="AD30" s="335" t="s">
        <v>160</v>
      </c>
      <c r="AE30" s="336"/>
      <c r="AH30" s="335" t="s">
        <v>170</v>
      </c>
      <c r="AI30" s="336"/>
      <c r="AK30" s="337" t="s">
        <v>172</v>
      </c>
      <c r="AL30" s="337"/>
      <c r="AN30" s="337" t="s">
        <v>681</v>
      </c>
      <c r="AO30" s="337"/>
    </row>
    <row r="31" spans="1:41" ht="90" x14ac:dyDescent="0.25">
      <c r="A31" s="6" t="s">
        <v>2</v>
      </c>
      <c r="B31" s="7" t="s">
        <v>3</v>
      </c>
      <c r="C31" s="245" t="s">
        <v>688</v>
      </c>
      <c r="D31" s="7" t="s">
        <v>4</v>
      </c>
      <c r="E31" s="6" t="s">
        <v>5</v>
      </c>
      <c r="F31" s="6" t="s">
        <v>6</v>
      </c>
      <c r="G31" s="6" t="s">
        <v>7</v>
      </c>
      <c r="H31" s="6" t="s">
        <v>8</v>
      </c>
      <c r="I31" s="8" t="s">
        <v>9</v>
      </c>
      <c r="J31" s="9" t="s">
        <v>10</v>
      </c>
      <c r="K31" s="8" t="s">
        <v>11</v>
      </c>
      <c r="L31" s="10" t="s">
        <v>12</v>
      </c>
      <c r="M31" s="10" t="s">
        <v>13</v>
      </c>
      <c r="N31" s="11" t="s">
        <v>14</v>
      </c>
      <c r="O31" s="10" t="s">
        <v>691</v>
      </c>
      <c r="P31" s="10" t="s">
        <v>28</v>
      </c>
      <c r="Q31" s="5"/>
      <c r="R31" s="10" t="s">
        <v>16</v>
      </c>
      <c r="S31" s="10" t="s">
        <v>17</v>
      </c>
      <c r="T31" s="10" t="s">
        <v>18</v>
      </c>
      <c r="U31" s="10" t="s">
        <v>19</v>
      </c>
      <c r="V31" s="10" t="s">
        <v>20</v>
      </c>
      <c r="W31" s="13"/>
      <c r="X31" s="15" t="s">
        <v>23</v>
      </c>
      <c r="Y31" s="5"/>
      <c r="AA31" s="251" t="s">
        <v>2554</v>
      </c>
      <c r="AC31">
        <v>18</v>
      </c>
      <c r="AD31" s="16" t="s">
        <v>161</v>
      </c>
      <c r="AE31" s="58">
        <f>+AC31*10</f>
        <v>180</v>
      </c>
      <c r="AG31">
        <v>18</v>
      </c>
      <c r="AH31" s="16" t="s">
        <v>161</v>
      </c>
      <c r="AI31" s="58">
        <f>+AG31*10</f>
        <v>180</v>
      </c>
      <c r="AK31" s="61" t="s">
        <v>173</v>
      </c>
      <c r="AL31" s="62" t="s">
        <v>174</v>
      </c>
      <c r="AN31" s="16" t="s">
        <v>161</v>
      </c>
      <c r="AO31" s="58">
        <f>+AM31*10</f>
        <v>0</v>
      </c>
    </row>
    <row r="32" spans="1:41" x14ac:dyDescent="0.25">
      <c r="A32" s="16">
        <v>1</v>
      </c>
      <c r="B32" s="92">
        <v>45244</v>
      </c>
      <c r="C32" s="23">
        <v>0.45833333333333331</v>
      </c>
      <c r="D32" s="31" t="s">
        <v>2672</v>
      </c>
      <c r="E32" s="31">
        <v>5578861024</v>
      </c>
      <c r="F32" s="32" t="s">
        <v>2674</v>
      </c>
      <c r="G32" s="39" t="s">
        <v>1148</v>
      </c>
      <c r="H32" s="39" t="s">
        <v>2677</v>
      </c>
      <c r="I32" s="122"/>
      <c r="J32" s="32">
        <v>103</v>
      </c>
      <c r="K32" s="20">
        <v>15</v>
      </c>
      <c r="L32" s="21">
        <v>20</v>
      </c>
      <c r="M32" s="21">
        <f t="shared" ref="M32:M50" si="4">+J32+K32</f>
        <v>118</v>
      </c>
      <c r="N32" s="21">
        <f t="shared" ref="N32:N50" si="5">+I32-M32</f>
        <v>-118</v>
      </c>
      <c r="O32" s="21"/>
      <c r="P32" s="21"/>
      <c r="Q32" s="5"/>
      <c r="R32" s="21">
        <v>600</v>
      </c>
      <c r="S32" s="16"/>
      <c r="T32" s="21">
        <f t="shared" ref="T32:T50" si="6">+R32+S32</f>
        <v>600</v>
      </c>
      <c r="U32" s="21">
        <v>645</v>
      </c>
      <c r="V32" s="78">
        <f>+U32-T32+O32+P32</f>
        <v>45</v>
      </c>
      <c r="W32" s="13"/>
      <c r="X32" s="333"/>
      <c r="Y32" s="5"/>
      <c r="AA32" s="83">
        <f>+AE42-AI15</f>
        <v>4</v>
      </c>
      <c r="AC32">
        <v>106</v>
      </c>
      <c r="AD32" s="59" t="s">
        <v>162</v>
      </c>
      <c r="AE32" s="18">
        <f>+AC32*1</f>
        <v>106</v>
      </c>
      <c r="AG32">
        <v>128</v>
      </c>
      <c r="AH32" s="59" t="s">
        <v>162</v>
      </c>
      <c r="AI32" s="18">
        <f>+AG32*1</f>
        <v>128</v>
      </c>
      <c r="AK32" s="16"/>
      <c r="AL32" s="16"/>
      <c r="AN32" s="59" t="s">
        <v>162</v>
      </c>
      <c r="AO32" s="18">
        <f>+AM32*1</f>
        <v>0</v>
      </c>
    </row>
    <row r="33" spans="1:41" x14ac:dyDescent="0.25">
      <c r="A33" s="26">
        <v>2</v>
      </c>
      <c r="B33" s="92">
        <v>45244</v>
      </c>
      <c r="C33" s="23">
        <v>0.47222222222222227</v>
      </c>
      <c r="D33" s="31" t="s">
        <v>2673</v>
      </c>
      <c r="E33" s="31">
        <v>5594280936</v>
      </c>
      <c r="F33" s="32" t="s">
        <v>2675</v>
      </c>
      <c r="G33" s="32" t="s">
        <v>2676</v>
      </c>
      <c r="H33" s="39" t="s">
        <v>2678</v>
      </c>
      <c r="I33" s="122"/>
      <c r="J33" s="32">
        <v>248</v>
      </c>
      <c r="K33" s="20">
        <v>10</v>
      </c>
      <c r="L33" s="21">
        <v>20</v>
      </c>
      <c r="M33" s="21">
        <f t="shared" si="4"/>
        <v>258</v>
      </c>
      <c r="N33" s="21">
        <f t="shared" si="5"/>
        <v>-258</v>
      </c>
      <c r="O33" s="21"/>
      <c r="P33" s="21"/>
      <c r="Q33" s="5"/>
      <c r="R33" s="21">
        <v>30</v>
      </c>
      <c r="S33" s="16"/>
      <c r="T33" s="21">
        <f t="shared" si="6"/>
        <v>30</v>
      </c>
      <c r="U33" s="21">
        <v>40</v>
      </c>
      <c r="V33" s="78">
        <f t="shared" ref="V33:V50" si="7">+U33-T33+O33+P33</f>
        <v>10</v>
      </c>
      <c r="W33" s="140"/>
      <c r="X33" s="334"/>
      <c r="Y33" s="5"/>
      <c r="AC33">
        <v>78</v>
      </c>
      <c r="AD33" s="16" t="s">
        <v>163</v>
      </c>
      <c r="AE33" s="60">
        <f>+AC33*5</f>
        <v>390</v>
      </c>
      <c r="AG33">
        <v>58</v>
      </c>
      <c r="AH33" s="16" t="s">
        <v>163</v>
      </c>
      <c r="AI33" s="60">
        <f>+AG33*5</f>
        <v>290</v>
      </c>
      <c r="AK33" s="16"/>
      <c r="AL33" s="16"/>
      <c r="AN33" s="16" t="s">
        <v>163</v>
      </c>
      <c r="AO33" s="60">
        <f>+AM33*5</f>
        <v>0</v>
      </c>
    </row>
    <row r="34" spans="1:41" x14ac:dyDescent="0.25">
      <c r="A34" s="143">
        <v>3</v>
      </c>
      <c r="B34" s="92">
        <v>45244</v>
      </c>
      <c r="C34" s="23"/>
      <c r="D34" s="31" t="s">
        <v>2680</v>
      </c>
      <c r="E34" s="32"/>
      <c r="F34" s="32" t="s">
        <v>404</v>
      </c>
      <c r="G34" s="32" t="s">
        <v>2683</v>
      </c>
      <c r="H34" s="39" t="s">
        <v>2681</v>
      </c>
      <c r="I34" s="122"/>
      <c r="J34" s="32">
        <v>80</v>
      </c>
      <c r="K34" s="20">
        <v>10</v>
      </c>
      <c r="L34" s="21">
        <v>10</v>
      </c>
      <c r="M34" s="21">
        <f t="shared" si="4"/>
        <v>90</v>
      </c>
      <c r="N34" s="21">
        <f t="shared" si="5"/>
        <v>-90</v>
      </c>
      <c r="O34" s="21"/>
      <c r="P34" s="21"/>
      <c r="Q34" s="5"/>
      <c r="R34" s="21">
        <v>430</v>
      </c>
      <c r="S34" s="16"/>
      <c r="T34" s="21">
        <f t="shared" si="6"/>
        <v>430</v>
      </c>
      <c r="U34" s="21">
        <v>448</v>
      </c>
      <c r="V34" s="78">
        <f t="shared" si="7"/>
        <v>18</v>
      </c>
      <c r="W34" s="140"/>
      <c r="X34" s="334"/>
      <c r="Y34" s="5"/>
      <c r="AC34">
        <v>2</v>
      </c>
      <c r="AD34" s="16" t="s">
        <v>164</v>
      </c>
      <c r="AE34" s="18">
        <f>+AC34*200</f>
        <v>400</v>
      </c>
      <c r="AH34" s="16" t="s">
        <v>164</v>
      </c>
      <c r="AI34" s="18">
        <f>+AG34*200</f>
        <v>0</v>
      </c>
      <c r="AK34" s="16"/>
      <c r="AL34" s="16"/>
      <c r="AN34" s="16" t="s">
        <v>164</v>
      </c>
      <c r="AO34" s="18">
        <f>+AM34*200</f>
        <v>0</v>
      </c>
    </row>
    <row r="35" spans="1:41" x14ac:dyDescent="0.25">
      <c r="A35" s="143">
        <v>4</v>
      </c>
      <c r="B35" s="92">
        <v>45244</v>
      </c>
      <c r="C35" s="23"/>
      <c r="D35" s="31" t="s">
        <v>30</v>
      </c>
      <c r="E35" s="32"/>
      <c r="F35" s="32" t="s">
        <v>106</v>
      </c>
      <c r="G35" s="32" t="s">
        <v>1734</v>
      </c>
      <c r="H35" s="39" t="s">
        <v>2682</v>
      </c>
      <c r="I35" s="122"/>
      <c r="J35" s="32">
        <f>178+22</f>
        <v>200</v>
      </c>
      <c r="K35" s="20">
        <v>10</v>
      </c>
      <c r="L35" s="21">
        <v>10</v>
      </c>
      <c r="M35" s="21">
        <f t="shared" si="4"/>
        <v>210</v>
      </c>
      <c r="N35" s="21">
        <f t="shared" si="5"/>
        <v>-210</v>
      </c>
      <c r="O35" s="21"/>
      <c r="P35" s="21"/>
      <c r="Q35" s="5"/>
      <c r="R35" s="21">
        <v>250</v>
      </c>
      <c r="S35" s="16"/>
      <c r="T35" s="21">
        <f t="shared" si="6"/>
        <v>250</v>
      </c>
      <c r="U35" s="21">
        <v>260</v>
      </c>
      <c r="V35" s="78">
        <f t="shared" si="7"/>
        <v>10</v>
      </c>
      <c r="W35" s="140"/>
      <c r="X35" s="334"/>
      <c r="Y35" s="5"/>
      <c r="AC35">
        <v>2</v>
      </c>
      <c r="AD35" s="16" t="s">
        <v>165</v>
      </c>
      <c r="AE35" s="18">
        <f>+AC35*100</f>
        <v>200</v>
      </c>
      <c r="AH35" s="16" t="s">
        <v>165</v>
      </c>
      <c r="AI35" s="18">
        <f>+AG35*100</f>
        <v>0</v>
      </c>
      <c r="AK35" s="16"/>
      <c r="AL35" s="16"/>
      <c r="AN35" s="16" t="s">
        <v>165</v>
      </c>
      <c r="AO35" s="18">
        <f>+AM35*100</f>
        <v>0</v>
      </c>
    </row>
    <row r="36" spans="1:41" x14ac:dyDescent="0.25">
      <c r="A36" s="143">
        <v>5</v>
      </c>
      <c r="B36" s="92">
        <v>45244</v>
      </c>
      <c r="C36" s="23"/>
      <c r="D36" s="31" t="s">
        <v>2685</v>
      </c>
      <c r="E36" s="32"/>
      <c r="F36" s="32" t="s">
        <v>788</v>
      </c>
      <c r="G36" s="32"/>
      <c r="H36" s="32" t="s">
        <v>2684</v>
      </c>
      <c r="I36" s="122"/>
      <c r="J36" s="32">
        <v>87</v>
      </c>
      <c r="K36" s="20">
        <v>10</v>
      </c>
      <c r="L36" s="21">
        <v>10</v>
      </c>
      <c r="M36" s="21">
        <f t="shared" si="4"/>
        <v>97</v>
      </c>
      <c r="N36" s="21">
        <f t="shared" si="5"/>
        <v>-97</v>
      </c>
      <c r="O36" s="21"/>
      <c r="P36" s="21"/>
      <c r="Q36" s="5"/>
      <c r="R36" s="16"/>
      <c r="S36" s="16"/>
      <c r="T36" s="21">
        <f t="shared" si="6"/>
        <v>0</v>
      </c>
      <c r="U36" s="21">
        <v>20</v>
      </c>
      <c r="V36" s="78">
        <f t="shared" si="7"/>
        <v>20</v>
      </c>
      <c r="W36" s="140"/>
      <c r="X36" s="334"/>
      <c r="Y36" s="5"/>
      <c r="AC36">
        <v>3</v>
      </c>
      <c r="AD36" s="16" t="s">
        <v>166</v>
      </c>
      <c r="AE36" s="18">
        <f>+AC36*50</f>
        <v>150</v>
      </c>
      <c r="AH36" s="16" t="s">
        <v>166</v>
      </c>
      <c r="AI36" s="18">
        <f>+AG36*50</f>
        <v>0</v>
      </c>
      <c r="AK36" s="16"/>
      <c r="AL36" s="16"/>
      <c r="AN36" s="16" t="s">
        <v>166</v>
      </c>
      <c r="AO36" s="18">
        <f>+AM36*50</f>
        <v>0</v>
      </c>
    </row>
    <row r="37" spans="1:41" x14ac:dyDescent="0.25">
      <c r="A37" s="143">
        <v>6</v>
      </c>
      <c r="B37" s="92">
        <v>45244</v>
      </c>
      <c r="C37" s="23"/>
      <c r="D37" s="31" t="s">
        <v>119</v>
      </c>
      <c r="E37" s="32"/>
      <c r="F37" s="32" t="s">
        <v>31</v>
      </c>
      <c r="G37" s="32" t="s">
        <v>2700</v>
      </c>
      <c r="H37" s="39" t="s">
        <v>1585</v>
      </c>
      <c r="I37" s="39"/>
      <c r="J37" s="42">
        <v>57</v>
      </c>
      <c r="K37" s="20">
        <v>10</v>
      </c>
      <c r="L37" s="21"/>
      <c r="M37" s="21">
        <f t="shared" si="4"/>
        <v>67</v>
      </c>
      <c r="N37" s="21">
        <f t="shared" si="5"/>
        <v>-67</v>
      </c>
      <c r="O37" s="21"/>
      <c r="P37" s="21"/>
      <c r="Q37" s="5"/>
      <c r="R37" s="16"/>
      <c r="S37" s="16"/>
      <c r="T37" s="21">
        <f t="shared" si="6"/>
        <v>0</v>
      </c>
      <c r="U37" s="16">
        <v>10</v>
      </c>
      <c r="V37" s="78">
        <f t="shared" si="7"/>
        <v>10</v>
      </c>
      <c r="W37" s="140"/>
      <c r="X37" s="334"/>
      <c r="Y37" s="5"/>
      <c r="AC37">
        <v>3</v>
      </c>
      <c r="AD37" s="16" t="s">
        <v>167</v>
      </c>
      <c r="AE37" s="18">
        <f>+AC37*20</f>
        <v>60</v>
      </c>
      <c r="AG37">
        <v>12</v>
      </c>
      <c r="AH37" s="16" t="s">
        <v>167</v>
      </c>
      <c r="AI37" s="18">
        <f>+AG37*20</f>
        <v>240</v>
      </c>
      <c r="AK37" s="16"/>
      <c r="AL37" s="16"/>
      <c r="AN37" s="16" t="s">
        <v>167</v>
      </c>
      <c r="AO37" s="18">
        <f>+AM37*20</f>
        <v>0</v>
      </c>
    </row>
    <row r="38" spans="1:41" x14ac:dyDescent="0.25">
      <c r="A38" s="143">
        <v>7</v>
      </c>
      <c r="B38" s="92">
        <v>45244</v>
      </c>
      <c r="C38" s="23">
        <v>0.3263888888888889</v>
      </c>
      <c r="D38" s="31" t="s">
        <v>2686</v>
      </c>
      <c r="E38" s="32">
        <v>5518380748</v>
      </c>
      <c r="F38" s="32" t="s">
        <v>2687</v>
      </c>
      <c r="G38" s="32" t="s">
        <v>2688</v>
      </c>
      <c r="H38" s="39" t="s">
        <v>2689</v>
      </c>
      <c r="I38" s="122">
        <v>200</v>
      </c>
      <c r="J38" s="42">
        <v>149</v>
      </c>
      <c r="K38" s="20">
        <v>11</v>
      </c>
      <c r="L38" s="21"/>
      <c r="M38" s="21">
        <f t="shared" si="4"/>
        <v>160</v>
      </c>
      <c r="N38" s="21">
        <f t="shared" si="5"/>
        <v>40</v>
      </c>
      <c r="O38" s="21"/>
      <c r="P38" s="21"/>
      <c r="Q38" s="5"/>
      <c r="R38" s="16"/>
      <c r="S38" s="16"/>
      <c r="T38" s="21">
        <f t="shared" si="6"/>
        <v>0</v>
      </c>
      <c r="U38" s="16"/>
      <c r="V38" s="78">
        <f t="shared" si="7"/>
        <v>0</v>
      </c>
      <c r="W38" s="140"/>
      <c r="X38" s="334"/>
      <c r="Y38" s="5"/>
      <c r="AD38" s="16" t="s">
        <v>171</v>
      </c>
      <c r="AE38" s="18">
        <f>+AC38*500</f>
        <v>0</v>
      </c>
      <c r="AH38" s="16" t="s">
        <v>171</v>
      </c>
      <c r="AI38" s="18">
        <f>+AG38*500</f>
        <v>0</v>
      </c>
      <c r="AK38" s="16"/>
      <c r="AL38" s="16"/>
      <c r="AN38" s="16" t="s">
        <v>171</v>
      </c>
      <c r="AO38" s="18">
        <f>+AM38*500</f>
        <v>0</v>
      </c>
    </row>
    <row r="39" spans="1:41" x14ac:dyDescent="0.25">
      <c r="A39" s="254">
        <v>8</v>
      </c>
      <c r="B39" s="92">
        <v>45244</v>
      </c>
      <c r="C39" s="23">
        <v>0.33333333333333331</v>
      </c>
      <c r="D39" s="31" t="s">
        <v>1281</v>
      </c>
      <c r="E39" s="123">
        <v>5620167396</v>
      </c>
      <c r="F39" s="123" t="s">
        <v>2690</v>
      </c>
      <c r="G39" s="123" t="s">
        <v>2691</v>
      </c>
      <c r="H39" s="39" t="s">
        <v>2692</v>
      </c>
      <c r="I39" s="122">
        <v>120</v>
      </c>
      <c r="J39" s="32">
        <v>99</v>
      </c>
      <c r="K39" s="20">
        <v>13</v>
      </c>
      <c r="L39" s="21"/>
      <c r="M39" s="21">
        <f t="shared" si="4"/>
        <v>112</v>
      </c>
      <c r="N39" s="21">
        <f t="shared" si="5"/>
        <v>8</v>
      </c>
      <c r="O39" s="21">
        <v>120</v>
      </c>
      <c r="P39" s="21">
        <v>75</v>
      </c>
      <c r="Q39" s="5"/>
      <c r="R39" s="16">
        <v>200</v>
      </c>
      <c r="S39" s="16"/>
      <c r="T39" s="21">
        <f t="shared" si="6"/>
        <v>200</v>
      </c>
      <c r="U39" s="16">
        <v>213</v>
      </c>
      <c r="V39" s="78">
        <f t="shared" si="7"/>
        <v>208</v>
      </c>
      <c r="W39" s="140"/>
      <c r="X39" s="334"/>
      <c r="Y39" s="5"/>
      <c r="AD39" s="16" t="s">
        <v>168</v>
      </c>
      <c r="AE39" s="18">
        <f>+AC39*1000</f>
        <v>0</v>
      </c>
      <c r="AH39" s="16" t="s">
        <v>168</v>
      </c>
      <c r="AI39" s="18">
        <f>+AG39*1000</f>
        <v>0</v>
      </c>
      <c r="AK39" s="16"/>
      <c r="AL39" s="16"/>
      <c r="AN39" s="16" t="s">
        <v>168</v>
      </c>
      <c r="AO39" s="18">
        <f>+AM39*1000</f>
        <v>0</v>
      </c>
    </row>
    <row r="40" spans="1:41" x14ac:dyDescent="0.25">
      <c r="A40" s="143">
        <v>9</v>
      </c>
      <c r="B40" s="92">
        <v>45244</v>
      </c>
      <c r="C40" s="23">
        <v>0.35416666666666669</v>
      </c>
      <c r="D40" s="31" t="s">
        <v>105</v>
      </c>
      <c r="E40" s="32">
        <v>5566778778</v>
      </c>
      <c r="F40" s="32" t="s">
        <v>2693</v>
      </c>
      <c r="G40" s="39" t="s">
        <v>2694</v>
      </c>
      <c r="H40" s="81" t="s">
        <v>2697</v>
      </c>
      <c r="I40" s="39">
        <v>500</v>
      </c>
      <c r="J40" s="40">
        <v>214</v>
      </c>
      <c r="K40" s="20">
        <v>24</v>
      </c>
      <c r="L40" s="21"/>
      <c r="M40" s="21">
        <f t="shared" si="4"/>
        <v>238</v>
      </c>
      <c r="N40" s="21">
        <f t="shared" si="5"/>
        <v>262</v>
      </c>
      <c r="O40" s="21"/>
      <c r="P40" s="21">
        <v>80</v>
      </c>
      <c r="Q40" s="5"/>
      <c r="R40" s="16"/>
      <c r="S40" s="16"/>
      <c r="T40" s="21">
        <f t="shared" si="6"/>
        <v>0</v>
      </c>
      <c r="U40" s="16"/>
      <c r="V40" s="78">
        <f t="shared" si="7"/>
        <v>80</v>
      </c>
      <c r="W40" s="140"/>
      <c r="X40" s="334"/>
      <c r="Y40" s="5"/>
      <c r="AD40" s="26"/>
      <c r="AE40" s="58"/>
      <c r="AH40" s="26"/>
      <c r="AI40" s="58"/>
      <c r="AK40" s="16"/>
      <c r="AL40" s="16"/>
      <c r="AN40" s="26"/>
      <c r="AO40" s="58"/>
    </row>
    <row r="41" spans="1:41" x14ac:dyDescent="0.25">
      <c r="A41" s="143">
        <v>10</v>
      </c>
      <c r="B41" s="92">
        <v>45244</v>
      </c>
      <c r="C41" s="23">
        <v>0.375</v>
      </c>
      <c r="D41" s="31" t="s">
        <v>815</v>
      </c>
      <c r="E41" s="32">
        <v>5572135350</v>
      </c>
      <c r="F41" s="32" t="s">
        <v>106</v>
      </c>
      <c r="G41" s="32" t="s">
        <v>2695</v>
      </c>
      <c r="H41" s="39" t="s">
        <v>2698</v>
      </c>
      <c r="I41" s="122">
        <v>89</v>
      </c>
      <c r="J41" s="42">
        <v>76</v>
      </c>
      <c r="K41" s="20">
        <v>12</v>
      </c>
      <c r="L41" s="21"/>
      <c r="M41" s="21">
        <f t="shared" si="4"/>
        <v>88</v>
      </c>
      <c r="N41" s="21">
        <f t="shared" si="5"/>
        <v>1</v>
      </c>
      <c r="O41" s="21"/>
      <c r="P41" s="21"/>
      <c r="Q41" s="5"/>
      <c r="R41" s="16"/>
      <c r="S41" s="16"/>
      <c r="T41" s="21">
        <f t="shared" si="6"/>
        <v>0</v>
      </c>
      <c r="U41" s="16"/>
      <c r="V41" s="78">
        <f t="shared" si="7"/>
        <v>0</v>
      </c>
      <c r="W41" s="140"/>
      <c r="X41" s="334"/>
      <c r="Y41" s="5"/>
      <c r="AD41" s="16" t="s">
        <v>169</v>
      </c>
      <c r="AE41" s="18">
        <f>SUM(AE31:AE40)</f>
        <v>1486</v>
      </c>
      <c r="AH41" s="16" t="s">
        <v>169</v>
      </c>
      <c r="AI41" s="18">
        <f>SUM(AI31:AI40)</f>
        <v>838</v>
      </c>
      <c r="AK41" s="16"/>
      <c r="AL41" s="16"/>
      <c r="AN41" s="16" t="s">
        <v>169</v>
      </c>
      <c r="AO41" s="18"/>
    </row>
    <row r="42" spans="1:41" x14ac:dyDescent="0.25">
      <c r="A42" s="143">
        <v>11</v>
      </c>
      <c r="B42" s="92">
        <v>45244</v>
      </c>
      <c r="C42" s="23">
        <v>0.3888888888888889</v>
      </c>
      <c r="D42" s="31" t="s">
        <v>1912</v>
      </c>
      <c r="E42" s="124">
        <v>5510080515</v>
      </c>
      <c r="F42" s="123" t="s">
        <v>517</v>
      </c>
      <c r="G42" s="123" t="s">
        <v>2696</v>
      </c>
      <c r="H42" s="39" t="s">
        <v>2699</v>
      </c>
      <c r="I42" s="122"/>
      <c r="J42" s="42">
        <v>110</v>
      </c>
      <c r="K42" s="20">
        <v>10</v>
      </c>
      <c r="L42" s="21"/>
      <c r="M42" s="21">
        <f t="shared" si="4"/>
        <v>120</v>
      </c>
      <c r="N42" s="21">
        <f t="shared" si="5"/>
        <v>-120</v>
      </c>
      <c r="O42" s="21"/>
      <c r="P42" s="21"/>
      <c r="Q42" s="5"/>
      <c r="R42" s="16"/>
      <c r="S42" s="16"/>
      <c r="T42" s="21">
        <f t="shared" si="6"/>
        <v>0</v>
      </c>
      <c r="U42" s="16"/>
      <c r="V42" s="78">
        <f t="shared" si="7"/>
        <v>0</v>
      </c>
      <c r="W42" s="140"/>
      <c r="X42" s="334"/>
      <c r="Y42" s="5"/>
      <c r="AE42">
        <v>1486</v>
      </c>
      <c r="AK42" s="16"/>
      <c r="AL42" s="16"/>
      <c r="AN42" s="16"/>
      <c r="AO42" s="16"/>
    </row>
    <row r="43" spans="1:41" x14ac:dyDescent="0.25">
      <c r="A43" s="143">
        <v>12</v>
      </c>
      <c r="B43" s="92">
        <v>45244</v>
      </c>
      <c r="C43" s="23"/>
      <c r="D43" s="32"/>
      <c r="E43" s="32"/>
      <c r="F43" s="124"/>
      <c r="G43" s="123"/>
      <c r="H43" s="39"/>
      <c r="I43" s="39"/>
      <c r="J43" s="42"/>
      <c r="K43" s="20">
        <v>10</v>
      </c>
      <c r="L43" s="21"/>
      <c r="M43" s="21">
        <f t="shared" si="4"/>
        <v>10</v>
      </c>
      <c r="N43" s="21">
        <f t="shared" si="5"/>
        <v>-10</v>
      </c>
      <c r="O43" s="21"/>
      <c r="P43" s="21"/>
      <c r="Q43" s="5"/>
      <c r="R43" s="45"/>
      <c r="S43" s="44"/>
      <c r="T43" s="21">
        <f t="shared" si="6"/>
        <v>0</v>
      </c>
      <c r="U43" s="45"/>
      <c r="V43" s="78">
        <f t="shared" si="7"/>
        <v>0</v>
      </c>
      <c r="W43" s="140"/>
      <c r="X43" s="334"/>
      <c r="Y43" s="5"/>
      <c r="AK43" s="63" t="s">
        <v>169</v>
      </c>
      <c r="AL43" s="63">
        <f>+SUM(AK32:AK42)-SUM(AL32:AL42)</f>
        <v>0</v>
      </c>
      <c r="AN43" s="63" t="s">
        <v>169</v>
      </c>
      <c r="AO43" s="85">
        <f>+SUM(AN31:AN42)-SUM(AO32:AO42)</f>
        <v>0</v>
      </c>
    </row>
    <row r="44" spans="1:41" x14ac:dyDescent="0.25">
      <c r="A44" s="143">
        <v>13</v>
      </c>
      <c r="B44" s="92">
        <v>45244</v>
      </c>
      <c r="C44" s="23"/>
      <c r="D44" s="31"/>
      <c r="E44" s="32"/>
      <c r="F44" s="32"/>
      <c r="G44" s="32"/>
      <c r="H44" s="39"/>
      <c r="I44" s="39"/>
      <c r="J44" s="42"/>
      <c r="K44" s="108">
        <v>10</v>
      </c>
      <c r="L44" s="21"/>
      <c r="M44" s="21">
        <f t="shared" si="4"/>
        <v>10</v>
      </c>
      <c r="N44" s="21">
        <f t="shared" si="5"/>
        <v>-10</v>
      </c>
      <c r="O44" s="21"/>
      <c r="P44" s="21"/>
      <c r="Q44" s="5"/>
      <c r="R44" s="43"/>
      <c r="S44" s="32"/>
      <c r="T44" s="21">
        <f t="shared" si="6"/>
        <v>0</v>
      </c>
      <c r="U44" s="43"/>
      <c r="V44" s="78">
        <f t="shared" si="7"/>
        <v>0</v>
      </c>
      <c r="W44" s="140"/>
      <c r="X44" s="334"/>
      <c r="Y44" s="5"/>
      <c r="AI44" s="83"/>
    </row>
    <row r="45" spans="1:41" x14ac:dyDescent="0.25">
      <c r="A45" s="143">
        <v>14</v>
      </c>
      <c r="B45" s="92">
        <v>45244</v>
      </c>
      <c r="C45" s="23"/>
      <c r="D45" s="31"/>
      <c r="E45" s="32"/>
      <c r="F45" s="32"/>
      <c r="G45" s="32"/>
      <c r="H45" s="39"/>
      <c r="I45" s="39"/>
      <c r="J45" s="42"/>
      <c r="K45" s="108">
        <v>10</v>
      </c>
      <c r="L45" s="21"/>
      <c r="M45" s="21">
        <f t="shared" si="4"/>
        <v>10</v>
      </c>
      <c r="N45" s="21">
        <f t="shared" si="5"/>
        <v>-10</v>
      </c>
      <c r="O45" s="21"/>
      <c r="P45" s="21"/>
      <c r="Q45" s="5"/>
      <c r="R45" s="43"/>
      <c r="S45" s="43"/>
      <c r="T45" s="21">
        <f t="shared" si="6"/>
        <v>0</v>
      </c>
      <c r="U45" s="43"/>
      <c r="V45" s="78">
        <f t="shared" si="7"/>
        <v>0</v>
      </c>
      <c r="W45" s="140"/>
      <c r="X45" s="334"/>
      <c r="Y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41" x14ac:dyDescent="0.25">
      <c r="A46" s="143">
        <v>15</v>
      </c>
      <c r="B46" s="92">
        <v>45244</v>
      </c>
      <c r="C46" s="23"/>
      <c r="D46" s="127"/>
      <c r="E46" s="32"/>
      <c r="F46" s="32"/>
      <c r="G46" s="128"/>
      <c r="H46" s="129"/>
      <c r="I46" s="39"/>
      <c r="J46" s="42"/>
      <c r="K46" s="108">
        <v>10</v>
      </c>
      <c r="L46" s="21"/>
      <c r="M46" s="21">
        <f t="shared" si="4"/>
        <v>10</v>
      </c>
      <c r="N46" s="21">
        <f t="shared" si="5"/>
        <v>-10</v>
      </c>
      <c r="O46" s="21"/>
      <c r="P46" s="21"/>
      <c r="Q46" s="5"/>
      <c r="R46" s="43"/>
      <c r="S46" s="43"/>
      <c r="T46" s="21">
        <f t="shared" si="6"/>
        <v>0</v>
      </c>
      <c r="U46" s="43"/>
      <c r="V46" s="78">
        <f t="shared" si="7"/>
        <v>0</v>
      </c>
      <c r="W46" s="140"/>
      <c r="X46" s="334"/>
      <c r="Y46" s="5"/>
      <c r="AD46" s="5"/>
      <c r="AE46" s="134" t="s">
        <v>20</v>
      </c>
      <c r="AF46" s="338"/>
      <c r="AG46" s="341" t="s">
        <v>686</v>
      </c>
      <c r="AH46" s="134" t="s">
        <v>20</v>
      </c>
      <c r="AI46" s="338"/>
      <c r="AJ46" s="341" t="s">
        <v>687</v>
      </c>
      <c r="AK46" s="134" t="s">
        <v>20</v>
      </c>
      <c r="AL46" s="338"/>
      <c r="AM46" s="5"/>
    </row>
    <row r="47" spans="1:41" x14ac:dyDescent="0.25">
      <c r="A47" s="143">
        <v>16</v>
      </c>
      <c r="B47" s="92">
        <v>45244</v>
      </c>
      <c r="C47" s="23"/>
      <c r="D47" s="31"/>
      <c r="E47" s="32"/>
      <c r="F47" s="32"/>
      <c r="G47" s="32"/>
      <c r="H47" s="39"/>
      <c r="I47" s="39"/>
      <c r="J47" s="42"/>
      <c r="K47" s="43">
        <v>10</v>
      </c>
      <c r="L47" s="21"/>
      <c r="M47" s="21">
        <f t="shared" si="4"/>
        <v>10</v>
      </c>
      <c r="N47" s="21">
        <f t="shared" si="5"/>
        <v>-10</v>
      </c>
      <c r="O47" s="21"/>
      <c r="P47" s="21"/>
      <c r="Q47" s="5"/>
      <c r="R47" s="43"/>
      <c r="S47" s="32"/>
      <c r="T47" s="21">
        <f t="shared" si="6"/>
        <v>0</v>
      </c>
      <c r="U47" s="131"/>
      <c r="V47" s="78">
        <f t="shared" si="7"/>
        <v>0</v>
      </c>
      <c r="W47" s="140"/>
      <c r="X47" s="334"/>
      <c r="Y47" s="5"/>
      <c r="AD47" s="5" t="s">
        <v>685</v>
      </c>
      <c r="AE47" s="115" t="s">
        <v>684</v>
      </c>
      <c r="AF47" s="339"/>
      <c r="AG47" s="341"/>
      <c r="AH47" s="115" t="s">
        <v>684</v>
      </c>
      <c r="AI47" s="339"/>
      <c r="AJ47" s="341"/>
      <c r="AK47" s="115" t="s">
        <v>684</v>
      </c>
      <c r="AL47" s="339"/>
      <c r="AM47" s="5"/>
    </row>
    <row r="48" spans="1:41" x14ac:dyDescent="0.25">
      <c r="A48" s="143">
        <v>17</v>
      </c>
      <c r="B48" s="92">
        <v>45244</v>
      </c>
      <c r="C48" s="23"/>
      <c r="D48" s="31"/>
      <c r="E48" s="32"/>
      <c r="F48" s="32"/>
      <c r="G48" s="32"/>
      <c r="H48" s="39"/>
      <c r="I48" s="39"/>
      <c r="J48" s="42"/>
      <c r="K48" s="43">
        <v>10</v>
      </c>
      <c r="L48" s="21"/>
      <c r="M48" s="21">
        <f t="shared" si="4"/>
        <v>10</v>
      </c>
      <c r="N48" s="21">
        <f t="shared" si="5"/>
        <v>-10</v>
      </c>
      <c r="O48" s="21"/>
      <c r="P48" s="21"/>
      <c r="Q48" s="5"/>
      <c r="R48" s="43"/>
      <c r="S48" s="32"/>
      <c r="T48" s="21">
        <f t="shared" si="6"/>
        <v>0</v>
      </c>
      <c r="U48" s="132"/>
      <c r="V48" s="78">
        <f t="shared" si="7"/>
        <v>0</v>
      </c>
      <c r="W48" s="140"/>
      <c r="X48" s="340"/>
      <c r="Y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41" x14ac:dyDescent="0.25">
      <c r="A49" s="143">
        <v>18</v>
      </c>
      <c r="B49" s="92">
        <v>45244</v>
      </c>
      <c r="C49" s="32"/>
      <c r="D49" s="31"/>
      <c r="E49" s="32"/>
      <c r="F49" s="32"/>
      <c r="G49" s="32"/>
      <c r="H49" s="39"/>
      <c r="I49" s="39"/>
      <c r="J49" s="42"/>
      <c r="K49" s="43">
        <v>10</v>
      </c>
      <c r="L49" s="21"/>
      <c r="M49" s="21">
        <f t="shared" si="4"/>
        <v>10</v>
      </c>
      <c r="N49" s="21">
        <f t="shared" si="5"/>
        <v>-10</v>
      </c>
      <c r="O49" s="21"/>
      <c r="P49" s="21"/>
      <c r="Q49" s="5"/>
      <c r="R49" s="135"/>
      <c r="S49" s="104"/>
      <c r="T49" s="21">
        <f t="shared" si="6"/>
        <v>0</v>
      </c>
      <c r="U49" s="131"/>
      <c r="V49" s="78">
        <f t="shared" si="7"/>
        <v>0</v>
      </c>
      <c r="W49" s="140"/>
      <c r="Y49" s="5"/>
    </row>
    <row r="50" spans="1:41" x14ac:dyDescent="0.25">
      <c r="A50" s="143">
        <v>19</v>
      </c>
      <c r="B50" s="92">
        <v>45244</v>
      </c>
      <c r="C50" s="32"/>
      <c r="D50" s="31"/>
      <c r="E50" s="32"/>
      <c r="F50" s="32"/>
      <c r="G50" s="32"/>
      <c r="H50" s="39"/>
      <c r="I50" s="39"/>
      <c r="J50" s="42"/>
      <c r="K50" s="43">
        <v>10</v>
      </c>
      <c r="L50" s="21"/>
      <c r="M50" s="21">
        <f t="shared" si="4"/>
        <v>10</v>
      </c>
      <c r="N50" s="21">
        <f t="shared" si="5"/>
        <v>-10</v>
      </c>
      <c r="O50" s="21"/>
      <c r="P50" s="21"/>
      <c r="Q50" s="5"/>
      <c r="R50" s="32"/>
      <c r="S50" s="32"/>
      <c r="T50" s="21">
        <f t="shared" si="6"/>
        <v>0</v>
      </c>
      <c r="U50" s="32"/>
      <c r="V50" s="78">
        <f t="shared" si="7"/>
        <v>0</v>
      </c>
      <c r="W50" s="140"/>
      <c r="Y50" s="5"/>
    </row>
    <row r="51" spans="1:4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141"/>
      <c r="X51" s="5"/>
      <c r="Y51" s="5"/>
    </row>
    <row r="56" spans="1:41" x14ac:dyDescent="0.25">
      <c r="A56" s="1" t="s">
        <v>0</v>
      </c>
      <c r="B56" s="1"/>
      <c r="C56" s="1"/>
      <c r="D56" s="1"/>
      <c r="E56" s="1"/>
      <c r="F56" s="1"/>
      <c r="G56" s="1"/>
      <c r="H56" s="1"/>
      <c r="I56" s="1"/>
      <c r="J56" s="1" t="s">
        <v>148</v>
      </c>
      <c r="K56" s="1"/>
      <c r="L56" s="1"/>
      <c r="M56" s="1"/>
      <c r="N56" s="1"/>
      <c r="O56" s="1"/>
      <c r="P56" s="1"/>
      <c r="Q56" s="1"/>
      <c r="R56" s="1"/>
      <c r="S56" s="1"/>
      <c r="T56" s="342" t="s">
        <v>1</v>
      </c>
      <c r="U56" s="342"/>
      <c r="V56" s="5"/>
      <c r="W56" s="139"/>
      <c r="X56" s="1"/>
      <c r="Y56" s="5"/>
      <c r="AD56" s="335" t="s">
        <v>160</v>
      </c>
      <c r="AE56" s="336"/>
      <c r="AH56" s="335" t="s">
        <v>170</v>
      </c>
      <c r="AI56" s="336"/>
      <c r="AK56" s="337" t="s">
        <v>172</v>
      </c>
      <c r="AL56" s="337"/>
      <c r="AN56" s="337" t="s">
        <v>2733</v>
      </c>
      <c r="AO56" s="337"/>
    </row>
    <row r="57" spans="1:41" ht="90" x14ac:dyDescent="0.25">
      <c r="A57" s="6" t="s">
        <v>2</v>
      </c>
      <c r="B57" s="7" t="s">
        <v>3</v>
      </c>
      <c r="C57" s="245" t="s">
        <v>688</v>
      </c>
      <c r="D57" s="7" t="s">
        <v>4</v>
      </c>
      <c r="E57" s="6" t="s">
        <v>5</v>
      </c>
      <c r="F57" s="6" t="s">
        <v>6</v>
      </c>
      <c r="G57" s="6" t="s">
        <v>7</v>
      </c>
      <c r="H57" s="6" t="s">
        <v>8</v>
      </c>
      <c r="I57" s="8" t="s">
        <v>9</v>
      </c>
      <c r="J57" s="9" t="s">
        <v>10</v>
      </c>
      <c r="K57" s="8" t="s">
        <v>11</v>
      </c>
      <c r="L57" s="10" t="s">
        <v>12</v>
      </c>
      <c r="M57" s="10" t="s">
        <v>13</v>
      </c>
      <c r="N57" s="11" t="s">
        <v>14</v>
      </c>
      <c r="O57" s="10" t="s">
        <v>691</v>
      </c>
      <c r="P57" s="10" t="s">
        <v>28</v>
      </c>
      <c r="Q57" s="5"/>
      <c r="R57" s="10" t="s">
        <v>16</v>
      </c>
      <c r="S57" s="10" t="s">
        <v>17</v>
      </c>
      <c r="T57" s="10" t="s">
        <v>18</v>
      </c>
      <c r="U57" s="10" t="s">
        <v>19</v>
      </c>
      <c r="V57" s="10" t="s">
        <v>20</v>
      </c>
      <c r="W57" s="13"/>
      <c r="X57" s="15" t="s">
        <v>23</v>
      </c>
      <c r="Y57" s="5"/>
      <c r="AA57" s="251"/>
      <c r="AD57" s="16" t="s">
        <v>161</v>
      </c>
      <c r="AE57" s="58">
        <f>+AC57*10</f>
        <v>0</v>
      </c>
      <c r="AG57">
        <v>6</v>
      </c>
      <c r="AH57" s="16" t="s">
        <v>161</v>
      </c>
      <c r="AI57" s="58">
        <f>+AG57*10</f>
        <v>60</v>
      </c>
      <c r="AK57" s="61" t="s">
        <v>173</v>
      </c>
      <c r="AL57" s="62" t="s">
        <v>174</v>
      </c>
      <c r="AM57">
        <v>6</v>
      </c>
      <c r="AN57" s="16" t="s">
        <v>161</v>
      </c>
      <c r="AO57" s="58">
        <f>+AM57*10</f>
        <v>60</v>
      </c>
    </row>
    <row r="58" spans="1:41" x14ac:dyDescent="0.25">
      <c r="A58" s="16"/>
      <c r="B58" s="92">
        <v>45245</v>
      </c>
      <c r="C58" s="23">
        <v>0.46666666666666662</v>
      </c>
      <c r="D58" s="31" t="s">
        <v>203</v>
      </c>
      <c r="E58" s="32"/>
      <c r="F58" s="32" t="s">
        <v>2706</v>
      </c>
      <c r="G58" s="39" t="s">
        <v>1148</v>
      </c>
      <c r="H58" s="32" t="s">
        <v>2701</v>
      </c>
      <c r="I58" s="122">
        <v>500</v>
      </c>
      <c r="J58" s="32">
        <v>163</v>
      </c>
      <c r="K58" s="20">
        <v>15</v>
      </c>
      <c r="L58" s="21">
        <v>20</v>
      </c>
      <c r="M58" s="21">
        <f t="shared" ref="M58:M76" si="8">+J58+K58</f>
        <v>178</v>
      </c>
      <c r="N58" s="21">
        <f t="shared" ref="N58:N76" si="9">+I58-M58</f>
        <v>322</v>
      </c>
      <c r="O58" s="21"/>
      <c r="P58" s="21"/>
      <c r="Q58" s="5"/>
      <c r="R58" s="21"/>
      <c r="S58" s="16"/>
      <c r="T58" s="21">
        <f t="shared" ref="T58:T76" si="10">+R58+S58</f>
        <v>0</v>
      </c>
      <c r="U58" s="21">
        <v>30</v>
      </c>
      <c r="V58" s="78">
        <f>+U58-T58+O58+P58</f>
        <v>30</v>
      </c>
      <c r="W58" s="13"/>
      <c r="X58" s="333"/>
      <c r="Y58" s="5"/>
      <c r="AD58" s="59" t="s">
        <v>162</v>
      </c>
      <c r="AE58" s="18">
        <f>+AC58*1</f>
        <v>0</v>
      </c>
      <c r="AG58">
        <v>100</v>
      </c>
      <c r="AH58" s="59" t="s">
        <v>162</v>
      </c>
      <c r="AI58" s="18">
        <f>+AG58*1</f>
        <v>100</v>
      </c>
      <c r="AK58" s="16">
        <v>67</v>
      </c>
      <c r="AL58" s="16"/>
      <c r="AM58">
        <v>100</v>
      </c>
      <c r="AN58" s="59" t="s">
        <v>162</v>
      </c>
      <c r="AO58" s="18">
        <f>+AM58*1</f>
        <v>100</v>
      </c>
    </row>
    <row r="59" spans="1:41" x14ac:dyDescent="0.25">
      <c r="A59" s="26">
        <v>2</v>
      </c>
      <c r="B59" s="92">
        <v>45245</v>
      </c>
      <c r="C59" s="23">
        <v>0.46736111111111112</v>
      </c>
      <c r="D59" s="31" t="s">
        <v>128</v>
      </c>
      <c r="E59" s="32"/>
      <c r="F59" s="32" t="s">
        <v>2706</v>
      </c>
      <c r="G59" s="32">
        <v>844</v>
      </c>
      <c r="H59" s="32" t="s">
        <v>2702</v>
      </c>
      <c r="I59" s="122"/>
      <c r="J59" s="32">
        <v>118</v>
      </c>
      <c r="K59" s="20">
        <v>10</v>
      </c>
      <c r="L59" s="21"/>
      <c r="M59" s="21">
        <f t="shared" si="8"/>
        <v>128</v>
      </c>
      <c r="N59" s="21">
        <f t="shared" si="9"/>
        <v>-128</v>
      </c>
      <c r="O59" s="21"/>
      <c r="P59" s="21"/>
      <c r="Q59" s="5"/>
      <c r="R59" s="21">
        <v>200</v>
      </c>
      <c r="S59" s="16"/>
      <c r="T59" s="21">
        <f t="shared" si="10"/>
        <v>200</v>
      </c>
      <c r="U59" s="21">
        <v>92</v>
      </c>
      <c r="V59" s="78">
        <f>+U59-T59+O59+P59</f>
        <v>-108</v>
      </c>
      <c r="W59" s="140"/>
      <c r="X59" s="334"/>
      <c r="Y59" s="5"/>
      <c r="AD59" s="16" t="s">
        <v>163</v>
      </c>
      <c r="AE59" s="60">
        <f>+AC59*5</f>
        <v>0</v>
      </c>
      <c r="AG59">
        <v>19</v>
      </c>
      <c r="AH59" s="16" t="s">
        <v>163</v>
      </c>
      <c r="AI59" s="60">
        <f>+AG59*5</f>
        <v>95</v>
      </c>
      <c r="AK59" s="16">
        <v>125</v>
      </c>
      <c r="AL59" s="16"/>
      <c r="AM59">
        <v>19</v>
      </c>
      <c r="AN59" s="16" t="s">
        <v>163</v>
      </c>
      <c r="AO59" s="60">
        <f>+AM59*5</f>
        <v>95</v>
      </c>
    </row>
    <row r="60" spans="1:41" x14ac:dyDescent="0.25">
      <c r="A60" s="143">
        <v>3</v>
      </c>
      <c r="B60" s="92">
        <v>45245</v>
      </c>
      <c r="C60" s="23">
        <v>0.51597222222222217</v>
      </c>
      <c r="D60" s="31" t="s">
        <v>2703</v>
      </c>
      <c r="E60" s="32"/>
      <c r="F60" s="32" t="s">
        <v>2707</v>
      </c>
      <c r="G60" s="32" t="s">
        <v>2705</v>
      </c>
      <c r="H60" s="32" t="s">
        <v>2704</v>
      </c>
      <c r="I60" s="122"/>
      <c r="J60" s="32">
        <v>78</v>
      </c>
      <c r="K60" s="20">
        <v>10</v>
      </c>
      <c r="L60" s="21"/>
      <c r="M60" s="21">
        <f t="shared" si="8"/>
        <v>88</v>
      </c>
      <c r="N60" s="21">
        <f t="shared" si="9"/>
        <v>-88</v>
      </c>
      <c r="O60" s="21"/>
      <c r="P60" s="21"/>
      <c r="Q60" s="5"/>
      <c r="R60" s="21">
        <v>250</v>
      </c>
      <c r="S60" s="16"/>
      <c r="T60" s="21">
        <f t="shared" si="10"/>
        <v>250</v>
      </c>
      <c r="U60" s="21">
        <v>171</v>
      </c>
      <c r="V60" s="78">
        <f t="shared" ref="V60:V76" si="11">+U60-T60+O60+P60</f>
        <v>-79</v>
      </c>
      <c r="W60" s="140"/>
      <c r="X60" s="334"/>
      <c r="Y60" s="5"/>
      <c r="AA60" s="150" t="s">
        <v>2732</v>
      </c>
      <c r="AD60" s="16" t="s">
        <v>164</v>
      </c>
      <c r="AE60" s="18">
        <f>+AC60*200</f>
        <v>0</v>
      </c>
      <c r="AH60" s="16" t="s">
        <v>164</v>
      </c>
      <c r="AI60" s="18">
        <f>+AG60*200</f>
        <v>0</v>
      </c>
      <c r="AK60" s="16">
        <v>119</v>
      </c>
      <c r="AL60" s="16"/>
      <c r="AN60" s="16" t="s">
        <v>164</v>
      </c>
      <c r="AO60" s="18">
        <f>+AM60*200</f>
        <v>0</v>
      </c>
    </row>
    <row r="61" spans="1:41" x14ac:dyDescent="0.25">
      <c r="A61" s="143">
        <v>4</v>
      </c>
      <c r="B61" s="92">
        <v>45245</v>
      </c>
      <c r="C61" s="23">
        <v>0.58611111111111114</v>
      </c>
      <c r="D61" s="31" t="s">
        <v>82</v>
      </c>
      <c r="E61" s="32"/>
      <c r="F61" s="32" t="s">
        <v>1151</v>
      </c>
      <c r="G61" s="32" t="s">
        <v>1227</v>
      </c>
      <c r="H61" s="39" t="s">
        <v>2709</v>
      </c>
      <c r="I61" s="122"/>
      <c r="J61" s="32">
        <v>17</v>
      </c>
      <c r="K61" s="20">
        <v>10</v>
      </c>
      <c r="L61" s="21"/>
      <c r="M61" s="21">
        <f t="shared" si="8"/>
        <v>27</v>
      </c>
      <c r="N61" s="21">
        <f t="shared" si="9"/>
        <v>-27</v>
      </c>
      <c r="O61" s="21"/>
      <c r="P61" s="21"/>
      <c r="Q61" s="5"/>
      <c r="R61" s="21">
        <v>200</v>
      </c>
      <c r="S61" s="16"/>
      <c r="T61" s="21">
        <f t="shared" si="10"/>
        <v>200</v>
      </c>
      <c r="U61" s="21">
        <v>205</v>
      </c>
      <c r="V61" s="78">
        <f t="shared" si="11"/>
        <v>5</v>
      </c>
      <c r="W61" s="140"/>
      <c r="X61" s="334"/>
      <c r="Y61" s="5"/>
      <c r="AA61" t="s">
        <v>2729</v>
      </c>
      <c r="AD61" s="16" t="s">
        <v>165</v>
      </c>
      <c r="AE61" s="18">
        <f>+AC61*100</f>
        <v>0</v>
      </c>
      <c r="AG61">
        <v>3</v>
      </c>
      <c r="AH61" s="16" t="s">
        <v>165</v>
      </c>
      <c r="AI61" s="18">
        <f>+AG61*100</f>
        <v>300</v>
      </c>
      <c r="AK61" s="16">
        <v>120</v>
      </c>
      <c r="AL61" s="16"/>
      <c r="AM61">
        <v>1</v>
      </c>
      <c r="AN61" s="16" t="s">
        <v>165</v>
      </c>
      <c r="AO61" s="18">
        <f>+AM61*100</f>
        <v>100</v>
      </c>
    </row>
    <row r="62" spans="1:41" x14ac:dyDescent="0.25">
      <c r="A62" s="143">
        <v>5</v>
      </c>
      <c r="B62" s="92">
        <v>45245</v>
      </c>
      <c r="C62" s="23">
        <v>0.60625000000000007</v>
      </c>
      <c r="D62" s="31" t="s">
        <v>2330</v>
      </c>
      <c r="E62" s="32"/>
      <c r="F62" s="32" t="s">
        <v>2711</v>
      </c>
      <c r="G62" s="32" t="s">
        <v>2710</v>
      </c>
      <c r="H62" s="39" t="s">
        <v>2708</v>
      </c>
      <c r="I62" s="122"/>
      <c r="J62" s="32">
        <f>56*2</f>
        <v>112</v>
      </c>
      <c r="K62" s="20">
        <v>10</v>
      </c>
      <c r="L62" s="21"/>
      <c r="M62" s="21">
        <f t="shared" si="8"/>
        <v>122</v>
      </c>
      <c r="N62" s="21">
        <f t="shared" si="9"/>
        <v>-122</v>
      </c>
      <c r="O62" s="21"/>
      <c r="P62" s="21"/>
      <c r="Q62" s="5"/>
      <c r="R62" s="16"/>
      <c r="S62" s="16"/>
      <c r="T62" s="21">
        <f t="shared" si="10"/>
        <v>0</v>
      </c>
      <c r="U62" s="21">
        <v>10</v>
      </c>
      <c r="V62" s="78">
        <f t="shared" si="11"/>
        <v>10</v>
      </c>
      <c r="W62" s="140"/>
      <c r="X62" s="334"/>
      <c r="Y62" s="5"/>
      <c r="AA62" t="s">
        <v>2730</v>
      </c>
      <c r="AD62" s="16" t="s">
        <v>166</v>
      </c>
      <c r="AE62" s="18">
        <f>+AC62*50</f>
        <v>0</v>
      </c>
      <c r="AG62">
        <v>3</v>
      </c>
      <c r="AH62" s="16" t="s">
        <v>166</v>
      </c>
      <c r="AI62" s="18">
        <f>+AG62*50</f>
        <v>150</v>
      </c>
      <c r="AK62" s="16"/>
      <c r="AL62" s="16"/>
      <c r="AM62">
        <v>3</v>
      </c>
      <c r="AN62" s="16" t="s">
        <v>166</v>
      </c>
      <c r="AO62" s="18">
        <f>+AM62*50</f>
        <v>150</v>
      </c>
    </row>
    <row r="63" spans="1:41" x14ac:dyDescent="0.25">
      <c r="A63" s="143">
        <v>6</v>
      </c>
      <c r="B63" s="92">
        <v>45245</v>
      </c>
      <c r="C63" s="23">
        <v>0.64236111111111105</v>
      </c>
      <c r="D63" s="31" t="s">
        <v>149</v>
      </c>
      <c r="E63" s="32"/>
      <c r="F63" s="32" t="s">
        <v>2707</v>
      </c>
      <c r="G63" s="32" t="s">
        <v>1149</v>
      </c>
      <c r="H63" s="39" t="s">
        <v>2712</v>
      </c>
      <c r="I63" s="39"/>
      <c r="J63" s="42">
        <v>11</v>
      </c>
      <c r="K63" s="20">
        <v>10</v>
      </c>
      <c r="L63" s="21"/>
      <c r="M63" s="21">
        <f t="shared" si="8"/>
        <v>21</v>
      </c>
      <c r="N63" s="21">
        <f t="shared" si="9"/>
        <v>-21</v>
      </c>
      <c r="O63" s="21"/>
      <c r="P63" s="21"/>
      <c r="Q63" s="5"/>
      <c r="R63" s="16"/>
      <c r="S63" s="16"/>
      <c r="T63" s="21">
        <f t="shared" si="10"/>
        <v>0</v>
      </c>
      <c r="U63" s="16">
        <v>10</v>
      </c>
      <c r="V63" s="78">
        <f t="shared" si="11"/>
        <v>10</v>
      </c>
      <c r="W63" s="140"/>
      <c r="X63" s="334"/>
      <c r="Y63" s="5"/>
      <c r="AA63" t="s">
        <v>2731</v>
      </c>
      <c r="AD63" s="16" t="s">
        <v>167</v>
      </c>
      <c r="AE63" s="18">
        <f>+AC63*20</f>
        <v>0</v>
      </c>
      <c r="AH63" s="16" t="s">
        <v>167</v>
      </c>
      <c r="AI63" s="18">
        <f>+AG63*20</f>
        <v>0</v>
      </c>
      <c r="AK63" s="16"/>
      <c r="AL63" s="16"/>
      <c r="AN63" s="16" t="s">
        <v>167</v>
      </c>
      <c r="AO63" s="18">
        <f>+AM63*20</f>
        <v>0</v>
      </c>
    </row>
    <row r="64" spans="1:41" x14ac:dyDescent="0.25">
      <c r="A64" s="143">
        <v>7</v>
      </c>
      <c r="B64" s="92">
        <v>45245</v>
      </c>
      <c r="C64" s="23">
        <v>0.65486111111111112</v>
      </c>
      <c r="D64" s="31" t="s">
        <v>125</v>
      </c>
      <c r="E64" s="32"/>
      <c r="F64" s="32" t="s">
        <v>2713</v>
      </c>
      <c r="G64" s="32" t="s">
        <v>745</v>
      </c>
      <c r="H64" s="39" t="s">
        <v>1403</v>
      </c>
      <c r="I64" s="122"/>
      <c r="J64" s="42">
        <v>21</v>
      </c>
      <c r="K64" s="20">
        <v>10</v>
      </c>
      <c r="L64" s="21"/>
      <c r="M64" s="21">
        <f t="shared" si="8"/>
        <v>31</v>
      </c>
      <c r="N64" s="21">
        <f t="shared" si="9"/>
        <v>-31</v>
      </c>
      <c r="O64" s="21"/>
      <c r="P64" s="21"/>
      <c r="Q64" s="5"/>
      <c r="R64" s="16"/>
      <c r="S64" s="16"/>
      <c r="T64" s="21">
        <f t="shared" si="10"/>
        <v>0</v>
      </c>
      <c r="U64" s="16">
        <v>10</v>
      </c>
      <c r="V64" s="78">
        <f t="shared" si="11"/>
        <v>10</v>
      </c>
      <c r="W64" s="140"/>
      <c r="X64" s="334"/>
      <c r="Y64" s="5"/>
      <c r="AD64" s="16" t="s">
        <v>171</v>
      </c>
      <c r="AE64" s="18">
        <f>+AC64*500</f>
        <v>0</v>
      </c>
      <c r="AH64" s="16" t="s">
        <v>171</v>
      </c>
      <c r="AI64" s="18">
        <f>+AG64*500</f>
        <v>0</v>
      </c>
      <c r="AK64" s="16"/>
      <c r="AL64" s="16"/>
      <c r="AN64" s="16" t="s">
        <v>171</v>
      </c>
      <c r="AO64" s="18">
        <f>+AM64*500</f>
        <v>0</v>
      </c>
    </row>
    <row r="65" spans="1:41" x14ac:dyDescent="0.25">
      <c r="A65" s="143">
        <v>8</v>
      </c>
      <c r="B65" s="92">
        <v>45245</v>
      </c>
      <c r="C65" s="23">
        <v>0.83472222222222225</v>
      </c>
      <c r="D65" s="31" t="s">
        <v>2717</v>
      </c>
      <c r="E65" s="123"/>
      <c r="F65" s="123" t="s">
        <v>2716</v>
      </c>
      <c r="G65" s="123" t="s">
        <v>2715</v>
      </c>
      <c r="H65" s="39" t="s">
        <v>2714</v>
      </c>
      <c r="I65" s="122">
        <v>500</v>
      </c>
      <c r="J65" s="32">
        <v>174</v>
      </c>
      <c r="K65" s="20">
        <v>20</v>
      </c>
      <c r="L65" s="21">
        <v>5</v>
      </c>
      <c r="M65" s="21">
        <f t="shared" si="8"/>
        <v>194</v>
      </c>
      <c r="N65" s="21">
        <f t="shared" si="9"/>
        <v>306</v>
      </c>
      <c r="O65" s="21"/>
      <c r="P65" s="21"/>
      <c r="Q65" s="5"/>
      <c r="R65" s="16">
        <v>500</v>
      </c>
      <c r="S65" s="16"/>
      <c r="T65" s="21">
        <f t="shared" si="10"/>
        <v>500</v>
      </c>
      <c r="U65" s="16">
        <v>525</v>
      </c>
      <c r="V65" s="78">
        <f t="shared" si="11"/>
        <v>25</v>
      </c>
      <c r="W65" s="140"/>
      <c r="X65" s="334"/>
      <c r="Y65" s="5"/>
      <c r="AD65" s="16" t="s">
        <v>168</v>
      </c>
      <c r="AE65" s="18">
        <f>+AC65*1000</f>
        <v>0</v>
      </c>
      <c r="AH65" s="16" t="s">
        <v>168</v>
      </c>
      <c r="AI65" s="18">
        <f>+AG65*1000</f>
        <v>0</v>
      </c>
      <c r="AK65" s="16"/>
      <c r="AL65" s="16"/>
      <c r="AN65" s="16" t="s">
        <v>168</v>
      </c>
      <c r="AO65" s="18">
        <f>+AM65*1000</f>
        <v>0</v>
      </c>
    </row>
    <row r="66" spans="1:41" x14ac:dyDescent="0.25">
      <c r="A66" s="143">
        <v>9</v>
      </c>
      <c r="B66" s="92">
        <v>45245</v>
      </c>
      <c r="C66" s="23">
        <v>0.83750000000000002</v>
      </c>
      <c r="D66" s="31" t="s">
        <v>2588</v>
      </c>
      <c r="E66" s="32"/>
      <c r="F66" s="32" t="s">
        <v>114</v>
      </c>
      <c r="G66" s="32" t="s">
        <v>2718</v>
      </c>
      <c r="H66" s="39" t="s">
        <v>2719</v>
      </c>
      <c r="I66" s="39"/>
      <c r="J66" s="40">
        <v>56</v>
      </c>
      <c r="K66" s="20">
        <v>11</v>
      </c>
      <c r="L66" s="21">
        <v>10</v>
      </c>
      <c r="M66" s="21">
        <f t="shared" si="8"/>
        <v>67</v>
      </c>
      <c r="N66" s="21">
        <f t="shared" si="9"/>
        <v>-67</v>
      </c>
      <c r="O66" s="21">
        <v>67</v>
      </c>
      <c r="P66" s="21"/>
      <c r="Q66" s="5"/>
      <c r="R66" s="16"/>
      <c r="S66" s="16"/>
      <c r="T66" s="21">
        <f t="shared" si="10"/>
        <v>0</v>
      </c>
      <c r="U66" s="16"/>
      <c r="V66" s="78">
        <f t="shared" si="11"/>
        <v>67</v>
      </c>
      <c r="W66" s="140"/>
      <c r="X66" s="334"/>
      <c r="Y66" s="5"/>
      <c r="AD66" s="26"/>
      <c r="AE66" s="58"/>
      <c r="AH66" s="26"/>
      <c r="AI66" s="58"/>
      <c r="AK66" s="16"/>
      <c r="AL66" s="16"/>
      <c r="AN66" s="26"/>
      <c r="AO66" s="58"/>
    </row>
    <row r="67" spans="1:41" x14ac:dyDescent="0.25">
      <c r="A67" s="143">
        <v>10</v>
      </c>
      <c r="B67" s="92">
        <v>45245</v>
      </c>
      <c r="C67" s="23">
        <v>0.86388888888888893</v>
      </c>
      <c r="D67" s="31" t="s">
        <v>105</v>
      </c>
      <c r="E67" s="32"/>
      <c r="F67" s="32" t="s">
        <v>52</v>
      </c>
      <c r="G67" s="32" t="s">
        <v>2720</v>
      </c>
      <c r="H67" s="39" t="s">
        <v>2725</v>
      </c>
      <c r="I67" s="122">
        <v>500</v>
      </c>
      <c r="J67" s="42">
        <v>259</v>
      </c>
      <c r="K67" s="20">
        <v>10</v>
      </c>
      <c r="L67" s="21">
        <v>10</v>
      </c>
      <c r="M67" s="21">
        <f t="shared" si="8"/>
        <v>269</v>
      </c>
      <c r="N67" s="21">
        <f t="shared" si="9"/>
        <v>231</v>
      </c>
      <c r="O67" s="21"/>
      <c r="P67" s="21"/>
      <c r="Q67" s="5"/>
      <c r="R67" s="16">
        <v>500</v>
      </c>
      <c r="S67" s="16"/>
      <c r="T67" s="21">
        <f t="shared" si="10"/>
        <v>500</v>
      </c>
      <c r="U67" s="16">
        <v>520</v>
      </c>
      <c r="V67" s="78">
        <f t="shared" si="11"/>
        <v>20</v>
      </c>
      <c r="W67" s="140"/>
      <c r="X67" s="334"/>
      <c r="Y67" s="5"/>
      <c r="AD67" s="16" t="s">
        <v>169</v>
      </c>
      <c r="AE67" s="18">
        <f>SUM(AE57:AE66)</f>
        <v>0</v>
      </c>
      <c r="AH67" s="16" t="s">
        <v>169</v>
      </c>
      <c r="AI67" s="18">
        <f>SUM(AI57:AI66)</f>
        <v>705</v>
      </c>
      <c r="AK67" s="16"/>
      <c r="AL67" s="16"/>
      <c r="AN67" s="16" t="s">
        <v>169</v>
      </c>
      <c r="AO67" s="18"/>
    </row>
    <row r="68" spans="1:41" x14ac:dyDescent="0.25">
      <c r="A68" s="143">
        <v>11</v>
      </c>
      <c r="B68" s="92">
        <v>45245</v>
      </c>
      <c r="C68" s="23">
        <v>0.875</v>
      </c>
      <c r="D68" s="31" t="s">
        <v>1165</v>
      </c>
      <c r="E68" s="124"/>
      <c r="F68" s="123" t="s">
        <v>52</v>
      </c>
      <c r="G68" s="123" t="s">
        <v>2723</v>
      </c>
      <c r="H68" s="39" t="s">
        <v>2726</v>
      </c>
      <c r="I68" s="122">
        <v>135</v>
      </c>
      <c r="J68" s="42">
        <v>112</v>
      </c>
      <c r="K68" s="20">
        <v>23</v>
      </c>
      <c r="L68" s="21">
        <v>12</v>
      </c>
      <c r="M68" s="21">
        <f t="shared" si="8"/>
        <v>135</v>
      </c>
      <c r="N68" s="21">
        <f t="shared" si="9"/>
        <v>0</v>
      </c>
      <c r="O68" s="21">
        <v>125</v>
      </c>
      <c r="P68" s="21"/>
      <c r="Q68" s="5"/>
      <c r="R68" s="16">
        <v>500</v>
      </c>
      <c r="S68" s="16"/>
      <c r="T68" s="21">
        <f t="shared" si="10"/>
        <v>500</v>
      </c>
      <c r="U68" s="16">
        <v>535</v>
      </c>
      <c r="V68" s="78">
        <f t="shared" si="11"/>
        <v>160</v>
      </c>
      <c r="W68" s="140"/>
      <c r="X68" s="334"/>
      <c r="Y68" s="5"/>
      <c r="AK68" s="16"/>
      <c r="AL68" s="16"/>
      <c r="AN68" s="16"/>
      <c r="AO68" s="16"/>
    </row>
    <row r="69" spans="1:41" x14ac:dyDescent="0.25">
      <c r="A69" s="143">
        <v>12</v>
      </c>
      <c r="B69" s="92">
        <v>45245</v>
      </c>
      <c r="C69" s="23">
        <v>0.88541666666666663</v>
      </c>
      <c r="D69" s="32" t="s">
        <v>2721</v>
      </c>
      <c r="E69" s="32"/>
      <c r="F69" s="124" t="s">
        <v>52</v>
      </c>
      <c r="G69" s="123" t="s">
        <v>2724</v>
      </c>
      <c r="H69" s="39" t="s">
        <v>2727</v>
      </c>
      <c r="I69" s="39">
        <v>61</v>
      </c>
      <c r="J69" s="42">
        <v>51</v>
      </c>
      <c r="K69" s="20">
        <v>10</v>
      </c>
      <c r="L69" s="21"/>
      <c r="M69" s="21">
        <f t="shared" si="8"/>
        <v>61</v>
      </c>
      <c r="N69" s="21">
        <f t="shared" si="9"/>
        <v>0</v>
      </c>
      <c r="O69" s="21"/>
      <c r="P69" s="21"/>
      <c r="Q69" s="5"/>
      <c r="R69" s="45">
        <v>100</v>
      </c>
      <c r="S69" s="44"/>
      <c r="T69" s="21">
        <f t="shared" si="10"/>
        <v>100</v>
      </c>
      <c r="U69" s="45">
        <v>110</v>
      </c>
      <c r="V69" s="78">
        <f t="shared" si="11"/>
        <v>10</v>
      </c>
      <c r="W69" s="140"/>
      <c r="X69" s="334"/>
      <c r="Y69" s="5"/>
      <c r="AK69" s="63" t="s">
        <v>169</v>
      </c>
      <c r="AL69" s="63">
        <f>+SUM(AK58:AK68)-SUM(AL58:AL68)</f>
        <v>431</v>
      </c>
      <c r="AN69" s="63" t="s">
        <v>169</v>
      </c>
      <c r="AO69" s="85">
        <f>+SUM(AN57:AN68)-SUM(AO57:AO68)</f>
        <v>-505</v>
      </c>
    </row>
    <row r="70" spans="1:41" x14ac:dyDescent="0.25">
      <c r="A70" s="143">
        <v>13</v>
      </c>
      <c r="B70" s="92">
        <v>45245</v>
      </c>
      <c r="C70" s="23">
        <v>0.40277777777777773</v>
      </c>
      <c r="D70" s="31" t="s">
        <v>2722</v>
      </c>
      <c r="E70" s="32"/>
      <c r="F70" s="32" t="s">
        <v>52</v>
      </c>
      <c r="G70" s="32" t="s">
        <v>1837</v>
      </c>
      <c r="H70" s="39" t="s">
        <v>2728</v>
      </c>
      <c r="I70" s="39">
        <v>237</v>
      </c>
      <c r="J70" s="42">
        <v>227</v>
      </c>
      <c r="K70" s="108">
        <v>10</v>
      </c>
      <c r="L70" s="21">
        <v>12</v>
      </c>
      <c r="M70" s="21">
        <f t="shared" si="8"/>
        <v>237</v>
      </c>
      <c r="N70" s="21">
        <f t="shared" si="9"/>
        <v>0</v>
      </c>
      <c r="O70" s="21">
        <v>119</v>
      </c>
      <c r="P70" s="21"/>
      <c r="Q70" s="5"/>
      <c r="R70" s="43">
        <v>227</v>
      </c>
      <c r="S70" s="32"/>
      <c r="T70" s="21">
        <f t="shared" si="10"/>
        <v>227</v>
      </c>
      <c r="U70" s="43">
        <v>247</v>
      </c>
      <c r="V70" s="78">
        <f t="shared" si="11"/>
        <v>139</v>
      </c>
      <c r="W70" s="140"/>
      <c r="X70" s="334"/>
      <c r="Y70" s="5"/>
      <c r="AI70" s="83"/>
    </row>
    <row r="71" spans="1:41" x14ac:dyDescent="0.25">
      <c r="A71" s="143">
        <v>14</v>
      </c>
      <c r="B71" s="92">
        <v>45245</v>
      </c>
      <c r="C71" s="23"/>
      <c r="D71" s="31"/>
      <c r="E71" s="32"/>
      <c r="F71" s="32"/>
      <c r="G71" s="32"/>
      <c r="H71" s="39"/>
      <c r="I71" s="39"/>
      <c r="J71" s="42"/>
      <c r="K71" s="108"/>
      <c r="L71" s="21"/>
      <c r="M71" s="21">
        <f t="shared" si="8"/>
        <v>0</v>
      </c>
      <c r="N71" s="21">
        <f t="shared" si="9"/>
        <v>0</v>
      </c>
      <c r="O71" s="21"/>
      <c r="P71" s="21"/>
      <c r="Q71" s="5"/>
      <c r="R71" s="43"/>
      <c r="S71" s="43"/>
      <c r="T71" s="21">
        <f t="shared" si="10"/>
        <v>0</v>
      </c>
      <c r="U71" s="43"/>
      <c r="V71" s="78">
        <f t="shared" si="11"/>
        <v>0</v>
      </c>
      <c r="W71" s="140"/>
      <c r="X71" s="334"/>
      <c r="Y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1:41" x14ac:dyDescent="0.25">
      <c r="A72" s="143">
        <v>15</v>
      </c>
      <c r="B72" s="92">
        <v>45245</v>
      </c>
      <c r="C72" s="23"/>
      <c r="D72" s="127"/>
      <c r="E72" s="32"/>
      <c r="F72" s="32"/>
      <c r="G72" s="128"/>
      <c r="H72" s="129"/>
      <c r="I72" s="39"/>
      <c r="J72" s="42"/>
      <c r="K72" s="108"/>
      <c r="L72" s="21"/>
      <c r="M72" s="21">
        <f t="shared" si="8"/>
        <v>0</v>
      </c>
      <c r="N72" s="21">
        <f t="shared" si="9"/>
        <v>0</v>
      </c>
      <c r="O72" s="21"/>
      <c r="P72" s="21"/>
      <c r="Q72" s="5"/>
      <c r="R72" s="43"/>
      <c r="S72" s="43"/>
      <c r="T72" s="21">
        <f t="shared" si="10"/>
        <v>0</v>
      </c>
      <c r="U72" s="43"/>
      <c r="V72" s="78">
        <f t="shared" si="11"/>
        <v>0</v>
      </c>
      <c r="W72" s="140"/>
      <c r="X72" s="334"/>
      <c r="Y72" s="5"/>
      <c r="AD72" s="5"/>
      <c r="AE72" s="134" t="s">
        <v>20</v>
      </c>
      <c r="AF72" s="338"/>
      <c r="AG72" s="341" t="s">
        <v>686</v>
      </c>
      <c r="AH72" s="134" t="s">
        <v>20</v>
      </c>
      <c r="AI72" s="338"/>
      <c r="AJ72" s="341" t="s">
        <v>687</v>
      </c>
      <c r="AK72" s="134" t="s">
        <v>20</v>
      </c>
      <c r="AL72" s="338"/>
      <c r="AM72" s="5"/>
    </row>
    <row r="73" spans="1:41" x14ac:dyDescent="0.25">
      <c r="A73" s="143">
        <v>16</v>
      </c>
      <c r="B73" s="92">
        <v>45245</v>
      </c>
      <c r="C73" s="23"/>
      <c r="D73" s="31"/>
      <c r="E73" s="32"/>
      <c r="F73" s="32"/>
      <c r="G73" s="32"/>
      <c r="H73" s="39"/>
      <c r="I73" s="39"/>
      <c r="J73" s="42"/>
      <c r="K73" s="43"/>
      <c r="L73" s="21"/>
      <c r="M73" s="21">
        <f t="shared" si="8"/>
        <v>0</v>
      </c>
      <c r="N73" s="21">
        <f t="shared" si="9"/>
        <v>0</v>
      </c>
      <c r="O73" s="21"/>
      <c r="P73" s="21"/>
      <c r="Q73" s="5"/>
      <c r="R73" s="43"/>
      <c r="S73" s="32"/>
      <c r="T73" s="21">
        <f t="shared" si="10"/>
        <v>0</v>
      </c>
      <c r="U73" s="131"/>
      <c r="V73" s="78">
        <f t="shared" si="11"/>
        <v>0</v>
      </c>
      <c r="W73" s="140"/>
      <c r="X73" s="334"/>
      <c r="Y73" s="5"/>
      <c r="AD73" s="5" t="s">
        <v>685</v>
      </c>
      <c r="AE73" s="115" t="s">
        <v>684</v>
      </c>
      <c r="AF73" s="339"/>
      <c r="AG73" s="341"/>
      <c r="AH73" s="115" t="s">
        <v>684</v>
      </c>
      <c r="AI73" s="339"/>
      <c r="AJ73" s="341"/>
      <c r="AK73" s="115" t="s">
        <v>684</v>
      </c>
      <c r="AL73" s="339"/>
      <c r="AM73" s="5"/>
    </row>
    <row r="74" spans="1:41" x14ac:dyDescent="0.25">
      <c r="A74" s="143">
        <v>17</v>
      </c>
      <c r="B74" s="92">
        <v>45245</v>
      </c>
      <c r="C74" s="23"/>
      <c r="D74" s="31"/>
      <c r="E74" s="32"/>
      <c r="F74" s="32"/>
      <c r="G74" s="32"/>
      <c r="H74" s="39"/>
      <c r="I74" s="39"/>
      <c r="J74" s="42"/>
      <c r="K74" s="43"/>
      <c r="L74" s="21"/>
      <c r="M74" s="21">
        <f t="shared" si="8"/>
        <v>0</v>
      </c>
      <c r="N74" s="21">
        <f t="shared" si="9"/>
        <v>0</v>
      </c>
      <c r="O74" s="21"/>
      <c r="P74" s="21"/>
      <c r="Q74" s="5"/>
      <c r="R74" s="43"/>
      <c r="S74" s="32"/>
      <c r="T74" s="21">
        <f t="shared" si="10"/>
        <v>0</v>
      </c>
      <c r="U74" s="132"/>
      <c r="V74" s="78">
        <f t="shared" si="11"/>
        <v>0</v>
      </c>
      <c r="W74" s="140"/>
      <c r="X74" s="340"/>
      <c r="Y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1:41" x14ac:dyDescent="0.25">
      <c r="A75" s="143">
        <v>18</v>
      </c>
      <c r="B75" s="92">
        <v>45245</v>
      </c>
      <c r="C75" s="32"/>
      <c r="D75" s="31"/>
      <c r="E75" s="32"/>
      <c r="F75" s="32"/>
      <c r="G75" s="32"/>
      <c r="H75" s="39"/>
      <c r="I75" s="39"/>
      <c r="J75" s="42"/>
      <c r="K75" s="43"/>
      <c r="L75" s="21"/>
      <c r="M75" s="21">
        <f t="shared" si="8"/>
        <v>0</v>
      </c>
      <c r="N75" s="21">
        <f t="shared" si="9"/>
        <v>0</v>
      </c>
      <c r="O75" s="21"/>
      <c r="P75" s="21"/>
      <c r="Q75" s="5"/>
      <c r="R75" s="135"/>
      <c r="S75" s="104"/>
      <c r="T75" s="21">
        <f t="shared" si="10"/>
        <v>0</v>
      </c>
      <c r="U75" s="131"/>
      <c r="V75" s="78">
        <f t="shared" si="11"/>
        <v>0</v>
      </c>
      <c r="W75" s="140"/>
      <c r="Y75" s="5"/>
    </row>
    <row r="76" spans="1:41" x14ac:dyDescent="0.25">
      <c r="A76" s="143">
        <v>19</v>
      </c>
      <c r="B76" s="92">
        <v>45245</v>
      </c>
      <c r="C76" s="32"/>
      <c r="D76" s="31"/>
      <c r="E76" s="32"/>
      <c r="F76" s="32"/>
      <c r="G76" s="32"/>
      <c r="H76" s="39"/>
      <c r="I76" s="39"/>
      <c r="J76" s="42"/>
      <c r="K76" s="43"/>
      <c r="L76" s="21"/>
      <c r="M76" s="21">
        <f t="shared" si="8"/>
        <v>0</v>
      </c>
      <c r="N76" s="21">
        <f t="shared" si="9"/>
        <v>0</v>
      </c>
      <c r="O76" s="21"/>
      <c r="P76" s="21"/>
      <c r="Q76" s="5"/>
      <c r="R76" s="32"/>
      <c r="S76" s="32"/>
      <c r="T76" s="21">
        <f t="shared" si="10"/>
        <v>0</v>
      </c>
      <c r="U76" s="32"/>
      <c r="V76" s="78">
        <f t="shared" si="11"/>
        <v>0</v>
      </c>
      <c r="W76" s="140"/>
      <c r="Y76" s="5"/>
    </row>
    <row r="77" spans="1:4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22">
        <f>SUM(K58:K76)</f>
        <v>159</v>
      </c>
      <c r="L77" s="22">
        <f>SUM(L58:L74)</f>
        <v>69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141"/>
      <c r="X77" s="5"/>
      <c r="Y77" s="5"/>
    </row>
    <row r="78" spans="1:41" x14ac:dyDescent="0.25">
      <c r="K78" t="s">
        <v>2734</v>
      </c>
      <c r="L78" s="83">
        <f>K77+L77</f>
        <v>228</v>
      </c>
    </row>
    <row r="79" spans="1:41" x14ac:dyDescent="0.25">
      <c r="J79">
        <v>30</v>
      </c>
      <c r="K79">
        <v>100</v>
      </c>
      <c r="N79">
        <f>+SUM(J79:L81)</f>
        <v>633</v>
      </c>
      <c r="T79" s="83">
        <f>+SUM(U84:U92)</f>
        <v>377</v>
      </c>
    </row>
    <row r="80" spans="1:41" x14ac:dyDescent="0.25">
      <c r="J80">
        <v>110</v>
      </c>
      <c r="K80">
        <v>25</v>
      </c>
      <c r="N80">
        <f>+N79-350-100</f>
        <v>183</v>
      </c>
      <c r="Q80" s="83">
        <f>+N80-T79</f>
        <v>-194</v>
      </c>
    </row>
    <row r="81" spans="1:41" x14ac:dyDescent="0.25">
      <c r="J81">
        <v>350</v>
      </c>
      <c r="K81">
        <v>10</v>
      </c>
      <c r="L81">
        <v>8</v>
      </c>
      <c r="N81">
        <f>+N80-110</f>
        <v>73</v>
      </c>
    </row>
    <row r="82" spans="1:41" x14ac:dyDescent="0.25">
      <c r="A82" s="1" t="s">
        <v>0</v>
      </c>
      <c r="B82" s="1"/>
      <c r="C82" s="1"/>
      <c r="D82" s="1"/>
      <c r="E82" s="1"/>
      <c r="F82" s="1"/>
      <c r="G82" s="1"/>
      <c r="H82" s="1"/>
      <c r="I82" s="1"/>
      <c r="J82" s="1" t="s">
        <v>148</v>
      </c>
      <c r="K82" s="1"/>
      <c r="L82" s="1"/>
      <c r="M82" s="1"/>
      <c r="N82" s="1"/>
      <c r="O82" s="1"/>
      <c r="P82" s="1"/>
      <c r="Q82" s="1"/>
      <c r="R82" s="1"/>
      <c r="S82" s="1"/>
      <c r="T82" s="342" t="s">
        <v>1</v>
      </c>
      <c r="U82" s="342"/>
      <c r="V82" s="5"/>
      <c r="W82" s="139"/>
      <c r="X82" s="1"/>
      <c r="Y82" s="5"/>
      <c r="AD82" s="335" t="s">
        <v>160</v>
      </c>
      <c r="AE82" s="336"/>
      <c r="AH82" s="335" t="s">
        <v>170</v>
      </c>
      <c r="AI82" s="336"/>
      <c r="AK82" s="337" t="s">
        <v>172</v>
      </c>
      <c r="AL82" s="337"/>
      <c r="AN82" s="337" t="s">
        <v>2733</v>
      </c>
      <c r="AO82" s="337"/>
    </row>
    <row r="83" spans="1:41" ht="90" x14ac:dyDescent="0.25">
      <c r="A83" s="6" t="s">
        <v>2</v>
      </c>
      <c r="B83" s="7" t="s">
        <v>3</v>
      </c>
      <c r="C83" s="245" t="s">
        <v>688</v>
      </c>
      <c r="D83" s="7" t="s">
        <v>4</v>
      </c>
      <c r="E83" s="6" t="s">
        <v>5</v>
      </c>
      <c r="F83" s="6" t="s">
        <v>6</v>
      </c>
      <c r="G83" s="6" t="s">
        <v>7</v>
      </c>
      <c r="H83" s="6" t="s">
        <v>8</v>
      </c>
      <c r="I83" s="8" t="s">
        <v>9</v>
      </c>
      <c r="J83" s="9" t="s">
        <v>10</v>
      </c>
      <c r="K83" s="8" t="s">
        <v>11</v>
      </c>
      <c r="L83" s="10" t="s">
        <v>12</v>
      </c>
      <c r="M83" s="10" t="s">
        <v>13</v>
      </c>
      <c r="N83" s="11" t="s">
        <v>14</v>
      </c>
      <c r="O83" s="10" t="s">
        <v>691</v>
      </c>
      <c r="P83" s="10" t="s">
        <v>28</v>
      </c>
      <c r="Q83" s="5"/>
      <c r="R83" s="10" t="s">
        <v>16</v>
      </c>
      <c r="S83" s="10" t="s">
        <v>17</v>
      </c>
      <c r="T83" s="10" t="s">
        <v>18</v>
      </c>
      <c r="U83" s="10" t="s">
        <v>19</v>
      </c>
      <c r="V83" s="10" t="s">
        <v>20</v>
      </c>
      <c r="W83" s="13"/>
      <c r="X83" s="15" t="s">
        <v>23</v>
      </c>
      <c r="Y83" s="5"/>
      <c r="AA83" s="251" t="s">
        <v>2554</v>
      </c>
      <c r="AC83">
        <v>8</v>
      </c>
      <c r="AD83" s="16" t="s">
        <v>161</v>
      </c>
      <c r="AE83" s="58">
        <f>+AC83*10</f>
        <v>80</v>
      </c>
      <c r="AG83">
        <v>6</v>
      </c>
      <c r="AH83" s="16" t="s">
        <v>161</v>
      </c>
      <c r="AI83" s="58">
        <f>+AG83*10</f>
        <v>60</v>
      </c>
      <c r="AK83" s="61" t="s">
        <v>173</v>
      </c>
      <c r="AL83" s="62" t="s">
        <v>174</v>
      </c>
      <c r="AM83">
        <v>5</v>
      </c>
      <c r="AN83" s="16" t="s">
        <v>161</v>
      </c>
      <c r="AO83" s="58">
        <f>+AM83*10</f>
        <v>50</v>
      </c>
    </row>
    <row r="84" spans="1:41" x14ac:dyDescent="0.25">
      <c r="A84" s="16">
        <v>1</v>
      </c>
      <c r="B84" s="92">
        <v>45246</v>
      </c>
      <c r="C84" s="23">
        <v>0.42499999999999999</v>
      </c>
      <c r="D84" s="31" t="s">
        <v>1806</v>
      </c>
      <c r="E84" s="32">
        <v>5589529270</v>
      </c>
      <c r="F84" s="32" t="s">
        <v>1995</v>
      </c>
      <c r="G84" s="39" t="s">
        <v>1483</v>
      </c>
      <c r="H84" s="39" t="s">
        <v>2736</v>
      </c>
      <c r="I84" s="122">
        <f>+K84+J84</f>
        <v>315</v>
      </c>
      <c r="J84" s="32">
        <v>275</v>
      </c>
      <c r="K84" s="20">
        <v>40</v>
      </c>
      <c r="L84" s="21"/>
      <c r="M84" s="21">
        <f t="shared" ref="M84:M102" si="12">+J84+K84</f>
        <v>315</v>
      </c>
      <c r="N84" s="21">
        <f t="shared" ref="N84:N102" si="13">+I84-M84</f>
        <v>0</v>
      </c>
      <c r="O84" s="21"/>
      <c r="P84" s="21"/>
      <c r="Q84" s="5"/>
      <c r="R84" s="21"/>
      <c r="S84" s="16"/>
      <c r="T84" s="21">
        <f t="shared" ref="T84:T102" si="14">+R84+S84</f>
        <v>0</v>
      </c>
      <c r="U84" s="21">
        <v>40</v>
      </c>
      <c r="V84" s="78">
        <f>+U84-T84+O84+P84</f>
        <v>40</v>
      </c>
      <c r="W84" s="13"/>
      <c r="X84" s="333"/>
      <c r="Y84" s="5"/>
      <c r="AA84" s="83">
        <f>+AE94-AI67</f>
        <v>-170</v>
      </c>
      <c r="AC84">
        <v>95</v>
      </c>
      <c r="AD84" s="59" t="s">
        <v>162</v>
      </c>
      <c r="AE84" s="18">
        <f>+AC84*1</f>
        <v>95</v>
      </c>
      <c r="AG84">
        <v>74.5</v>
      </c>
      <c r="AH84" s="59" t="s">
        <v>162</v>
      </c>
      <c r="AI84" s="18">
        <f>+AG84*1</f>
        <v>74.5</v>
      </c>
      <c r="AK84" s="16">
        <v>65</v>
      </c>
      <c r="AL84" s="16"/>
      <c r="AM84">
        <v>74.5</v>
      </c>
      <c r="AN84" s="59" t="s">
        <v>162</v>
      </c>
      <c r="AO84" s="18">
        <f>+AM84*1</f>
        <v>74.5</v>
      </c>
    </row>
    <row r="85" spans="1:41" x14ac:dyDescent="0.25">
      <c r="A85" s="26">
        <v>2</v>
      </c>
      <c r="B85" s="92">
        <v>45246</v>
      </c>
      <c r="C85" s="23">
        <v>0.46249999999999997</v>
      </c>
      <c r="D85" s="31" t="s">
        <v>387</v>
      </c>
      <c r="E85" s="32">
        <v>5520873875</v>
      </c>
      <c r="F85" s="32" t="s">
        <v>114</v>
      </c>
      <c r="G85" s="32" t="s">
        <v>597</v>
      </c>
      <c r="H85" s="39" t="s">
        <v>2737</v>
      </c>
      <c r="I85" s="122"/>
      <c r="J85" s="32">
        <v>43</v>
      </c>
      <c r="K85" s="20">
        <v>14</v>
      </c>
      <c r="L85" s="21"/>
      <c r="M85" s="21">
        <f t="shared" si="12"/>
        <v>57</v>
      </c>
      <c r="N85" s="21">
        <f t="shared" si="13"/>
        <v>-57</v>
      </c>
      <c r="O85" s="21"/>
      <c r="P85" s="21"/>
      <c r="Q85" s="5"/>
      <c r="R85" s="21"/>
      <c r="S85" s="16"/>
      <c r="T85" s="21">
        <f t="shared" si="14"/>
        <v>0</v>
      </c>
      <c r="U85" s="21">
        <v>14</v>
      </c>
      <c r="V85" s="78">
        <f t="shared" ref="V85:V102" si="15">+U85-T85+O85+P85</f>
        <v>14</v>
      </c>
      <c r="W85" s="140"/>
      <c r="X85" s="334"/>
      <c r="Y85" s="5"/>
      <c r="AC85">
        <v>15</v>
      </c>
      <c r="AD85" s="16" t="s">
        <v>163</v>
      </c>
      <c r="AE85" s="60">
        <f>+AC85*5</f>
        <v>75</v>
      </c>
      <c r="AG85">
        <v>25</v>
      </c>
      <c r="AH85" s="16" t="s">
        <v>163</v>
      </c>
      <c r="AI85" s="60">
        <f>+AG85*5</f>
        <v>125</v>
      </c>
      <c r="AK85" s="16"/>
      <c r="AL85" s="16"/>
      <c r="AM85">
        <v>25</v>
      </c>
      <c r="AN85" s="16" t="s">
        <v>163</v>
      </c>
      <c r="AO85" s="60">
        <f>+AM85*5</f>
        <v>125</v>
      </c>
    </row>
    <row r="86" spans="1:41" x14ac:dyDescent="0.25">
      <c r="A86" s="143">
        <v>3</v>
      </c>
      <c r="B86" s="92">
        <v>45246</v>
      </c>
      <c r="C86" s="23">
        <v>0.50763888888888886</v>
      </c>
      <c r="D86" s="31" t="s">
        <v>2710</v>
      </c>
      <c r="E86" s="32">
        <v>5613476389</v>
      </c>
      <c r="F86" s="32" t="s">
        <v>114</v>
      </c>
      <c r="G86" s="32" t="s">
        <v>2710</v>
      </c>
      <c r="H86" s="39" t="s">
        <v>2738</v>
      </c>
      <c r="I86" s="122"/>
      <c r="J86" s="32">
        <v>114</v>
      </c>
      <c r="K86" s="20">
        <v>10</v>
      </c>
      <c r="L86" s="21">
        <v>10</v>
      </c>
      <c r="M86" s="21">
        <f t="shared" si="12"/>
        <v>124</v>
      </c>
      <c r="N86" s="21">
        <f t="shared" si="13"/>
        <v>-124</v>
      </c>
      <c r="O86" s="21"/>
      <c r="P86" s="21"/>
      <c r="Q86" s="5"/>
      <c r="R86" s="21"/>
      <c r="S86" s="16"/>
      <c r="T86" s="21">
        <f t="shared" si="14"/>
        <v>0</v>
      </c>
      <c r="U86" s="21">
        <v>20</v>
      </c>
      <c r="V86" s="78">
        <f t="shared" si="15"/>
        <v>20</v>
      </c>
      <c r="W86" s="140"/>
      <c r="X86" s="334"/>
      <c r="Y86" s="5"/>
      <c r="AD86" s="16" t="s">
        <v>164</v>
      </c>
      <c r="AE86" s="18">
        <f>+AC86*200</f>
        <v>0</v>
      </c>
      <c r="AG86">
        <v>1</v>
      </c>
      <c r="AH86" s="16" t="s">
        <v>164</v>
      </c>
      <c r="AI86" s="18">
        <f>+AG86*200</f>
        <v>200</v>
      </c>
      <c r="AK86" s="16"/>
      <c r="AL86" s="16"/>
      <c r="AM86">
        <v>1</v>
      </c>
      <c r="AN86" s="16" t="s">
        <v>164</v>
      </c>
      <c r="AO86" s="18">
        <f>+AM86*200</f>
        <v>200</v>
      </c>
    </row>
    <row r="87" spans="1:41" x14ac:dyDescent="0.25">
      <c r="A87" s="143">
        <v>4</v>
      </c>
      <c r="B87" s="92">
        <v>45246</v>
      </c>
      <c r="C87" s="23">
        <v>0.50972222222222219</v>
      </c>
      <c r="D87" s="31" t="s">
        <v>2739</v>
      </c>
      <c r="E87" s="31">
        <v>5536995579</v>
      </c>
      <c r="F87" s="32" t="s">
        <v>2745</v>
      </c>
      <c r="G87" s="32" t="s">
        <v>2748</v>
      </c>
      <c r="H87" s="32" t="s">
        <v>2746</v>
      </c>
      <c r="I87" s="122"/>
      <c r="J87" s="32">
        <v>164</v>
      </c>
      <c r="K87" s="20">
        <v>10</v>
      </c>
      <c r="L87" s="21"/>
      <c r="M87" s="21">
        <f t="shared" si="12"/>
        <v>174</v>
      </c>
      <c r="N87" s="21">
        <f t="shared" si="13"/>
        <v>-174</v>
      </c>
      <c r="O87" s="21"/>
      <c r="P87" s="21"/>
      <c r="Q87" s="5"/>
      <c r="R87" s="21"/>
      <c r="S87" s="16"/>
      <c r="T87" s="21">
        <f t="shared" si="14"/>
        <v>0</v>
      </c>
      <c r="U87" s="21">
        <v>20</v>
      </c>
      <c r="V87" s="78">
        <f t="shared" si="15"/>
        <v>20</v>
      </c>
      <c r="W87" s="140"/>
      <c r="X87" s="334"/>
      <c r="Y87" s="5"/>
      <c r="AC87">
        <v>1</v>
      </c>
      <c r="AD87" s="16" t="s">
        <v>165</v>
      </c>
      <c r="AE87" s="18">
        <f>+AC87*100</f>
        <v>100</v>
      </c>
      <c r="AG87">
        <v>1</v>
      </c>
      <c r="AH87" s="16" t="s">
        <v>165</v>
      </c>
      <c r="AI87" s="18">
        <f>+AG87*100</f>
        <v>100</v>
      </c>
      <c r="AK87" s="16"/>
      <c r="AL87" s="16"/>
      <c r="AN87" s="16" t="s">
        <v>165</v>
      </c>
      <c r="AO87" s="18">
        <f>+AM87*100</f>
        <v>0</v>
      </c>
    </row>
    <row r="88" spans="1:41" x14ac:dyDescent="0.25">
      <c r="A88" s="143">
        <v>5</v>
      </c>
      <c r="B88" s="92">
        <v>45246</v>
      </c>
      <c r="C88" s="23">
        <v>0.51944444444444449</v>
      </c>
      <c r="D88" s="31" t="s">
        <v>1610</v>
      </c>
      <c r="E88" s="32">
        <v>5612853273</v>
      </c>
      <c r="F88" s="32" t="s">
        <v>394</v>
      </c>
      <c r="G88" s="32" t="s">
        <v>2750</v>
      </c>
      <c r="H88" s="32" t="s">
        <v>2751</v>
      </c>
      <c r="I88" s="122"/>
      <c r="J88" s="32"/>
      <c r="K88" s="20">
        <v>13</v>
      </c>
      <c r="L88" s="21">
        <v>7</v>
      </c>
      <c r="M88" s="21">
        <f t="shared" si="12"/>
        <v>13</v>
      </c>
      <c r="N88" s="21">
        <f t="shared" si="13"/>
        <v>-13</v>
      </c>
      <c r="O88" s="21"/>
      <c r="P88" s="21"/>
      <c r="Q88" s="5"/>
      <c r="R88" s="16"/>
      <c r="S88" s="16"/>
      <c r="T88" s="21">
        <f t="shared" si="14"/>
        <v>0</v>
      </c>
      <c r="U88" s="21">
        <v>10</v>
      </c>
      <c r="V88" s="78">
        <f t="shared" si="15"/>
        <v>10</v>
      </c>
      <c r="W88" s="140"/>
      <c r="X88" s="334"/>
      <c r="Y88" s="5"/>
      <c r="AA88" t="s">
        <v>2763</v>
      </c>
      <c r="AC88">
        <v>1</v>
      </c>
      <c r="AD88" s="16" t="s">
        <v>166</v>
      </c>
      <c r="AE88" s="18">
        <f>+AC88*50</f>
        <v>50</v>
      </c>
      <c r="AG88">
        <v>2</v>
      </c>
      <c r="AH88" s="16" t="s">
        <v>166</v>
      </c>
      <c r="AI88" s="18">
        <f>+AG88*50</f>
        <v>100</v>
      </c>
      <c r="AK88" s="16"/>
      <c r="AL88" s="16"/>
      <c r="AM88">
        <v>1</v>
      </c>
      <c r="AN88" s="16" t="s">
        <v>166</v>
      </c>
      <c r="AO88" s="18">
        <f>+AM88*50</f>
        <v>50</v>
      </c>
    </row>
    <row r="89" spans="1:41" x14ac:dyDescent="0.25">
      <c r="A89" s="143">
        <v>6</v>
      </c>
      <c r="B89" s="92">
        <v>45246</v>
      </c>
      <c r="C89" s="23">
        <v>0.52083333333333337</v>
      </c>
      <c r="D89" s="31" t="s">
        <v>2008</v>
      </c>
      <c r="E89" s="32">
        <v>5583364429</v>
      </c>
      <c r="F89" s="32" t="s">
        <v>394</v>
      </c>
      <c r="G89" s="32" t="s">
        <v>2749</v>
      </c>
      <c r="H89" s="32" t="s">
        <v>2741</v>
      </c>
      <c r="I89" s="122">
        <v>90</v>
      </c>
      <c r="J89" s="32">
        <v>73</v>
      </c>
      <c r="K89" s="20">
        <v>10</v>
      </c>
      <c r="L89" s="21"/>
      <c r="M89" s="21">
        <f t="shared" si="12"/>
        <v>83</v>
      </c>
      <c r="N89" s="21">
        <f t="shared" si="13"/>
        <v>7</v>
      </c>
      <c r="O89" s="21"/>
      <c r="P89" s="21"/>
      <c r="Q89" s="5"/>
      <c r="R89" s="16"/>
      <c r="S89" s="16"/>
      <c r="T89" s="21">
        <f t="shared" si="14"/>
        <v>0</v>
      </c>
      <c r="U89" s="16">
        <v>23</v>
      </c>
      <c r="V89" s="78">
        <f t="shared" si="15"/>
        <v>23</v>
      </c>
      <c r="W89" s="140"/>
      <c r="X89" s="334"/>
      <c r="Y89" s="5"/>
      <c r="AA89" t="s">
        <v>2764</v>
      </c>
      <c r="AC89">
        <v>5</v>
      </c>
      <c r="AD89" s="16" t="s">
        <v>167</v>
      </c>
      <c r="AE89" s="18">
        <f>+AC89*20</f>
        <v>100</v>
      </c>
      <c r="AG89">
        <v>1</v>
      </c>
      <c r="AH89" s="16" t="s">
        <v>167</v>
      </c>
      <c r="AI89" s="18">
        <f>+AG89*20</f>
        <v>20</v>
      </c>
      <c r="AK89" s="16"/>
      <c r="AL89" s="16"/>
      <c r="AM89">
        <v>0</v>
      </c>
      <c r="AN89" s="16" t="s">
        <v>167</v>
      </c>
      <c r="AO89" s="18">
        <f>+AM89*20</f>
        <v>0</v>
      </c>
    </row>
    <row r="90" spans="1:41" x14ac:dyDescent="0.25">
      <c r="A90" s="143">
        <v>7</v>
      </c>
      <c r="B90" s="92">
        <v>45246</v>
      </c>
      <c r="C90" s="23">
        <v>0.54236111111111118</v>
      </c>
      <c r="D90" s="31" t="s">
        <v>203</v>
      </c>
      <c r="E90" s="32">
        <v>5578861024</v>
      </c>
      <c r="F90" s="32" t="s">
        <v>2747</v>
      </c>
      <c r="G90" s="32" t="s">
        <v>269</v>
      </c>
      <c r="H90" s="32" t="s">
        <v>2740</v>
      </c>
      <c r="I90" s="122">
        <v>160</v>
      </c>
      <c r="J90" s="32">
        <v>150</v>
      </c>
      <c r="K90" s="20">
        <v>20</v>
      </c>
      <c r="L90" s="21"/>
      <c r="M90" s="21">
        <f t="shared" si="12"/>
        <v>170</v>
      </c>
      <c r="N90" s="21">
        <f t="shared" si="13"/>
        <v>-10</v>
      </c>
      <c r="O90" s="21"/>
      <c r="P90" s="21"/>
      <c r="Q90" s="5"/>
      <c r="R90" s="16"/>
      <c r="S90" s="16"/>
      <c r="T90" s="21">
        <f t="shared" si="14"/>
        <v>0</v>
      </c>
      <c r="U90" s="16">
        <v>20</v>
      </c>
      <c r="V90" s="78">
        <f t="shared" si="15"/>
        <v>20</v>
      </c>
      <c r="W90" s="140"/>
      <c r="X90" s="334"/>
      <c r="Y90" s="5"/>
      <c r="AD90" s="16" t="s">
        <v>171</v>
      </c>
      <c r="AE90" s="18">
        <f>+AC90*500</f>
        <v>0</v>
      </c>
      <c r="AH90" s="16" t="s">
        <v>171</v>
      </c>
      <c r="AI90" s="18">
        <f>+AG90*500</f>
        <v>0</v>
      </c>
      <c r="AK90" s="16"/>
      <c r="AL90" s="16"/>
      <c r="AN90" s="16" t="s">
        <v>171</v>
      </c>
      <c r="AO90" s="18">
        <f>+AM90*500</f>
        <v>0</v>
      </c>
    </row>
    <row r="91" spans="1:41" x14ac:dyDescent="0.25">
      <c r="A91" s="143">
        <v>8</v>
      </c>
      <c r="B91" s="92">
        <v>45246</v>
      </c>
      <c r="C91" s="23">
        <v>0.55555555555555558</v>
      </c>
      <c r="D91" s="31" t="s">
        <v>1402</v>
      </c>
      <c r="E91" s="123">
        <v>5535831305</v>
      </c>
      <c r="F91" s="123" t="s">
        <v>106</v>
      </c>
      <c r="G91" s="123" t="s">
        <v>2710</v>
      </c>
      <c r="H91" s="39" t="s">
        <v>2742</v>
      </c>
      <c r="I91" s="122"/>
      <c r="J91" s="32">
        <v>32</v>
      </c>
      <c r="K91" s="20">
        <v>10</v>
      </c>
      <c r="L91" s="21"/>
      <c r="M91" s="21">
        <f t="shared" si="12"/>
        <v>42</v>
      </c>
      <c r="N91" s="21">
        <f t="shared" si="13"/>
        <v>-42</v>
      </c>
      <c r="O91" s="21"/>
      <c r="P91" s="21"/>
      <c r="Q91" s="5"/>
      <c r="R91" s="16"/>
      <c r="S91" s="16"/>
      <c r="T91" s="21">
        <f t="shared" si="14"/>
        <v>0</v>
      </c>
      <c r="U91" s="16">
        <v>10</v>
      </c>
      <c r="V91" s="78">
        <f t="shared" si="15"/>
        <v>10</v>
      </c>
      <c r="W91" s="140"/>
      <c r="X91" s="334"/>
      <c r="Y91" s="5"/>
      <c r="AD91" s="16" t="s">
        <v>168</v>
      </c>
      <c r="AE91" s="18">
        <f>+AC91*1000</f>
        <v>0</v>
      </c>
      <c r="AH91" s="16" t="s">
        <v>168</v>
      </c>
      <c r="AI91" s="18">
        <f>+AG91*1000</f>
        <v>0</v>
      </c>
      <c r="AK91" s="16"/>
      <c r="AL91" s="16"/>
      <c r="AN91" s="16" t="s">
        <v>168</v>
      </c>
      <c r="AO91" s="18">
        <f>+AM91*1000</f>
        <v>0</v>
      </c>
    </row>
    <row r="92" spans="1:41" x14ac:dyDescent="0.25">
      <c r="A92" s="143">
        <v>9</v>
      </c>
      <c r="B92" s="92">
        <v>45246</v>
      </c>
      <c r="C92" s="23"/>
      <c r="D92" s="31" t="s">
        <v>2735</v>
      </c>
      <c r="E92" s="32"/>
      <c r="F92" s="32" t="s">
        <v>28</v>
      </c>
      <c r="G92" s="32" t="s">
        <v>2752</v>
      </c>
      <c r="H92" s="39" t="s">
        <v>2743</v>
      </c>
      <c r="I92" s="39"/>
      <c r="J92" s="40">
        <v>100</v>
      </c>
      <c r="K92" s="20">
        <v>10</v>
      </c>
      <c r="L92" s="21"/>
      <c r="M92" s="21">
        <f t="shared" si="12"/>
        <v>110</v>
      </c>
      <c r="N92" s="21">
        <f t="shared" si="13"/>
        <v>-110</v>
      </c>
      <c r="O92" s="21">
        <v>120</v>
      </c>
      <c r="P92" s="21"/>
      <c r="Q92" s="5"/>
      <c r="R92" s="16">
        <v>200</v>
      </c>
      <c r="S92" s="16"/>
      <c r="T92" s="21">
        <f t="shared" si="14"/>
        <v>200</v>
      </c>
      <c r="U92" s="16">
        <v>220</v>
      </c>
      <c r="V92" s="78">
        <f t="shared" si="15"/>
        <v>140</v>
      </c>
      <c r="W92" s="140"/>
      <c r="X92" s="334"/>
      <c r="Y92" s="5"/>
      <c r="AD92" s="26"/>
      <c r="AE92" s="58"/>
      <c r="AH92" s="26"/>
      <c r="AI92" s="58"/>
      <c r="AK92" s="16"/>
      <c r="AL92" s="16"/>
      <c r="AN92" s="26"/>
      <c r="AO92" s="58"/>
    </row>
    <row r="93" spans="1:41" x14ac:dyDescent="0.25">
      <c r="A93" s="143">
        <v>10</v>
      </c>
      <c r="B93" s="92">
        <v>45246</v>
      </c>
      <c r="C93" s="23">
        <v>0.63402777777777775</v>
      </c>
      <c r="D93" s="31" t="s">
        <v>245</v>
      </c>
      <c r="E93" s="32">
        <v>5530508709</v>
      </c>
      <c r="F93" s="32" t="s">
        <v>106</v>
      </c>
      <c r="G93" s="32" t="s">
        <v>1148</v>
      </c>
      <c r="H93" s="39" t="s">
        <v>2744</v>
      </c>
      <c r="I93" s="122"/>
      <c r="J93" s="42">
        <v>76</v>
      </c>
      <c r="K93" s="20">
        <v>10</v>
      </c>
      <c r="L93" s="21"/>
      <c r="M93" s="21">
        <f t="shared" si="12"/>
        <v>86</v>
      </c>
      <c r="N93" s="21">
        <f t="shared" si="13"/>
        <v>-86</v>
      </c>
      <c r="O93" s="21"/>
      <c r="P93" s="21"/>
      <c r="Q93" s="5"/>
      <c r="R93" s="16">
        <v>150</v>
      </c>
      <c r="S93" s="16"/>
      <c r="T93" s="21">
        <f t="shared" si="14"/>
        <v>150</v>
      </c>
      <c r="U93" s="16">
        <v>160</v>
      </c>
      <c r="V93" s="78">
        <f t="shared" si="15"/>
        <v>10</v>
      </c>
      <c r="W93" s="140"/>
      <c r="X93" s="334"/>
      <c r="Y93" s="5"/>
      <c r="AD93" s="16" t="s">
        <v>169</v>
      </c>
      <c r="AE93" s="18">
        <f>SUM(AE83:AE92)</f>
        <v>500</v>
      </c>
      <c r="AH93" s="16" t="s">
        <v>169</v>
      </c>
      <c r="AI93" s="18">
        <f>SUM(AI83:AI92)</f>
        <v>679.5</v>
      </c>
      <c r="AK93" s="16"/>
      <c r="AL93" s="16"/>
      <c r="AN93" s="16" t="s">
        <v>169</v>
      </c>
      <c r="AO93" s="18"/>
    </row>
    <row r="94" spans="1:41" x14ac:dyDescent="0.25">
      <c r="A94" s="143">
        <v>11</v>
      </c>
      <c r="B94" s="92">
        <v>45246</v>
      </c>
      <c r="C94" s="23">
        <v>0.69861111111111107</v>
      </c>
      <c r="D94" s="31" t="s">
        <v>2753</v>
      </c>
      <c r="E94" s="124">
        <v>5615394688</v>
      </c>
      <c r="F94" s="123"/>
      <c r="G94" s="123"/>
      <c r="H94" s="39"/>
      <c r="I94" s="122"/>
      <c r="J94" s="42"/>
      <c r="K94" s="20">
        <v>10</v>
      </c>
      <c r="L94" s="21"/>
      <c r="M94" s="21">
        <f t="shared" si="12"/>
        <v>10</v>
      </c>
      <c r="N94" s="21">
        <f t="shared" si="13"/>
        <v>-10</v>
      </c>
      <c r="O94" s="21"/>
      <c r="P94" s="21"/>
      <c r="Q94" s="5"/>
      <c r="R94" s="16"/>
      <c r="S94" s="16"/>
      <c r="T94" s="21">
        <f t="shared" si="14"/>
        <v>0</v>
      </c>
      <c r="U94" s="16"/>
      <c r="V94" s="78">
        <f t="shared" si="15"/>
        <v>0</v>
      </c>
      <c r="W94" s="140"/>
      <c r="X94" s="334"/>
      <c r="Y94" s="5"/>
      <c r="AE94">
        <v>535</v>
      </c>
      <c r="AK94" s="16"/>
      <c r="AL94" s="16"/>
      <c r="AN94" s="16"/>
      <c r="AO94" s="16"/>
    </row>
    <row r="95" spans="1:41" x14ac:dyDescent="0.25">
      <c r="A95" s="143">
        <v>12</v>
      </c>
      <c r="B95" s="92">
        <v>45246</v>
      </c>
      <c r="C95" s="23">
        <v>0.79027777777777775</v>
      </c>
      <c r="D95" s="32" t="s">
        <v>627</v>
      </c>
      <c r="E95" s="32">
        <v>5537803548</v>
      </c>
      <c r="F95" s="124" t="s">
        <v>2754</v>
      </c>
      <c r="G95" s="123" t="s">
        <v>2757</v>
      </c>
      <c r="H95" s="39" t="s">
        <v>2758</v>
      </c>
      <c r="I95" s="39">
        <v>252</v>
      </c>
      <c r="J95" s="42">
        <v>252</v>
      </c>
      <c r="K95" s="20">
        <v>10</v>
      </c>
      <c r="L95" s="21"/>
      <c r="M95" s="21">
        <f t="shared" si="12"/>
        <v>262</v>
      </c>
      <c r="N95" s="21">
        <f t="shared" si="13"/>
        <v>-10</v>
      </c>
      <c r="O95" s="21"/>
      <c r="P95" s="21"/>
      <c r="Q95" s="5"/>
      <c r="R95" s="45"/>
      <c r="S95" s="44"/>
      <c r="T95" s="21">
        <f t="shared" si="14"/>
        <v>0</v>
      </c>
      <c r="U95" s="45"/>
      <c r="V95" s="78">
        <f t="shared" si="15"/>
        <v>0</v>
      </c>
      <c r="W95" s="140"/>
      <c r="X95" s="334"/>
      <c r="Y95" s="5"/>
      <c r="AK95" s="63" t="s">
        <v>169</v>
      </c>
      <c r="AL95" s="63">
        <f>+SUM(AK84:AK94)-SUM(AL84:AL94)</f>
        <v>65</v>
      </c>
      <c r="AN95" s="63" t="s">
        <v>169</v>
      </c>
      <c r="AO95" s="85">
        <f>+SUM(AN83:AN94)-SUM(AO83:AO94)</f>
        <v>-499.5</v>
      </c>
    </row>
    <row r="96" spans="1:41" x14ac:dyDescent="0.25">
      <c r="A96" s="143">
        <v>13</v>
      </c>
      <c r="B96" s="92">
        <v>45246</v>
      </c>
      <c r="C96" s="23">
        <v>0.875</v>
      </c>
      <c r="D96" s="31" t="s">
        <v>105</v>
      </c>
      <c r="E96" s="32">
        <v>5544332211</v>
      </c>
      <c r="F96" s="32" t="s">
        <v>2755</v>
      </c>
      <c r="G96" s="32" t="s">
        <v>2759</v>
      </c>
      <c r="H96" s="39" t="s">
        <v>2760</v>
      </c>
      <c r="I96" s="39">
        <v>479</v>
      </c>
      <c r="J96" s="42">
        <v>459</v>
      </c>
      <c r="K96" s="108">
        <v>20</v>
      </c>
      <c r="L96" s="21"/>
      <c r="M96" s="21">
        <f t="shared" si="12"/>
        <v>479</v>
      </c>
      <c r="N96" s="21">
        <f t="shared" si="13"/>
        <v>0</v>
      </c>
      <c r="O96" s="21"/>
      <c r="P96" s="21"/>
      <c r="Q96" s="5"/>
      <c r="R96" s="43"/>
      <c r="S96" s="32"/>
      <c r="T96" s="21">
        <f t="shared" si="14"/>
        <v>0</v>
      </c>
      <c r="U96" s="43"/>
      <c r="V96" s="78">
        <f t="shared" si="15"/>
        <v>0</v>
      </c>
      <c r="W96" s="140"/>
      <c r="X96" s="334"/>
      <c r="Y96" s="5"/>
      <c r="AI96" s="83"/>
    </row>
    <row r="97" spans="1:41" x14ac:dyDescent="0.25">
      <c r="A97" s="143">
        <v>14</v>
      </c>
      <c r="B97" s="92">
        <v>45246</v>
      </c>
      <c r="C97" s="23">
        <v>0.88888888888888884</v>
      </c>
      <c r="D97" s="31" t="s">
        <v>1912</v>
      </c>
      <c r="E97" s="32">
        <v>5510080515</v>
      </c>
      <c r="F97" s="32" t="s">
        <v>2756</v>
      </c>
      <c r="G97" s="32" t="s">
        <v>2761</v>
      </c>
      <c r="H97" s="39"/>
      <c r="I97" s="39"/>
      <c r="J97" s="42">
        <v>207</v>
      </c>
      <c r="K97" s="108">
        <v>11</v>
      </c>
      <c r="L97" s="21"/>
      <c r="M97" s="21">
        <f t="shared" si="12"/>
        <v>218</v>
      </c>
      <c r="N97" s="21">
        <f t="shared" si="13"/>
        <v>-218</v>
      </c>
      <c r="O97" s="21"/>
      <c r="P97" s="21"/>
      <c r="Q97" s="5"/>
      <c r="R97" s="43"/>
      <c r="S97" s="43"/>
      <c r="T97" s="21">
        <f t="shared" si="14"/>
        <v>0</v>
      </c>
      <c r="U97" s="43"/>
      <c r="V97" s="78">
        <f t="shared" si="15"/>
        <v>0</v>
      </c>
      <c r="W97" s="140"/>
      <c r="X97" s="334"/>
      <c r="Y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1:41" x14ac:dyDescent="0.25">
      <c r="A98" s="143">
        <v>15</v>
      </c>
      <c r="B98" s="92">
        <v>45246</v>
      </c>
      <c r="C98" s="23">
        <v>0.88888888888888884</v>
      </c>
      <c r="D98" s="127" t="s">
        <v>975</v>
      </c>
      <c r="E98" s="32">
        <v>5533221144</v>
      </c>
      <c r="F98" s="32" t="s">
        <v>672</v>
      </c>
      <c r="G98" s="128" t="s">
        <v>2762</v>
      </c>
      <c r="H98" s="129"/>
      <c r="I98" s="39"/>
      <c r="J98" s="42">
        <v>133</v>
      </c>
      <c r="K98" s="108">
        <v>10</v>
      </c>
      <c r="L98" s="21"/>
      <c r="M98" s="21">
        <f t="shared" si="12"/>
        <v>143</v>
      </c>
      <c r="N98" s="21">
        <f t="shared" si="13"/>
        <v>-143</v>
      </c>
      <c r="O98" s="21"/>
      <c r="P98" s="21"/>
      <c r="Q98" s="5"/>
      <c r="R98" s="43"/>
      <c r="S98" s="43"/>
      <c r="T98" s="21">
        <f t="shared" si="14"/>
        <v>0</v>
      </c>
      <c r="U98" s="43"/>
      <c r="V98" s="78">
        <f t="shared" si="15"/>
        <v>0</v>
      </c>
      <c r="W98" s="140"/>
      <c r="X98" s="334"/>
      <c r="Y98" s="5"/>
      <c r="AD98" s="5"/>
      <c r="AE98" s="134" t="s">
        <v>20</v>
      </c>
      <c r="AF98" s="338"/>
      <c r="AG98" s="341" t="s">
        <v>686</v>
      </c>
      <c r="AH98" s="134" t="s">
        <v>20</v>
      </c>
      <c r="AI98" s="338">
        <v>193</v>
      </c>
      <c r="AJ98" s="341" t="s">
        <v>687</v>
      </c>
      <c r="AK98" s="134" t="s">
        <v>20</v>
      </c>
      <c r="AL98" s="338"/>
      <c r="AM98" s="5"/>
    </row>
    <row r="99" spans="1:41" x14ac:dyDescent="0.25">
      <c r="A99" s="143">
        <v>16</v>
      </c>
      <c r="B99" s="92">
        <v>45246</v>
      </c>
      <c r="C99" s="23"/>
      <c r="D99" s="31"/>
      <c r="E99" s="32"/>
      <c r="F99" s="32"/>
      <c r="G99" s="32"/>
      <c r="H99" s="39"/>
      <c r="I99" s="39"/>
      <c r="J99" s="42"/>
      <c r="K99" s="43">
        <v>10</v>
      </c>
      <c r="L99" s="21"/>
      <c r="M99" s="21">
        <f t="shared" si="12"/>
        <v>10</v>
      </c>
      <c r="N99" s="21">
        <f t="shared" si="13"/>
        <v>-10</v>
      </c>
      <c r="O99" s="21"/>
      <c r="P99" s="21"/>
      <c r="Q99" s="5"/>
      <c r="R99" s="43"/>
      <c r="S99" s="32"/>
      <c r="T99" s="21">
        <f t="shared" si="14"/>
        <v>0</v>
      </c>
      <c r="U99" s="131"/>
      <c r="V99" s="78">
        <f t="shared" si="15"/>
        <v>0</v>
      </c>
      <c r="W99" s="140"/>
      <c r="X99" s="334"/>
      <c r="Y99" s="5"/>
      <c r="AD99" s="5" t="s">
        <v>685</v>
      </c>
      <c r="AE99" s="115" t="s">
        <v>684</v>
      </c>
      <c r="AF99" s="339"/>
      <c r="AG99" s="341"/>
      <c r="AH99" s="115" t="s">
        <v>684</v>
      </c>
      <c r="AI99" s="339"/>
      <c r="AJ99" s="341"/>
      <c r="AK99" s="115" t="s">
        <v>684</v>
      </c>
      <c r="AL99" s="339"/>
      <c r="AM99" s="5"/>
    </row>
    <row r="100" spans="1:41" x14ac:dyDescent="0.25">
      <c r="A100" s="143">
        <v>17</v>
      </c>
      <c r="B100" s="92">
        <v>45246</v>
      </c>
      <c r="C100" s="23"/>
      <c r="D100" s="31"/>
      <c r="E100" s="32"/>
      <c r="F100" s="32"/>
      <c r="G100" s="32"/>
      <c r="H100" s="39"/>
      <c r="I100" s="39"/>
      <c r="J100" s="42"/>
      <c r="K100" s="43">
        <v>10</v>
      </c>
      <c r="L100" s="21"/>
      <c r="M100" s="21">
        <f t="shared" si="12"/>
        <v>10</v>
      </c>
      <c r="N100" s="21">
        <f t="shared" si="13"/>
        <v>-10</v>
      </c>
      <c r="O100" s="21"/>
      <c r="P100" s="21"/>
      <c r="Q100" s="5"/>
      <c r="R100" s="43"/>
      <c r="S100" s="32"/>
      <c r="T100" s="21">
        <f t="shared" si="14"/>
        <v>0</v>
      </c>
      <c r="U100" s="132"/>
      <c r="V100" s="78">
        <f t="shared" si="15"/>
        <v>0</v>
      </c>
      <c r="W100" s="140"/>
      <c r="X100" s="340"/>
      <c r="Y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1:41" x14ac:dyDescent="0.25">
      <c r="A101" s="143">
        <v>18</v>
      </c>
      <c r="B101" s="92">
        <v>45246</v>
      </c>
      <c r="C101" s="32"/>
      <c r="D101" s="31"/>
      <c r="E101" s="32"/>
      <c r="F101" s="32"/>
      <c r="G101" s="32"/>
      <c r="H101" s="39"/>
      <c r="I101" s="39"/>
      <c r="J101" s="42"/>
      <c r="K101" s="43">
        <v>10</v>
      </c>
      <c r="L101" s="21"/>
      <c r="M101" s="21">
        <f t="shared" si="12"/>
        <v>10</v>
      </c>
      <c r="N101" s="21">
        <f t="shared" si="13"/>
        <v>-10</v>
      </c>
      <c r="O101" s="21"/>
      <c r="P101" s="21"/>
      <c r="Q101" s="5"/>
      <c r="R101" s="135"/>
      <c r="S101" s="104"/>
      <c r="T101" s="21">
        <f t="shared" si="14"/>
        <v>0</v>
      </c>
      <c r="U101" s="131"/>
      <c r="V101" s="78">
        <f t="shared" si="15"/>
        <v>0</v>
      </c>
      <c r="W101" s="140"/>
      <c r="Y101" s="5"/>
    </row>
    <row r="102" spans="1:41" x14ac:dyDescent="0.25">
      <c r="A102" s="143">
        <v>19</v>
      </c>
      <c r="B102" s="92">
        <v>45246</v>
      </c>
      <c r="C102" s="32"/>
      <c r="D102" s="31"/>
      <c r="E102" s="32"/>
      <c r="F102" s="32"/>
      <c r="G102" s="32"/>
      <c r="H102" s="39"/>
      <c r="I102" s="39"/>
      <c r="J102" s="42"/>
      <c r="K102" s="43">
        <v>10</v>
      </c>
      <c r="L102" s="21"/>
      <c r="M102" s="21">
        <f t="shared" si="12"/>
        <v>10</v>
      </c>
      <c r="N102" s="21">
        <f t="shared" si="13"/>
        <v>-10</v>
      </c>
      <c r="O102" s="21"/>
      <c r="P102" s="21"/>
      <c r="Q102" s="5"/>
      <c r="R102" s="32"/>
      <c r="S102" s="32"/>
      <c r="T102" s="21">
        <f t="shared" si="14"/>
        <v>0</v>
      </c>
      <c r="U102" s="32"/>
      <c r="V102" s="78">
        <f t="shared" si="15"/>
        <v>0</v>
      </c>
      <c r="W102" s="140"/>
      <c r="Y102" s="5"/>
    </row>
    <row r="104" spans="1:41" x14ac:dyDescent="0.25">
      <c r="K104" s="83">
        <f>+SUM(K111:L113)</f>
        <v>76</v>
      </c>
      <c r="N104">
        <v>15.5</v>
      </c>
      <c r="T104">
        <v>6</v>
      </c>
    </row>
    <row r="107" spans="1:41" x14ac:dyDescent="0.25">
      <c r="A107" s="1" t="s">
        <v>0</v>
      </c>
      <c r="B107" s="1"/>
      <c r="C107" s="1"/>
      <c r="D107" s="1"/>
      <c r="E107" s="1"/>
      <c r="F107" s="1"/>
      <c r="G107" s="1"/>
      <c r="H107" s="1"/>
      <c r="I107" s="1"/>
      <c r="J107" s="1" t="s">
        <v>148</v>
      </c>
      <c r="K107" s="1"/>
      <c r="L107" s="1"/>
      <c r="M107" s="1"/>
      <c r="N107" s="1"/>
      <c r="O107" s="1"/>
      <c r="P107" s="1"/>
      <c r="Q107" s="1"/>
      <c r="R107" s="1"/>
      <c r="S107" s="1"/>
      <c r="T107" s="342" t="s">
        <v>1</v>
      </c>
      <c r="U107" s="342"/>
      <c r="V107" s="5"/>
      <c r="W107" s="139"/>
      <c r="X107" s="1"/>
      <c r="Y107" s="5"/>
      <c r="AD107" s="335" t="s">
        <v>160</v>
      </c>
      <c r="AE107" s="336"/>
      <c r="AH107" s="335" t="s">
        <v>170</v>
      </c>
      <c r="AI107" s="336"/>
      <c r="AK107" s="337" t="s">
        <v>172</v>
      </c>
      <c r="AL107" s="337"/>
      <c r="AN107" s="337" t="s">
        <v>681</v>
      </c>
      <c r="AO107" s="337"/>
    </row>
    <row r="108" spans="1:41" ht="90" x14ac:dyDescent="0.25">
      <c r="A108" s="6" t="s">
        <v>2</v>
      </c>
      <c r="B108" s="7" t="s">
        <v>3</v>
      </c>
      <c r="C108" s="245" t="s">
        <v>688</v>
      </c>
      <c r="D108" s="7" t="s">
        <v>4</v>
      </c>
      <c r="E108" s="6" t="s">
        <v>5</v>
      </c>
      <c r="F108" s="6" t="s">
        <v>6</v>
      </c>
      <c r="G108" s="6" t="s">
        <v>7</v>
      </c>
      <c r="H108" s="6" t="s">
        <v>8</v>
      </c>
      <c r="I108" s="8" t="s">
        <v>9</v>
      </c>
      <c r="J108" s="9" t="s">
        <v>10</v>
      </c>
      <c r="K108" s="8" t="s">
        <v>11</v>
      </c>
      <c r="L108" s="10" t="s">
        <v>12</v>
      </c>
      <c r="M108" s="10" t="s">
        <v>13</v>
      </c>
      <c r="N108" s="11" t="s">
        <v>14</v>
      </c>
      <c r="O108" s="10" t="s">
        <v>691</v>
      </c>
      <c r="P108" s="10" t="s">
        <v>28</v>
      </c>
      <c r="Q108" s="5"/>
      <c r="R108" s="10" t="s">
        <v>16</v>
      </c>
      <c r="S108" s="10" t="s">
        <v>17</v>
      </c>
      <c r="T108" s="10" t="s">
        <v>18</v>
      </c>
      <c r="U108" s="10" t="s">
        <v>19</v>
      </c>
      <c r="V108" s="10" t="s">
        <v>20</v>
      </c>
      <c r="W108" s="13"/>
      <c r="X108" s="15" t="s">
        <v>23</v>
      </c>
      <c r="Y108" s="5"/>
      <c r="AA108" s="251" t="s">
        <v>2554</v>
      </c>
      <c r="AC108">
        <v>3</v>
      </c>
      <c r="AD108" s="16" t="s">
        <v>161</v>
      </c>
      <c r="AE108" s="58">
        <f>+AC108*10</f>
        <v>30</v>
      </c>
      <c r="AG108">
        <v>1</v>
      </c>
      <c r="AH108" s="16" t="s">
        <v>161</v>
      </c>
      <c r="AI108" s="58">
        <f>+AG108*10</f>
        <v>10</v>
      </c>
      <c r="AK108" s="61" t="s">
        <v>173</v>
      </c>
      <c r="AL108" s="62" t="s">
        <v>174</v>
      </c>
      <c r="AN108" s="16" t="s">
        <v>161</v>
      </c>
      <c r="AO108" s="58">
        <f>+AM108*10</f>
        <v>0</v>
      </c>
    </row>
    <row r="109" spans="1:41" x14ac:dyDescent="0.25">
      <c r="A109" s="16">
        <v>1</v>
      </c>
      <c r="B109" s="92">
        <v>45247</v>
      </c>
      <c r="C109" s="23">
        <v>0.4284722222222222</v>
      </c>
      <c r="D109" s="31" t="s">
        <v>119</v>
      </c>
      <c r="E109" s="32">
        <v>5610020620</v>
      </c>
      <c r="F109" s="32" t="s">
        <v>2312</v>
      </c>
      <c r="G109" s="39" t="s">
        <v>2765</v>
      </c>
      <c r="H109" s="39" t="s">
        <v>1008</v>
      </c>
      <c r="I109" s="122"/>
      <c r="J109" s="32">
        <v>17</v>
      </c>
      <c r="K109" s="20">
        <v>10</v>
      </c>
      <c r="L109" s="21"/>
      <c r="M109" s="21">
        <f t="shared" ref="M109:M127" si="16">+J109+K109</f>
        <v>27</v>
      </c>
      <c r="N109" s="21">
        <f t="shared" ref="N109:N127" si="17">+I109-M109</f>
        <v>-27</v>
      </c>
      <c r="O109" s="21"/>
      <c r="P109" s="21"/>
      <c r="Q109" s="5"/>
      <c r="R109" s="21">
        <v>50</v>
      </c>
      <c r="S109" s="16"/>
      <c r="T109" s="21">
        <f t="shared" ref="T109:T127" si="18">+R109+S109</f>
        <v>50</v>
      </c>
      <c r="U109" s="21">
        <v>33</v>
      </c>
      <c r="V109" s="78">
        <f>+U109-T109+O109+P109</f>
        <v>-17</v>
      </c>
      <c r="W109" s="13"/>
      <c r="X109" s="333"/>
      <c r="Y109" s="5"/>
      <c r="AA109" s="83">
        <f>+AE119-AI93</f>
        <v>-180</v>
      </c>
      <c r="AC109">
        <v>59.5</v>
      </c>
      <c r="AD109" s="59" t="s">
        <v>162</v>
      </c>
      <c r="AE109" s="18">
        <f>+AC109*1</f>
        <v>59.5</v>
      </c>
      <c r="AG109">
        <v>57.5</v>
      </c>
      <c r="AH109" s="59" t="s">
        <v>162</v>
      </c>
      <c r="AI109" s="18">
        <f>+AG109*1</f>
        <v>57.5</v>
      </c>
      <c r="AK109" s="16"/>
      <c r="AL109" s="16"/>
      <c r="AN109" s="59" t="s">
        <v>162</v>
      </c>
      <c r="AO109" s="18">
        <f>+AM109*1</f>
        <v>0</v>
      </c>
    </row>
    <row r="110" spans="1:41" x14ac:dyDescent="0.25">
      <c r="A110" s="26">
        <v>2</v>
      </c>
      <c r="B110" s="92">
        <v>45247</v>
      </c>
      <c r="C110" s="23">
        <v>0.5131944444444444</v>
      </c>
      <c r="D110" s="31" t="s">
        <v>1806</v>
      </c>
      <c r="E110" s="32">
        <v>5536710987</v>
      </c>
      <c r="F110" s="32" t="s">
        <v>1484</v>
      </c>
      <c r="G110" s="32" t="s">
        <v>2766</v>
      </c>
      <c r="H110" s="39" t="s">
        <v>2767</v>
      </c>
      <c r="I110" s="122"/>
      <c r="J110" s="32">
        <v>170</v>
      </c>
      <c r="K110" s="20">
        <v>40</v>
      </c>
      <c r="L110" s="21"/>
      <c r="M110" s="21">
        <f t="shared" si="16"/>
        <v>210</v>
      </c>
      <c r="N110" s="21">
        <f t="shared" si="17"/>
        <v>-210</v>
      </c>
      <c r="O110" s="21"/>
      <c r="P110" s="21"/>
      <c r="Q110" s="5"/>
      <c r="R110" s="21">
        <v>300</v>
      </c>
      <c r="S110" s="16"/>
      <c r="T110" s="21">
        <f t="shared" si="18"/>
        <v>300</v>
      </c>
      <c r="U110" s="21">
        <v>340</v>
      </c>
      <c r="V110" s="78">
        <f t="shared" ref="V110:V127" si="19">+U110-T110+O110+P110</f>
        <v>40</v>
      </c>
      <c r="W110" s="140"/>
      <c r="X110" s="334"/>
      <c r="Y110" s="5"/>
      <c r="AC110">
        <v>37</v>
      </c>
      <c r="AD110" s="16" t="s">
        <v>163</v>
      </c>
      <c r="AE110" s="60">
        <f>+AC110*5</f>
        <v>185</v>
      </c>
      <c r="AG110">
        <v>27</v>
      </c>
      <c r="AH110" s="16" t="s">
        <v>163</v>
      </c>
      <c r="AI110" s="60">
        <f>+AG110*5</f>
        <v>135</v>
      </c>
      <c r="AK110" s="16"/>
      <c r="AL110" s="16"/>
      <c r="AN110" s="16" t="s">
        <v>163</v>
      </c>
      <c r="AO110" s="60">
        <f>+AM110*5</f>
        <v>0</v>
      </c>
    </row>
    <row r="111" spans="1:41" x14ac:dyDescent="0.25">
      <c r="A111" s="143">
        <v>3</v>
      </c>
      <c r="B111" s="92">
        <v>45247</v>
      </c>
      <c r="C111" s="23">
        <v>0.55902777777777779</v>
      </c>
      <c r="D111" s="31" t="s">
        <v>1947</v>
      </c>
      <c r="E111" s="32">
        <v>5615589545</v>
      </c>
      <c r="F111" s="32" t="s">
        <v>106</v>
      </c>
      <c r="G111" s="32" t="s">
        <v>2771</v>
      </c>
      <c r="H111" s="39" t="s">
        <v>2770</v>
      </c>
      <c r="I111" s="122"/>
      <c r="J111" s="32">
        <v>100</v>
      </c>
      <c r="K111" s="20">
        <v>12</v>
      </c>
      <c r="L111" s="21">
        <v>10</v>
      </c>
      <c r="M111" s="21">
        <f t="shared" si="16"/>
        <v>112</v>
      </c>
      <c r="N111" s="21">
        <f t="shared" si="17"/>
        <v>-112</v>
      </c>
      <c r="O111" s="21"/>
      <c r="P111" s="21"/>
      <c r="Q111" s="5"/>
      <c r="R111" s="21">
        <v>200</v>
      </c>
      <c r="S111" s="16"/>
      <c r="T111" s="21">
        <f t="shared" si="18"/>
        <v>200</v>
      </c>
      <c r="U111" s="21">
        <v>222</v>
      </c>
      <c r="V111" s="78">
        <f t="shared" si="19"/>
        <v>22</v>
      </c>
      <c r="W111" s="140"/>
      <c r="X111" s="334"/>
      <c r="Y111" s="5"/>
      <c r="AD111" s="16" t="s">
        <v>164</v>
      </c>
      <c r="AE111" s="18">
        <f>+AC111*200</f>
        <v>0</v>
      </c>
      <c r="AH111" s="16" t="s">
        <v>164</v>
      </c>
      <c r="AI111" s="18">
        <f>+AG111*200</f>
        <v>0</v>
      </c>
      <c r="AK111" s="16"/>
      <c r="AL111" s="16"/>
      <c r="AN111" s="16" t="s">
        <v>164</v>
      </c>
      <c r="AO111" s="18">
        <f>+AM111*200</f>
        <v>0</v>
      </c>
    </row>
    <row r="112" spans="1:41" x14ac:dyDescent="0.25">
      <c r="A112" s="143">
        <v>4</v>
      </c>
      <c r="B112" s="92">
        <v>45247</v>
      </c>
      <c r="C112" s="23">
        <v>0.57638888888888895</v>
      </c>
      <c r="D112" s="31" t="s">
        <v>1402</v>
      </c>
      <c r="E112" s="32">
        <v>5535831305</v>
      </c>
      <c r="F112" s="32" t="s">
        <v>2773</v>
      </c>
      <c r="G112" s="32" t="s">
        <v>1655</v>
      </c>
      <c r="H112" s="39" t="s">
        <v>2768</v>
      </c>
      <c r="I112" s="122"/>
      <c r="J112" s="32">
        <v>41</v>
      </c>
      <c r="K112" s="20">
        <v>10</v>
      </c>
      <c r="L112" s="21">
        <v>11</v>
      </c>
      <c r="M112" s="21">
        <f t="shared" si="16"/>
        <v>51</v>
      </c>
      <c r="N112" s="21">
        <f t="shared" si="17"/>
        <v>-51</v>
      </c>
      <c r="O112" s="21"/>
      <c r="P112" s="21"/>
      <c r="Q112" s="5"/>
      <c r="R112" s="21"/>
      <c r="S112" s="16"/>
      <c r="T112" s="21">
        <f t="shared" si="18"/>
        <v>0</v>
      </c>
      <c r="U112" s="21">
        <v>21</v>
      </c>
      <c r="V112" s="78">
        <f t="shared" si="19"/>
        <v>21</v>
      </c>
      <c r="W112" s="140"/>
      <c r="X112" s="334"/>
      <c r="Y112" s="5"/>
      <c r="AC112">
        <v>1</v>
      </c>
      <c r="AD112" s="16" t="s">
        <v>165</v>
      </c>
      <c r="AE112" s="18">
        <f>+AC112*100</f>
        <v>100</v>
      </c>
      <c r="AG112">
        <v>1</v>
      </c>
      <c r="AH112" s="16" t="s">
        <v>165</v>
      </c>
      <c r="AI112" s="18">
        <f>+AG112*100</f>
        <v>100</v>
      </c>
      <c r="AK112" s="16"/>
      <c r="AL112" s="16"/>
      <c r="AN112" s="16" t="s">
        <v>165</v>
      </c>
      <c r="AO112" s="18">
        <f>+AM112*100</f>
        <v>0</v>
      </c>
    </row>
    <row r="113" spans="1:41" x14ac:dyDescent="0.25">
      <c r="A113" s="143">
        <v>5</v>
      </c>
      <c r="B113" s="92">
        <v>45247</v>
      </c>
      <c r="C113" s="23">
        <v>0.58333333333333337</v>
      </c>
      <c r="D113" s="31" t="s">
        <v>2008</v>
      </c>
      <c r="E113" s="32">
        <v>5535975295</v>
      </c>
      <c r="F113" s="32" t="s">
        <v>28</v>
      </c>
      <c r="G113" s="32" t="s">
        <v>2772</v>
      </c>
      <c r="H113" s="32" t="s">
        <v>2769</v>
      </c>
      <c r="I113" s="122">
        <v>200</v>
      </c>
      <c r="J113" s="32">
        <v>99</v>
      </c>
      <c r="K113" s="20">
        <v>12</v>
      </c>
      <c r="L113" s="21">
        <v>21</v>
      </c>
      <c r="M113" s="21">
        <f t="shared" si="16"/>
        <v>111</v>
      </c>
      <c r="N113" s="21">
        <f t="shared" si="17"/>
        <v>89</v>
      </c>
      <c r="O113" s="21"/>
      <c r="P113" s="21"/>
      <c r="Q113" s="5"/>
      <c r="R113" s="16"/>
      <c r="S113" s="16"/>
      <c r="T113" s="21">
        <f t="shared" si="18"/>
        <v>0</v>
      </c>
      <c r="U113" s="21">
        <v>33</v>
      </c>
      <c r="V113" s="78">
        <f t="shared" si="19"/>
        <v>33</v>
      </c>
      <c r="W113" s="140"/>
      <c r="X113" s="334"/>
      <c r="Y113" s="5"/>
      <c r="AC113">
        <v>1</v>
      </c>
      <c r="AD113" s="16" t="s">
        <v>166</v>
      </c>
      <c r="AE113" s="18">
        <f>+AC113*50</f>
        <v>50</v>
      </c>
      <c r="AH113" s="16" t="s">
        <v>166</v>
      </c>
      <c r="AI113" s="18">
        <f>+AG113*50</f>
        <v>0</v>
      </c>
      <c r="AK113" s="16"/>
      <c r="AL113" s="16"/>
      <c r="AN113" s="16" t="s">
        <v>166</v>
      </c>
      <c r="AO113" s="18">
        <f>+AM113*50</f>
        <v>0</v>
      </c>
    </row>
    <row r="114" spans="1:41" x14ac:dyDescent="0.25">
      <c r="A114" s="143">
        <v>6</v>
      </c>
      <c r="B114" s="92">
        <v>45247</v>
      </c>
      <c r="C114" s="23">
        <v>0.13402777777777777</v>
      </c>
      <c r="D114" s="31" t="s">
        <v>1890</v>
      </c>
      <c r="E114" s="32">
        <v>5621699116</v>
      </c>
      <c r="F114" s="32" t="s">
        <v>2775</v>
      </c>
      <c r="G114" s="32" t="s">
        <v>2774</v>
      </c>
      <c r="H114" s="39" t="s">
        <v>2776</v>
      </c>
      <c r="I114" s="39">
        <v>100</v>
      </c>
      <c r="J114" s="42">
        <v>86</v>
      </c>
      <c r="K114" s="20">
        <v>15</v>
      </c>
      <c r="L114" s="21"/>
      <c r="M114" s="21">
        <f t="shared" si="16"/>
        <v>101</v>
      </c>
      <c r="N114" s="21">
        <f t="shared" si="17"/>
        <v>-1</v>
      </c>
      <c r="O114" s="21"/>
      <c r="P114" s="21"/>
      <c r="Q114" s="5"/>
      <c r="R114" s="16">
        <v>200</v>
      </c>
      <c r="S114" s="16"/>
      <c r="T114" s="21">
        <f t="shared" si="18"/>
        <v>200</v>
      </c>
      <c r="U114" s="16">
        <v>220</v>
      </c>
      <c r="V114" s="78">
        <f t="shared" si="19"/>
        <v>20</v>
      </c>
      <c r="W114" s="140"/>
      <c r="X114" s="334"/>
      <c r="Y114" s="5"/>
      <c r="AC114">
        <v>3</v>
      </c>
      <c r="AD114" s="16" t="s">
        <v>167</v>
      </c>
      <c r="AE114" s="18">
        <f>+AC114*20</f>
        <v>60</v>
      </c>
      <c r="AH114" s="16" t="s">
        <v>167</v>
      </c>
      <c r="AI114" s="18">
        <f>+AG114*20</f>
        <v>0</v>
      </c>
      <c r="AK114" s="16"/>
      <c r="AL114" s="16"/>
      <c r="AN114" s="16" t="s">
        <v>167</v>
      </c>
      <c r="AO114" s="18">
        <f>+AM114*20</f>
        <v>0</v>
      </c>
    </row>
    <row r="115" spans="1:41" x14ac:dyDescent="0.25">
      <c r="A115" s="143">
        <v>7</v>
      </c>
      <c r="B115" s="92">
        <v>45247</v>
      </c>
      <c r="C115" s="23">
        <v>0.15902777777777777</v>
      </c>
      <c r="D115" s="31" t="s">
        <v>390</v>
      </c>
      <c r="E115" s="32">
        <v>5621699116</v>
      </c>
      <c r="F115" s="32" t="s">
        <v>156</v>
      </c>
      <c r="G115" s="32" t="s">
        <v>1885</v>
      </c>
      <c r="H115" s="39" t="s">
        <v>2777</v>
      </c>
      <c r="I115" s="122"/>
      <c r="J115" s="42">
        <v>11</v>
      </c>
      <c r="K115" s="20">
        <v>10</v>
      </c>
      <c r="L115" s="21">
        <v>13</v>
      </c>
      <c r="M115" s="21">
        <f t="shared" si="16"/>
        <v>21</v>
      </c>
      <c r="N115" s="21">
        <f t="shared" si="17"/>
        <v>-21</v>
      </c>
      <c r="O115" s="21"/>
      <c r="P115" s="21"/>
      <c r="Q115" s="5"/>
      <c r="R115" s="16"/>
      <c r="S115" s="16"/>
      <c r="T115" s="21">
        <f t="shared" si="18"/>
        <v>0</v>
      </c>
      <c r="U115" s="16">
        <v>13</v>
      </c>
      <c r="V115" s="78">
        <f t="shared" si="19"/>
        <v>13</v>
      </c>
      <c r="W115" s="140"/>
      <c r="X115" s="334"/>
      <c r="Y115" s="5"/>
      <c r="AD115" s="16" t="s">
        <v>171</v>
      </c>
      <c r="AE115" s="18">
        <f>+AC115*500</f>
        <v>0</v>
      </c>
      <c r="AH115" s="16" t="s">
        <v>171</v>
      </c>
      <c r="AI115" s="18">
        <f>+AG115*500</f>
        <v>0</v>
      </c>
      <c r="AK115" s="16"/>
      <c r="AL115" s="16"/>
      <c r="AN115" s="16" t="s">
        <v>171</v>
      </c>
      <c r="AO115" s="18">
        <f>+AM115*500</f>
        <v>0</v>
      </c>
    </row>
    <row r="116" spans="1:41" x14ac:dyDescent="0.25">
      <c r="A116" s="143">
        <v>8</v>
      </c>
      <c r="B116" s="92">
        <v>45247</v>
      </c>
      <c r="C116" s="23">
        <v>0.20069444444444443</v>
      </c>
      <c r="D116" s="31" t="s">
        <v>2058</v>
      </c>
      <c r="E116" s="123"/>
      <c r="F116" s="123" t="s">
        <v>41</v>
      </c>
      <c r="G116" s="123" t="s">
        <v>2669</v>
      </c>
      <c r="H116" s="39" t="s">
        <v>2778</v>
      </c>
      <c r="I116" s="122">
        <v>200</v>
      </c>
      <c r="J116" s="32">
        <v>120</v>
      </c>
      <c r="K116" s="20">
        <v>10</v>
      </c>
      <c r="L116" s="21"/>
      <c r="M116" s="21">
        <f t="shared" si="16"/>
        <v>130</v>
      </c>
      <c r="N116" s="21">
        <f t="shared" si="17"/>
        <v>70</v>
      </c>
      <c r="O116" s="21"/>
      <c r="P116" s="21"/>
      <c r="Q116" s="5"/>
      <c r="R116" s="16"/>
      <c r="S116" s="16"/>
      <c r="T116" s="21">
        <f t="shared" si="18"/>
        <v>0</v>
      </c>
      <c r="U116" s="16"/>
      <c r="V116" s="78">
        <f t="shared" si="19"/>
        <v>0</v>
      </c>
      <c r="W116" s="140"/>
      <c r="X116" s="334"/>
      <c r="Y116" s="5"/>
      <c r="AD116" s="16" t="s">
        <v>168</v>
      </c>
      <c r="AE116" s="18">
        <f>+AC116*1000</f>
        <v>0</v>
      </c>
      <c r="AH116" s="16" t="s">
        <v>168</v>
      </c>
      <c r="AI116" s="18">
        <f>+AG116*1000</f>
        <v>0</v>
      </c>
      <c r="AK116" s="16"/>
      <c r="AL116" s="16"/>
      <c r="AN116" s="16" t="s">
        <v>168</v>
      </c>
      <c r="AO116" s="18">
        <f>+AM116*1000</f>
        <v>0</v>
      </c>
    </row>
    <row r="117" spans="1:41" x14ac:dyDescent="0.25">
      <c r="A117" s="143">
        <v>9</v>
      </c>
      <c r="B117" s="92">
        <v>45247</v>
      </c>
      <c r="C117" s="23">
        <v>0.24097222222222223</v>
      </c>
      <c r="D117" s="31" t="s">
        <v>2779</v>
      </c>
      <c r="E117" s="32">
        <v>5539148545</v>
      </c>
      <c r="F117" s="32" t="s">
        <v>52</v>
      </c>
      <c r="G117" s="32" t="s">
        <v>2780</v>
      </c>
      <c r="H117" s="39" t="s">
        <v>2781</v>
      </c>
      <c r="I117" s="39">
        <v>150</v>
      </c>
      <c r="J117" s="40"/>
      <c r="K117" s="20">
        <v>10</v>
      </c>
      <c r="L117" s="21"/>
      <c r="M117" s="21">
        <f t="shared" si="16"/>
        <v>10</v>
      </c>
      <c r="N117" s="21">
        <f t="shared" si="17"/>
        <v>140</v>
      </c>
      <c r="O117" s="21"/>
      <c r="P117" s="21"/>
      <c r="Q117" s="5"/>
      <c r="R117" s="16"/>
      <c r="S117" s="16"/>
      <c r="T117" s="21">
        <f t="shared" si="18"/>
        <v>0</v>
      </c>
      <c r="U117" s="16"/>
      <c r="V117" s="78">
        <f t="shared" si="19"/>
        <v>0</v>
      </c>
      <c r="W117" s="140"/>
      <c r="X117" s="334"/>
      <c r="Y117" s="5"/>
      <c r="AD117" s="26"/>
      <c r="AE117" s="58"/>
      <c r="AH117" s="26"/>
      <c r="AI117" s="58"/>
      <c r="AK117" s="16"/>
      <c r="AL117" s="16"/>
      <c r="AN117" s="26"/>
      <c r="AO117" s="58"/>
    </row>
    <row r="118" spans="1:41" x14ac:dyDescent="0.25">
      <c r="A118" s="143">
        <v>10</v>
      </c>
      <c r="B118" s="92">
        <v>45247</v>
      </c>
      <c r="C118" s="23">
        <v>0.30763888888888891</v>
      </c>
      <c r="D118" s="31" t="s">
        <v>2578</v>
      </c>
      <c r="E118" s="32">
        <v>5585652455</v>
      </c>
      <c r="F118" s="32" t="s">
        <v>2273</v>
      </c>
      <c r="G118" s="32" t="s">
        <v>2579</v>
      </c>
      <c r="H118" s="39" t="s">
        <v>2782</v>
      </c>
      <c r="I118" s="122">
        <v>150</v>
      </c>
      <c r="J118" s="42">
        <v>57</v>
      </c>
      <c r="K118" s="20">
        <v>10</v>
      </c>
      <c r="L118" s="21">
        <v>10</v>
      </c>
      <c r="M118" s="21">
        <f t="shared" si="16"/>
        <v>67</v>
      </c>
      <c r="N118" s="21">
        <f t="shared" si="17"/>
        <v>83</v>
      </c>
      <c r="O118" s="21"/>
      <c r="P118" s="21"/>
      <c r="Q118" s="5"/>
      <c r="R118" s="16">
        <v>150</v>
      </c>
      <c r="S118" s="16"/>
      <c r="T118" s="21">
        <f t="shared" si="18"/>
        <v>150</v>
      </c>
      <c r="U118" s="16">
        <v>170</v>
      </c>
      <c r="V118" s="78">
        <f t="shared" si="19"/>
        <v>20</v>
      </c>
      <c r="W118" s="140"/>
      <c r="X118" s="334"/>
      <c r="Y118" s="5"/>
      <c r="AD118" s="16" t="s">
        <v>169</v>
      </c>
      <c r="AE118" s="18">
        <f>SUM(AE108:AE117)</f>
        <v>484.5</v>
      </c>
      <c r="AH118" s="16" t="s">
        <v>169</v>
      </c>
      <c r="AI118" s="18">
        <f>SUM(AI108:AI117)</f>
        <v>302.5</v>
      </c>
      <c r="AK118" s="16"/>
      <c r="AL118" s="16"/>
      <c r="AN118" s="16" t="s">
        <v>169</v>
      </c>
      <c r="AO118" s="18"/>
    </row>
    <row r="119" spans="1:41" x14ac:dyDescent="0.25">
      <c r="A119" s="143">
        <v>11</v>
      </c>
      <c r="B119" s="92">
        <v>45247</v>
      </c>
      <c r="C119" s="23"/>
      <c r="D119" s="31"/>
      <c r="E119" s="124"/>
      <c r="F119" s="123"/>
      <c r="G119" s="123"/>
      <c r="H119" s="39"/>
      <c r="I119" s="122"/>
      <c r="J119" s="42"/>
      <c r="K119" s="20">
        <v>10</v>
      </c>
      <c r="L119" s="21"/>
      <c r="M119" s="21">
        <f t="shared" si="16"/>
        <v>10</v>
      </c>
      <c r="N119" s="21">
        <f t="shared" si="17"/>
        <v>-10</v>
      </c>
      <c r="O119" s="21"/>
      <c r="P119" s="21"/>
      <c r="Q119" s="5"/>
      <c r="R119" s="16"/>
      <c r="S119" s="16"/>
      <c r="T119" s="21">
        <f t="shared" si="18"/>
        <v>0</v>
      </c>
      <c r="U119" s="16"/>
      <c r="V119" s="78">
        <f t="shared" si="19"/>
        <v>0</v>
      </c>
      <c r="W119" s="140"/>
      <c r="X119" s="334"/>
      <c r="Y119" s="5"/>
      <c r="AE119">
        <v>499.5</v>
      </c>
      <c r="AK119" s="16"/>
      <c r="AL119" s="16"/>
      <c r="AN119" s="16"/>
      <c r="AO119" s="16"/>
    </row>
    <row r="120" spans="1:41" x14ac:dyDescent="0.25">
      <c r="A120" s="143">
        <v>12</v>
      </c>
      <c r="B120" s="92">
        <v>45247</v>
      </c>
      <c r="C120" s="23"/>
      <c r="D120" s="32"/>
      <c r="E120" s="32"/>
      <c r="F120" s="124"/>
      <c r="G120" s="123"/>
      <c r="H120" s="39"/>
      <c r="I120" s="39"/>
      <c r="J120" s="42"/>
      <c r="K120" s="20">
        <v>10</v>
      </c>
      <c r="L120" s="21"/>
      <c r="M120" s="21">
        <f t="shared" si="16"/>
        <v>10</v>
      </c>
      <c r="N120" s="21">
        <f t="shared" si="17"/>
        <v>-10</v>
      </c>
      <c r="O120" s="21"/>
      <c r="P120" s="21"/>
      <c r="Q120" s="5"/>
      <c r="R120" s="45"/>
      <c r="S120" s="44"/>
      <c r="T120" s="21">
        <f t="shared" si="18"/>
        <v>0</v>
      </c>
      <c r="U120" s="45"/>
      <c r="V120" s="78">
        <f t="shared" si="19"/>
        <v>0</v>
      </c>
      <c r="W120" s="140"/>
      <c r="X120" s="334"/>
      <c r="Y120" s="5"/>
      <c r="AK120" s="63" t="s">
        <v>169</v>
      </c>
      <c r="AL120" s="63">
        <f>+SUM(AK109:AK119)-SUM(AL109:AL119)</f>
        <v>0</v>
      </c>
      <c r="AN120" s="63" t="s">
        <v>169</v>
      </c>
      <c r="AO120" s="85">
        <f>+SUM(AN108:AN119)-SUM(AO109:AO119)</f>
        <v>0</v>
      </c>
    </row>
    <row r="121" spans="1:41" x14ac:dyDescent="0.25">
      <c r="A121" s="143">
        <v>13</v>
      </c>
      <c r="B121" s="92">
        <v>45247</v>
      </c>
      <c r="C121" s="23"/>
      <c r="D121" s="31"/>
      <c r="E121" s="32"/>
      <c r="F121" s="32"/>
      <c r="G121" s="32"/>
      <c r="H121" s="39"/>
      <c r="I121" s="39"/>
      <c r="J121" s="42"/>
      <c r="K121" s="108">
        <v>10</v>
      </c>
      <c r="L121" s="21"/>
      <c r="M121" s="21">
        <f t="shared" si="16"/>
        <v>10</v>
      </c>
      <c r="N121" s="21">
        <f t="shared" si="17"/>
        <v>-10</v>
      </c>
      <c r="O121" s="21"/>
      <c r="P121" s="21"/>
      <c r="Q121" s="5"/>
      <c r="R121" s="43"/>
      <c r="S121" s="32"/>
      <c r="T121" s="21">
        <f t="shared" si="18"/>
        <v>0</v>
      </c>
      <c r="U121" s="43"/>
      <c r="V121" s="78">
        <f t="shared" si="19"/>
        <v>0</v>
      </c>
      <c r="W121" s="140"/>
      <c r="X121" s="334"/>
      <c r="Y121" s="5"/>
      <c r="AI121" s="83"/>
    </row>
    <row r="122" spans="1:41" x14ac:dyDescent="0.25">
      <c r="A122" s="143">
        <v>14</v>
      </c>
      <c r="B122" s="92">
        <v>45247</v>
      </c>
      <c r="C122" s="23"/>
      <c r="D122" s="31"/>
      <c r="E122" s="32"/>
      <c r="F122" s="32"/>
      <c r="G122" s="32"/>
      <c r="H122" s="39"/>
      <c r="I122" s="39"/>
      <c r="J122" s="42"/>
      <c r="K122" s="108">
        <v>10</v>
      </c>
      <c r="L122" s="21"/>
      <c r="M122" s="21">
        <f t="shared" si="16"/>
        <v>10</v>
      </c>
      <c r="N122" s="21">
        <f t="shared" si="17"/>
        <v>-10</v>
      </c>
      <c r="O122" s="21"/>
      <c r="P122" s="21"/>
      <c r="Q122" s="5"/>
      <c r="R122" s="43"/>
      <c r="S122" s="43"/>
      <c r="T122" s="21">
        <f t="shared" si="18"/>
        <v>0</v>
      </c>
      <c r="U122" s="43"/>
      <c r="V122" s="78">
        <f t="shared" si="19"/>
        <v>0</v>
      </c>
      <c r="W122" s="140"/>
      <c r="X122" s="334"/>
      <c r="Y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</row>
    <row r="123" spans="1:41" x14ac:dyDescent="0.25">
      <c r="A123" s="143">
        <v>15</v>
      </c>
      <c r="B123" s="92">
        <v>45247</v>
      </c>
      <c r="C123" s="23"/>
      <c r="D123" s="127"/>
      <c r="E123" s="32"/>
      <c r="F123" s="32"/>
      <c r="G123" s="128"/>
      <c r="H123" s="129"/>
      <c r="I123" s="39"/>
      <c r="J123" s="42"/>
      <c r="K123" s="108">
        <v>10</v>
      </c>
      <c r="L123" s="21"/>
      <c r="M123" s="21">
        <f t="shared" si="16"/>
        <v>10</v>
      </c>
      <c r="N123" s="21">
        <f t="shared" si="17"/>
        <v>-10</v>
      </c>
      <c r="O123" s="21"/>
      <c r="P123" s="21"/>
      <c r="Q123" s="5"/>
      <c r="R123" s="43"/>
      <c r="S123" s="43"/>
      <c r="T123" s="21">
        <f t="shared" si="18"/>
        <v>0</v>
      </c>
      <c r="U123" s="43"/>
      <c r="V123" s="78">
        <f t="shared" si="19"/>
        <v>0</v>
      </c>
      <c r="W123" s="140"/>
      <c r="X123" s="334"/>
      <c r="Y123" s="5"/>
      <c r="AD123" s="5"/>
      <c r="AE123" s="134" t="s">
        <v>20</v>
      </c>
      <c r="AF123" s="338"/>
      <c r="AG123" s="341" t="s">
        <v>686</v>
      </c>
      <c r="AH123" s="134" t="s">
        <v>20</v>
      </c>
      <c r="AI123" s="338">
        <v>149</v>
      </c>
      <c r="AJ123" s="341" t="s">
        <v>687</v>
      </c>
      <c r="AK123" s="134" t="s">
        <v>20</v>
      </c>
      <c r="AL123" s="338">
        <v>189</v>
      </c>
      <c r="AM123" s="5"/>
    </row>
    <row r="124" spans="1:41" x14ac:dyDescent="0.25">
      <c r="A124" s="143">
        <v>16</v>
      </c>
      <c r="B124" s="92">
        <v>45247</v>
      </c>
      <c r="C124" s="23"/>
      <c r="D124" s="31"/>
      <c r="E124" s="32"/>
      <c r="F124" s="32"/>
      <c r="G124" s="32"/>
      <c r="H124" s="39"/>
      <c r="I124" s="39"/>
      <c r="J124" s="42"/>
      <c r="K124" s="43">
        <v>10</v>
      </c>
      <c r="L124" s="21"/>
      <c r="M124" s="21">
        <f t="shared" si="16"/>
        <v>10</v>
      </c>
      <c r="N124" s="21">
        <f t="shared" si="17"/>
        <v>-10</v>
      </c>
      <c r="O124" s="21"/>
      <c r="P124" s="21"/>
      <c r="Q124" s="5"/>
      <c r="R124" s="43"/>
      <c r="S124" s="32"/>
      <c r="T124" s="21">
        <f t="shared" si="18"/>
        <v>0</v>
      </c>
      <c r="U124" s="131"/>
      <c r="V124" s="78">
        <f t="shared" si="19"/>
        <v>0</v>
      </c>
      <c r="W124" s="140"/>
      <c r="X124" s="334"/>
      <c r="Y124" s="5"/>
      <c r="AD124" s="5" t="s">
        <v>685</v>
      </c>
      <c r="AE124" s="115" t="s">
        <v>684</v>
      </c>
      <c r="AF124" s="339"/>
      <c r="AG124" s="341"/>
      <c r="AH124" s="115" t="s">
        <v>684</v>
      </c>
      <c r="AI124" s="339"/>
      <c r="AJ124" s="341"/>
      <c r="AK124" s="115" t="s">
        <v>684</v>
      </c>
      <c r="AL124" s="339"/>
      <c r="AM124" s="5"/>
    </row>
    <row r="125" spans="1:41" x14ac:dyDescent="0.25">
      <c r="A125" s="143">
        <v>17</v>
      </c>
      <c r="B125" s="92">
        <v>45247</v>
      </c>
      <c r="C125" s="23"/>
      <c r="D125" s="31"/>
      <c r="E125" s="32"/>
      <c r="F125" s="32"/>
      <c r="G125" s="32"/>
      <c r="H125" s="39"/>
      <c r="I125" s="39"/>
      <c r="J125" s="42"/>
      <c r="K125" s="43">
        <v>10</v>
      </c>
      <c r="L125" s="21"/>
      <c r="M125" s="21">
        <f t="shared" si="16"/>
        <v>10</v>
      </c>
      <c r="N125" s="21">
        <f t="shared" si="17"/>
        <v>-10</v>
      </c>
      <c r="O125" s="21"/>
      <c r="P125" s="21"/>
      <c r="Q125" s="5"/>
      <c r="R125" s="43"/>
      <c r="S125" s="32"/>
      <c r="T125" s="21">
        <f t="shared" si="18"/>
        <v>0</v>
      </c>
      <c r="U125" s="132"/>
      <c r="V125" s="78">
        <f t="shared" si="19"/>
        <v>0</v>
      </c>
      <c r="W125" s="140"/>
      <c r="X125" s="340"/>
      <c r="Y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</row>
    <row r="126" spans="1:41" x14ac:dyDescent="0.25">
      <c r="A126" s="143">
        <v>18</v>
      </c>
      <c r="B126" s="92">
        <v>45247</v>
      </c>
      <c r="C126" s="32"/>
      <c r="D126" s="31"/>
      <c r="E126" s="32"/>
      <c r="F126" s="32"/>
      <c r="G126" s="32"/>
      <c r="H126" s="39"/>
      <c r="I126" s="39"/>
      <c r="J126" s="42"/>
      <c r="K126" s="43">
        <v>10</v>
      </c>
      <c r="L126" s="21"/>
      <c r="M126" s="21">
        <f t="shared" si="16"/>
        <v>10</v>
      </c>
      <c r="N126" s="21">
        <f t="shared" si="17"/>
        <v>-10</v>
      </c>
      <c r="O126" s="21"/>
      <c r="P126" s="21"/>
      <c r="Q126" s="5"/>
      <c r="R126" s="135"/>
      <c r="S126" s="104"/>
      <c r="T126" s="21">
        <f t="shared" si="18"/>
        <v>0</v>
      </c>
      <c r="U126" s="131"/>
      <c r="V126" s="78">
        <f t="shared" si="19"/>
        <v>0</v>
      </c>
      <c r="W126" s="140"/>
      <c r="Y126" s="5"/>
    </row>
    <row r="127" spans="1:41" x14ac:dyDescent="0.25">
      <c r="A127" s="143">
        <v>19</v>
      </c>
      <c r="B127" s="92">
        <v>45247</v>
      </c>
      <c r="C127" s="32"/>
      <c r="D127" s="31"/>
      <c r="E127" s="32"/>
      <c r="F127" s="32"/>
      <c r="G127" s="32"/>
      <c r="H127" s="39"/>
      <c r="I127" s="39"/>
      <c r="J127" s="42"/>
      <c r="K127" s="43">
        <v>10</v>
      </c>
      <c r="L127" s="21"/>
      <c r="M127" s="21">
        <f t="shared" si="16"/>
        <v>10</v>
      </c>
      <c r="N127" s="21">
        <f t="shared" si="17"/>
        <v>-10</v>
      </c>
      <c r="O127" s="21"/>
      <c r="P127" s="21"/>
      <c r="Q127" s="5"/>
      <c r="R127" s="32"/>
      <c r="S127" s="32"/>
      <c r="T127" s="21">
        <f t="shared" si="18"/>
        <v>0</v>
      </c>
      <c r="U127" s="32"/>
      <c r="V127" s="78">
        <f t="shared" si="19"/>
        <v>0</v>
      </c>
      <c r="W127" s="140"/>
      <c r="Y127" s="5"/>
    </row>
    <row r="128" spans="1:41" x14ac:dyDescent="0.25">
      <c r="AD128" t="s">
        <v>2783</v>
      </c>
    </row>
    <row r="129" spans="1:41" x14ac:dyDescent="0.25">
      <c r="V129" s="83">
        <f>+SUM(V133:V136)</f>
        <v>68</v>
      </c>
    </row>
    <row r="131" spans="1:41" x14ac:dyDescent="0.25">
      <c r="A131" s="1" t="s">
        <v>0</v>
      </c>
      <c r="B131" s="1"/>
      <c r="C131" s="1"/>
      <c r="D131" s="1"/>
      <c r="E131" s="1"/>
      <c r="F131" s="1"/>
      <c r="G131" s="1"/>
      <c r="H131" s="1"/>
      <c r="I131" s="1"/>
      <c r="J131" s="1" t="s">
        <v>148</v>
      </c>
      <c r="K131" s="1"/>
      <c r="L131" s="1"/>
      <c r="M131" s="1"/>
      <c r="N131" s="1"/>
      <c r="O131" s="1"/>
      <c r="P131" s="1"/>
      <c r="Q131" s="1"/>
      <c r="R131" s="1"/>
      <c r="S131" s="1"/>
      <c r="T131" s="342" t="s">
        <v>1</v>
      </c>
      <c r="U131" s="342"/>
      <c r="V131" s="5"/>
      <c r="W131" s="139"/>
      <c r="X131" s="1"/>
      <c r="Y131" s="5"/>
      <c r="AD131" s="335" t="s">
        <v>160</v>
      </c>
      <c r="AE131" s="336"/>
      <c r="AH131" s="335" t="s">
        <v>170</v>
      </c>
      <c r="AI131" s="336"/>
      <c r="AK131" s="337" t="s">
        <v>172</v>
      </c>
      <c r="AL131" s="337"/>
      <c r="AN131" s="337" t="s">
        <v>681</v>
      </c>
      <c r="AO131" s="337"/>
    </row>
    <row r="132" spans="1:41" ht="90" x14ac:dyDescent="0.25">
      <c r="A132" s="6" t="s">
        <v>2</v>
      </c>
      <c r="B132" s="7" t="s">
        <v>3</v>
      </c>
      <c r="C132" s="245" t="s">
        <v>688</v>
      </c>
      <c r="D132" s="7" t="s">
        <v>4</v>
      </c>
      <c r="E132" s="6" t="s">
        <v>5</v>
      </c>
      <c r="F132" s="6" t="s">
        <v>6</v>
      </c>
      <c r="G132" s="6" t="s">
        <v>7</v>
      </c>
      <c r="H132" s="6" t="s">
        <v>8</v>
      </c>
      <c r="I132" s="8" t="s">
        <v>9</v>
      </c>
      <c r="J132" s="9" t="s">
        <v>10</v>
      </c>
      <c r="K132" s="8" t="s">
        <v>11</v>
      </c>
      <c r="L132" s="10" t="s">
        <v>12</v>
      </c>
      <c r="M132" s="10" t="s">
        <v>13</v>
      </c>
      <c r="N132" s="11" t="s">
        <v>14</v>
      </c>
      <c r="O132" s="10" t="s">
        <v>691</v>
      </c>
      <c r="P132" s="10" t="s">
        <v>28</v>
      </c>
      <c r="Q132" s="5"/>
      <c r="R132" s="10" t="s">
        <v>16</v>
      </c>
      <c r="S132" s="10" t="s">
        <v>17</v>
      </c>
      <c r="T132" s="10" t="s">
        <v>18</v>
      </c>
      <c r="U132" s="10" t="s">
        <v>19</v>
      </c>
      <c r="V132" s="10" t="s">
        <v>20</v>
      </c>
      <c r="W132" s="13"/>
      <c r="X132" s="15" t="s">
        <v>23</v>
      </c>
      <c r="Y132" s="5"/>
      <c r="AA132" s="251" t="s">
        <v>2554</v>
      </c>
      <c r="AD132" s="16" t="s">
        <v>161</v>
      </c>
      <c r="AE132" s="58">
        <f>+AC132*10</f>
        <v>0</v>
      </c>
      <c r="AG132">
        <v>3</v>
      </c>
      <c r="AH132" s="16" t="s">
        <v>161</v>
      </c>
      <c r="AI132" s="58">
        <f>+AG132*10</f>
        <v>30</v>
      </c>
      <c r="AK132" s="61" t="s">
        <v>173</v>
      </c>
      <c r="AL132" s="62" t="s">
        <v>174</v>
      </c>
      <c r="AN132" s="16" t="s">
        <v>161</v>
      </c>
      <c r="AO132" s="58">
        <f>+AM132*10</f>
        <v>0</v>
      </c>
    </row>
    <row r="133" spans="1:41" x14ac:dyDescent="0.25">
      <c r="A133" s="16">
        <v>1</v>
      </c>
      <c r="B133" s="92">
        <v>45248</v>
      </c>
      <c r="C133" s="23">
        <v>0.45763888888888887</v>
      </c>
      <c r="D133" s="31" t="s">
        <v>2784</v>
      </c>
      <c r="E133" s="32">
        <v>5524194327</v>
      </c>
      <c r="F133" s="32" t="s">
        <v>52</v>
      </c>
      <c r="G133" s="39" t="s">
        <v>2785</v>
      </c>
      <c r="H133" s="39" t="s">
        <v>2786</v>
      </c>
      <c r="I133" s="122">
        <v>100</v>
      </c>
      <c r="J133" s="32">
        <v>47</v>
      </c>
      <c r="K133" s="20">
        <v>10</v>
      </c>
      <c r="L133" s="21">
        <v>3</v>
      </c>
      <c r="M133" s="21">
        <f t="shared" ref="M133:M151" si="20">+J133+K133</f>
        <v>57</v>
      </c>
      <c r="N133" s="21">
        <f t="shared" ref="N133:N151" si="21">+I133-M133</f>
        <v>43</v>
      </c>
      <c r="O133" s="21"/>
      <c r="P133" s="21"/>
      <c r="Q133" s="5"/>
      <c r="R133" s="21">
        <v>100</v>
      </c>
      <c r="S133" s="16"/>
      <c r="T133" s="21">
        <f t="shared" ref="T133:T151" si="22">+R133+S133</f>
        <v>100</v>
      </c>
      <c r="U133" s="21">
        <v>113</v>
      </c>
      <c r="V133" s="78">
        <f>+U133-T133+O133+P133</f>
        <v>13</v>
      </c>
      <c r="W133" s="13"/>
      <c r="X133" s="333"/>
      <c r="Y133" s="5"/>
      <c r="AD133" s="59" t="s">
        <v>162</v>
      </c>
      <c r="AE133" s="18">
        <f>+AC133*1</f>
        <v>0</v>
      </c>
      <c r="AG133">
        <v>80</v>
      </c>
      <c r="AH133" s="59" t="s">
        <v>162</v>
      </c>
      <c r="AI133" s="18">
        <f>+AG133*1</f>
        <v>80</v>
      </c>
      <c r="AK133" s="16"/>
      <c r="AL133" s="16">
        <v>100</v>
      </c>
      <c r="AN133" s="59" t="s">
        <v>162</v>
      </c>
      <c r="AO133" s="18">
        <f>+AM133*1</f>
        <v>0</v>
      </c>
    </row>
    <row r="134" spans="1:41" x14ac:dyDescent="0.25">
      <c r="A134" s="26">
        <v>2</v>
      </c>
      <c r="B134" s="92">
        <v>45248</v>
      </c>
      <c r="C134" s="23">
        <v>0.51041666666666663</v>
      </c>
      <c r="D134" s="31" t="s">
        <v>741</v>
      </c>
      <c r="E134" s="32">
        <v>9531286830</v>
      </c>
      <c r="F134" s="32" t="s">
        <v>31</v>
      </c>
      <c r="G134" s="32" t="s">
        <v>2787</v>
      </c>
      <c r="H134" s="39"/>
      <c r="I134" s="122"/>
      <c r="J134" s="32">
        <v>67</v>
      </c>
      <c r="K134" s="20">
        <v>10</v>
      </c>
      <c r="L134" s="21"/>
      <c r="M134" s="21">
        <f t="shared" si="20"/>
        <v>77</v>
      </c>
      <c r="N134" s="21">
        <f t="shared" si="21"/>
        <v>-77</v>
      </c>
      <c r="O134" s="21"/>
      <c r="P134" s="21"/>
      <c r="Q134" s="5"/>
      <c r="R134" s="21"/>
      <c r="S134" s="16"/>
      <c r="T134" s="21">
        <f t="shared" si="22"/>
        <v>0</v>
      </c>
      <c r="U134" s="21">
        <v>10</v>
      </c>
      <c r="V134" s="78">
        <f t="shared" ref="V134:V151" si="23">+U134-T134+O134+P134</f>
        <v>10</v>
      </c>
      <c r="W134" s="140"/>
      <c r="X134" s="334"/>
      <c r="Y134" s="5"/>
      <c r="AD134" s="16" t="s">
        <v>163</v>
      </c>
      <c r="AE134" s="60">
        <f>+AC134*5</f>
        <v>0</v>
      </c>
      <c r="AG134">
        <v>23</v>
      </c>
      <c r="AH134" s="16" t="s">
        <v>163</v>
      </c>
      <c r="AI134" s="60">
        <f>+AG134*5</f>
        <v>115</v>
      </c>
      <c r="AK134" s="16"/>
      <c r="AL134" s="16"/>
      <c r="AN134" s="16" t="s">
        <v>163</v>
      </c>
      <c r="AO134" s="60">
        <f>+AM134*5</f>
        <v>0</v>
      </c>
    </row>
    <row r="135" spans="1:41" x14ac:dyDescent="0.25">
      <c r="A135" s="143">
        <v>3</v>
      </c>
      <c r="B135" s="92">
        <v>45248</v>
      </c>
      <c r="C135" s="23">
        <v>0.54305555555555551</v>
      </c>
      <c r="D135" s="31" t="s">
        <v>2788</v>
      </c>
      <c r="E135" s="32">
        <v>5578037085</v>
      </c>
      <c r="F135" s="32" t="s">
        <v>242</v>
      </c>
      <c r="G135" s="32" t="s">
        <v>2611</v>
      </c>
      <c r="H135" s="39" t="s">
        <v>2789</v>
      </c>
      <c r="I135" s="122">
        <v>50</v>
      </c>
      <c r="J135" s="32">
        <v>40</v>
      </c>
      <c r="K135" s="20">
        <v>10</v>
      </c>
      <c r="L135" s="21"/>
      <c r="M135" s="21">
        <f t="shared" si="20"/>
        <v>50</v>
      </c>
      <c r="N135" s="21">
        <f t="shared" si="21"/>
        <v>0</v>
      </c>
      <c r="O135" s="21"/>
      <c r="P135" s="21"/>
      <c r="Q135" s="5"/>
      <c r="R135" s="21"/>
      <c r="S135" s="16"/>
      <c r="T135" s="21">
        <f t="shared" si="22"/>
        <v>0</v>
      </c>
      <c r="U135" s="21">
        <v>15</v>
      </c>
      <c r="V135" s="78">
        <f t="shared" si="23"/>
        <v>15</v>
      </c>
      <c r="W135" s="140"/>
      <c r="X135" s="334"/>
      <c r="Y135" s="5"/>
      <c r="AD135" s="16" t="s">
        <v>164</v>
      </c>
      <c r="AE135" s="18">
        <f>+AC135*200</f>
        <v>0</v>
      </c>
      <c r="AH135" s="16" t="s">
        <v>164</v>
      </c>
      <c r="AI135" s="18">
        <f>+AG135*200</f>
        <v>0</v>
      </c>
      <c r="AK135" s="16"/>
      <c r="AL135" s="16"/>
      <c r="AN135" s="16" t="s">
        <v>164</v>
      </c>
      <c r="AO135" s="18">
        <f>+AM135*200</f>
        <v>0</v>
      </c>
    </row>
    <row r="136" spans="1:41" x14ac:dyDescent="0.25">
      <c r="A136" s="143">
        <v>4</v>
      </c>
      <c r="B136" s="92">
        <v>45248</v>
      </c>
      <c r="C136" s="23">
        <v>0.55972222222222223</v>
      </c>
      <c r="D136" s="31" t="s">
        <v>1755</v>
      </c>
      <c r="E136" s="32">
        <v>5535975295</v>
      </c>
      <c r="F136" s="32" t="s">
        <v>2790</v>
      </c>
      <c r="G136" s="32" t="s">
        <v>2791</v>
      </c>
      <c r="H136" s="39" t="s">
        <v>2792</v>
      </c>
      <c r="I136" s="122"/>
      <c r="J136" s="32">
        <v>160</v>
      </c>
      <c r="K136" s="20">
        <v>10</v>
      </c>
      <c r="L136" s="21"/>
      <c r="M136" s="21">
        <f t="shared" si="20"/>
        <v>170</v>
      </c>
      <c r="N136" s="21">
        <f t="shared" si="21"/>
        <v>-170</v>
      </c>
      <c r="O136" s="21"/>
      <c r="P136" s="21"/>
      <c r="Q136" s="5"/>
      <c r="R136" s="21"/>
      <c r="S136" s="16"/>
      <c r="T136" s="21">
        <f t="shared" si="22"/>
        <v>0</v>
      </c>
      <c r="U136" s="21">
        <v>30</v>
      </c>
      <c r="V136" s="78">
        <f t="shared" si="23"/>
        <v>30</v>
      </c>
      <c r="W136" s="140"/>
      <c r="X136" s="334"/>
      <c r="Y136" s="5"/>
      <c r="AD136" s="16" t="s">
        <v>165</v>
      </c>
      <c r="AE136" s="18">
        <f>+AC136*100</f>
        <v>0</v>
      </c>
      <c r="AH136" s="16" t="s">
        <v>165</v>
      </c>
      <c r="AI136" s="18">
        <f>+AG136*100</f>
        <v>0</v>
      </c>
      <c r="AK136" s="16"/>
      <c r="AL136" s="16"/>
      <c r="AN136" s="16" t="s">
        <v>165</v>
      </c>
      <c r="AO136" s="18">
        <f>+AM136*100</f>
        <v>0</v>
      </c>
    </row>
    <row r="137" spans="1:41" x14ac:dyDescent="0.25">
      <c r="A137" s="197">
        <v>5</v>
      </c>
      <c r="B137" s="92">
        <v>45248</v>
      </c>
      <c r="C137" s="255">
        <v>0.13263888888888889</v>
      </c>
      <c r="D137" s="199" t="s">
        <v>2325</v>
      </c>
      <c r="E137" s="207">
        <v>5614683694</v>
      </c>
      <c r="F137" s="207" t="s">
        <v>106</v>
      </c>
      <c r="G137" s="207" t="s">
        <v>1148</v>
      </c>
      <c r="H137" s="207" t="s">
        <v>2794</v>
      </c>
      <c r="I137" s="203"/>
      <c r="J137" s="207">
        <v>69</v>
      </c>
      <c r="K137" s="205">
        <v>10</v>
      </c>
      <c r="L137" s="206"/>
      <c r="M137" s="206">
        <f t="shared" si="20"/>
        <v>79</v>
      </c>
      <c r="N137" s="206">
        <f t="shared" si="21"/>
        <v>-79</v>
      </c>
      <c r="O137" s="206"/>
      <c r="P137" s="206"/>
      <c r="Q137" s="208"/>
      <c r="R137" s="209"/>
      <c r="S137" s="209"/>
      <c r="T137" s="206">
        <f t="shared" si="22"/>
        <v>0</v>
      </c>
      <c r="U137" s="206"/>
      <c r="V137" s="210">
        <f t="shared" si="23"/>
        <v>0</v>
      </c>
      <c r="W137" s="140"/>
      <c r="X137" s="334"/>
      <c r="Y137" s="5"/>
      <c r="AD137" s="16" t="s">
        <v>166</v>
      </c>
      <c r="AE137" s="18">
        <f>+AC137*50</f>
        <v>0</v>
      </c>
      <c r="AH137" s="16" t="s">
        <v>166</v>
      </c>
      <c r="AI137" s="18">
        <f>+AG137*50</f>
        <v>0</v>
      </c>
      <c r="AK137" s="16"/>
      <c r="AL137" s="16"/>
      <c r="AN137" s="16" t="s">
        <v>166</v>
      </c>
      <c r="AO137" s="18">
        <f>+AM137*50</f>
        <v>0</v>
      </c>
    </row>
    <row r="138" spans="1:41" x14ac:dyDescent="0.25">
      <c r="A138" s="143">
        <v>6</v>
      </c>
      <c r="B138" s="92">
        <v>45248</v>
      </c>
      <c r="C138" s="23">
        <v>0.63888888888888895</v>
      </c>
      <c r="D138" s="31" t="s">
        <v>1032</v>
      </c>
      <c r="E138" s="32">
        <v>5537651796</v>
      </c>
      <c r="F138" s="32" t="s">
        <v>106</v>
      </c>
      <c r="G138" s="32" t="s">
        <v>2793</v>
      </c>
      <c r="H138" s="39" t="s">
        <v>1104</v>
      </c>
      <c r="I138" s="39"/>
      <c r="J138" s="42"/>
      <c r="K138" s="20">
        <v>10</v>
      </c>
      <c r="L138" s="21"/>
      <c r="M138" s="21">
        <f t="shared" si="20"/>
        <v>10</v>
      </c>
      <c r="N138" s="21">
        <f t="shared" si="21"/>
        <v>-10</v>
      </c>
      <c r="O138" s="21"/>
      <c r="P138" s="21"/>
      <c r="Q138" s="5"/>
      <c r="R138" s="16"/>
      <c r="S138" s="16"/>
      <c r="T138" s="21">
        <f t="shared" si="22"/>
        <v>0</v>
      </c>
      <c r="U138" s="16">
        <v>10</v>
      </c>
      <c r="V138" s="78">
        <f t="shared" si="23"/>
        <v>10</v>
      </c>
      <c r="W138" s="140"/>
      <c r="X138" s="334"/>
      <c r="Y138" s="5"/>
      <c r="AD138" s="16" t="s">
        <v>167</v>
      </c>
      <c r="AE138" s="18">
        <f>+AC138*20</f>
        <v>0</v>
      </c>
      <c r="AH138" s="16" t="s">
        <v>167</v>
      </c>
      <c r="AI138" s="18">
        <f>+AG138*20</f>
        <v>0</v>
      </c>
      <c r="AK138" s="16"/>
      <c r="AL138" s="16"/>
      <c r="AN138" s="16" t="s">
        <v>167</v>
      </c>
      <c r="AO138" s="18">
        <f>+AM138*20</f>
        <v>0</v>
      </c>
    </row>
    <row r="139" spans="1:41" x14ac:dyDescent="0.25">
      <c r="A139" s="143">
        <v>7</v>
      </c>
      <c r="B139" s="92">
        <v>45248</v>
      </c>
      <c r="C139" s="23">
        <v>0.69791666666666663</v>
      </c>
      <c r="D139" s="31" t="s">
        <v>252</v>
      </c>
      <c r="E139" s="32"/>
      <c r="F139" s="32" t="s">
        <v>106</v>
      </c>
      <c r="G139" s="32" t="s">
        <v>269</v>
      </c>
      <c r="H139" s="39" t="s">
        <v>2795</v>
      </c>
      <c r="I139" s="122">
        <v>500</v>
      </c>
      <c r="J139" s="42">
        <v>198</v>
      </c>
      <c r="K139" s="20">
        <v>10</v>
      </c>
      <c r="L139" s="21"/>
      <c r="M139" s="21">
        <f t="shared" si="20"/>
        <v>208</v>
      </c>
      <c r="N139" s="21">
        <f t="shared" si="21"/>
        <v>292</v>
      </c>
      <c r="O139" s="21"/>
      <c r="P139" s="21"/>
      <c r="Q139" s="5"/>
      <c r="R139" s="16"/>
      <c r="S139" s="16"/>
      <c r="T139" s="21">
        <f t="shared" si="22"/>
        <v>0</v>
      </c>
      <c r="U139" s="16">
        <v>10</v>
      </c>
      <c r="V139" s="78">
        <f t="shared" si="23"/>
        <v>10</v>
      </c>
      <c r="W139" s="140"/>
      <c r="X139" s="334"/>
      <c r="Y139" s="5"/>
      <c r="AD139" s="16" t="s">
        <v>171</v>
      </c>
      <c r="AE139" s="18">
        <f>+AC139*500</f>
        <v>0</v>
      </c>
      <c r="AH139" s="16" t="s">
        <v>171</v>
      </c>
      <c r="AI139" s="18">
        <f>+AG139*500</f>
        <v>0</v>
      </c>
      <c r="AK139" s="16"/>
      <c r="AL139" s="16"/>
      <c r="AN139" s="16" t="s">
        <v>171</v>
      </c>
      <c r="AO139" s="18">
        <f>+AM139*500</f>
        <v>0</v>
      </c>
    </row>
    <row r="140" spans="1:41" x14ac:dyDescent="0.25">
      <c r="A140" s="143">
        <v>8</v>
      </c>
      <c r="B140" s="92">
        <v>45248</v>
      </c>
      <c r="C140" s="23">
        <v>0.81666666666666676</v>
      </c>
      <c r="D140" s="31" t="s">
        <v>846</v>
      </c>
      <c r="E140" s="123">
        <v>5578037085</v>
      </c>
      <c r="F140" s="123" t="s">
        <v>2796</v>
      </c>
      <c r="G140" s="31" t="s">
        <v>2788</v>
      </c>
      <c r="H140" s="39" t="s">
        <v>2797</v>
      </c>
      <c r="I140" s="122">
        <v>79</v>
      </c>
      <c r="J140" s="256">
        <v>59</v>
      </c>
      <c r="K140" s="20">
        <v>20</v>
      </c>
      <c r="L140" s="21">
        <v>0</v>
      </c>
      <c r="M140" s="21">
        <f t="shared" si="20"/>
        <v>79</v>
      </c>
      <c r="N140" s="21">
        <f t="shared" si="21"/>
        <v>0</v>
      </c>
      <c r="O140" s="21"/>
      <c r="P140" s="21"/>
      <c r="Q140" s="5"/>
      <c r="R140" s="16">
        <v>100</v>
      </c>
      <c r="S140" s="16"/>
      <c r="T140" s="21">
        <f t="shared" si="22"/>
        <v>100</v>
      </c>
      <c r="U140" s="16">
        <v>120</v>
      </c>
      <c r="V140" s="78">
        <f t="shared" si="23"/>
        <v>20</v>
      </c>
      <c r="W140" s="140"/>
      <c r="X140" s="334"/>
      <c r="Y140" s="5"/>
      <c r="AD140" s="16" t="s">
        <v>168</v>
      </c>
      <c r="AE140" s="18">
        <f>+AC140*1000</f>
        <v>0</v>
      </c>
      <c r="AH140" s="16" t="s">
        <v>168</v>
      </c>
      <c r="AI140" s="18">
        <f>+AG140*1000</f>
        <v>0</v>
      </c>
      <c r="AK140" s="16"/>
      <c r="AL140" s="16"/>
      <c r="AN140" s="16" t="s">
        <v>168</v>
      </c>
      <c r="AO140" s="18">
        <f>+AM140*1000</f>
        <v>0</v>
      </c>
    </row>
    <row r="141" spans="1:41" x14ac:dyDescent="0.25">
      <c r="A141" s="143">
        <v>9</v>
      </c>
      <c r="B141" s="92">
        <v>45248</v>
      </c>
      <c r="C141" s="23">
        <v>0.3354166666666667</v>
      </c>
      <c r="D141" s="31" t="s">
        <v>923</v>
      </c>
      <c r="E141" s="32">
        <v>5520954168</v>
      </c>
      <c r="F141" s="32" t="s">
        <v>52</v>
      </c>
      <c r="G141" s="32" t="s">
        <v>2799</v>
      </c>
      <c r="H141" s="32" t="s">
        <v>2798</v>
      </c>
      <c r="I141" s="39">
        <v>200</v>
      </c>
      <c r="J141" s="40"/>
      <c r="K141" s="20">
        <v>10</v>
      </c>
      <c r="L141" s="21"/>
      <c r="M141" s="21">
        <f t="shared" si="20"/>
        <v>10</v>
      </c>
      <c r="N141" s="21">
        <f t="shared" si="21"/>
        <v>190</v>
      </c>
      <c r="O141" s="21"/>
      <c r="P141" s="21"/>
      <c r="Q141" s="5"/>
      <c r="R141" s="16"/>
      <c r="S141" s="16"/>
      <c r="T141" s="21">
        <f t="shared" si="22"/>
        <v>0</v>
      </c>
      <c r="U141" s="16"/>
      <c r="V141" s="78">
        <f t="shared" si="23"/>
        <v>0</v>
      </c>
      <c r="W141" s="140"/>
      <c r="X141" s="334"/>
      <c r="Y141" s="5"/>
      <c r="AD141" s="26"/>
      <c r="AE141" s="58"/>
      <c r="AH141" s="26"/>
      <c r="AI141" s="58"/>
      <c r="AK141" s="16"/>
      <c r="AL141" s="16"/>
      <c r="AN141" s="26"/>
      <c r="AO141" s="58"/>
    </row>
    <row r="142" spans="1:41" x14ac:dyDescent="0.25">
      <c r="A142" s="143">
        <v>10</v>
      </c>
      <c r="B142" s="92">
        <v>45248</v>
      </c>
      <c r="C142" s="23">
        <v>0.86041666666666661</v>
      </c>
      <c r="D142" s="31" t="s">
        <v>2753</v>
      </c>
      <c r="E142" s="32">
        <v>5615394688</v>
      </c>
      <c r="F142" s="32" t="s">
        <v>28</v>
      </c>
      <c r="G142" s="32" t="s">
        <v>1086</v>
      </c>
      <c r="H142" s="39" t="s">
        <v>2800</v>
      </c>
      <c r="I142" s="122"/>
      <c r="J142" s="42">
        <v>40</v>
      </c>
      <c r="K142" s="20">
        <v>10</v>
      </c>
      <c r="L142" s="21"/>
      <c r="M142" s="21">
        <f t="shared" si="20"/>
        <v>50</v>
      </c>
      <c r="N142" s="21">
        <f t="shared" si="21"/>
        <v>-50</v>
      </c>
      <c r="O142" s="21"/>
      <c r="P142" s="21"/>
      <c r="Q142" s="5"/>
      <c r="R142" s="16">
        <v>100</v>
      </c>
      <c r="S142" s="16"/>
      <c r="T142" s="21">
        <f t="shared" si="22"/>
        <v>100</v>
      </c>
      <c r="U142" s="16">
        <v>110</v>
      </c>
      <c r="V142" s="78">
        <f t="shared" si="23"/>
        <v>10</v>
      </c>
      <c r="W142" s="140"/>
      <c r="X142" s="334"/>
      <c r="Y142" s="5"/>
      <c r="AD142" s="16" t="s">
        <v>169</v>
      </c>
      <c r="AE142" s="18">
        <f>SUM(AE132:AE141)</f>
        <v>0</v>
      </c>
      <c r="AH142" s="16" t="s">
        <v>169</v>
      </c>
      <c r="AI142" s="18">
        <f>SUM(AI132:AI141)</f>
        <v>225</v>
      </c>
      <c r="AK142" s="16"/>
      <c r="AL142" s="16"/>
      <c r="AN142" s="16" t="s">
        <v>169</v>
      </c>
      <c r="AO142" s="18"/>
    </row>
    <row r="143" spans="1:41" x14ac:dyDescent="0.25">
      <c r="A143" s="143">
        <v>11</v>
      </c>
      <c r="B143" s="92">
        <v>45248</v>
      </c>
      <c r="C143" s="23">
        <v>0.86041666666666661</v>
      </c>
      <c r="D143" s="31" t="s">
        <v>119</v>
      </c>
      <c r="E143" s="124"/>
      <c r="F143" s="123" t="s">
        <v>106</v>
      </c>
      <c r="G143" s="123" t="s">
        <v>269</v>
      </c>
      <c r="H143" s="39" t="s">
        <v>2801</v>
      </c>
      <c r="I143" s="122"/>
      <c r="J143" s="42"/>
      <c r="K143" s="20">
        <v>10</v>
      </c>
      <c r="L143" s="21"/>
      <c r="M143" s="21">
        <f t="shared" si="20"/>
        <v>10</v>
      </c>
      <c r="N143" s="21">
        <f t="shared" si="21"/>
        <v>-10</v>
      </c>
      <c r="O143" s="21"/>
      <c r="P143" s="21"/>
      <c r="Q143" s="5"/>
      <c r="R143" s="16"/>
      <c r="S143" s="16"/>
      <c r="T143" s="21">
        <f t="shared" si="22"/>
        <v>0</v>
      </c>
      <c r="U143" s="16"/>
      <c r="V143" s="78">
        <f t="shared" si="23"/>
        <v>0</v>
      </c>
      <c r="W143" s="140"/>
      <c r="X143" s="334"/>
      <c r="Y143" s="5"/>
      <c r="AK143" s="16"/>
      <c r="AL143" s="16"/>
      <c r="AN143" s="16"/>
      <c r="AO143" s="16"/>
    </row>
    <row r="144" spans="1:41" x14ac:dyDescent="0.25">
      <c r="A144" s="143">
        <v>12</v>
      </c>
      <c r="B144" s="92">
        <v>45248</v>
      </c>
      <c r="C144" s="23">
        <v>0.375</v>
      </c>
      <c r="D144" s="32" t="s">
        <v>2058</v>
      </c>
      <c r="E144" s="32">
        <v>5567561157</v>
      </c>
      <c r="F144" s="124" t="s">
        <v>52</v>
      </c>
      <c r="G144" s="123" t="s">
        <v>2802</v>
      </c>
      <c r="H144" s="39" t="s">
        <v>2803</v>
      </c>
      <c r="I144" s="39">
        <v>85</v>
      </c>
      <c r="J144" s="42">
        <v>75</v>
      </c>
      <c r="K144" s="20">
        <v>10</v>
      </c>
      <c r="L144" s="21">
        <v>5</v>
      </c>
      <c r="M144" s="21">
        <f t="shared" si="20"/>
        <v>85</v>
      </c>
      <c r="N144" s="21">
        <f t="shared" si="21"/>
        <v>0</v>
      </c>
      <c r="O144" s="21"/>
      <c r="P144" s="21"/>
      <c r="Q144" s="5"/>
      <c r="R144" s="45"/>
      <c r="S144" s="44"/>
      <c r="T144" s="21">
        <f t="shared" si="22"/>
        <v>0</v>
      </c>
      <c r="U144" s="45"/>
      <c r="V144" s="78">
        <f t="shared" si="23"/>
        <v>0</v>
      </c>
      <c r="W144" s="140"/>
      <c r="X144" s="334"/>
      <c r="Y144" s="5"/>
      <c r="AK144" s="63" t="s">
        <v>169</v>
      </c>
      <c r="AL144" s="63">
        <f>+SUM(AK133:AK143)-SUM(AL133:AL143)</f>
        <v>-100</v>
      </c>
      <c r="AN144" s="63" t="s">
        <v>169</v>
      </c>
      <c r="AO144" s="85">
        <f>+SUM(AN132:AN143)-SUM(AO133:AO143)</f>
        <v>0</v>
      </c>
    </row>
    <row r="145" spans="1:41" x14ac:dyDescent="0.25">
      <c r="A145" s="143">
        <v>13</v>
      </c>
      <c r="B145" s="92">
        <v>45248</v>
      </c>
      <c r="C145" s="23">
        <v>0.40277777777777773</v>
      </c>
      <c r="D145" s="31" t="s">
        <v>2804</v>
      </c>
      <c r="E145" s="32"/>
      <c r="F145" s="32" t="s">
        <v>1769</v>
      </c>
      <c r="G145" s="32"/>
      <c r="H145" s="39"/>
      <c r="I145" s="39"/>
      <c r="J145" s="42"/>
      <c r="K145" s="108">
        <v>10</v>
      </c>
      <c r="L145" s="21"/>
      <c r="M145" s="21">
        <f t="shared" si="20"/>
        <v>10</v>
      </c>
      <c r="N145" s="21">
        <f t="shared" si="21"/>
        <v>-10</v>
      </c>
      <c r="O145" s="21"/>
      <c r="P145" s="21"/>
      <c r="Q145" s="5"/>
      <c r="R145" s="43">
        <v>350</v>
      </c>
      <c r="S145" s="32"/>
      <c r="T145" s="21">
        <f t="shared" si="22"/>
        <v>350</v>
      </c>
      <c r="U145" s="43"/>
      <c r="V145" s="78">
        <f t="shared" si="23"/>
        <v>-350</v>
      </c>
      <c r="W145" s="140"/>
      <c r="X145" s="334"/>
      <c r="Y145" s="5"/>
      <c r="AI145" s="83"/>
    </row>
    <row r="146" spans="1:41" x14ac:dyDescent="0.25">
      <c r="A146" s="143">
        <v>14</v>
      </c>
      <c r="B146" s="92">
        <v>45248</v>
      </c>
      <c r="C146" s="23"/>
      <c r="D146" s="31"/>
      <c r="E146" s="32"/>
      <c r="F146" s="32"/>
      <c r="G146" s="32"/>
      <c r="H146" s="39"/>
      <c r="I146" s="39"/>
      <c r="J146" s="42"/>
      <c r="K146" s="108">
        <v>10</v>
      </c>
      <c r="L146" s="21"/>
      <c r="M146" s="21">
        <f t="shared" si="20"/>
        <v>10</v>
      </c>
      <c r="N146" s="21">
        <f t="shared" si="21"/>
        <v>-10</v>
      </c>
      <c r="O146" s="21"/>
      <c r="P146" s="21"/>
      <c r="Q146" s="5"/>
      <c r="R146" s="43"/>
      <c r="S146" s="43"/>
      <c r="T146" s="21">
        <f t="shared" si="22"/>
        <v>0</v>
      </c>
      <c r="U146" s="43"/>
      <c r="V146" s="78">
        <f t="shared" si="23"/>
        <v>0</v>
      </c>
      <c r="W146" s="140"/>
      <c r="X146" s="334"/>
      <c r="Y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</row>
    <row r="147" spans="1:41" x14ac:dyDescent="0.25">
      <c r="A147" s="143">
        <v>15</v>
      </c>
      <c r="B147" s="92">
        <v>45248</v>
      </c>
      <c r="C147" s="23"/>
      <c r="D147" s="127"/>
      <c r="E147" s="32"/>
      <c r="F147" s="32"/>
      <c r="G147" s="128"/>
      <c r="H147" s="129"/>
      <c r="I147" s="39"/>
      <c r="J147" s="42"/>
      <c r="K147" s="108">
        <v>10</v>
      </c>
      <c r="L147" s="21"/>
      <c r="M147" s="21">
        <f t="shared" si="20"/>
        <v>10</v>
      </c>
      <c r="N147" s="21">
        <f t="shared" si="21"/>
        <v>-10</v>
      </c>
      <c r="O147" s="21"/>
      <c r="P147" s="21"/>
      <c r="Q147" s="5"/>
      <c r="R147" s="43"/>
      <c r="S147" s="43"/>
      <c r="T147" s="21">
        <f t="shared" si="22"/>
        <v>0</v>
      </c>
      <c r="U147" s="43"/>
      <c r="V147" s="78">
        <f t="shared" si="23"/>
        <v>0</v>
      </c>
      <c r="W147" s="140"/>
      <c r="X147" s="334"/>
      <c r="Y147" s="5"/>
      <c r="AD147" s="5"/>
      <c r="AE147" s="134" t="s">
        <v>20</v>
      </c>
      <c r="AF147" s="338"/>
      <c r="AG147" s="341" t="s">
        <v>686</v>
      </c>
      <c r="AH147" s="134" t="s">
        <v>20</v>
      </c>
      <c r="AI147" s="338"/>
      <c r="AJ147" s="341" t="s">
        <v>687</v>
      </c>
      <c r="AK147" s="134" t="s">
        <v>20</v>
      </c>
      <c r="AL147" s="338"/>
      <c r="AM147" s="5"/>
    </row>
    <row r="148" spans="1:41" x14ac:dyDescent="0.25">
      <c r="A148" s="143">
        <v>16</v>
      </c>
      <c r="B148" s="92">
        <v>45248</v>
      </c>
      <c r="C148" s="23"/>
      <c r="D148" s="31"/>
      <c r="E148" s="32"/>
      <c r="F148" s="32"/>
      <c r="G148" s="32"/>
      <c r="H148" s="39"/>
      <c r="I148" s="39"/>
      <c r="J148" s="42"/>
      <c r="K148" s="43">
        <v>10</v>
      </c>
      <c r="L148" s="21"/>
      <c r="M148" s="21">
        <f t="shared" si="20"/>
        <v>10</v>
      </c>
      <c r="N148" s="21">
        <f t="shared" si="21"/>
        <v>-10</v>
      </c>
      <c r="O148" s="21"/>
      <c r="P148" s="21"/>
      <c r="Q148" s="5"/>
      <c r="R148" s="43"/>
      <c r="S148" s="32"/>
      <c r="T148" s="21">
        <f t="shared" si="22"/>
        <v>0</v>
      </c>
      <c r="U148" s="131"/>
      <c r="V148" s="78">
        <f t="shared" si="23"/>
        <v>0</v>
      </c>
      <c r="W148" s="140"/>
      <c r="X148" s="334"/>
      <c r="Y148" s="5"/>
      <c r="AD148" s="5" t="s">
        <v>685</v>
      </c>
      <c r="AE148" s="115" t="s">
        <v>684</v>
      </c>
      <c r="AF148" s="339"/>
      <c r="AG148" s="341"/>
      <c r="AH148" s="115" t="s">
        <v>684</v>
      </c>
      <c r="AI148" s="339"/>
      <c r="AJ148" s="341"/>
      <c r="AK148" s="115" t="s">
        <v>684</v>
      </c>
      <c r="AL148" s="339"/>
      <c r="AM148" s="5"/>
    </row>
    <row r="149" spans="1:41" x14ac:dyDescent="0.25">
      <c r="A149" s="143">
        <v>17</v>
      </c>
      <c r="B149" s="92">
        <v>45248</v>
      </c>
      <c r="C149" s="23"/>
      <c r="D149" s="31"/>
      <c r="E149" s="32"/>
      <c r="F149" s="32"/>
      <c r="G149" s="32"/>
      <c r="H149" s="39"/>
      <c r="I149" s="39"/>
      <c r="J149" s="42"/>
      <c r="K149" s="43">
        <v>10</v>
      </c>
      <c r="L149" s="21"/>
      <c r="M149" s="21">
        <f t="shared" si="20"/>
        <v>10</v>
      </c>
      <c r="N149" s="21">
        <f t="shared" si="21"/>
        <v>-10</v>
      </c>
      <c r="O149" s="21"/>
      <c r="P149" s="21"/>
      <c r="Q149" s="5"/>
      <c r="R149" s="43"/>
      <c r="S149" s="32"/>
      <c r="T149" s="21">
        <f t="shared" si="22"/>
        <v>0</v>
      </c>
      <c r="U149" s="132"/>
      <c r="V149" s="78">
        <f t="shared" si="23"/>
        <v>0</v>
      </c>
      <c r="W149" s="140"/>
      <c r="X149" s="340"/>
      <c r="Y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</row>
    <row r="150" spans="1:41" x14ac:dyDescent="0.25">
      <c r="A150" s="143">
        <v>18</v>
      </c>
      <c r="B150" s="92">
        <v>45248</v>
      </c>
      <c r="C150" s="32"/>
      <c r="D150" s="31"/>
      <c r="E150" s="32"/>
      <c r="F150" s="32"/>
      <c r="G150" s="32"/>
      <c r="H150" s="39"/>
      <c r="I150" s="39"/>
      <c r="J150" s="42"/>
      <c r="K150" s="43">
        <v>10</v>
      </c>
      <c r="L150" s="21"/>
      <c r="M150" s="21">
        <f t="shared" si="20"/>
        <v>10</v>
      </c>
      <c r="N150" s="21">
        <f t="shared" si="21"/>
        <v>-10</v>
      </c>
      <c r="O150" s="21"/>
      <c r="P150" s="21"/>
      <c r="Q150" s="5"/>
      <c r="R150" s="135"/>
      <c r="S150" s="104"/>
      <c r="T150" s="21">
        <f t="shared" si="22"/>
        <v>0</v>
      </c>
      <c r="U150" s="131"/>
      <c r="V150" s="78">
        <f t="shared" si="23"/>
        <v>0</v>
      </c>
      <c r="W150" s="140"/>
      <c r="Y150" s="5"/>
    </row>
    <row r="151" spans="1:41" x14ac:dyDescent="0.25">
      <c r="A151" s="143">
        <v>19</v>
      </c>
      <c r="B151" s="92">
        <v>45248</v>
      </c>
      <c r="C151" s="32"/>
      <c r="D151" s="31"/>
      <c r="E151" s="32"/>
      <c r="F151" s="32"/>
      <c r="G151" s="32"/>
      <c r="H151" s="39"/>
      <c r="I151" s="39"/>
      <c r="J151" s="42"/>
      <c r="K151" s="43">
        <v>10</v>
      </c>
      <c r="L151" s="21"/>
      <c r="M151" s="21">
        <f t="shared" si="20"/>
        <v>10</v>
      </c>
      <c r="N151" s="21">
        <f t="shared" si="21"/>
        <v>-10</v>
      </c>
      <c r="O151" s="21"/>
      <c r="P151" s="21"/>
      <c r="Q151" s="5"/>
      <c r="R151" s="32"/>
      <c r="S151" s="32"/>
      <c r="T151" s="21">
        <f t="shared" si="22"/>
        <v>0</v>
      </c>
      <c r="U151" s="32"/>
      <c r="V151" s="78">
        <f t="shared" si="23"/>
        <v>0</v>
      </c>
      <c r="W151" s="140"/>
      <c r="Y151" s="5"/>
    </row>
    <row r="156" spans="1:41" x14ac:dyDescent="0.25">
      <c r="A156" s="1" t="s">
        <v>0</v>
      </c>
      <c r="B156" s="1"/>
      <c r="C156" s="1"/>
      <c r="D156" s="1"/>
      <c r="E156" s="1"/>
      <c r="F156" s="1"/>
      <c r="G156" s="1"/>
      <c r="H156" s="1"/>
      <c r="I156" s="1"/>
      <c r="J156" s="1" t="s">
        <v>148</v>
      </c>
      <c r="K156" s="1"/>
      <c r="L156" s="1"/>
      <c r="M156" s="1"/>
      <c r="N156" s="1"/>
      <c r="O156" s="1"/>
      <c r="P156" s="1"/>
      <c r="Q156" s="1"/>
      <c r="R156" s="1"/>
      <c r="S156" s="1"/>
      <c r="T156" s="342" t="s">
        <v>1</v>
      </c>
      <c r="U156" s="342"/>
      <c r="V156" s="5"/>
      <c r="W156" s="139"/>
      <c r="X156" s="1"/>
      <c r="Y156" s="5"/>
      <c r="AD156" s="335" t="s">
        <v>160</v>
      </c>
      <c r="AE156" s="336"/>
      <c r="AH156" s="335" t="s">
        <v>170</v>
      </c>
      <c r="AI156" s="336"/>
      <c r="AK156" s="337" t="s">
        <v>172</v>
      </c>
      <c r="AL156" s="337"/>
      <c r="AN156" s="337" t="s">
        <v>681</v>
      </c>
      <c r="AO156" s="337"/>
    </row>
    <row r="157" spans="1:41" ht="90" x14ac:dyDescent="0.25">
      <c r="A157" s="6" t="s">
        <v>2</v>
      </c>
      <c r="B157" s="7" t="s">
        <v>3</v>
      </c>
      <c r="C157" s="245" t="s">
        <v>688</v>
      </c>
      <c r="D157" s="7" t="s">
        <v>4</v>
      </c>
      <c r="E157" s="6" t="s">
        <v>5</v>
      </c>
      <c r="F157" s="6" t="s">
        <v>6</v>
      </c>
      <c r="G157" s="6" t="s">
        <v>7</v>
      </c>
      <c r="H157" s="6" t="s">
        <v>8</v>
      </c>
      <c r="I157" s="8" t="s">
        <v>9</v>
      </c>
      <c r="J157" s="9" t="s">
        <v>10</v>
      </c>
      <c r="K157" s="8" t="s">
        <v>11</v>
      </c>
      <c r="L157" s="10" t="s">
        <v>12</v>
      </c>
      <c r="M157" s="10" t="s">
        <v>13</v>
      </c>
      <c r="N157" s="11" t="s">
        <v>14</v>
      </c>
      <c r="O157" s="10" t="s">
        <v>691</v>
      </c>
      <c r="P157" s="10" t="s">
        <v>28</v>
      </c>
      <c r="Q157" s="5"/>
      <c r="R157" s="10" t="s">
        <v>16</v>
      </c>
      <c r="S157" s="10" t="s">
        <v>17</v>
      </c>
      <c r="T157" s="10" t="s">
        <v>18</v>
      </c>
      <c r="U157" s="10" t="s">
        <v>19</v>
      </c>
      <c r="V157" s="10" t="s">
        <v>20</v>
      </c>
      <c r="W157" s="13"/>
      <c r="X157" s="15" t="s">
        <v>23</v>
      </c>
      <c r="Y157" s="5"/>
      <c r="AA157" s="251" t="s">
        <v>2554</v>
      </c>
      <c r="AD157" s="16" t="s">
        <v>161</v>
      </c>
      <c r="AE157" s="58">
        <f>+AC157*10</f>
        <v>0</v>
      </c>
      <c r="AG157">
        <v>8</v>
      </c>
      <c r="AH157" s="16" t="s">
        <v>161</v>
      </c>
      <c r="AI157" s="58">
        <f>+AG157*10</f>
        <v>80</v>
      </c>
      <c r="AK157" s="61" t="s">
        <v>173</v>
      </c>
      <c r="AL157" s="62" t="s">
        <v>174</v>
      </c>
      <c r="AN157" s="16" t="s">
        <v>161</v>
      </c>
      <c r="AO157" s="58">
        <f>+AM157*10</f>
        <v>0</v>
      </c>
    </row>
    <row r="158" spans="1:41" x14ac:dyDescent="0.25">
      <c r="A158" s="16">
        <v>1</v>
      </c>
      <c r="B158" s="92">
        <v>45182</v>
      </c>
      <c r="C158" s="23">
        <v>0.5</v>
      </c>
      <c r="D158" s="31" t="s">
        <v>2281</v>
      </c>
      <c r="E158" s="32">
        <v>5532536647</v>
      </c>
      <c r="F158" s="32" t="s">
        <v>52</v>
      </c>
      <c r="G158" s="39" t="s">
        <v>2411</v>
      </c>
      <c r="H158" s="39" t="s">
        <v>2805</v>
      </c>
      <c r="I158" s="122">
        <v>500</v>
      </c>
      <c r="J158" s="32">
        <v>278</v>
      </c>
      <c r="K158" s="20">
        <v>10</v>
      </c>
      <c r="L158" s="21"/>
      <c r="M158" s="21">
        <f t="shared" ref="M158:M176" si="24">+J158+K158</f>
        <v>288</v>
      </c>
      <c r="N158" s="21">
        <f t="shared" ref="N158:N176" si="25">+I158-M158</f>
        <v>212</v>
      </c>
      <c r="O158" s="21"/>
      <c r="P158" s="21"/>
      <c r="Q158" s="5"/>
      <c r="R158" s="21"/>
      <c r="S158" s="16"/>
      <c r="T158" s="21">
        <f t="shared" ref="T158:T176" si="26">+R158+S158</f>
        <v>0</v>
      </c>
      <c r="U158" s="21"/>
      <c r="V158" s="78">
        <f>+U158-T158+O158+P158</f>
        <v>0</v>
      </c>
      <c r="W158" s="13"/>
      <c r="X158" s="333"/>
      <c r="Y158" s="5"/>
      <c r="AD158" s="59" t="s">
        <v>162</v>
      </c>
      <c r="AE158" s="18">
        <f>+AC158*1</f>
        <v>0</v>
      </c>
      <c r="AG158">
        <v>70</v>
      </c>
      <c r="AH158" s="59" t="s">
        <v>162</v>
      </c>
      <c r="AI158" s="18">
        <f>+AG158*1</f>
        <v>70</v>
      </c>
      <c r="AK158" s="16"/>
      <c r="AL158" s="16"/>
      <c r="AN158" s="59" t="s">
        <v>162</v>
      </c>
      <c r="AO158" s="18">
        <f>+AM158*1</f>
        <v>0</v>
      </c>
    </row>
    <row r="159" spans="1:41" x14ac:dyDescent="0.25">
      <c r="A159" s="26">
        <v>2</v>
      </c>
      <c r="B159" s="92">
        <v>45182</v>
      </c>
      <c r="C159" s="23">
        <v>0.50555555555555554</v>
      </c>
      <c r="D159" s="31" t="s">
        <v>2806</v>
      </c>
      <c r="E159" s="32"/>
      <c r="F159" s="32" t="s">
        <v>52</v>
      </c>
      <c r="G159" s="32"/>
      <c r="H159" s="39"/>
      <c r="I159" s="122"/>
      <c r="J159" s="32">
        <v>44</v>
      </c>
      <c r="K159" s="20">
        <v>10</v>
      </c>
      <c r="L159" s="21"/>
      <c r="M159" s="21">
        <f t="shared" si="24"/>
        <v>54</v>
      </c>
      <c r="N159" s="21">
        <f t="shared" si="25"/>
        <v>-54</v>
      </c>
      <c r="O159" s="21"/>
      <c r="P159" s="21"/>
      <c r="Q159" s="5"/>
      <c r="R159" s="21"/>
      <c r="S159" s="16"/>
      <c r="T159" s="21">
        <f t="shared" si="26"/>
        <v>0</v>
      </c>
      <c r="U159" s="21"/>
      <c r="V159" s="78">
        <f t="shared" ref="V159:V176" si="27">+U159-T159+O159+P159</f>
        <v>0</v>
      </c>
      <c r="W159" s="140"/>
      <c r="X159" s="334"/>
      <c r="Y159" s="5"/>
      <c r="AD159" s="16" t="s">
        <v>163</v>
      </c>
      <c r="AE159" s="60">
        <f>+AC159*5</f>
        <v>0</v>
      </c>
      <c r="AG159">
        <v>9</v>
      </c>
      <c r="AH159" s="16" t="s">
        <v>163</v>
      </c>
      <c r="AI159" s="60">
        <f>+AG159*5</f>
        <v>45</v>
      </c>
      <c r="AK159" s="16"/>
      <c r="AL159" s="16"/>
      <c r="AN159" s="16" t="s">
        <v>163</v>
      </c>
      <c r="AO159" s="60">
        <f>+AM159*5</f>
        <v>0</v>
      </c>
    </row>
    <row r="160" spans="1:41" x14ac:dyDescent="0.25">
      <c r="A160" s="143">
        <v>3</v>
      </c>
      <c r="B160" s="142">
        <v>45182</v>
      </c>
      <c r="C160" s="23">
        <v>0.53680555555555554</v>
      </c>
      <c r="D160" s="31" t="s">
        <v>2807</v>
      </c>
      <c r="E160" s="32">
        <v>5624838493</v>
      </c>
      <c r="F160" s="32" t="s">
        <v>52</v>
      </c>
      <c r="G160" s="32" t="s">
        <v>2824</v>
      </c>
      <c r="H160" s="32" t="s">
        <v>2809</v>
      </c>
      <c r="I160" s="122">
        <v>77</v>
      </c>
      <c r="J160" s="32">
        <v>77</v>
      </c>
      <c r="K160" s="20">
        <v>10</v>
      </c>
      <c r="L160" s="21">
        <v>9</v>
      </c>
      <c r="M160" s="21">
        <f t="shared" si="24"/>
        <v>87</v>
      </c>
      <c r="N160" s="21">
        <f t="shared" si="25"/>
        <v>-10</v>
      </c>
      <c r="O160" s="21">
        <v>86</v>
      </c>
      <c r="P160" s="21"/>
      <c r="Q160" s="5"/>
      <c r="R160" s="21"/>
      <c r="S160" s="16"/>
      <c r="T160" s="21">
        <f t="shared" si="26"/>
        <v>0</v>
      </c>
      <c r="U160" s="21"/>
      <c r="V160" s="78">
        <f t="shared" si="27"/>
        <v>86</v>
      </c>
      <c r="W160" s="140"/>
      <c r="X160" s="334"/>
      <c r="Y160" s="5"/>
      <c r="AD160" s="16" t="s">
        <v>164</v>
      </c>
      <c r="AE160" s="18">
        <f>+AC160*200</f>
        <v>0</v>
      </c>
      <c r="AG160">
        <v>1</v>
      </c>
      <c r="AH160" s="16" t="s">
        <v>164</v>
      </c>
      <c r="AI160" s="18">
        <f>+AG160*200</f>
        <v>200</v>
      </c>
      <c r="AK160" s="16"/>
      <c r="AL160" s="16"/>
      <c r="AN160" s="16" t="s">
        <v>164</v>
      </c>
      <c r="AO160" s="18">
        <f>+AM160*200</f>
        <v>0</v>
      </c>
    </row>
    <row r="161" spans="1:41" x14ac:dyDescent="0.25">
      <c r="A161" s="143">
        <v>4</v>
      </c>
      <c r="B161" s="142">
        <v>45182</v>
      </c>
      <c r="C161" s="23">
        <v>4.1666666666666664E-2</v>
      </c>
      <c r="D161" s="31" t="s">
        <v>447</v>
      </c>
      <c r="E161" s="32">
        <v>5522701719</v>
      </c>
      <c r="F161" s="32" t="s">
        <v>52</v>
      </c>
      <c r="G161" s="32" t="s">
        <v>2825</v>
      </c>
      <c r="H161" s="32" t="s">
        <v>2810</v>
      </c>
      <c r="I161" s="122">
        <v>105</v>
      </c>
      <c r="J161" s="32">
        <v>95</v>
      </c>
      <c r="K161" s="20">
        <v>10</v>
      </c>
      <c r="L161" s="21"/>
      <c r="M161" s="21">
        <f t="shared" si="24"/>
        <v>105</v>
      </c>
      <c r="N161" s="21">
        <f t="shared" si="25"/>
        <v>0</v>
      </c>
      <c r="O161" s="21">
        <v>105</v>
      </c>
      <c r="P161" s="21"/>
      <c r="Q161" s="5"/>
      <c r="R161" s="21"/>
      <c r="S161" s="16"/>
      <c r="T161" s="21">
        <f t="shared" si="26"/>
        <v>0</v>
      </c>
      <c r="U161" s="21"/>
      <c r="V161" s="78">
        <f t="shared" si="27"/>
        <v>105</v>
      </c>
      <c r="W161" s="140"/>
      <c r="X161" s="334"/>
      <c r="Y161" s="5"/>
      <c r="AD161" s="16" t="s">
        <v>165</v>
      </c>
      <c r="AE161" s="18">
        <f>+AC161*100</f>
        <v>0</v>
      </c>
      <c r="AG161">
        <v>1</v>
      </c>
      <c r="AH161" s="16" t="s">
        <v>165</v>
      </c>
      <c r="AI161" s="18">
        <f>+AG161*100</f>
        <v>100</v>
      </c>
      <c r="AK161" s="16"/>
      <c r="AL161" s="16"/>
      <c r="AN161" s="16" t="s">
        <v>165</v>
      </c>
      <c r="AO161" s="18">
        <f>+AM161*100</f>
        <v>0</v>
      </c>
    </row>
    <row r="162" spans="1:41" x14ac:dyDescent="0.25">
      <c r="A162" s="143">
        <v>5</v>
      </c>
      <c r="B162" s="142">
        <v>45182</v>
      </c>
      <c r="C162" s="23">
        <v>6.25E-2</v>
      </c>
      <c r="D162" s="31" t="s">
        <v>152</v>
      </c>
      <c r="E162" s="32">
        <v>5572135350</v>
      </c>
      <c r="F162" s="32" t="s">
        <v>52</v>
      </c>
      <c r="G162" s="32" t="s">
        <v>2826</v>
      </c>
      <c r="H162" s="32" t="s">
        <v>2811</v>
      </c>
      <c r="I162" s="122">
        <v>80</v>
      </c>
      <c r="J162" s="32">
        <v>66</v>
      </c>
      <c r="K162" s="20">
        <v>12</v>
      </c>
      <c r="L162" s="21">
        <v>2</v>
      </c>
      <c r="M162" s="21">
        <f t="shared" si="24"/>
        <v>78</v>
      </c>
      <c r="N162" s="21">
        <f t="shared" si="25"/>
        <v>2</v>
      </c>
      <c r="O162" s="21"/>
      <c r="P162" s="21"/>
      <c r="Q162" s="5"/>
      <c r="R162" s="16"/>
      <c r="S162" s="16"/>
      <c r="T162" s="21">
        <f t="shared" si="26"/>
        <v>0</v>
      </c>
      <c r="U162" s="21"/>
      <c r="V162" s="78">
        <f t="shared" si="27"/>
        <v>0</v>
      </c>
      <c r="W162" s="140"/>
      <c r="X162" s="334"/>
      <c r="Y162" s="5"/>
      <c r="AD162" s="16" t="s">
        <v>166</v>
      </c>
      <c r="AE162" s="18">
        <f>+AC162*50</f>
        <v>0</v>
      </c>
      <c r="AG162">
        <v>2</v>
      </c>
      <c r="AH162" s="16" t="s">
        <v>166</v>
      </c>
      <c r="AI162" s="18">
        <f>+AG162*50</f>
        <v>100</v>
      </c>
      <c r="AK162" s="16"/>
      <c r="AL162" s="16"/>
      <c r="AN162" s="16" t="s">
        <v>166</v>
      </c>
      <c r="AO162" s="18">
        <f>+AM162*50</f>
        <v>0</v>
      </c>
    </row>
    <row r="163" spans="1:41" x14ac:dyDescent="0.25">
      <c r="A163" s="143">
        <v>6</v>
      </c>
      <c r="B163" s="142">
        <v>45182</v>
      </c>
      <c r="C163" s="23">
        <v>6.458333333333334E-2</v>
      </c>
      <c r="D163" s="31" t="s">
        <v>921</v>
      </c>
      <c r="E163" s="32">
        <v>5625982564</v>
      </c>
      <c r="F163" s="32" t="s">
        <v>41</v>
      </c>
      <c r="G163" s="32" t="s">
        <v>2827</v>
      </c>
      <c r="H163" s="32" t="s">
        <v>2812</v>
      </c>
      <c r="I163" s="39">
        <v>250</v>
      </c>
      <c r="J163" s="42">
        <v>246</v>
      </c>
      <c r="K163" s="20">
        <v>10</v>
      </c>
      <c r="L163" s="21"/>
      <c r="M163" s="21">
        <f t="shared" si="24"/>
        <v>256</v>
      </c>
      <c r="N163" s="21">
        <f t="shared" si="25"/>
        <v>-6</v>
      </c>
      <c r="O163" s="21"/>
      <c r="P163" s="21"/>
      <c r="Q163" s="5"/>
      <c r="R163" s="16"/>
      <c r="S163" s="16"/>
      <c r="T163" s="21">
        <f t="shared" si="26"/>
        <v>0</v>
      </c>
      <c r="U163" s="16"/>
      <c r="V163" s="78">
        <f t="shared" si="27"/>
        <v>0</v>
      </c>
      <c r="W163" s="140"/>
      <c r="X163" s="334"/>
      <c r="Y163" s="5"/>
      <c r="AD163" s="16" t="s">
        <v>167</v>
      </c>
      <c r="AE163" s="18">
        <f>+AC163*20</f>
        <v>0</v>
      </c>
      <c r="AG163">
        <v>3</v>
      </c>
      <c r="AH163" s="16" t="s">
        <v>167</v>
      </c>
      <c r="AI163" s="18">
        <f>+AG163*20</f>
        <v>60</v>
      </c>
      <c r="AK163" s="16"/>
      <c r="AL163" s="16"/>
      <c r="AN163" s="16" t="s">
        <v>167</v>
      </c>
      <c r="AO163" s="18">
        <f>+AM163*20</f>
        <v>0</v>
      </c>
    </row>
    <row r="164" spans="1:41" x14ac:dyDescent="0.25">
      <c r="A164" s="143">
        <v>7</v>
      </c>
      <c r="B164" s="142">
        <v>45182</v>
      </c>
      <c r="C164" s="23">
        <v>8.3333333333333329E-2</v>
      </c>
      <c r="D164" s="31" t="s">
        <v>1281</v>
      </c>
      <c r="E164" s="32">
        <v>5620167396</v>
      </c>
      <c r="F164" s="32" t="s">
        <v>2808</v>
      </c>
      <c r="G164" s="32" t="s">
        <v>2691</v>
      </c>
      <c r="H164" s="32" t="s">
        <v>2813</v>
      </c>
      <c r="I164" s="122">
        <v>433</v>
      </c>
      <c r="J164" s="42">
        <v>393</v>
      </c>
      <c r="K164" s="20">
        <v>40</v>
      </c>
      <c r="L164" s="21"/>
      <c r="M164" s="21">
        <f t="shared" si="24"/>
        <v>433</v>
      </c>
      <c r="N164" s="21">
        <f t="shared" si="25"/>
        <v>0</v>
      </c>
      <c r="O164" s="21"/>
      <c r="P164" s="21"/>
      <c r="Q164" s="5"/>
      <c r="R164" s="16"/>
      <c r="S164" s="16"/>
      <c r="T164" s="21">
        <f t="shared" si="26"/>
        <v>0</v>
      </c>
      <c r="U164" s="16"/>
      <c r="V164" s="78">
        <f t="shared" si="27"/>
        <v>0</v>
      </c>
      <c r="W164" s="140"/>
      <c r="X164" s="334"/>
      <c r="Y164" s="5"/>
      <c r="AD164" s="16" t="s">
        <v>171</v>
      </c>
      <c r="AE164" s="18">
        <f>+AC164*500</f>
        <v>0</v>
      </c>
      <c r="AH164" s="16" t="s">
        <v>171</v>
      </c>
      <c r="AI164" s="18">
        <f>+AG164*500</f>
        <v>0</v>
      </c>
      <c r="AK164" s="16"/>
      <c r="AL164" s="16"/>
      <c r="AN164" s="16" t="s">
        <v>171</v>
      </c>
      <c r="AO164" s="18">
        <f>+AM164*500</f>
        <v>0</v>
      </c>
    </row>
    <row r="165" spans="1:41" x14ac:dyDescent="0.25">
      <c r="A165" s="143">
        <v>8</v>
      </c>
      <c r="B165" s="142">
        <v>45182</v>
      </c>
      <c r="C165" s="23">
        <v>0.1111111111111111</v>
      </c>
      <c r="D165" s="31" t="s">
        <v>2814</v>
      </c>
      <c r="E165" s="123">
        <v>5554575800</v>
      </c>
      <c r="F165" s="123" t="s">
        <v>52</v>
      </c>
      <c r="G165" s="31" t="s">
        <v>2814</v>
      </c>
      <c r="H165" s="123" t="s">
        <v>2104</v>
      </c>
      <c r="I165" s="122">
        <v>152</v>
      </c>
      <c r="J165" s="32">
        <v>132</v>
      </c>
      <c r="K165" s="20">
        <v>10</v>
      </c>
      <c r="L165" s="21">
        <v>10</v>
      </c>
      <c r="M165" s="21">
        <f t="shared" si="24"/>
        <v>142</v>
      </c>
      <c r="N165" s="21">
        <f t="shared" si="25"/>
        <v>10</v>
      </c>
      <c r="O165" s="21"/>
      <c r="P165" s="21"/>
      <c r="Q165" s="5"/>
      <c r="R165" s="16"/>
      <c r="S165" s="16"/>
      <c r="T165" s="21">
        <f t="shared" si="26"/>
        <v>0</v>
      </c>
      <c r="U165" s="16"/>
      <c r="V165" s="78">
        <f t="shared" si="27"/>
        <v>0</v>
      </c>
      <c r="W165" s="140"/>
      <c r="X165" s="334"/>
      <c r="Y165" s="5"/>
      <c r="AD165" s="16" t="s">
        <v>168</v>
      </c>
      <c r="AE165" s="18">
        <f>+AC165*1000</f>
        <v>0</v>
      </c>
      <c r="AH165" s="16" t="s">
        <v>168</v>
      </c>
      <c r="AI165" s="18">
        <f>+AG165*1000</f>
        <v>0</v>
      </c>
      <c r="AK165" s="16"/>
      <c r="AL165" s="16"/>
      <c r="AN165" s="16" t="s">
        <v>168</v>
      </c>
      <c r="AO165" s="18">
        <f>+AM165*1000</f>
        <v>0</v>
      </c>
    </row>
    <row r="166" spans="1:41" x14ac:dyDescent="0.25">
      <c r="A166" s="143">
        <v>9</v>
      </c>
      <c r="B166" s="142">
        <v>45182</v>
      </c>
      <c r="C166" s="23">
        <v>0.125</v>
      </c>
      <c r="D166" s="31" t="s">
        <v>2815</v>
      </c>
      <c r="E166" s="32">
        <v>5612853273</v>
      </c>
      <c r="F166" s="32" t="s">
        <v>2816</v>
      </c>
      <c r="G166" s="32" t="s">
        <v>1746</v>
      </c>
      <c r="H166" s="32" t="s">
        <v>2817</v>
      </c>
      <c r="I166" s="39">
        <v>142</v>
      </c>
      <c r="J166" s="40">
        <v>132</v>
      </c>
      <c r="K166" s="20">
        <v>12</v>
      </c>
      <c r="L166" s="21">
        <v>20</v>
      </c>
      <c r="M166" s="21">
        <f t="shared" si="24"/>
        <v>144</v>
      </c>
      <c r="N166" s="21">
        <f t="shared" si="25"/>
        <v>-2</v>
      </c>
      <c r="O166" s="21"/>
      <c r="P166" s="21"/>
      <c r="Q166" s="5"/>
      <c r="R166" s="16"/>
      <c r="S166" s="16"/>
      <c r="T166" s="21">
        <f t="shared" si="26"/>
        <v>0</v>
      </c>
      <c r="U166" s="16"/>
      <c r="V166" s="78">
        <f t="shared" si="27"/>
        <v>0</v>
      </c>
      <c r="W166" s="140"/>
      <c r="X166" s="334"/>
      <c r="Y166" s="5"/>
      <c r="AD166" s="26"/>
      <c r="AE166" s="58"/>
      <c r="AH166" s="26"/>
      <c r="AI166" s="58"/>
      <c r="AK166" s="16"/>
      <c r="AL166" s="16"/>
      <c r="AN166" s="26"/>
      <c r="AO166" s="58"/>
    </row>
    <row r="167" spans="1:41" x14ac:dyDescent="0.25">
      <c r="A167" s="143">
        <v>10</v>
      </c>
      <c r="B167" s="142">
        <v>45182</v>
      </c>
      <c r="C167" s="23">
        <v>0.15277777777777776</v>
      </c>
      <c r="D167" s="31" t="s">
        <v>2814</v>
      </c>
      <c r="E167" s="123">
        <v>5554575800</v>
      </c>
      <c r="F167" s="123" t="s">
        <v>52</v>
      </c>
      <c r="G167" s="31" t="s">
        <v>2814</v>
      </c>
      <c r="H167" s="123" t="s">
        <v>2104</v>
      </c>
      <c r="I167" s="122">
        <v>142</v>
      </c>
      <c r="J167" s="42">
        <v>132</v>
      </c>
      <c r="K167" s="20">
        <v>10</v>
      </c>
      <c r="L167" s="21"/>
      <c r="M167" s="21">
        <f t="shared" si="24"/>
        <v>142</v>
      </c>
      <c r="N167" s="21">
        <f t="shared" si="25"/>
        <v>0</v>
      </c>
      <c r="O167" s="21"/>
      <c r="P167" s="21"/>
      <c r="Q167" s="5"/>
      <c r="R167" s="16"/>
      <c r="S167" s="16"/>
      <c r="T167" s="21">
        <f t="shared" si="26"/>
        <v>0</v>
      </c>
      <c r="U167" s="16"/>
      <c r="V167" s="78">
        <f t="shared" si="27"/>
        <v>0</v>
      </c>
      <c r="W167" s="140"/>
      <c r="X167" s="334"/>
      <c r="Y167" s="5"/>
      <c r="AD167" s="16" t="s">
        <v>169</v>
      </c>
      <c r="AE167" s="18">
        <f>SUM(AE157:AE166)</f>
        <v>0</v>
      </c>
      <c r="AH167" s="16" t="s">
        <v>169</v>
      </c>
      <c r="AI167" s="18">
        <f>SUM(AI157:AI166)</f>
        <v>655</v>
      </c>
      <c r="AK167" s="16"/>
      <c r="AL167" s="16"/>
      <c r="AN167" s="16" t="s">
        <v>169</v>
      </c>
      <c r="AO167" s="18"/>
    </row>
    <row r="168" spans="1:41" x14ac:dyDescent="0.25">
      <c r="A168" s="143">
        <v>11</v>
      </c>
      <c r="B168" s="142">
        <v>45182</v>
      </c>
      <c r="C168" s="23">
        <v>0.16666666666666666</v>
      </c>
      <c r="D168" s="31" t="s">
        <v>921</v>
      </c>
      <c r="E168" s="32">
        <v>5625982564</v>
      </c>
      <c r="F168" s="123" t="s">
        <v>41</v>
      </c>
      <c r="G168" s="32" t="s">
        <v>2827</v>
      </c>
      <c r="H168" s="123" t="s">
        <v>2818</v>
      </c>
      <c r="I168" s="122">
        <v>350</v>
      </c>
      <c r="J168" s="42">
        <v>332</v>
      </c>
      <c r="K168" s="20">
        <v>10</v>
      </c>
      <c r="L168" s="21">
        <v>8</v>
      </c>
      <c r="M168" s="21">
        <f t="shared" si="24"/>
        <v>342</v>
      </c>
      <c r="N168" s="21">
        <f t="shared" si="25"/>
        <v>8</v>
      </c>
      <c r="O168" s="21"/>
      <c r="P168" s="21"/>
      <c r="Q168" s="5"/>
      <c r="R168" s="16"/>
      <c r="S168" s="16"/>
      <c r="T168" s="21">
        <f t="shared" si="26"/>
        <v>0</v>
      </c>
      <c r="U168" s="16"/>
      <c r="V168" s="78">
        <f t="shared" si="27"/>
        <v>0</v>
      </c>
      <c r="W168" s="140"/>
      <c r="X168" s="334"/>
      <c r="Y168" s="5"/>
      <c r="AK168" s="16"/>
      <c r="AL168" s="16"/>
      <c r="AN168" s="16"/>
      <c r="AO168" s="16"/>
    </row>
    <row r="169" spans="1:41" x14ac:dyDescent="0.25">
      <c r="A169" s="143">
        <v>12</v>
      </c>
      <c r="B169" s="142">
        <v>45182</v>
      </c>
      <c r="C169" s="23">
        <v>0.23611111111111113</v>
      </c>
      <c r="D169" s="32" t="s">
        <v>2819</v>
      </c>
      <c r="E169" s="32">
        <v>5515394688</v>
      </c>
      <c r="F169" s="124" t="s">
        <v>52</v>
      </c>
      <c r="G169" s="123" t="s">
        <v>2828</v>
      </c>
      <c r="H169" s="123" t="s">
        <v>2820</v>
      </c>
      <c r="I169" s="39">
        <v>46</v>
      </c>
      <c r="J169" s="42">
        <v>35</v>
      </c>
      <c r="K169" s="20">
        <v>11</v>
      </c>
      <c r="L169" s="21"/>
      <c r="M169" s="21">
        <f t="shared" si="24"/>
        <v>46</v>
      </c>
      <c r="N169" s="21">
        <f t="shared" si="25"/>
        <v>0</v>
      </c>
      <c r="O169" s="21">
        <v>40</v>
      </c>
      <c r="P169" s="21"/>
      <c r="Q169" s="5"/>
      <c r="R169" s="45"/>
      <c r="S169" s="44"/>
      <c r="T169" s="21">
        <f t="shared" si="26"/>
        <v>0</v>
      </c>
      <c r="U169" s="45"/>
      <c r="V169" s="78">
        <f t="shared" si="27"/>
        <v>40</v>
      </c>
      <c r="W169" s="140"/>
      <c r="X169" s="334"/>
      <c r="Y169" s="5"/>
      <c r="AK169" s="63" t="s">
        <v>169</v>
      </c>
      <c r="AL169" s="63">
        <f>+SUM(AK158:AK168)-SUM(AL158:AL168)</f>
        <v>0</v>
      </c>
      <c r="AN169" s="63" t="s">
        <v>169</v>
      </c>
      <c r="AO169" s="85">
        <f>+SUM(AN157:AN168)-SUM(AO158:AO168)</f>
        <v>0</v>
      </c>
    </row>
    <row r="170" spans="1:41" x14ac:dyDescent="0.25">
      <c r="A170" s="143">
        <v>13</v>
      </c>
      <c r="B170" s="142">
        <v>45182</v>
      </c>
      <c r="C170" s="23">
        <v>0.24305555555555555</v>
      </c>
      <c r="D170" s="31" t="s">
        <v>829</v>
      </c>
      <c r="E170" s="32">
        <v>5545917658</v>
      </c>
      <c r="F170" s="32" t="s">
        <v>52</v>
      </c>
      <c r="G170" s="32" t="s">
        <v>2829</v>
      </c>
      <c r="H170" s="32" t="s">
        <v>2821</v>
      </c>
      <c r="I170" s="39"/>
      <c r="J170" s="42">
        <v>78</v>
      </c>
      <c r="K170" s="108">
        <v>11</v>
      </c>
      <c r="L170" s="21"/>
      <c r="M170" s="21">
        <f t="shared" si="24"/>
        <v>89</v>
      </c>
      <c r="N170" s="21">
        <f t="shared" si="25"/>
        <v>-89</v>
      </c>
      <c r="O170" s="21"/>
      <c r="P170" s="21"/>
      <c r="Q170" s="5"/>
      <c r="R170" s="43"/>
      <c r="S170" s="32"/>
      <c r="T170" s="21">
        <f t="shared" si="26"/>
        <v>0</v>
      </c>
      <c r="U170" s="43"/>
      <c r="V170" s="78">
        <f t="shared" si="27"/>
        <v>0</v>
      </c>
      <c r="W170" s="140"/>
      <c r="X170" s="334"/>
      <c r="Y170" s="5"/>
      <c r="AI170" s="83"/>
    </row>
    <row r="171" spans="1:41" x14ac:dyDescent="0.25">
      <c r="A171" s="143">
        <v>14</v>
      </c>
      <c r="B171" s="142">
        <v>45182</v>
      </c>
      <c r="C171" s="23">
        <v>0.24791666666666667</v>
      </c>
      <c r="D171" s="31" t="s">
        <v>627</v>
      </c>
      <c r="E171" s="32">
        <v>5537803548</v>
      </c>
      <c r="F171" s="32" t="s">
        <v>52</v>
      </c>
      <c r="G171" s="32" t="s">
        <v>2830</v>
      </c>
      <c r="H171" s="32" t="s">
        <v>2822</v>
      </c>
      <c r="I171" s="39"/>
      <c r="J171" s="42">
        <v>128</v>
      </c>
      <c r="K171" s="108">
        <v>10</v>
      </c>
      <c r="L171" s="21"/>
      <c r="M171" s="21">
        <f t="shared" si="24"/>
        <v>138</v>
      </c>
      <c r="N171" s="21">
        <f t="shared" si="25"/>
        <v>-138</v>
      </c>
      <c r="O171" s="21"/>
      <c r="P171" s="21"/>
      <c r="Q171" s="5"/>
      <c r="R171" s="43"/>
      <c r="S171" s="43"/>
      <c r="T171" s="21">
        <f t="shared" si="26"/>
        <v>0</v>
      </c>
      <c r="U171" s="43"/>
      <c r="V171" s="78">
        <f t="shared" si="27"/>
        <v>0</v>
      </c>
      <c r="W171" s="140"/>
      <c r="X171" s="334"/>
      <c r="Y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</row>
    <row r="172" spans="1:41" x14ac:dyDescent="0.25">
      <c r="A172" s="143">
        <v>15</v>
      </c>
      <c r="B172" s="142">
        <v>45182</v>
      </c>
      <c r="C172" s="23">
        <v>0.25</v>
      </c>
      <c r="D172" s="127" t="s">
        <v>152</v>
      </c>
      <c r="E172" s="32">
        <v>5572135350</v>
      </c>
      <c r="F172" s="32" t="s">
        <v>52</v>
      </c>
      <c r="G172" s="32" t="s">
        <v>2826</v>
      </c>
      <c r="H172" s="128" t="s">
        <v>2823</v>
      </c>
      <c r="I172" s="39"/>
      <c r="J172" s="42"/>
      <c r="K172" s="108">
        <v>10</v>
      </c>
      <c r="L172" s="21"/>
      <c r="M172" s="21">
        <f t="shared" si="24"/>
        <v>10</v>
      </c>
      <c r="N172" s="21">
        <f t="shared" si="25"/>
        <v>-10</v>
      </c>
      <c r="O172" s="21"/>
      <c r="P172" s="21"/>
      <c r="Q172" s="5"/>
      <c r="R172" s="43"/>
      <c r="S172" s="43"/>
      <c r="T172" s="21">
        <f t="shared" si="26"/>
        <v>0</v>
      </c>
      <c r="U172" s="43"/>
      <c r="V172" s="78">
        <f t="shared" si="27"/>
        <v>0</v>
      </c>
      <c r="W172" s="140"/>
      <c r="X172" s="334"/>
      <c r="Y172" s="5"/>
      <c r="AD172" s="5"/>
      <c r="AE172" s="134" t="s">
        <v>20</v>
      </c>
      <c r="AF172" s="338"/>
      <c r="AG172" s="341" t="s">
        <v>686</v>
      </c>
      <c r="AH172" s="134" t="s">
        <v>20</v>
      </c>
      <c r="AI172" s="338"/>
      <c r="AJ172" s="341" t="s">
        <v>687</v>
      </c>
      <c r="AK172" s="134" t="s">
        <v>20</v>
      </c>
      <c r="AL172" s="338"/>
      <c r="AM172" s="5"/>
    </row>
    <row r="173" spans="1:41" x14ac:dyDescent="0.25">
      <c r="A173" s="143">
        <v>16</v>
      </c>
      <c r="B173" s="142">
        <v>45182</v>
      </c>
      <c r="C173" s="23">
        <v>0.31041666666666667</v>
      </c>
      <c r="D173" s="31" t="s">
        <v>2686</v>
      </c>
      <c r="E173" s="32">
        <v>5518380748</v>
      </c>
      <c r="F173" s="32" t="s">
        <v>999</v>
      </c>
      <c r="G173" s="32" t="s">
        <v>2831</v>
      </c>
      <c r="H173" s="39" t="s">
        <v>2832</v>
      </c>
      <c r="I173" s="39">
        <v>209</v>
      </c>
      <c r="J173" s="42">
        <v>189</v>
      </c>
      <c r="K173" s="43">
        <v>20</v>
      </c>
      <c r="L173" s="21"/>
      <c r="M173" s="21">
        <f t="shared" si="24"/>
        <v>209</v>
      </c>
      <c r="N173" s="21">
        <f t="shared" si="25"/>
        <v>0</v>
      </c>
      <c r="O173" s="21"/>
      <c r="P173" s="21"/>
      <c r="Q173" s="5"/>
      <c r="R173" s="43"/>
      <c r="S173" s="32"/>
      <c r="T173" s="21">
        <f t="shared" si="26"/>
        <v>0</v>
      </c>
      <c r="U173" s="131"/>
      <c r="V173" s="78">
        <f t="shared" si="27"/>
        <v>0</v>
      </c>
      <c r="W173" s="140"/>
      <c r="X173" s="334"/>
      <c r="Y173" s="5"/>
      <c r="AD173" s="5" t="s">
        <v>685</v>
      </c>
      <c r="AE173" s="115" t="s">
        <v>684</v>
      </c>
      <c r="AF173" s="339"/>
      <c r="AG173" s="341"/>
      <c r="AH173" s="115" t="s">
        <v>684</v>
      </c>
      <c r="AI173" s="339"/>
      <c r="AJ173" s="341"/>
      <c r="AK173" s="115" t="s">
        <v>684</v>
      </c>
      <c r="AL173" s="339"/>
      <c r="AM173" s="5"/>
    </row>
    <row r="174" spans="1:41" x14ac:dyDescent="0.25">
      <c r="A174" s="143">
        <v>17</v>
      </c>
      <c r="B174" s="142">
        <v>45182</v>
      </c>
      <c r="C174" s="23">
        <v>0.3125</v>
      </c>
      <c r="D174" s="31" t="s">
        <v>447</v>
      </c>
      <c r="E174" s="32">
        <v>5522701719</v>
      </c>
      <c r="F174" s="32" t="s">
        <v>2833</v>
      </c>
      <c r="G174" s="32" t="s">
        <v>2834</v>
      </c>
      <c r="H174" s="39" t="s">
        <v>2835</v>
      </c>
      <c r="I174" s="39">
        <v>300</v>
      </c>
      <c r="J174" s="42">
        <v>290</v>
      </c>
      <c r="K174" s="43">
        <v>10</v>
      </c>
      <c r="L174" s="21"/>
      <c r="M174" s="21">
        <f t="shared" si="24"/>
        <v>300</v>
      </c>
      <c r="N174" s="21">
        <f t="shared" si="25"/>
        <v>0</v>
      </c>
      <c r="O174" s="21"/>
      <c r="P174" s="21"/>
      <c r="Q174" s="5"/>
      <c r="R174" s="43"/>
      <c r="S174" s="32"/>
      <c r="T174" s="21">
        <f t="shared" si="26"/>
        <v>0</v>
      </c>
      <c r="U174" s="132"/>
      <c r="V174" s="78">
        <f t="shared" si="27"/>
        <v>0</v>
      </c>
      <c r="W174" s="140"/>
      <c r="X174" s="340"/>
      <c r="Y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</row>
    <row r="175" spans="1:41" x14ac:dyDescent="0.25">
      <c r="A175" s="143">
        <v>18</v>
      </c>
      <c r="B175" s="142">
        <v>45182</v>
      </c>
      <c r="C175" s="257">
        <v>0.375</v>
      </c>
      <c r="D175" s="31" t="s">
        <v>2058</v>
      </c>
      <c r="E175" s="32">
        <v>5567561157</v>
      </c>
      <c r="F175" s="32" t="s">
        <v>52</v>
      </c>
      <c r="G175" s="32" t="s">
        <v>2836</v>
      </c>
      <c r="H175" s="32" t="s">
        <v>2837</v>
      </c>
      <c r="I175" s="39">
        <v>278</v>
      </c>
      <c r="J175" s="42">
        <v>266</v>
      </c>
      <c r="K175" s="43">
        <v>12</v>
      </c>
      <c r="L175" s="21"/>
      <c r="M175" s="21">
        <f t="shared" si="24"/>
        <v>278</v>
      </c>
      <c r="N175" s="21">
        <f t="shared" si="25"/>
        <v>0</v>
      </c>
      <c r="O175" s="21"/>
      <c r="P175" s="21"/>
      <c r="Q175" s="5"/>
      <c r="R175" s="135"/>
      <c r="S175" s="104"/>
      <c r="T175" s="21">
        <f t="shared" si="26"/>
        <v>0</v>
      </c>
      <c r="U175" s="131"/>
      <c r="V175" s="78">
        <f t="shared" si="27"/>
        <v>0</v>
      </c>
      <c r="W175" s="140"/>
      <c r="Y175" s="5"/>
    </row>
    <row r="176" spans="1:41" x14ac:dyDescent="0.25">
      <c r="A176" s="143">
        <v>19</v>
      </c>
      <c r="B176" s="142">
        <v>45182</v>
      </c>
      <c r="C176" s="32"/>
      <c r="D176" s="31"/>
      <c r="E176" s="32"/>
      <c r="F176" s="32"/>
      <c r="G176" s="32"/>
      <c r="H176" s="39"/>
      <c r="I176" s="39"/>
      <c r="J176" s="42"/>
      <c r="K176" s="43">
        <v>10</v>
      </c>
      <c r="L176" s="21"/>
      <c r="M176" s="21">
        <f t="shared" si="24"/>
        <v>10</v>
      </c>
      <c r="N176" s="21">
        <f t="shared" si="25"/>
        <v>-10</v>
      </c>
      <c r="O176" s="21"/>
      <c r="P176" s="21"/>
      <c r="Q176" s="5"/>
      <c r="R176" s="32"/>
      <c r="S176" s="32"/>
      <c r="T176" s="21">
        <f t="shared" si="26"/>
        <v>0</v>
      </c>
      <c r="U176" s="32"/>
      <c r="V176" s="78">
        <f t="shared" si="27"/>
        <v>0</v>
      </c>
      <c r="W176" s="140"/>
      <c r="Y176" s="5"/>
    </row>
  </sheetData>
  <mergeCells count="77">
    <mergeCell ref="AL147:AL148"/>
    <mergeCell ref="X133:X149"/>
    <mergeCell ref="AF147:AF148"/>
    <mergeCell ref="AG147:AG148"/>
    <mergeCell ref="AI147:AI148"/>
    <mergeCell ref="AJ147:AJ148"/>
    <mergeCell ref="T131:U131"/>
    <mergeCell ref="AD131:AE131"/>
    <mergeCell ref="AH131:AI131"/>
    <mergeCell ref="AK131:AL131"/>
    <mergeCell ref="AN131:AO131"/>
    <mergeCell ref="AL123:AL124"/>
    <mergeCell ref="X109:X125"/>
    <mergeCell ref="AF123:AF124"/>
    <mergeCell ref="AG123:AG124"/>
    <mergeCell ref="AI123:AI124"/>
    <mergeCell ref="AJ123:AJ124"/>
    <mergeCell ref="T107:U107"/>
    <mergeCell ref="AD107:AE107"/>
    <mergeCell ref="AH107:AI107"/>
    <mergeCell ref="AK107:AL107"/>
    <mergeCell ref="AN107:AO107"/>
    <mergeCell ref="AN56:AO56"/>
    <mergeCell ref="X58:X74"/>
    <mergeCell ref="AF72:AF73"/>
    <mergeCell ref="AG72:AG73"/>
    <mergeCell ref="AI72:AI73"/>
    <mergeCell ref="AJ72:AJ73"/>
    <mergeCell ref="AL72:AL73"/>
    <mergeCell ref="T4:U4"/>
    <mergeCell ref="AD4:AE4"/>
    <mergeCell ref="AH4:AI4"/>
    <mergeCell ref="AK4:AL4"/>
    <mergeCell ref="T56:U56"/>
    <mergeCell ref="AD56:AE56"/>
    <mergeCell ref="AH56:AI56"/>
    <mergeCell ref="AK56:AL56"/>
    <mergeCell ref="T30:U30"/>
    <mergeCell ref="AD30:AE30"/>
    <mergeCell ref="AH30:AI30"/>
    <mergeCell ref="AK30:AL30"/>
    <mergeCell ref="AN4:AO4"/>
    <mergeCell ref="X6:X22"/>
    <mergeCell ref="AF20:AF21"/>
    <mergeCell ref="AG20:AG21"/>
    <mergeCell ref="AI20:AI21"/>
    <mergeCell ref="AJ20:AJ21"/>
    <mergeCell ref="AL20:AL21"/>
    <mergeCell ref="AN30:AO30"/>
    <mergeCell ref="AL46:AL47"/>
    <mergeCell ref="X32:X48"/>
    <mergeCell ref="AF46:AF47"/>
    <mergeCell ref="AG46:AG47"/>
    <mergeCell ref="AI46:AI47"/>
    <mergeCell ref="AJ46:AJ47"/>
    <mergeCell ref="T82:U82"/>
    <mergeCell ref="AD82:AE82"/>
    <mergeCell ref="AH82:AI82"/>
    <mergeCell ref="AK82:AL82"/>
    <mergeCell ref="AN82:AO82"/>
    <mergeCell ref="AL98:AL99"/>
    <mergeCell ref="X84:X100"/>
    <mergeCell ref="AF98:AF99"/>
    <mergeCell ref="AG98:AG99"/>
    <mergeCell ref="AI98:AI99"/>
    <mergeCell ref="AJ98:AJ99"/>
    <mergeCell ref="T156:U156"/>
    <mergeCell ref="AD156:AE156"/>
    <mergeCell ref="AH156:AI156"/>
    <mergeCell ref="AK156:AL156"/>
    <mergeCell ref="AN156:AO156"/>
    <mergeCell ref="AL172:AL173"/>
    <mergeCell ref="X158:X174"/>
    <mergeCell ref="AF172:AF173"/>
    <mergeCell ref="AG172:AG173"/>
    <mergeCell ref="AI172:AI173"/>
    <mergeCell ref="AJ172:AJ173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9"/>
  <sheetViews>
    <sheetView topLeftCell="A81" workbookViewId="0">
      <selection activeCell="D102" sqref="D102"/>
    </sheetView>
  </sheetViews>
  <sheetFormatPr baseColWidth="10" defaultRowHeight="15" x14ac:dyDescent="0.25"/>
  <cols>
    <col min="3" max="3" width="12.42578125" bestFit="1" customWidth="1"/>
    <col min="5" max="5" width="12" bestFit="1" customWidth="1"/>
  </cols>
  <sheetData>
    <row r="1" spans="1:41" x14ac:dyDescent="0.25">
      <c r="H1">
        <v>69</v>
      </c>
      <c r="I1">
        <v>213</v>
      </c>
      <c r="K1">
        <f>+SUM(H1:I2)</f>
        <v>588</v>
      </c>
      <c r="AD1">
        <v>300</v>
      </c>
    </row>
    <row r="2" spans="1:41" x14ac:dyDescent="0.25">
      <c r="H2">
        <v>206</v>
      </c>
      <c r="I2">
        <v>100</v>
      </c>
    </row>
    <row r="3" spans="1:41" x14ac:dyDescent="0.25">
      <c r="A3" s="1" t="s">
        <v>0</v>
      </c>
      <c r="B3" s="1"/>
      <c r="C3" s="1"/>
      <c r="D3" s="1"/>
      <c r="E3" s="1"/>
      <c r="F3" s="1"/>
      <c r="G3" s="1"/>
      <c r="H3" s="1"/>
      <c r="I3" s="1"/>
      <c r="J3" s="1" t="s">
        <v>148</v>
      </c>
      <c r="K3" s="1"/>
      <c r="L3" s="1"/>
      <c r="M3" s="1"/>
      <c r="N3" s="1"/>
      <c r="O3" s="1"/>
      <c r="P3" s="1"/>
      <c r="Q3" s="1"/>
      <c r="R3" s="1"/>
      <c r="S3" s="1"/>
      <c r="T3" s="342" t="s">
        <v>1</v>
      </c>
      <c r="U3" s="342"/>
      <c r="V3" s="5"/>
      <c r="W3" s="139"/>
      <c r="X3" s="1"/>
      <c r="Y3" s="5"/>
      <c r="AD3" s="335" t="s">
        <v>160</v>
      </c>
      <c r="AE3" s="336"/>
      <c r="AH3" s="335" t="s">
        <v>170</v>
      </c>
      <c r="AI3" s="336"/>
      <c r="AK3" s="337" t="s">
        <v>172</v>
      </c>
      <c r="AL3" s="337"/>
      <c r="AN3" s="337" t="s">
        <v>2877</v>
      </c>
      <c r="AO3" s="337"/>
    </row>
    <row r="4" spans="1:41" ht="90" x14ac:dyDescent="0.25">
      <c r="A4" s="6" t="s">
        <v>2</v>
      </c>
      <c r="B4" s="7" t="s">
        <v>3</v>
      </c>
      <c r="C4" s="245" t="s">
        <v>688</v>
      </c>
      <c r="D4" s="7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8" t="s">
        <v>9</v>
      </c>
      <c r="J4" s="9" t="s">
        <v>10</v>
      </c>
      <c r="K4" s="8" t="s">
        <v>11</v>
      </c>
      <c r="L4" s="10" t="s">
        <v>12</v>
      </c>
      <c r="M4" s="10" t="s">
        <v>13</v>
      </c>
      <c r="N4" s="11" t="s">
        <v>14</v>
      </c>
      <c r="O4" s="10" t="s">
        <v>691</v>
      </c>
      <c r="P4" s="10" t="s">
        <v>28</v>
      </c>
      <c r="Q4" s="5"/>
      <c r="R4" s="10" t="s">
        <v>16</v>
      </c>
      <c r="S4" s="10" t="s">
        <v>17</v>
      </c>
      <c r="T4" s="10" t="s">
        <v>18</v>
      </c>
      <c r="U4" s="10" t="s">
        <v>19</v>
      </c>
      <c r="V4" s="10" t="s">
        <v>20</v>
      </c>
      <c r="W4" s="13"/>
      <c r="X4" s="15" t="s">
        <v>23</v>
      </c>
      <c r="Y4" s="5"/>
      <c r="AA4" s="251" t="s">
        <v>2554</v>
      </c>
      <c r="AC4">
        <v>4</v>
      </c>
      <c r="AD4" s="16" t="s">
        <v>161</v>
      </c>
      <c r="AE4" s="58">
        <f>+AC4*10</f>
        <v>40</v>
      </c>
      <c r="AG4">
        <v>9</v>
      </c>
      <c r="AH4" s="16" t="s">
        <v>161</v>
      </c>
      <c r="AI4" s="58">
        <f>+AG4*10</f>
        <v>90</v>
      </c>
      <c r="AK4" s="61" t="s">
        <v>173</v>
      </c>
      <c r="AL4" s="62" t="s">
        <v>174</v>
      </c>
      <c r="AN4" s="16" t="s">
        <v>161</v>
      </c>
      <c r="AO4" s="58">
        <f>+AM4*10</f>
        <v>0</v>
      </c>
    </row>
    <row r="5" spans="1:41" x14ac:dyDescent="0.25">
      <c r="A5" s="16">
        <v>1</v>
      </c>
      <c r="B5" s="92">
        <v>45182</v>
      </c>
      <c r="C5" s="23">
        <v>0.5756944444444444</v>
      </c>
      <c r="D5" s="31" t="s">
        <v>298</v>
      </c>
      <c r="E5" s="32">
        <v>5615394688</v>
      </c>
      <c r="F5" s="32" t="s">
        <v>1375</v>
      </c>
      <c r="G5" s="39" t="s">
        <v>1351</v>
      </c>
      <c r="H5" s="39" t="s">
        <v>2838</v>
      </c>
      <c r="I5" s="122">
        <v>30</v>
      </c>
      <c r="J5" s="32">
        <v>20</v>
      </c>
      <c r="K5" s="20">
        <v>12</v>
      </c>
      <c r="L5" s="21"/>
      <c r="M5" s="21">
        <f t="shared" ref="M5:M23" si="0">+J5+K5</f>
        <v>32</v>
      </c>
      <c r="N5" s="21">
        <f t="shared" ref="N5:N23" si="1">+I5-M5</f>
        <v>-2</v>
      </c>
      <c r="O5" s="21"/>
      <c r="P5" s="21"/>
      <c r="Q5" s="5"/>
      <c r="R5" s="21">
        <v>100</v>
      </c>
      <c r="S5" s="16"/>
      <c r="T5" s="21">
        <f t="shared" ref="T5:T23" si="2">+R5+S5</f>
        <v>100</v>
      </c>
      <c r="U5" s="21">
        <v>112</v>
      </c>
      <c r="V5" s="78">
        <f>+U5-T5+O5+P5</f>
        <v>12</v>
      </c>
      <c r="W5" s="13"/>
      <c r="X5" s="333"/>
      <c r="Y5" s="5"/>
      <c r="AC5">
        <v>17.5</v>
      </c>
      <c r="AD5" s="59" t="s">
        <v>162</v>
      </c>
      <c r="AE5" s="18">
        <f>+AC5*1</f>
        <v>17.5</v>
      </c>
      <c r="AG5">
        <v>36</v>
      </c>
      <c r="AH5" s="59" t="s">
        <v>162</v>
      </c>
      <c r="AI5" s="18">
        <f>+AG5*1</f>
        <v>36</v>
      </c>
      <c r="AK5" s="16"/>
      <c r="AL5" s="16"/>
      <c r="AN5" s="59" t="s">
        <v>162</v>
      </c>
      <c r="AO5" s="18">
        <f>+AM5*1</f>
        <v>0</v>
      </c>
    </row>
    <row r="6" spans="1:41" x14ac:dyDescent="0.25">
      <c r="A6" s="26">
        <v>2</v>
      </c>
      <c r="B6" s="92">
        <v>45182</v>
      </c>
      <c r="C6" s="23">
        <v>0.5756944444444444</v>
      </c>
      <c r="D6" s="31" t="s">
        <v>2839</v>
      </c>
      <c r="E6" s="32">
        <v>5615394688</v>
      </c>
      <c r="F6" s="32" t="s">
        <v>106</v>
      </c>
      <c r="G6" s="32" t="s">
        <v>2558</v>
      </c>
      <c r="H6" s="39" t="s">
        <v>2840</v>
      </c>
      <c r="I6" s="122"/>
      <c r="J6" s="32">
        <v>19</v>
      </c>
      <c r="K6" s="20">
        <v>12</v>
      </c>
      <c r="L6" s="21"/>
      <c r="M6" s="21">
        <f t="shared" si="0"/>
        <v>31</v>
      </c>
      <c r="N6" s="21">
        <f t="shared" si="1"/>
        <v>-31</v>
      </c>
      <c r="O6" s="21"/>
      <c r="P6" s="21"/>
      <c r="Q6" s="5"/>
      <c r="R6" s="21">
        <v>300</v>
      </c>
      <c r="S6" s="16"/>
      <c r="T6" s="21">
        <f t="shared" si="2"/>
        <v>300</v>
      </c>
      <c r="U6" s="21">
        <v>312</v>
      </c>
      <c r="V6" s="78">
        <f t="shared" ref="V6:V23" si="3">+U6-T6+O6+P6</f>
        <v>12</v>
      </c>
      <c r="W6" s="140"/>
      <c r="X6" s="334"/>
      <c r="Y6" s="5"/>
      <c r="AA6" s="83">
        <f>+'Semana 13'!AI167</f>
        <v>655</v>
      </c>
      <c r="AD6" s="16" t="s">
        <v>163</v>
      </c>
      <c r="AE6" s="60">
        <f>+AC6*5</f>
        <v>0</v>
      </c>
      <c r="AG6">
        <v>11</v>
      </c>
      <c r="AH6" s="16" t="s">
        <v>163</v>
      </c>
      <c r="AI6" s="60">
        <f>+AG6*5</f>
        <v>55</v>
      </c>
      <c r="AK6" s="16"/>
      <c r="AL6" s="16"/>
      <c r="AN6" s="16" t="s">
        <v>163</v>
      </c>
      <c r="AO6" s="60">
        <f>+AM6*5</f>
        <v>0</v>
      </c>
    </row>
    <row r="7" spans="1:41" x14ac:dyDescent="0.25">
      <c r="A7" s="143">
        <v>3</v>
      </c>
      <c r="B7" s="142">
        <v>45182</v>
      </c>
      <c r="C7" s="23">
        <v>0.625</v>
      </c>
      <c r="D7" s="31" t="s">
        <v>2112</v>
      </c>
      <c r="E7" s="32">
        <v>5535975295</v>
      </c>
      <c r="F7" s="32" t="s">
        <v>106</v>
      </c>
      <c r="G7" s="32" t="s">
        <v>1053</v>
      </c>
      <c r="H7" s="39" t="s">
        <v>2843</v>
      </c>
      <c r="I7" s="122"/>
      <c r="J7" s="32">
        <v>63</v>
      </c>
      <c r="K7" s="20">
        <v>10</v>
      </c>
      <c r="L7" s="21"/>
      <c r="M7" s="21">
        <f t="shared" si="0"/>
        <v>73</v>
      </c>
      <c r="N7" s="21">
        <f t="shared" si="1"/>
        <v>-73</v>
      </c>
      <c r="O7" s="21">
        <v>73</v>
      </c>
      <c r="P7" s="21"/>
      <c r="Q7" s="5"/>
      <c r="R7" s="21">
        <v>75</v>
      </c>
      <c r="S7" s="16"/>
      <c r="T7" s="21">
        <f t="shared" si="2"/>
        <v>75</v>
      </c>
      <c r="U7" s="21">
        <v>10</v>
      </c>
      <c r="V7" s="78">
        <f t="shared" si="3"/>
        <v>8</v>
      </c>
      <c r="W7" s="140"/>
      <c r="X7" s="334"/>
      <c r="Y7" s="5"/>
      <c r="AA7">
        <f>+AE15</f>
        <v>806.5</v>
      </c>
      <c r="AC7">
        <v>1</v>
      </c>
      <c r="AD7" s="16" t="s">
        <v>164</v>
      </c>
      <c r="AE7" s="18">
        <f>+AC7*200</f>
        <v>200</v>
      </c>
      <c r="AG7">
        <v>1</v>
      </c>
      <c r="AH7" s="16" t="s">
        <v>164</v>
      </c>
      <c r="AI7" s="18">
        <f>+AG7*200</f>
        <v>200</v>
      </c>
      <c r="AK7" s="16"/>
      <c r="AL7" s="16"/>
      <c r="AN7" s="16" t="s">
        <v>164</v>
      </c>
      <c r="AO7" s="18">
        <f>+AM7*200</f>
        <v>0</v>
      </c>
    </row>
    <row r="8" spans="1:41" x14ac:dyDescent="0.25">
      <c r="A8" s="143">
        <v>4</v>
      </c>
      <c r="B8" s="142">
        <v>45182</v>
      </c>
      <c r="C8" s="23">
        <v>0.63263888888888886</v>
      </c>
      <c r="D8" s="31" t="s">
        <v>1755</v>
      </c>
      <c r="E8" s="32">
        <v>5535975295</v>
      </c>
      <c r="F8" s="32" t="s">
        <v>1483</v>
      </c>
      <c r="G8" s="32" t="s">
        <v>2841</v>
      </c>
      <c r="H8" s="39" t="s">
        <v>2842</v>
      </c>
      <c r="I8" s="122"/>
      <c r="J8" s="32">
        <v>60</v>
      </c>
      <c r="K8" s="20">
        <v>10</v>
      </c>
      <c r="L8" s="21"/>
      <c r="M8" s="21">
        <f t="shared" si="0"/>
        <v>70</v>
      </c>
      <c r="N8" s="21">
        <f t="shared" si="1"/>
        <v>-70</v>
      </c>
      <c r="O8" s="21"/>
      <c r="P8" s="21"/>
      <c r="Q8" s="5"/>
      <c r="R8" s="21"/>
      <c r="S8" s="16"/>
      <c r="T8" s="21">
        <f t="shared" si="2"/>
        <v>0</v>
      </c>
      <c r="U8" s="21">
        <v>10</v>
      </c>
      <c r="V8" s="78">
        <f t="shared" si="3"/>
        <v>10</v>
      </c>
      <c r="W8" s="140"/>
      <c r="X8" s="334"/>
      <c r="Y8" s="5"/>
      <c r="AA8" s="83">
        <f>+AA6-AA7</f>
        <v>-151.5</v>
      </c>
      <c r="AC8">
        <v>1</v>
      </c>
      <c r="AD8" s="16" t="s">
        <v>165</v>
      </c>
      <c r="AE8" s="18">
        <f>+AC8*100</f>
        <v>100</v>
      </c>
      <c r="AG8">
        <v>1</v>
      </c>
      <c r="AH8" s="16" t="s">
        <v>165</v>
      </c>
      <c r="AI8" s="18">
        <f>+AG8*100</f>
        <v>100</v>
      </c>
      <c r="AK8" s="16"/>
      <c r="AL8" s="16"/>
      <c r="AN8" s="16" t="s">
        <v>165</v>
      </c>
      <c r="AO8" s="18">
        <f>+AM8*100</f>
        <v>0</v>
      </c>
    </row>
    <row r="9" spans="1:41" x14ac:dyDescent="0.25">
      <c r="A9" s="41">
        <v>5</v>
      </c>
      <c r="B9" s="258">
        <v>45182</v>
      </c>
      <c r="C9" s="255"/>
      <c r="D9" s="199" t="s">
        <v>48</v>
      </c>
      <c r="E9" s="207"/>
      <c r="F9" s="207"/>
      <c r="G9" s="207">
        <v>844</v>
      </c>
      <c r="H9" s="207" t="s">
        <v>2844</v>
      </c>
      <c r="I9" s="203"/>
      <c r="J9" s="207">
        <v>206</v>
      </c>
      <c r="K9" s="205">
        <v>10</v>
      </c>
      <c r="L9" s="206"/>
      <c r="M9" s="206">
        <f t="shared" si="0"/>
        <v>216</v>
      </c>
      <c r="N9" s="206">
        <f t="shared" si="1"/>
        <v>-216</v>
      </c>
      <c r="O9" s="206"/>
      <c r="P9" s="206"/>
      <c r="Q9" s="208"/>
      <c r="R9" s="209"/>
      <c r="S9" s="209"/>
      <c r="T9" s="206">
        <f t="shared" si="2"/>
        <v>0</v>
      </c>
      <c r="U9" s="206">
        <v>10</v>
      </c>
      <c r="V9" s="210">
        <f t="shared" si="3"/>
        <v>10</v>
      </c>
      <c r="W9" s="140"/>
      <c r="X9" s="334"/>
      <c r="Y9" s="5"/>
      <c r="AD9" s="16" t="s">
        <v>166</v>
      </c>
      <c r="AE9" s="18">
        <f>+AC9*50</f>
        <v>0</v>
      </c>
      <c r="AG9">
        <v>4</v>
      </c>
      <c r="AH9" s="16" t="s">
        <v>166</v>
      </c>
      <c r="AI9" s="18">
        <f>+AG9*50</f>
        <v>200</v>
      </c>
      <c r="AK9" s="16"/>
      <c r="AL9" s="16"/>
      <c r="AN9" s="16" t="s">
        <v>166</v>
      </c>
      <c r="AO9" s="18">
        <f>+AM9*50</f>
        <v>0</v>
      </c>
    </row>
    <row r="10" spans="1:41" x14ac:dyDescent="0.25">
      <c r="A10" s="143">
        <v>6</v>
      </c>
      <c r="B10" s="142">
        <v>45182</v>
      </c>
      <c r="C10" s="23">
        <v>0.17361111111111113</v>
      </c>
      <c r="D10" s="23" t="s">
        <v>2845</v>
      </c>
      <c r="E10" s="32">
        <v>5553838178</v>
      </c>
      <c r="F10" s="32" t="s">
        <v>2846</v>
      </c>
      <c r="G10" s="32" t="s">
        <v>2603</v>
      </c>
      <c r="H10" s="39" t="s">
        <v>2848</v>
      </c>
      <c r="I10" s="39"/>
      <c r="J10" s="42"/>
      <c r="K10" s="20">
        <v>10</v>
      </c>
      <c r="L10" s="21"/>
      <c r="M10" s="21">
        <f t="shared" si="0"/>
        <v>10</v>
      </c>
      <c r="N10" s="21">
        <f t="shared" si="1"/>
        <v>-10</v>
      </c>
      <c r="O10" s="21"/>
      <c r="P10" s="21"/>
      <c r="Q10" s="5"/>
      <c r="R10" s="16"/>
      <c r="S10" s="16"/>
      <c r="T10" s="21">
        <f t="shared" si="2"/>
        <v>0</v>
      </c>
      <c r="U10" s="16">
        <v>16</v>
      </c>
      <c r="V10" s="78">
        <f t="shared" si="3"/>
        <v>16</v>
      </c>
      <c r="W10" s="140"/>
      <c r="X10" s="334"/>
      <c r="Y10" s="5"/>
      <c r="AD10" s="16" t="s">
        <v>167</v>
      </c>
      <c r="AE10" s="18">
        <f>+AC10*20</f>
        <v>0</v>
      </c>
      <c r="AG10">
        <v>4</v>
      </c>
      <c r="AH10" s="16" t="s">
        <v>167</v>
      </c>
      <c r="AI10" s="18">
        <f>+AG10*20</f>
        <v>80</v>
      </c>
      <c r="AK10" s="16"/>
      <c r="AL10" s="16"/>
      <c r="AN10" s="16" t="s">
        <v>167</v>
      </c>
      <c r="AO10" s="18">
        <f>+AM10*20</f>
        <v>0</v>
      </c>
    </row>
    <row r="11" spans="1:41" x14ac:dyDescent="0.25">
      <c r="A11" s="143">
        <v>7</v>
      </c>
      <c r="B11" s="142">
        <v>45182</v>
      </c>
      <c r="C11" s="23">
        <v>0.23611111111111113</v>
      </c>
      <c r="D11" s="23" t="s">
        <v>245</v>
      </c>
      <c r="E11" s="32">
        <v>5530508709</v>
      </c>
      <c r="F11" s="32" t="s">
        <v>114</v>
      </c>
      <c r="G11" s="32" t="s">
        <v>2847</v>
      </c>
      <c r="H11" s="39" t="s">
        <v>2849</v>
      </c>
      <c r="I11" s="122">
        <v>77</v>
      </c>
      <c r="J11" s="42">
        <v>64</v>
      </c>
      <c r="K11" s="20">
        <v>13</v>
      </c>
      <c r="L11" s="21">
        <v>5</v>
      </c>
      <c r="M11" s="21">
        <f t="shared" si="0"/>
        <v>77</v>
      </c>
      <c r="N11" s="21">
        <f t="shared" si="1"/>
        <v>0</v>
      </c>
      <c r="O11" s="21"/>
      <c r="P11" s="21"/>
      <c r="Q11" s="5"/>
      <c r="R11" s="16">
        <v>100</v>
      </c>
      <c r="S11" s="16"/>
      <c r="T11" s="21">
        <f t="shared" si="2"/>
        <v>100</v>
      </c>
      <c r="U11" s="16">
        <v>118</v>
      </c>
      <c r="V11" s="78">
        <f t="shared" si="3"/>
        <v>18</v>
      </c>
      <c r="W11" s="140"/>
      <c r="X11" s="334"/>
      <c r="Y11" s="5"/>
      <c r="AD11" s="16" t="s">
        <v>171</v>
      </c>
      <c r="AE11" s="18">
        <f>+AC11*500</f>
        <v>0</v>
      </c>
      <c r="AH11" s="16" t="s">
        <v>171</v>
      </c>
      <c r="AI11" s="18">
        <f>+AG11*500</f>
        <v>0</v>
      </c>
      <c r="AK11" s="16"/>
      <c r="AL11" s="16"/>
      <c r="AN11" s="16" t="s">
        <v>171</v>
      </c>
      <c r="AO11" s="18">
        <f>+AM11*500</f>
        <v>0</v>
      </c>
    </row>
    <row r="12" spans="1:41" x14ac:dyDescent="0.25">
      <c r="A12" s="143">
        <v>8</v>
      </c>
      <c r="B12" s="142">
        <v>45182</v>
      </c>
      <c r="C12" s="23">
        <v>0.26250000000000001</v>
      </c>
      <c r="D12" s="23" t="s">
        <v>2302</v>
      </c>
      <c r="E12" s="123">
        <v>5572135350</v>
      </c>
      <c r="F12" s="123" t="s">
        <v>2850</v>
      </c>
      <c r="G12" s="123" t="s">
        <v>2826</v>
      </c>
      <c r="H12" s="39" t="s">
        <v>2851</v>
      </c>
      <c r="I12" s="122">
        <v>91</v>
      </c>
      <c r="J12" s="32">
        <v>71</v>
      </c>
      <c r="K12" s="20">
        <v>15</v>
      </c>
      <c r="L12" s="21">
        <v>5</v>
      </c>
      <c r="M12" s="21">
        <f t="shared" si="0"/>
        <v>86</v>
      </c>
      <c r="N12" s="21">
        <f t="shared" si="1"/>
        <v>5</v>
      </c>
      <c r="O12" s="21"/>
      <c r="P12" s="21"/>
      <c r="Q12" s="5"/>
      <c r="R12" s="16">
        <v>100</v>
      </c>
      <c r="S12" s="16"/>
      <c r="T12" s="21">
        <f t="shared" si="2"/>
        <v>100</v>
      </c>
      <c r="U12" s="16">
        <v>120</v>
      </c>
      <c r="V12" s="78">
        <f t="shared" si="3"/>
        <v>20</v>
      </c>
      <c r="W12" s="140"/>
      <c r="X12" s="334"/>
      <c r="Y12" s="5"/>
      <c r="AD12" s="16" t="s">
        <v>168</v>
      </c>
      <c r="AE12" s="18">
        <f>+AC12*1000</f>
        <v>0</v>
      </c>
      <c r="AH12" s="16" t="s">
        <v>168</v>
      </c>
      <c r="AI12" s="18">
        <f>+AG12*1000</f>
        <v>0</v>
      </c>
      <c r="AK12" s="16"/>
      <c r="AL12" s="16"/>
      <c r="AN12" s="16" t="s">
        <v>168</v>
      </c>
      <c r="AO12" s="18">
        <f>+AM12*1000</f>
        <v>0</v>
      </c>
    </row>
    <row r="13" spans="1:41" x14ac:dyDescent="0.25">
      <c r="A13" s="143">
        <v>9</v>
      </c>
      <c r="B13" s="142">
        <v>45182</v>
      </c>
      <c r="C13" s="23">
        <v>0.31527777777777777</v>
      </c>
      <c r="D13" s="23" t="s">
        <v>627</v>
      </c>
      <c r="E13" s="32">
        <v>5537803548</v>
      </c>
      <c r="F13" s="32" t="s">
        <v>52</v>
      </c>
      <c r="G13" s="32" t="s">
        <v>2852</v>
      </c>
      <c r="H13" s="39" t="s">
        <v>2853</v>
      </c>
      <c r="I13" s="39">
        <v>225</v>
      </c>
      <c r="J13" s="40">
        <v>205</v>
      </c>
      <c r="K13" s="20">
        <v>15</v>
      </c>
      <c r="L13" s="21">
        <v>5</v>
      </c>
      <c r="M13" s="21">
        <f t="shared" si="0"/>
        <v>220</v>
      </c>
      <c r="N13" s="21">
        <f t="shared" si="1"/>
        <v>5</v>
      </c>
      <c r="O13" s="21"/>
      <c r="P13" s="21"/>
      <c r="Q13" s="5"/>
      <c r="R13" s="16">
        <v>400</v>
      </c>
      <c r="S13" s="16"/>
      <c r="T13" s="21">
        <f t="shared" si="2"/>
        <v>400</v>
      </c>
      <c r="U13" s="16">
        <v>4420</v>
      </c>
      <c r="V13" s="78">
        <f t="shared" si="3"/>
        <v>4020</v>
      </c>
      <c r="W13" s="140"/>
      <c r="X13" s="334"/>
      <c r="Y13" s="5"/>
      <c r="AD13" s="26"/>
      <c r="AE13" s="58"/>
      <c r="AH13" s="26"/>
      <c r="AI13" s="58"/>
      <c r="AK13" s="16"/>
      <c r="AL13" s="16"/>
      <c r="AN13" s="26"/>
      <c r="AO13" s="58"/>
    </row>
    <row r="14" spans="1:41" x14ac:dyDescent="0.25">
      <c r="A14" s="143">
        <v>10</v>
      </c>
      <c r="B14" s="142">
        <v>45182</v>
      </c>
      <c r="C14" s="23">
        <v>0.3347222222222222</v>
      </c>
      <c r="D14" s="23" t="s">
        <v>2819</v>
      </c>
      <c r="E14" s="32">
        <v>5615394688</v>
      </c>
      <c r="F14" s="32" t="s">
        <v>2854</v>
      </c>
      <c r="G14" s="32" t="s">
        <v>2828</v>
      </c>
      <c r="H14" s="39" t="s">
        <v>2855</v>
      </c>
      <c r="I14" s="122">
        <v>23</v>
      </c>
      <c r="J14" s="42">
        <v>12</v>
      </c>
      <c r="K14" s="20">
        <v>11</v>
      </c>
      <c r="L14" s="21"/>
      <c r="M14" s="21">
        <f t="shared" si="0"/>
        <v>23</v>
      </c>
      <c r="N14" s="21">
        <f t="shared" si="1"/>
        <v>0</v>
      </c>
      <c r="O14" s="21"/>
      <c r="P14" s="21"/>
      <c r="Q14" s="5"/>
      <c r="R14" s="16">
        <v>100</v>
      </c>
      <c r="S14" s="16"/>
      <c r="T14" s="21">
        <f t="shared" si="2"/>
        <v>100</v>
      </c>
      <c r="U14" s="16">
        <v>111</v>
      </c>
      <c r="V14" s="78">
        <f t="shared" si="3"/>
        <v>11</v>
      </c>
      <c r="W14" s="140"/>
      <c r="X14" s="334"/>
      <c r="Y14" s="5"/>
      <c r="AD14" s="16" t="s">
        <v>169</v>
      </c>
      <c r="AE14" s="18">
        <f>SUM(AE4:AE13)</f>
        <v>357.5</v>
      </c>
      <c r="AH14" s="16" t="s">
        <v>169</v>
      </c>
      <c r="AI14" s="18">
        <f>SUM(AI4:AI13)</f>
        <v>761</v>
      </c>
      <c r="AK14" s="16"/>
      <c r="AL14" s="16"/>
      <c r="AN14" s="16" t="s">
        <v>169</v>
      </c>
      <c r="AO14" s="18"/>
    </row>
    <row r="15" spans="1:41" x14ac:dyDescent="0.25">
      <c r="A15" s="143">
        <v>11</v>
      </c>
      <c r="B15" s="142">
        <v>45182</v>
      </c>
      <c r="C15" s="23">
        <v>0.33819444444444446</v>
      </c>
      <c r="D15" s="23" t="s">
        <v>1866</v>
      </c>
      <c r="E15" s="124">
        <v>5620167396</v>
      </c>
      <c r="F15" s="123" t="s">
        <v>2856</v>
      </c>
      <c r="G15" s="123" t="s">
        <v>2857</v>
      </c>
      <c r="H15" s="39" t="s">
        <v>2858</v>
      </c>
      <c r="I15" s="122">
        <v>96</v>
      </c>
      <c r="J15" s="42">
        <v>81</v>
      </c>
      <c r="K15" s="20">
        <v>15</v>
      </c>
      <c r="L15" s="21"/>
      <c r="M15" s="21">
        <f t="shared" si="0"/>
        <v>96</v>
      </c>
      <c r="N15" s="21">
        <f t="shared" si="1"/>
        <v>0</v>
      </c>
      <c r="O15" s="21">
        <v>96</v>
      </c>
      <c r="P15" s="21"/>
      <c r="Q15" s="5"/>
      <c r="R15" s="16">
        <v>200</v>
      </c>
      <c r="S15" s="16"/>
      <c r="T15" s="21">
        <f t="shared" si="2"/>
        <v>200</v>
      </c>
      <c r="U15" s="16">
        <v>15</v>
      </c>
      <c r="V15" s="78">
        <f t="shared" si="3"/>
        <v>-89</v>
      </c>
      <c r="W15" s="140"/>
      <c r="X15" s="334"/>
      <c r="Y15" s="5"/>
      <c r="AE15">
        <v>806.5</v>
      </c>
      <c r="AK15" s="16"/>
      <c r="AL15" s="16"/>
      <c r="AN15" s="16"/>
      <c r="AO15" s="16"/>
    </row>
    <row r="16" spans="1:41" x14ac:dyDescent="0.25">
      <c r="A16" s="143">
        <v>12</v>
      </c>
      <c r="B16" s="142">
        <v>45182</v>
      </c>
      <c r="C16" s="23">
        <v>0.36805555555555558</v>
      </c>
      <c r="D16" s="32" t="s">
        <v>2686</v>
      </c>
      <c r="E16" s="32">
        <v>5518380748</v>
      </c>
      <c r="F16" s="124" t="s">
        <v>2861</v>
      </c>
      <c r="G16" s="123" t="s">
        <v>2859</v>
      </c>
      <c r="H16" s="39" t="s">
        <v>2860</v>
      </c>
      <c r="I16" s="39">
        <v>370</v>
      </c>
      <c r="J16" s="42">
        <v>322</v>
      </c>
      <c r="K16" s="20">
        <v>40</v>
      </c>
      <c r="L16" s="21">
        <v>8</v>
      </c>
      <c r="M16" s="21">
        <f t="shared" si="0"/>
        <v>362</v>
      </c>
      <c r="N16" s="21">
        <f t="shared" si="1"/>
        <v>8</v>
      </c>
      <c r="O16" s="21">
        <v>40</v>
      </c>
      <c r="P16" s="21"/>
      <c r="Q16" s="5"/>
      <c r="R16" s="45">
        <v>400</v>
      </c>
      <c r="S16" s="44"/>
      <c r="T16" s="21">
        <f t="shared" si="2"/>
        <v>400</v>
      </c>
      <c r="U16" s="45">
        <v>448</v>
      </c>
      <c r="V16" s="78">
        <v>48</v>
      </c>
      <c r="W16" s="140"/>
      <c r="X16" s="334"/>
      <c r="Y16" s="5"/>
      <c r="AK16" s="63" t="s">
        <v>169</v>
      </c>
      <c r="AL16" s="63">
        <f>+SUM(AK5:AK15)-SUM(AL5:AL15)</f>
        <v>0</v>
      </c>
      <c r="AN16" s="63" t="s">
        <v>169</v>
      </c>
      <c r="AO16" s="85">
        <f>+SUM(AN4:AN15)-SUM(AO5:AO15)</f>
        <v>0</v>
      </c>
    </row>
    <row r="17" spans="1:41" x14ac:dyDescent="0.25">
      <c r="A17" s="143">
        <v>13</v>
      </c>
      <c r="B17" s="142">
        <v>45182</v>
      </c>
      <c r="C17" s="23"/>
      <c r="D17" s="31"/>
      <c r="E17" s="32"/>
      <c r="F17" s="32"/>
      <c r="G17" s="32"/>
      <c r="H17" s="39"/>
      <c r="I17" s="39"/>
      <c r="J17" s="42"/>
      <c r="K17" s="108">
        <v>10</v>
      </c>
      <c r="L17" s="21"/>
      <c r="M17" s="21">
        <f t="shared" si="0"/>
        <v>10</v>
      </c>
      <c r="N17" s="21">
        <f t="shared" si="1"/>
        <v>-10</v>
      </c>
      <c r="O17" s="21"/>
      <c r="P17" s="21"/>
      <c r="Q17" s="5"/>
      <c r="R17" s="43"/>
      <c r="S17" s="32"/>
      <c r="T17" s="21">
        <f t="shared" si="2"/>
        <v>0</v>
      </c>
      <c r="U17" s="43"/>
      <c r="V17" s="78">
        <f t="shared" si="3"/>
        <v>0</v>
      </c>
      <c r="W17" s="140"/>
      <c r="X17" s="334"/>
      <c r="Y17" s="5"/>
      <c r="AI17" s="83"/>
    </row>
    <row r="18" spans="1:41" x14ac:dyDescent="0.25">
      <c r="A18" s="143">
        <v>14</v>
      </c>
      <c r="B18" s="142">
        <v>45182</v>
      </c>
      <c r="C18" s="23"/>
      <c r="D18" s="31"/>
      <c r="E18" s="32"/>
      <c r="F18" s="32"/>
      <c r="G18" s="32"/>
      <c r="H18" s="39"/>
      <c r="I18" s="39"/>
      <c r="J18" s="42"/>
      <c r="K18" s="108">
        <v>10</v>
      </c>
      <c r="L18" s="21"/>
      <c r="M18" s="21">
        <f t="shared" si="0"/>
        <v>10</v>
      </c>
      <c r="N18" s="21">
        <f t="shared" si="1"/>
        <v>-10</v>
      </c>
      <c r="O18" s="21"/>
      <c r="P18" s="21"/>
      <c r="Q18" s="5"/>
      <c r="R18" s="43"/>
      <c r="S18" s="43"/>
      <c r="T18" s="21">
        <f t="shared" si="2"/>
        <v>0</v>
      </c>
      <c r="U18" s="43"/>
      <c r="V18" s="78">
        <f t="shared" si="3"/>
        <v>0</v>
      </c>
      <c r="W18" s="140"/>
      <c r="X18" s="334"/>
      <c r="Y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41" x14ac:dyDescent="0.25">
      <c r="A19" s="143">
        <v>15</v>
      </c>
      <c r="B19" s="142">
        <v>45182</v>
      </c>
      <c r="C19" s="23"/>
      <c r="D19" s="127"/>
      <c r="E19" s="32"/>
      <c r="F19" s="32"/>
      <c r="G19" s="128"/>
      <c r="H19" s="129"/>
      <c r="I19" s="39"/>
      <c r="J19" s="42"/>
      <c r="K19" s="108">
        <v>10</v>
      </c>
      <c r="L19" s="21"/>
      <c r="M19" s="21">
        <f t="shared" si="0"/>
        <v>10</v>
      </c>
      <c r="N19" s="21">
        <f t="shared" si="1"/>
        <v>-10</v>
      </c>
      <c r="O19" s="21"/>
      <c r="P19" s="21"/>
      <c r="Q19" s="5"/>
      <c r="R19" s="43"/>
      <c r="S19" s="43"/>
      <c r="T19" s="21">
        <f t="shared" si="2"/>
        <v>0</v>
      </c>
      <c r="U19" s="43"/>
      <c r="V19" s="78">
        <f t="shared" si="3"/>
        <v>0</v>
      </c>
      <c r="W19" s="140"/>
      <c r="X19" s="334"/>
      <c r="Y19" s="5"/>
      <c r="AD19" s="5"/>
      <c r="AE19" s="134" t="s">
        <v>20</v>
      </c>
      <c r="AF19" s="338"/>
      <c r="AG19" s="341" t="s">
        <v>686</v>
      </c>
      <c r="AH19" s="134" t="s">
        <v>20</v>
      </c>
      <c r="AI19" s="338">
        <v>61</v>
      </c>
      <c r="AJ19" s="341" t="s">
        <v>687</v>
      </c>
      <c r="AK19" s="134" t="s">
        <v>20</v>
      </c>
      <c r="AL19" s="338"/>
      <c r="AM19" s="5"/>
    </row>
    <row r="20" spans="1:41" x14ac:dyDescent="0.25">
      <c r="A20" s="143">
        <v>16</v>
      </c>
      <c r="B20" s="142">
        <v>45182</v>
      </c>
      <c r="C20" s="23"/>
      <c r="D20" s="31"/>
      <c r="E20" s="32"/>
      <c r="F20" s="32"/>
      <c r="G20" s="32"/>
      <c r="H20" s="39"/>
      <c r="I20" s="39"/>
      <c r="J20" s="42"/>
      <c r="K20" s="43">
        <v>10</v>
      </c>
      <c r="L20" s="21"/>
      <c r="M20" s="21">
        <f t="shared" si="0"/>
        <v>10</v>
      </c>
      <c r="N20" s="21">
        <f t="shared" si="1"/>
        <v>-10</v>
      </c>
      <c r="O20" s="21"/>
      <c r="P20" s="21"/>
      <c r="Q20" s="5"/>
      <c r="R20" s="43"/>
      <c r="S20" s="32"/>
      <c r="T20" s="21">
        <f t="shared" si="2"/>
        <v>0</v>
      </c>
      <c r="U20" s="131"/>
      <c r="V20" s="78">
        <f t="shared" si="3"/>
        <v>0</v>
      </c>
      <c r="W20" s="140"/>
      <c r="X20" s="334"/>
      <c r="Y20" s="5"/>
      <c r="AD20" s="5" t="s">
        <v>685</v>
      </c>
      <c r="AE20" s="115" t="s">
        <v>684</v>
      </c>
      <c r="AF20" s="339"/>
      <c r="AG20" s="341"/>
      <c r="AH20" s="115" t="s">
        <v>684</v>
      </c>
      <c r="AI20" s="339"/>
      <c r="AJ20" s="341"/>
      <c r="AK20" s="115" t="s">
        <v>684</v>
      </c>
      <c r="AL20" s="339"/>
      <c r="AM20" s="5"/>
    </row>
    <row r="21" spans="1:41" x14ac:dyDescent="0.25">
      <c r="A21" s="143">
        <v>17</v>
      </c>
      <c r="B21" s="142">
        <v>45182</v>
      </c>
      <c r="C21" s="23"/>
      <c r="D21" s="31"/>
      <c r="E21" s="32"/>
      <c r="F21" s="32"/>
      <c r="G21" s="32"/>
      <c r="H21" s="39"/>
      <c r="I21" s="39"/>
      <c r="J21" s="42"/>
      <c r="K21" s="43">
        <v>10</v>
      </c>
      <c r="L21" s="21"/>
      <c r="M21" s="21">
        <f t="shared" si="0"/>
        <v>10</v>
      </c>
      <c r="N21" s="21">
        <f t="shared" si="1"/>
        <v>-10</v>
      </c>
      <c r="O21" s="21"/>
      <c r="P21" s="21"/>
      <c r="Q21" s="5"/>
      <c r="R21" s="43"/>
      <c r="S21" s="32"/>
      <c r="T21" s="21">
        <f t="shared" si="2"/>
        <v>0</v>
      </c>
      <c r="U21" s="132"/>
      <c r="V21" s="78">
        <f t="shared" si="3"/>
        <v>0</v>
      </c>
      <c r="W21" s="140"/>
      <c r="X21" s="340"/>
      <c r="Y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41" x14ac:dyDescent="0.25">
      <c r="A22" s="143">
        <v>18</v>
      </c>
      <c r="B22" s="142">
        <v>45182</v>
      </c>
      <c r="C22" s="32"/>
      <c r="D22" s="31"/>
      <c r="E22" s="32"/>
      <c r="F22" s="32"/>
      <c r="G22" s="32"/>
      <c r="H22" s="39"/>
      <c r="I22" s="39"/>
      <c r="J22" s="42"/>
      <c r="K22" s="43">
        <v>10</v>
      </c>
      <c r="L22" s="21"/>
      <c r="M22" s="21">
        <f t="shared" si="0"/>
        <v>10</v>
      </c>
      <c r="N22" s="21">
        <f t="shared" si="1"/>
        <v>-10</v>
      </c>
      <c r="O22" s="21"/>
      <c r="P22" s="21"/>
      <c r="Q22" s="5"/>
      <c r="R22" s="135"/>
      <c r="S22" s="104"/>
      <c r="T22" s="21">
        <f t="shared" si="2"/>
        <v>0</v>
      </c>
      <c r="U22" s="131"/>
      <c r="V22" s="78">
        <f t="shared" si="3"/>
        <v>0</v>
      </c>
      <c r="W22" s="140"/>
      <c r="Y22" s="5"/>
    </row>
    <row r="23" spans="1:41" x14ac:dyDescent="0.25">
      <c r="A23" s="143">
        <v>19</v>
      </c>
      <c r="B23" s="142">
        <v>45182</v>
      </c>
      <c r="C23" s="32"/>
      <c r="D23" s="31"/>
      <c r="E23" s="32"/>
      <c r="F23" s="32"/>
      <c r="G23" s="32"/>
      <c r="H23" s="39"/>
      <c r="I23" s="39"/>
      <c r="J23" s="42"/>
      <c r="K23" s="43">
        <v>10</v>
      </c>
      <c r="L23" s="21"/>
      <c r="M23" s="21">
        <f t="shared" si="0"/>
        <v>10</v>
      </c>
      <c r="N23" s="21">
        <f t="shared" si="1"/>
        <v>-10</v>
      </c>
      <c r="O23" s="21"/>
      <c r="P23" s="21"/>
      <c r="Q23" s="5"/>
      <c r="R23" s="32"/>
      <c r="S23" s="32"/>
      <c r="T23" s="21">
        <f t="shared" si="2"/>
        <v>0</v>
      </c>
      <c r="U23" s="32"/>
      <c r="V23" s="78">
        <f t="shared" si="3"/>
        <v>0</v>
      </c>
      <c r="W23" s="140"/>
      <c r="Y23" s="5"/>
    </row>
    <row r="24" spans="1:41" x14ac:dyDescent="0.25">
      <c r="I24" t="s">
        <v>3164</v>
      </c>
      <c r="J24">
        <f>SUM(J5:J16)</f>
        <v>1123</v>
      </c>
    </row>
    <row r="28" spans="1:41" x14ac:dyDescent="0.25">
      <c r="A28" s="1" t="s">
        <v>0</v>
      </c>
      <c r="B28" s="1"/>
      <c r="C28" s="1"/>
      <c r="D28" s="1"/>
      <c r="E28" s="1"/>
      <c r="F28" s="1"/>
      <c r="G28" s="1"/>
      <c r="H28" s="1"/>
      <c r="I28" s="1"/>
      <c r="J28" s="1" t="s">
        <v>148</v>
      </c>
      <c r="K28" s="1"/>
      <c r="L28" s="1"/>
      <c r="M28" s="1"/>
      <c r="N28" s="1"/>
      <c r="O28" s="1"/>
      <c r="P28" s="1"/>
      <c r="Q28" s="1"/>
      <c r="R28" s="1"/>
      <c r="S28" s="1"/>
      <c r="T28" s="342" t="s">
        <v>1</v>
      </c>
      <c r="U28" s="342"/>
      <c r="V28" s="5"/>
      <c r="W28" s="139"/>
      <c r="X28" s="1"/>
      <c r="Y28" s="5"/>
      <c r="AD28" s="335" t="s">
        <v>160</v>
      </c>
      <c r="AE28" s="336"/>
      <c r="AH28" s="335" t="s">
        <v>170</v>
      </c>
      <c r="AI28" s="336"/>
      <c r="AK28" s="337" t="s">
        <v>172</v>
      </c>
      <c r="AL28" s="337"/>
      <c r="AN28" s="337" t="s">
        <v>2877</v>
      </c>
      <c r="AO28" s="337"/>
    </row>
    <row r="29" spans="1:41" ht="90" x14ac:dyDescent="0.25">
      <c r="A29" s="6" t="s">
        <v>2</v>
      </c>
      <c r="B29" s="7" t="s">
        <v>3</v>
      </c>
      <c r="C29" s="245" t="s">
        <v>688</v>
      </c>
      <c r="D29" s="7" t="s">
        <v>4</v>
      </c>
      <c r="E29" s="6" t="s">
        <v>5</v>
      </c>
      <c r="F29" s="6" t="s">
        <v>6</v>
      </c>
      <c r="G29" s="6" t="s">
        <v>7</v>
      </c>
      <c r="H29" s="6" t="s">
        <v>8</v>
      </c>
      <c r="I29" s="8" t="s">
        <v>9</v>
      </c>
      <c r="J29" s="9" t="s">
        <v>10</v>
      </c>
      <c r="K29" s="8" t="s">
        <v>11</v>
      </c>
      <c r="L29" s="10" t="s">
        <v>12</v>
      </c>
      <c r="M29" s="10" t="s">
        <v>13</v>
      </c>
      <c r="N29" s="11" t="s">
        <v>14</v>
      </c>
      <c r="O29" s="10" t="s">
        <v>691</v>
      </c>
      <c r="P29" s="10" t="s">
        <v>28</v>
      </c>
      <c r="Q29" s="5"/>
      <c r="R29" s="10" t="s">
        <v>16</v>
      </c>
      <c r="S29" s="10" t="s">
        <v>17</v>
      </c>
      <c r="T29" s="10" t="s">
        <v>18</v>
      </c>
      <c r="U29" s="10" t="s">
        <v>19</v>
      </c>
      <c r="V29" s="10" t="s">
        <v>20</v>
      </c>
      <c r="W29" s="13"/>
      <c r="X29" s="15" t="s">
        <v>23</v>
      </c>
      <c r="Y29" s="5"/>
      <c r="AA29" s="251" t="s">
        <v>2554</v>
      </c>
      <c r="AC29">
        <v>9</v>
      </c>
      <c r="AD29" s="16" t="s">
        <v>161</v>
      </c>
      <c r="AE29" s="58">
        <f>+AC29*10</f>
        <v>90</v>
      </c>
      <c r="AG29">
        <v>2</v>
      </c>
      <c r="AH29" s="16" t="s">
        <v>161</v>
      </c>
      <c r="AI29" s="58">
        <f>+AG29*10</f>
        <v>20</v>
      </c>
      <c r="AK29" s="61" t="s">
        <v>173</v>
      </c>
      <c r="AL29" s="62" t="s">
        <v>174</v>
      </c>
      <c r="AM29">
        <v>2</v>
      </c>
      <c r="AN29" s="16" t="s">
        <v>161</v>
      </c>
      <c r="AO29" s="58">
        <f>+AM29*10</f>
        <v>20</v>
      </c>
    </row>
    <row r="30" spans="1:41" x14ac:dyDescent="0.25">
      <c r="A30" s="16">
        <v>1</v>
      </c>
      <c r="B30" s="92">
        <v>45182</v>
      </c>
      <c r="C30" s="23">
        <v>0.4236111111111111</v>
      </c>
      <c r="D30" s="23" t="s">
        <v>1033</v>
      </c>
      <c r="E30" s="32">
        <v>5516609716</v>
      </c>
      <c r="F30" s="32" t="s">
        <v>2005</v>
      </c>
      <c r="G30" s="39" t="s">
        <v>918</v>
      </c>
      <c r="H30" s="39" t="s">
        <v>2865</v>
      </c>
      <c r="I30" s="122"/>
      <c r="J30" s="32">
        <v>78</v>
      </c>
      <c r="K30" s="20">
        <v>10</v>
      </c>
      <c r="L30" s="21">
        <v>20</v>
      </c>
      <c r="M30" s="21">
        <f t="shared" ref="M30:M47" si="4">+J30+K30</f>
        <v>88</v>
      </c>
      <c r="N30" s="21">
        <f t="shared" ref="N30:N47" si="5">+I30-M30</f>
        <v>-88</v>
      </c>
      <c r="O30" s="21"/>
      <c r="P30" s="21"/>
      <c r="Q30" s="5"/>
      <c r="R30" s="21">
        <v>100</v>
      </c>
      <c r="S30" s="16"/>
      <c r="T30" s="21">
        <f t="shared" ref="T30:T47" si="6">+R30+S30</f>
        <v>100</v>
      </c>
      <c r="U30" s="21">
        <v>120</v>
      </c>
      <c r="V30" s="78">
        <f>+U30-T30+O30+P30</f>
        <v>20</v>
      </c>
      <c r="W30" s="13"/>
      <c r="X30" s="333"/>
      <c r="Y30" s="5"/>
      <c r="AC30">
        <v>40</v>
      </c>
      <c r="AD30" s="59" t="s">
        <v>162</v>
      </c>
      <c r="AE30" s="18">
        <f>+AC30*1</f>
        <v>40</v>
      </c>
      <c r="AG30">
        <v>6</v>
      </c>
      <c r="AH30" s="59" t="s">
        <v>162</v>
      </c>
      <c r="AI30" s="18">
        <f>+AG30*1</f>
        <v>6</v>
      </c>
      <c r="AK30" s="16">
        <v>802</v>
      </c>
      <c r="AL30" s="16"/>
      <c r="AM30">
        <v>6</v>
      </c>
      <c r="AN30" s="59" t="s">
        <v>162</v>
      </c>
      <c r="AO30" s="18">
        <f>+AM30*1</f>
        <v>6</v>
      </c>
    </row>
    <row r="31" spans="1:41" x14ac:dyDescent="0.25">
      <c r="A31" s="26">
        <v>2</v>
      </c>
      <c r="B31" s="92">
        <v>45182</v>
      </c>
      <c r="C31" s="23">
        <v>0.4375</v>
      </c>
      <c r="D31" s="31" t="s">
        <v>2862</v>
      </c>
      <c r="E31" s="32">
        <v>5562185282</v>
      </c>
      <c r="F31" s="32" t="s">
        <v>788</v>
      </c>
      <c r="G31" s="32" t="s">
        <v>2863</v>
      </c>
      <c r="H31" s="39" t="s">
        <v>2864</v>
      </c>
      <c r="I31" s="122">
        <v>120</v>
      </c>
      <c r="J31" s="32">
        <v>100</v>
      </c>
      <c r="K31" s="20">
        <v>10</v>
      </c>
      <c r="L31" s="21">
        <v>20</v>
      </c>
      <c r="M31" s="21">
        <f t="shared" si="4"/>
        <v>110</v>
      </c>
      <c r="N31" s="21">
        <f t="shared" si="5"/>
        <v>10</v>
      </c>
      <c r="O31" s="21"/>
      <c r="P31" s="21"/>
      <c r="Q31" s="5"/>
      <c r="R31" s="21">
        <v>200</v>
      </c>
      <c r="S31" s="16"/>
      <c r="T31" s="21">
        <f t="shared" si="6"/>
        <v>200</v>
      </c>
      <c r="U31" s="21">
        <v>221</v>
      </c>
      <c r="V31" s="78">
        <f t="shared" ref="V31:V40" si="7">+U31-T31+O31+P31</f>
        <v>21</v>
      </c>
      <c r="W31" s="140"/>
      <c r="X31" s="334"/>
      <c r="Y31" s="5"/>
      <c r="AA31" s="83">
        <f>+AE15-AE39</f>
        <v>41.5</v>
      </c>
      <c r="AC31">
        <v>11</v>
      </c>
      <c r="AD31" s="16" t="s">
        <v>163</v>
      </c>
      <c r="AE31" s="60">
        <f>+AC31*5</f>
        <v>55</v>
      </c>
      <c r="AG31">
        <v>47</v>
      </c>
      <c r="AH31" s="16" t="s">
        <v>163</v>
      </c>
      <c r="AI31" s="60">
        <f>+AG31*5</f>
        <v>235</v>
      </c>
      <c r="AK31" s="16"/>
      <c r="AL31" s="16"/>
      <c r="AM31">
        <v>47</v>
      </c>
      <c r="AN31" s="16" t="s">
        <v>163</v>
      </c>
      <c r="AO31" s="60">
        <f>+AM31*5</f>
        <v>235</v>
      </c>
    </row>
    <row r="32" spans="1:41" x14ac:dyDescent="0.25">
      <c r="A32" s="143">
        <v>3</v>
      </c>
      <c r="B32" s="142">
        <v>45182</v>
      </c>
      <c r="C32" s="23">
        <v>0.45</v>
      </c>
      <c r="D32" s="31" t="s">
        <v>2644</v>
      </c>
      <c r="E32" s="32">
        <v>5537803548</v>
      </c>
      <c r="F32" s="32" t="s">
        <v>106</v>
      </c>
      <c r="G32" s="32" t="s">
        <v>2878</v>
      </c>
      <c r="H32" s="39" t="s">
        <v>2879</v>
      </c>
      <c r="I32" s="122"/>
      <c r="J32" s="32">
        <v>97</v>
      </c>
      <c r="K32" s="20">
        <v>14</v>
      </c>
      <c r="L32" s="21"/>
      <c r="M32" s="21">
        <f t="shared" si="4"/>
        <v>111</v>
      </c>
      <c r="N32" s="21">
        <f t="shared" si="5"/>
        <v>-111</v>
      </c>
      <c r="O32" s="21"/>
      <c r="P32" s="21"/>
      <c r="Q32" s="5"/>
      <c r="R32" s="21">
        <v>100</v>
      </c>
      <c r="S32" s="16"/>
      <c r="T32" s="21">
        <f t="shared" si="6"/>
        <v>100</v>
      </c>
      <c r="U32" s="21">
        <v>115</v>
      </c>
      <c r="V32" s="78">
        <f t="shared" si="7"/>
        <v>15</v>
      </c>
      <c r="W32" s="140"/>
      <c r="X32" s="334"/>
      <c r="Y32" s="5"/>
      <c r="AC32">
        <v>1</v>
      </c>
      <c r="AD32" s="16" t="s">
        <v>164</v>
      </c>
      <c r="AE32" s="18">
        <f>+AC32*200</f>
        <v>200</v>
      </c>
      <c r="AG32">
        <v>2</v>
      </c>
      <c r="AH32" s="16" t="s">
        <v>164</v>
      </c>
      <c r="AI32" s="18">
        <f>+AG32*200</f>
        <v>400</v>
      </c>
      <c r="AK32" s="16"/>
      <c r="AL32" s="16"/>
      <c r="AN32" s="16" t="s">
        <v>164</v>
      </c>
      <c r="AO32" s="18">
        <f>+AM32*200</f>
        <v>0</v>
      </c>
    </row>
    <row r="33" spans="1:41" x14ac:dyDescent="0.25">
      <c r="A33" s="143">
        <v>4</v>
      </c>
      <c r="B33" s="142">
        <v>45182</v>
      </c>
      <c r="C33" s="23">
        <v>0.55555555555555558</v>
      </c>
      <c r="D33" s="31" t="s">
        <v>2880</v>
      </c>
      <c r="E33" s="32">
        <v>5523163096</v>
      </c>
      <c r="F33" s="32" t="s">
        <v>2882</v>
      </c>
      <c r="G33" s="32">
        <v>111</v>
      </c>
      <c r="H33" s="39" t="s">
        <v>2883</v>
      </c>
      <c r="I33" s="122"/>
      <c r="J33" s="32">
        <v>342</v>
      </c>
      <c r="K33" s="20">
        <v>10</v>
      </c>
      <c r="L33" s="21"/>
      <c r="M33" s="21">
        <f t="shared" si="4"/>
        <v>352</v>
      </c>
      <c r="N33" s="21">
        <f t="shared" si="5"/>
        <v>-352</v>
      </c>
      <c r="O33" s="21">
        <v>574</v>
      </c>
      <c r="P33" s="21"/>
      <c r="Q33" s="5"/>
      <c r="R33" s="21">
        <v>550</v>
      </c>
      <c r="S33" s="16"/>
      <c r="T33" s="21">
        <f t="shared" si="6"/>
        <v>550</v>
      </c>
      <c r="U33" s="21"/>
      <c r="V33" s="78">
        <f t="shared" si="7"/>
        <v>24</v>
      </c>
      <c r="W33" s="140"/>
      <c r="X33" s="334"/>
      <c r="Y33" s="5"/>
      <c r="AA33" s="83"/>
      <c r="AC33">
        <v>1</v>
      </c>
      <c r="AD33" s="16" t="s">
        <v>165</v>
      </c>
      <c r="AE33" s="18">
        <f>+AC33*100</f>
        <v>100</v>
      </c>
      <c r="AG33">
        <v>2</v>
      </c>
      <c r="AH33" s="16" t="s">
        <v>165</v>
      </c>
      <c r="AI33" s="18">
        <f>+AG33*100</f>
        <v>200</v>
      </c>
      <c r="AK33" s="16"/>
      <c r="AL33" s="16"/>
      <c r="AM33">
        <v>2</v>
      </c>
      <c r="AN33" s="16" t="s">
        <v>165</v>
      </c>
      <c r="AO33" s="18">
        <f>+AM33*100</f>
        <v>200</v>
      </c>
    </row>
    <row r="34" spans="1:41" x14ac:dyDescent="0.25">
      <c r="A34" s="143">
        <v>5</v>
      </c>
      <c r="B34" s="261">
        <v>45182</v>
      </c>
      <c r="C34" s="262">
        <v>0.57916666666666672</v>
      </c>
      <c r="D34" s="212" t="s">
        <v>125</v>
      </c>
      <c r="E34" s="213">
        <v>5529573104</v>
      </c>
      <c r="F34" s="213" t="s">
        <v>106</v>
      </c>
      <c r="G34" s="213" t="s">
        <v>745</v>
      </c>
      <c r="H34" s="213" t="s">
        <v>2884</v>
      </c>
      <c r="I34" s="215">
        <v>100</v>
      </c>
      <c r="J34" s="213">
        <v>84</v>
      </c>
      <c r="K34" s="216">
        <v>10</v>
      </c>
      <c r="L34" s="217">
        <v>6</v>
      </c>
      <c r="M34" s="217">
        <f t="shared" si="4"/>
        <v>94</v>
      </c>
      <c r="N34" s="217">
        <f t="shared" si="5"/>
        <v>6</v>
      </c>
      <c r="O34" s="217"/>
      <c r="P34" s="217"/>
      <c r="Q34" s="218"/>
      <c r="R34" s="219"/>
      <c r="S34" s="209"/>
      <c r="T34" s="259">
        <f t="shared" si="6"/>
        <v>0</v>
      </c>
      <c r="U34" s="259">
        <v>10</v>
      </c>
      <c r="V34" s="260">
        <f t="shared" si="7"/>
        <v>10</v>
      </c>
      <c r="W34" s="140"/>
      <c r="X34" s="334"/>
      <c r="Y34" s="5"/>
      <c r="AC34">
        <v>4</v>
      </c>
      <c r="AD34" s="16" t="s">
        <v>166</v>
      </c>
      <c r="AE34" s="18">
        <f>+AC34*50</f>
        <v>200</v>
      </c>
      <c r="AG34">
        <v>4</v>
      </c>
      <c r="AH34" s="16" t="s">
        <v>166</v>
      </c>
      <c r="AI34" s="18">
        <f>+AG34*50</f>
        <v>200</v>
      </c>
      <c r="AK34" s="16"/>
      <c r="AL34" s="16"/>
      <c r="AM34">
        <v>2</v>
      </c>
      <c r="AN34" s="16" t="s">
        <v>166</v>
      </c>
      <c r="AO34" s="18">
        <f>+AM34*50</f>
        <v>100</v>
      </c>
    </row>
    <row r="35" spans="1:41" x14ac:dyDescent="0.25">
      <c r="A35" s="143">
        <v>6</v>
      </c>
      <c r="B35" s="142">
        <v>45182</v>
      </c>
      <c r="C35" s="23">
        <v>0.62222222222222223</v>
      </c>
      <c r="D35" s="23" t="s">
        <v>1124</v>
      </c>
      <c r="E35" s="32">
        <v>5624838493</v>
      </c>
      <c r="F35" s="32" t="s">
        <v>1151</v>
      </c>
      <c r="G35" s="32" t="s">
        <v>1227</v>
      </c>
      <c r="H35" s="39" t="s">
        <v>1008</v>
      </c>
      <c r="I35" s="39"/>
      <c r="J35" s="42">
        <v>27</v>
      </c>
      <c r="K35" s="20">
        <v>10</v>
      </c>
      <c r="L35" s="21"/>
      <c r="M35" s="21">
        <f t="shared" si="4"/>
        <v>37</v>
      </c>
      <c r="N35" s="21">
        <f t="shared" si="5"/>
        <v>-37</v>
      </c>
      <c r="O35" s="21">
        <v>27</v>
      </c>
      <c r="P35" s="21"/>
      <c r="Q35" s="5"/>
      <c r="R35" s="16"/>
      <c r="S35" s="16"/>
      <c r="T35" s="21">
        <f t="shared" si="6"/>
        <v>0</v>
      </c>
      <c r="U35" s="16"/>
      <c r="V35" s="78">
        <f t="shared" si="7"/>
        <v>27</v>
      </c>
      <c r="W35" s="140"/>
      <c r="X35" s="334"/>
      <c r="Y35" s="5"/>
      <c r="AC35">
        <v>4</v>
      </c>
      <c r="AD35" s="16" t="s">
        <v>167</v>
      </c>
      <c r="AE35" s="18">
        <f>+AC35*20</f>
        <v>80</v>
      </c>
      <c r="AG35">
        <v>5</v>
      </c>
      <c r="AH35" s="16" t="s">
        <v>167</v>
      </c>
      <c r="AI35" s="18">
        <f>+AG35*20</f>
        <v>100</v>
      </c>
      <c r="AK35" s="16"/>
      <c r="AL35" s="16"/>
      <c r="AN35" s="16" t="s">
        <v>167</v>
      </c>
      <c r="AO35" s="18">
        <f>+AM35*20</f>
        <v>0</v>
      </c>
    </row>
    <row r="36" spans="1:41" x14ac:dyDescent="0.25">
      <c r="A36" s="143">
        <v>8</v>
      </c>
      <c r="B36" s="142">
        <v>45182</v>
      </c>
      <c r="C36" s="23">
        <v>0.76527777777777783</v>
      </c>
      <c r="D36" s="23" t="s">
        <v>364</v>
      </c>
      <c r="E36" s="123">
        <v>5553838178</v>
      </c>
      <c r="F36" s="123" t="s">
        <v>2854</v>
      </c>
      <c r="G36" s="123" t="s">
        <v>2867</v>
      </c>
      <c r="H36" s="39" t="s">
        <v>2866</v>
      </c>
      <c r="I36" s="122">
        <v>200</v>
      </c>
      <c r="J36" s="32">
        <v>71</v>
      </c>
      <c r="K36" s="20">
        <v>12</v>
      </c>
      <c r="L36" s="21">
        <v>10</v>
      </c>
      <c r="M36" s="21">
        <f t="shared" si="4"/>
        <v>83</v>
      </c>
      <c r="N36" s="21">
        <f t="shared" si="5"/>
        <v>117</v>
      </c>
      <c r="O36" s="21"/>
      <c r="P36" s="21"/>
      <c r="Q36" s="5"/>
      <c r="R36" s="16">
        <v>200</v>
      </c>
      <c r="S36" s="16"/>
      <c r="T36" s="21">
        <f t="shared" si="6"/>
        <v>200</v>
      </c>
      <c r="U36" s="16">
        <v>222</v>
      </c>
      <c r="V36" s="78">
        <f t="shared" si="7"/>
        <v>22</v>
      </c>
      <c r="W36" s="140"/>
      <c r="X36" s="334"/>
      <c r="Y36" s="5"/>
      <c r="AD36" s="16" t="s">
        <v>168</v>
      </c>
      <c r="AE36" s="18">
        <f>+AC36*1000</f>
        <v>0</v>
      </c>
      <c r="AH36" s="16" t="s">
        <v>168</v>
      </c>
      <c r="AI36" s="18">
        <f>+AG36*1000</f>
        <v>0</v>
      </c>
      <c r="AK36" s="16"/>
      <c r="AL36" s="16"/>
      <c r="AN36" s="16" t="s">
        <v>168</v>
      </c>
      <c r="AO36" s="18">
        <f>+AM36*1000</f>
        <v>0</v>
      </c>
    </row>
    <row r="37" spans="1:41" x14ac:dyDescent="0.25">
      <c r="A37" s="143">
        <v>9</v>
      </c>
      <c r="B37" s="142">
        <v>45182</v>
      </c>
      <c r="C37" s="23" t="s">
        <v>2881</v>
      </c>
      <c r="D37" s="23" t="s">
        <v>2871</v>
      </c>
      <c r="E37" s="32">
        <v>5527189840</v>
      </c>
      <c r="F37" s="32" t="s">
        <v>114</v>
      </c>
      <c r="G37" s="32" t="s">
        <v>2870</v>
      </c>
      <c r="H37" s="39" t="s">
        <v>2869</v>
      </c>
      <c r="I37" s="39">
        <v>350</v>
      </c>
      <c r="J37" s="40">
        <v>339</v>
      </c>
      <c r="K37" s="20">
        <v>12</v>
      </c>
      <c r="L37" s="21"/>
      <c r="M37" s="21">
        <f t="shared" si="4"/>
        <v>351</v>
      </c>
      <c r="N37" s="21">
        <f t="shared" si="5"/>
        <v>-1</v>
      </c>
      <c r="O37" s="21"/>
      <c r="P37" s="21"/>
      <c r="Q37" s="5"/>
      <c r="R37" s="16">
        <v>350</v>
      </c>
      <c r="S37" s="16"/>
      <c r="T37" s="21">
        <f t="shared" si="6"/>
        <v>350</v>
      </c>
      <c r="U37" s="16">
        <v>362</v>
      </c>
      <c r="V37" s="78">
        <f t="shared" si="7"/>
        <v>12</v>
      </c>
      <c r="W37" s="140"/>
      <c r="X37" s="334"/>
      <c r="Y37" s="5"/>
      <c r="AD37" s="26"/>
      <c r="AE37" s="58"/>
      <c r="AH37" s="26"/>
      <c r="AI37" s="58"/>
      <c r="AK37" s="16"/>
      <c r="AL37" s="16"/>
      <c r="AN37" s="26"/>
      <c r="AO37" s="58"/>
    </row>
    <row r="38" spans="1:41" x14ac:dyDescent="0.25">
      <c r="A38" s="143">
        <v>10</v>
      </c>
      <c r="B38" s="142">
        <v>45182</v>
      </c>
      <c r="C38" s="23">
        <v>0.80555555555555547</v>
      </c>
      <c r="D38" s="23" t="s">
        <v>245</v>
      </c>
      <c r="E38" s="32">
        <v>5530508709</v>
      </c>
      <c r="F38" s="32" t="s">
        <v>28</v>
      </c>
      <c r="G38" s="32" t="s">
        <v>2847</v>
      </c>
      <c r="H38" s="39" t="s">
        <v>2868</v>
      </c>
      <c r="I38" s="122">
        <v>122</v>
      </c>
      <c r="J38" s="42">
        <v>100</v>
      </c>
      <c r="K38" s="20">
        <v>12</v>
      </c>
      <c r="L38" s="21">
        <v>10</v>
      </c>
      <c r="M38" s="21">
        <f t="shared" si="4"/>
        <v>112</v>
      </c>
      <c r="N38" s="21">
        <v>0</v>
      </c>
      <c r="O38" s="21"/>
      <c r="P38" s="21"/>
      <c r="Q38" s="5"/>
      <c r="R38" s="16">
        <v>200</v>
      </c>
      <c r="S38" s="16"/>
      <c r="T38" s="21">
        <f t="shared" si="6"/>
        <v>200</v>
      </c>
      <c r="U38" s="16">
        <v>221</v>
      </c>
      <c r="V38" s="78">
        <f t="shared" si="7"/>
        <v>21</v>
      </c>
      <c r="W38" s="140"/>
      <c r="X38" s="334"/>
      <c r="Y38" s="5"/>
      <c r="AD38" s="16" t="s">
        <v>169</v>
      </c>
      <c r="AE38" s="18">
        <f>SUM(AE29:AE37)</f>
        <v>765</v>
      </c>
      <c r="AH38" s="16" t="s">
        <v>169</v>
      </c>
      <c r="AI38" s="18">
        <f>SUM(AI29:AI37)</f>
        <v>1161</v>
      </c>
      <c r="AK38" s="16"/>
      <c r="AL38" s="16"/>
      <c r="AN38" s="16" t="s">
        <v>169</v>
      </c>
      <c r="AO38" s="18"/>
    </row>
    <row r="39" spans="1:41" x14ac:dyDescent="0.25">
      <c r="A39" s="143">
        <v>11</v>
      </c>
      <c r="B39" s="142">
        <v>45182</v>
      </c>
      <c r="C39" s="23">
        <v>0.875</v>
      </c>
      <c r="D39" s="23" t="s">
        <v>319</v>
      </c>
      <c r="E39" s="124">
        <v>5566778894</v>
      </c>
      <c r="F39" s="123" t="s">
        <v>52</v>
      </c>
      <c r="G39" s="123" t="s">
        <v>2876</v>
      </c>
      <c r="H39" s="39" t="s">
        <v>2873</v>
      </c>
      <c r="I39" s="122">
        <v>200</v>
      </c>
      <c r="J39" s="42">
        <v>160</v>
      </c>
      <c r="K39" s="20">
        <v>13</v>
      </c>
      <c r="L39" s="21"/>
      <c r="M39" s="21">
        <f t="shared" si="4"/>
        <v>173</v>
      </c>
      <c r="N39" s="21">
        <f t="shared" si="5"/>
        <v>27</v>
      </c>
      <c r="O39" s="21"/>
      <c r="P39" s="21"/>
      <c r="Q39" s="5"/>
      <c r="R39" s="16">
        <v>200</v>
      </c>
      <c r="S39" s="16"/>
      <c r="T39" s="21">
        <f t="shared" si="6"/>
        <v>200</v>
      </c>
      <c r="U39" s="16">
        <v>213</v>
      </c>
      <c r="V39" s="78">
        <f t="shared" si="7"/>
        <v>13</v>
      </c>
      <c r="W39" s="140"/>
      <c r="X39" s="334"/>
      <c r="Y39" s="5"/>
      <c r="AE39">
        <v>765</v>
      </c>
      <c r="AK39" s="16"/>
      <c r="AL39" s="16"/>
      <c r="AN39" s="16"/>
      <c r="AO39" s="16"/>
    </row>
    <row r="40" spans="1:41" x14ac:dyDescent="0.25">
      <c r="A40" s="143">
        <v>12</v>
      </c>
      <c r="B40" s="142">
        <v>45182</v>
      </c>
      <c r="C40" s="23">
        <v>0.39652777777777781</v>
      </c>
      <c r="D40" s="32" t="s">
        <v>225</v>
      </c>
      <c r="E40" s="32">
        <v>5610022010</v>
      </c>
      <c r="F40" s="124" t="s">
        <v>656</v>
      </c>
      <c r="G40" s="123" t="s">
        <v>2875</v>
      </c>
      <c r="H40" s="39" t="s">
        <v>2874</v>
      </c>
      <c r="I40" s="39">
        <v>70</v>
      </c>
      <c r="J40" s="42">
        <v>50</v>
      </c>
      <c r="K40" s="20">
        <v>20</v>
      </c>
      <c r="L40" s="21"/>
      <c r="M40" s="21">
        <f t="shared" si="4"/>
        <v>70</v>
      </c>
      <c r="N40" s="21">
        <f t="shared" si="5"/>
        <v>0</v>
      </c>
      <c r="O40" s="21"/>
      <c r="P40" s="21"/>
      <c r="Q40" s="5"/>
      <c r="R40" s="45">
        <v>100</v>
      </c>
      <c r="S40" s="44"/>
      <c r="T40" s="21">
        <f t="shared" si="6"/>
        <v>100</v>
      </c>
      <c r="U40" s="45">
        <v>120</v>
      </c>
      <c r="V40" s="78">
        <f t="shared" si="7"/>
        <v>20</v>
      </c>
      <c r="W40" s="140"/>
      <c r="X40" s="334"/>
      <c r="Y40" s="5"/>
      <c r="AK40" s="63" t="s">
        <v>169</v>
      </c>
      <c r="AL40" s="63">
        <f>+SUM(AK30:AK39)-SUM(AL30:AL39)</f>
        <v>802</v>
      </c>
      <c r="AN40" s="63" t="s">
        <v>169</v>
      </c>
      <c r="AO40" s="85">
        <f>+SUM(AN29:AN39)-SUM(AO30:AO39)</f>
        <v>-541</v>
      </c>
    </row>
    <row r="41" spans="1:41" x14ac:dyDescent="0.25">
      <c r="A41" s="143">
        <v>13</v>
      </c>
      <c r="B41" s="142">
        <v>45182</v>
      </c>
      <c r="C41" s="23">
        <v>0.40277777777777773</v>
      </c>
      <c r="D41" s="31" t="s">
        <v>2722</v>
      </c>
      <c r="E41" s="32">
        <v>5612050452</v>
      </c>
      <c r="F41" s="32" t="s">
        <v>52</v>
      </c>
      <c r="G41" s="32" t="s">
        <v>1689</v>
      </c>
      <c r="H41" s="39" t="s">
        <v>2872</v>
      </c>
      <c r="I41" s="39">
        <v>180</v>
      </c>
      <c r="J41" s="42">
        <v>162</v>
      </c>
      <c r="K41" s="20">
        <v>14</v>
      </c>
      <c r="L41" s="21">
        <v>4</v>
      </c>
      <c r="M41" s="21">
        <f t="shared" si="4"/>
        <v>176</v>
      </c>
      <c r="N41" s="21"/>
      <c r="O41" s="21">
        <v>180</v>
      </c>
      <c r="P41" s="21"/>
      <c r="Q41" s="5"/>
      <c r="R41" s="43">
        <v>250</v>
      </c>
      <c r="S41" s="32"/>
      <c r="T41" s="21">
        <f t="shared" si="6"/>
        <v>250</v>
      </c>
      <c r="U41" s="43">
        <v>268</v>
      </c>
      <c r="V41" s="78">
        <v>18</v>
      </c>
      <c r="W41" s="140"/>
      <c r="X41" s="334"/>
      <c r="Y41" s="5"/>
      <c r="AI41" s="83"/>
    </row>
    <row r="42" spans="1:41" x14ac:dyDescent="0.25">
      <c r="A42" s="143">
        <v>14</v>
      </c>
      <c r="B42" s="142">
        <v>45182</v>
      </c>
      <c r="C42" s="23"/>
      <c r="D42" s="31"/>
      <c r="E42" s="32"/>
      <c r="F42" s="32"/>
      <c r="G42" s="32"/>
      <c r="H42" s="39"/>
      <c r="I42" s="39"/>
      <c r="J42" s="42"/>
      <c r="K42" s="20">
        <v>10</v>
      </c>
      <c r="L42" s="21"/>
      <c r="M42" s="21">
        <f t="shared" si="4"/>
        <v>10</v>
      </c>
      <c r="N42" s="21">
        <f t="shared" si="5"/>
        <v>-10</v>
      </c>
      <c r="O42" s="21"/>
      <c r="P42" s="21"/>
      <c r="Q42" s="5"/>
      <c r="R42" s="43"/>
      <c r="S42" s="43"/>
      <c r="T42" s="21">
        <f t="shared" si="6"/>
        <v>0</v>
      </c>
      <c r="U42" s="43"/>
      <c r="V42" s="78">
        <f t="shared" ref="V42:V47" si="8">+U42-T42+O42+P42</f>
        <v>0</v>
      </c>
      <c r="W42" s="140"/>
      <c r="X42" s="334"/>
      <c r="Y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41" x14ac:dyDescent="0.25">
      <c r="A43" s="143">
        <v>15</v>
      </c>
      <c r="B43" s="142">
        <v>45182</v>
      </c>
      <c r="C43" s="23"/>
      <c r="D43" s="127"/>
      <c r="E43" s="32"/>
      <c r="F43" s="32"/>
      <c r="G43" s="128"/>
      <c r="H43" s="129"/>
      <c r="I43" s="39"/>
      <c r="J43" s="42"/>
      <c r="K43" s="20">
        <v>10</v>
      </c>
      <c r="L43" s="21"/>
      <c r="M43" s="21">
        <f t="shared" si="4"/>
        <v>10</v>
      </c>
      <c r="N43" s="21">
        <f t="shared" si="5"/>
        <v>-10</v>
      </c>
      <c r="O43" s="21"/>
      <c r="P43" s="21"/>
      <c r="Q43" s="5"/>
      <c r="R43" s="43"/>
      <c r="S43" s="43"/>
      <c r="T43" s="21">
        <f t="shared" si="6"/>
        <v>0</v>
      </c>
      <c r="U43" s="43"/>
      <c r="V43" s="78">
        <f t="shared" si="8"/>
        <v>0</v>
      </c>
      <c r="W43" s="140"/>
      <c r="X43" s="334"/>
      <c r="Y43" s="5"/>
      <c r="AD43" s="5"/>
      <c r="AE43" s="134" t="s">
        <v>20</v>
      </c>
      <c r="AF43" s="338"/>
      <c r="AG43" s="341" t="s">
        <v>686</v>
      </c>
      <c r="AH43" s="134" t="s">
        <v>20</v>
      </c>
      <c r="AI43" s="338">
        <v>61</v>
      </c>
      <c r="AJ43" s="341" t="s">
        <v>687</v>
      </c>
      <c r="AK43" s="134" t="s">
        <v>20</v>
      </c>
      <c r="AL43" s="338"/>
      <c r="AM43" s="5"/>
    </row>
    <row r="44" spans="1:41" x14ac:dyDescent="0.25">
      <c r="A44" s="143">
        <v>16</v>
      </c>
      <c r="B44" s="142">
        <v>45182</v>
      </c>
      <c r="C44" s="23"/>
      <c r="D44" s="31"/>
      <c r="E44" s="32"/>
      <c r="F44" s="32"/>
      <c r="G44" s="32"/>
      <c r="H44" s="39"/>
      <c r="I44" s="39"/>
      <c r="J44" s="42"/>
      <c r="K44" s="20">
        <v>10</v>
      </c>
      <c r="L44" s="21"/>
      <c r="M44" s="21">
        <f t="shared" si="4"/>
        <v>10</v>
      </c>
      <c r="N44" s="21">
        <f t="shared" si="5"/>
        <v>-10</v>
      </c>
      <c r="O44" s="21"/>
      <c r="P44" s="21"/>
      <c r="Q44" s="5"/>
      <c r="R44" s="43"/>
      <c r="S44" s="32"/>
      <c r="T44" s="21">
        <f t="shared" si="6"/>
        <v>0</v>
      </c>
      <c r="U44" s="131"/>
      <c r="V44" s="78">
        <f t="shared" si="8"/>
        <v>0</v>
      </c>
      <c r="W44" s="140"/>
      <c r="X44" s="334"/>
      <c r="Y44" s="5"/>
      <c r="AD44" s="5" t="s">
        <v>685</v>
      </c>
      <c r="AE44" s="115" t="s">
        <v>684</v>
      </c>
      <c r="AF44" s="339"/>
      <c r="AG44" s="341"/>
      <c r="AH44" s="115" t="s">
        <v>684</v>
      </c>
      <c r="AI44" s="339"/>
      <c r="AJ44" s="341"/>
      <c r="AK44" s="115" t="s">
        <v>684</v>
      </c>
      <c r="AL44" s="339"/>
      <c r="AM44" s="5"/>
    </row>
    <row r="45" spans="1:41" x14ac:dyDescent="0.25">
      <c r="A45" s="143">
        <v>17</v>
      </c>
      <c r="B45" s="142">
        <v>45182</v>
      </c>
      <c r="C45" s="23"/>
      <c r="D45" s="31"/>
      <c r="E45" s="32"/>
      <c r="F45" s="32"/>
      <c r="G45" s="32"/>
      <c r="H45" s="39"/>
      <c r="I45" s="39"/>
      <c r="J45" s="42"/>
      <c r="K45" s="20">
        <v>10</v>
      </c>
      <c r="L45" s="21"/>
      <c r="M45" s="21">
        <f t="shared" si="4"/>
        <v>10</v>
      </c>
      <c r="N45" s="21">
        <f t="shared" si="5"/>
        <v>-10</v>
      </c>
      <c r="O45" s="21"/>
      <c r="P45" s="21"/>
      <c r="Q45" s="5"/>
      <c r="R45" s="43"/>
      <c r="S45" s="32"/>
      <c r="T45" s="21">
        <f t="shared" si="6"/>
        <v>0</v>
      </c>
      <c r="U45" s="132"/>
      <c r="V45" s="78">
        <f t="shared" si="8"/>
        <v>0</v>
      </c>
      <c r="W45" s="140"/>
      <c r="X45" s="340"/>
      <c r="Y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41" x14ac:dyDescent="0.25">
      <c r="A46" s="143">
        <v>18</v>
      </c>
      <c r="B46" s="142">
        <v>45182</v>
      </c>
      <c r="C46" s="32"/>
      <c r="D46" s="31"/>
      <c r="E46" s="32"/>
      <c r="F46" s="32"/>
      <c r="G46" s="32"/>
      <c r="H46" s="39"/>
      <c r="I46" s="39"/>
      <c r="J46" s="42"/>
      <c r="K46" s="20">
        <v>10</v>
      </c>
      <c r="L46" s="21"/>
      <c r="M46" s="21">
        <f t="shared" si="4"/>
        <v>10</v>
      </c>
      <c r="N46" s="21">
        <f t="shared" si="5"/>
        <v>-10</v>
      </c>
      <c r="O46" s="21"/>
      <c r="P46" s="21"/>
      <c r="Q46" s="5"/>
      <c r="R46" s="135"/>
      <c r="S46" s="104"/>
      <c r="T46" s="21">
        <f t="shared" si="6"/>
        <v>0</v>
      </c>
      <c r="U46" s="131"/>
      <c r="V46" s="78">
        <f t="shared" si="8"/>
        <v>0</v>
      </c>
      <c r="W46" s="140"/>
      <c r="Y46" s="5"/>
    </row>
    <row r="47" spans="1:41" x14ac:dyDescent="0.25">
      <c r="A47" s="143">
        <v>19</v>
      </c>
      <c r="B47" s="142">
        <v>45182</v>
      </c>
      <c r="C47" s="32"/>
      <c r="D47" s="31"/>
      <c r="E47" s="32"/>
      <c r="F47" s="32"/>
      <c r="G47" s="32"/>
      <c r="H47" s="39"/>
      <c r="I47" s="39"/>
      <c r="J47" s="42"/>
      <c r="K47" s="43">
        <v>10</v>
      </c>
      <c r="L47" s="21"/>
      <c r="M47" s="21">
        <f t="shared" si="4"/>
        <v>10</v>
      </c>
      <c r="N47" s="21">
        <f t="shared" si="5"/>
        <v>-10</v>
      </c>
      <c r="O47" s="21"/>
      <c r="P47" s="21"/>
      <c r="Q47" s="5"/>
      <c r="R47" s="32"/>
      <c r="S47" s="32"/>
      <c r="T47" s="21">
        <f t="shared" si="6"/>
        <v>0</v>
      </c>
      <c r="U47" s="32"/>
      <c r="V47" s="78">
        <f t="shared" si="8"/>
        <v>0</v>
      </c>
      <c r="W47" s="140"/>
      <c r="Y47" s="5"/>
    </row>
    <row r="48" spans="1:41" x14ac:dyDescent="0.25">
      <c r="I48" t="s">
        <v>3164</v>
      </c>
      <c r="J48">
        <f>SUM(J30:J41)</f>
        <v>1610</v>
      </c>
      <c r="V48" s="193">
        <f>+U49-44</f>
        <v>-44</v>
      </c>
    </row>
    <row r="49" spans="1:41" x14ac:dyDescent="0.25">
      <c r="L49" s="83"/>
    </row>
    <row r="51" spans="1:41" x14ac:dyDescent="0.25">
      <c r="A51" s="1" t="s">
        <v>0</v>
      </c>
      <c r="B51" s="1"/>
      <c r="C51" s="1"/>
      <c r="D51" s="1"/>
      <c r="E51" s="1"/>
      <c r="F51" s="1"/>
      <c r="G51" s="1"/>
      <c r="H51" s="1"/>
      <c r="I51" s="1"/>
      <c r="J51" s="1" t="s">
        <v>148</v>
      </c>
      <c r="K51" s="1"/>
      <c r="L51" s="1"/>
      <c r="M51" s="1"/>
      <c r="N51" s="1"/>
      <c r="O51" s="1"/>
      <c r="P51" s="1"/>
      <c r="Q51" s="1"/>
      <c r="R51" s="1"/>
      <c r="S51" s="1"/>
      <c r="T51" s="342" t="s">
        <v>1</v>
      </c>
      <c r="U51" s="342"/>
      <c r="V51" s="5"/>
      <c r="W51" s="139"/>
      <c r="X51" s="1"/>
      <c r="Y51" s="5"/>
      <c r="AD51" s="335" t="s">
        <v>160</v>
      </c>
      <c r="AE51" s="336"/>
      <c r="AH51" s="335" t="s">
        <v>170</v>
      </c>
      <c r="AI51" s="336"/>
      <c r="AK51" s="337" t="s">
        <v>172</v>
      </c>
      <c r="AL51" s="337"/>
      <c r="AN51" s="337" t="s">
        <v>2877</v>
      </c>
      <c r="AO51" s="337"/>
    </row>
    <row r="52" spans="1:41" ht="90" x14ac:dyDescent="0.25">
      <c r="A52" s="6" t="s">
        <v>2</v>
      </c>
      <c r="B52" s="7" t="s">
        <v>3</v>
      </c>
      <c r="C52" s="245" t="s">
        <v>688</v>
      </c>
      <c r="D52" s="7" t="s">
        <v>4</v>
      </c>
      <c r="E52" s="6" t="s">
        <v>5</v>
      </c>
      <c r="F52" s="6" t="s">
        <v>6</v>
      </c>
      <c r="G52" s="6" t="s">
        <v>7</v>
      </c>
      <c r="H52" s="6" t="s">
        <v>8</v>
      </c>
      <c r="I52" s="8" t="s">
        <v>9</v>
      </c>
      <c r="J52" s="9" t="s">
        <v>10</v>
      </c>
      <c r="K52" s="8" t="s">
        <v>11</v>
      </c>
      <c r="L52" s="10" t="s">
        <v>12</v>
      </c>
      <c r="M52" s="10" t="s">
        <v>13</v>
      </c>
      <c r="N52" s="11" t="s">
        <v>14</v>
      </c>
      <c r="O52" s="10" t="s">
        <v>691</v>
      </c>
      <c r="P52" s="10" t="s">
        <v>28</v>
      </c>
      <c r="Q52" s="5"/>
      <c r="R52" s="10" t="s">
        <v>16</v>
      </c>
      <c r="S52" s="10" t="s">
        <v>17</v>
      </c>
      <c r="T52" s="10" t="s">
        <v>18</v>
      </c>
      <c r="U52" s="10" t="s">
        <v>19</v>
      </c>
      <c r="V52" s="10" t="s">
        <v>20</v>
      </c>
      <c r="W52" s="13"/>
      <c r="X52" s="15" t="s">
        <v>23</v>
      </c>
      <c r="Y52" s="5"/>
      <c r="AA52" s="251" t="s">
        <v>2554</v>
      </c>
      <c r="AC52">
        <v>4</v>
      </c>
      <c r="AD52" s="16" t="s">
        <v>161</v>
      </c>
      <c r="AE52" s="58">
        <f>+AC52*10</f>
        <v>40</v>
      </c>
      <c r="AG52">
        <v>14</v>
      </c>
      <c r="AH52" s="16" t="s">
        <v>161</v>
      </c>
      <c r="AI52" s="58">
        <f>+AG52*10</f>
        <v>140</v>
      </c>
      <c r="AK52" s="61" t="s">
        <v>173</v>
      </c>
      <c r="AL52" s="62" t="s">
        <v>174</v>
      </c>
      <c r="AM52">
        <v>13</v>
      </c>
      <c r="AN52" s="16" t="s">
        <v>161</v>
      </c>
      <c r="AO52" s="58">
        <f>+AM52*10</f>
        <v>130</v>
      </c>
    </row>
    <row r="53" spans="1:41" x14ac:dyDescent="0.25">
      <c r="A53" s="16">
        <v>1</v>
      </c>
      <c r="B53" s="92">
        <v>45252</v>
      </c>
      <c r="C53" s="23">
        <v>0.4375</v>
      </c>
      <c r="D53" s="23" t="s">
        <v>1483</v>
      </c>
      <c r="E53" s="32">
        <v>5589529270</v>
      </c>
      <c r="F53" s="32" t="s">
        <v>1995</v>
      </c>
      <c r="G53" s="39" t="s">
        <v>1483</v>
      </c>
      <c r="H53" s="39" t="s">
        <v>2111</v>
      </c>
      <c r="I53" s="122">
        <v>290</v>
      </c>
      <c r="J53" s="32">
        <v>250</v>
      </c>
      <c r="K53" s="20">
        <v>40</v>
      </c>
      <c r="L53" s="21"/>
      <c r="M53" s="21">
        <f t="shared" ref="M53:M71" si="9">+J53+K53</f>
        <v>290</v>
      </c>
      <c r="N53" s="21">
        <f t="shared" ref="N53:N71" si="10">+I53-M53</f>
        <v>0</v>
      </c>
      <c r="O53" s="21"/>
      <c r="P53" s="21"/>
      <c r="Q53" s="5"/>
      <c r="R53" s="21">
        <v>300</v>
      </c>
      <c r="S53" s="16"/>
      <c r="T53" s="21">
        <f t="shared" ref="T53:T71" si="11">+R53+S53</f>
        <v>300</v>
      </c>
      <c r="U53" s="21"/>
      <c r="V53" s="78">
        <f>+U53-T53+O53+P53</f>
        <v>-300</v>
      </c>
      <c r="W53" s="13"/>
      <c r="X53" s="333"/>
      <c r="Y53" s="5"/>
      <c r="AC53">
        <v>73.5</v>
      </c>
      <c r="AD53" s="59" t="s">
        <v>162</v>
      </c>
      <c r="AE53" s="18">
        <f>+AC53*1</f>
        <v>73.5</v>
      </c>
      <c r="AG53">
        <v>78</v>
      </c>
      <c r="AH53" s="59" t="s">
        <v>162</v>
      </c>
      <c r="AI53" s="18">
        <f>+AG53*1</f>
        <v>78</v>
      </c>
      <c r="AK53" s="21"/>
      <c r="AL53" s="16"/>
      <c r="AM53">
        <v>75</v>
      </c>
      <c r="AN53" s="59" t="s">
        <v>162</v>
      </c>
      <c r="AO53" s="18">
        <f>+AM53*1</f>
        <v>75</v>
      </c>
    </row>
    <row r="54" spans="1:41" x14ac:dyDescent="0.25">
      <c r="A54" s="26">
        <v>2</v>
      </c>
      <c r="B54" s="92">
        <v>45252</v>
      </c>
      <c r="C54" s="23">
        <v>0.54166666666666663</v>
      </c>
      <c r="D54" s="31" t="s">
        <v>608</v>
      </c>
      <c r="E54" s="32">
        <v>5553181586</v>
      </c>
      <c r="F54" s="32" t="s">
        <v>788</v>
      </c>
      <c r="G54" s="32" t="s">
        <v>1881</v>
      </c>
      <c r="H54" s="39" t="s">
        <v>2888</v>
      </c>
      <c r="I54" s="122">
        <v>240</v>
      </c>
      <c r="J54" s="32">
        <v>196</v>
      </c>
      <c r="K54" s="20">
        <v>10</v>
      </c>
      <c r="L54" s="21">
        <v>30</v>
      </c>
      <c r="M54" s="21">
        <f t="shared" si="9"/>
        <v>206</v>
      </c>
      <c r="N54" s="21">
        <f t="shared" si="10"/>
        <v>34</v>
      </c>
      <c r="O54" s="21"/>
      <c r="P54" s="21"/>
      <c r="Q54" s="5"/>
      <c r="R54" s="21">
        <v>300</v>
      </c>
      <c r="S54" s="16"/>
      <c r="T54" s="21">
        <f t="shared" si="11"/>
        <v>300</v>
      </c>
      <c r="U54" s="21">
        <v>340</v>
      </c>
      <c r="V54" s="78">
        <f t="shared" ref="V54:V71" si="12">+U54-T54+O54+P54</f>
        <v>40</v>
      </c>
      <c r="W54" s="140"/>
      <c r="X54" s="334"/>
      <c r="Y54" s="5"/>
      <c r="AC54">
        <v>5</v>
      </c>
      <c r="AD54" s="16" t="s">
        <v>163</v>
      </c>
      <c r="AE54" s="60">
        <f>+AC54*5</f>
        <v>25</v>
      </c>
      <c r="AG54">
        <v>8</v>
      </c>
      <c r="AH54" s="16" t="s">
        <v>163</v>
      </c>
      <c r="AI54" s="60">
        <f>+AG54*5</f>
        <v>40</v>
      </c>
      <c r="AK54" s="21"/>
      <c r="AL54" s="16"/>
      <c r="AM54">
        <v>7</v>
      </c>
      <c r="AN54" s="16" t="s">
        <v>163</v>
      </c>
      <c r="AO54" s="60">
        <f>+AM54*5</f>
        <v>35</v>
      </c>
    </row>
    <row r="55" spans="1:41" x14ac:dyDescent="0.25">
      <c r="A55" s="143">
        <v>3</v>
      </c>
      <c r="B55" s="92">
        <v>45252</v>
      </c>
      <c r="C55" s="23">
        <v>0.61736111111111114</v>
      </c>
      <c r="D55" s="31" t="s">
        <v>2886</v>
      </c>
      <c r="E55" s="32">
        <v>5553839178</v>
      </c>
      <c r="F55" s="32" t="s">
        <v>2887</v>
      </c>
      <c r="G55" s="32"/>
      <c r="H55" s="39" t="s">
        <v>2889</v>
      </c>
      <c r="I55" s="122">
        <v>500</v>
      </c>
      <c r="J55" s="32">
        <v>154</v>
      </c>
      <c r="K55" s="20">
        <v>10</v>
      </c>
      <c r="L55" s="21">
        <v>16</v>
      </c>
      <c r="M55" s="21">
        <f t="shared" si="9"/>
        <v>164</v>
      </c>
      <c r="N55" s="21">
        <f t="shared" si="10"/>
        <v>336</v>
      </c>
      <c r="O55" s="21"/>
      <c r="P55" s="21"/>
      <c r="Q55" s="5"/>
      <c r="R55" s="21"/>
      <c r="S55" s="16"/>
      <c r="T55" s="21">
        <f t="shared" si="11"/>
        <v>0</v>
      </c>
      <c r="U55" s="21">
        <v>26</v>
      </c>
      <c r="V55" s="78">
        <f t="shared" si="12"/>
        <v>26</v>
      </c>
      <c r="W55" s="140"/>
      <c r="X55" s="334"/>
      <c r="Y55" s="5"/>
      <c r="AC55">
        <v>2</v>
      </c>
      <c r="AD55" s="16" t="s">
        <v>164</v>
      </c>
      <c r="AE55" s="18">
        <f>+AC55*200</f>
        <v>400</v>
      </c>
      <c r="AG55">
        <v>1</v>
      </c>
      <c r="AH55" s="16" t="s">
        <v>164</v>
      </c>
      <c r="AI55" s="18">
        <f>+AG55*200</f>
        <v>200</v>
      </c>
      <c r="AK55" s="21"/>
      <c r="AL55" s="16"/>
      <c r="AM55">
        <v>1</v>
      </c>
      <c r="AN55" s="16" t="s">
        <v>164</v>
      </c>
      <c r="AO55" s="18">
        <f>+AM55*200</f>
        <v>200</v>
      </c>
    </row>
    <row r="56" spans="1:41" x14ac:dyDescent="0.25">
      <c r="A56" s="41">
        <v>4</v>
      </c>
      <c r="B56" s="92">
        <v>45252</v>
      </c>
      <c r="C56" s="23"/>
      <c r="D56" s="31" t="s">
        <v>2644</v>
      </c>
      <c r="E56" s="32">
        <v>5537803548</v>
      </c>
      <c r="F56" s="32" t="s">
        <v>106</v>
      </c>
      <c r="G56" s="32" t="s">
        <v>2092</v>
      </c>
      <c r="H56" s="39" t="s">
        <v>2885</v>
      </c>
      <c r="I56" s="122">
        <v>88</v>
      </c>
      <c r="J56" s="32">
        <v>66</v>
      </c>
      <c r="K56" s="20">
        <v>10</v>
      </c>
      <c r="L56" s="21">
        <v>20</v>
      </c>
      <c r="M56" s="21">
        <f>+J56+K56</f>
        <v>76</v>
      </c>
      <c r="N56" s="21">
        <f>+I56-M56</f>
        <v>12</v>
      </c>
      <c r="O56" s="21">
        <v>88</v>
      </c>
      <c r="P56" s="21"/>
      <c r="Q56" s="5"/>
      <c r="R56" s="21">
        <v>88</v>
      </c>
      <c r="S56" s="16"/>
      <c r="T56" s="21">
        <f>+R56+S56</f>
        <v>88</v>
      </c>
      <c r="U56" s="21">
        <v>30</v>
      </c>
      <c r="V56" s="78">
        <f>+U56-T56+O56+P56</f>
        <v>30</v>
      </c>
      <c r="W56" s="140"/>
      <c r="X56" s="334"/>
      <c r="Y56" s="5"/>
      <c r="AC56">
        <v>1</v>
      </c>
      <c r="AD56" s="16" t="s">
        <v>165</v>
      </c>
      <c r="AE56" s="18">
        <f>+AC56*100</f>
        <v>100</v>
      </c>
      <c r="AH56" s="16" t="s">
        <v>165</v>
      </c>
      <c r="AI56" s="18">
        <f>+AG56*100</f>
        <v>0</v>
      </c>
      <c r="AK56" s="21">
        <v>88</v>
      </c>
      <c r="AL56" s="16"/>
      <c r="AN56" s="16" t="s">
        <v>165</v>
      </c>
      <c r="AO56" s="18">
        <f>+AM56*100</f>
        <v>0</v>
      </c>
    </row>
    <row r="57" spans="1:41" x14ac:dyDescent="0.25">
      <c r="A57" s="143">
        <v>5</v>
      </c>
      <c r="B57" s="92">
        <v>45252</v>
      </c>
      <c r="C57" s="23">
        <v>0.81736111111111109</v>
      </c>
      <c r="D57" s="31" t="s">
        <v>2644</v>
      </c>
      <c r="E57" s="32">
        <v>5537803548</v>
      </c>
      <c r="F57" s="32" t="s">
        <v>106</v>
      </c>
      <c r="G57" s="32" t="s">
        <v>2092</v>
      </c>
      <c r="H57" s="32" t="s">
        <v>2891</v>
      </c>
      <c r="I57" s="122">
        <v>200</v>
      </c>
      <c r="J57" s="32">
        <v>98</v>
      </c>
      <c r="K57" s="20">
        <v>10</v>
      </c>
      <c r="L57" s="21">
        <v>5</v>
      </c>
      <c r="M57" s="21">
        <f t="shared" si="9"/>
        <v>108</v>
      </c>
      <c r="N57" s="21">
        <f t="shared" si="10"/>
        <v>92</v>
      </c>
      <c r="O57" s="21">
        <v>136</v>
      </c>
      <c r="P57" s="21"/>
      <c r="Q57" s="5"/>
      <c r="R57" s="16">
        <v>200</v>
      </c>
      <c r="S57" s="16"/>
      <c r="T57" s="21">
        <f t="shared" si="11"/>
        <v>200</v>
      </c>
      <c r="U57" s="21">
        <v>210</v>
      </c>
      <c r="V57" s="78">
        <f t="shared" si="12"/>
        <v>146</v>
      </c>
      <c r="W57" s="140"/>
      <c r="X57" s="334"/>
      <c r="Y57" s="5"/>
      <c r="AC57">
        <v>2</v>
      </c>
      <c r="AD57" s="16" t="s">
        <v>166</v>
      </c>
      <c r="AE57" s="18">
        <f>+AC57*50</f>
        <v>100</v>
      </c>
      <c r="AG57">
        <v>1</v>
      </c>
      <c r="AH57" s="16" t="s">
        <v>166</v>
      </c>
      <c r="AI57" s="18">
        <f>+AG57*50</f>
        <v>50</v>
      </c>
      <c r="AK57" s="21">
        <v>136</v>
      </c>
      <c r="AL57" s="16"/>
      <c r="AN57" s="16" t="s">
        <v>166</v>
      </c>
      <c r="AO57" s="18">
        <f>+AM57*50</f>
        <v>0</v>
      </c>
    </row>
    <row r="58" spans="1:41" x14ac:dyDescent="0.25">
      <c r="A58" s="143">
        <v>6</v>
      </c>
      <c r="B58" s="92">
        <v>45252</v>
      </c>
      <c r="C58" s="23">
        <v>0.33333333333333331</v>
      </c>
      <c r="D58" s="31" t="s">
        <v>2819</v>
      </c>
      <c r="E58" s="32">
        <v>5615394688</v>
      </c>
      <c r="F58" s="32" t="s">
        <v>992</v>
      </c>
      <c r="G58" s="32" t="s">
        <v>2892</v>
      </c>
      <c r="H58" s="39" t="s">
        <v>2893</v>
      </c>
      <c r="I58" s="39">
        <v>26</v>
      </c>
      <c r="J58" s="42">
        <v>15</v>
      </c>
      <c r="K58" s="20">
        <v>16</v>
      </c>
      <c r="L58" s="21"/>
      <c r="M58" s="21">
        <f t="shared" si="9"/>
        <v>31</v>
      </c>
      <c r="N58" s="21">
        <f t="shared" si="10"/>
        <v>-5</v>
      </c>
      <c r="O58" s="21"/>
      <c r="P58" s="21"/>
      <c r="Q58" s="5"/>
      <c r="R58" s="16">
        <v>50</v>
      </c>
      <c r="S58" s="16"/>
      <c r="T58" s="21">
        <f t="shared" si="11"/>
        <v>50</v>
      </c>
      <c r="U58" s="16">
        <v>61</v>
      </c>
      <c r="V58" s="78">
        <f t="shared" si="12"/>
        <v>11</v>
      </c>
      <c r="W58" s="140"/>
      <c r="X58" s="334"/>
      <c r="Y58" s="5"/>
      <c r="AA58" t="s">
        <v>2890</v>
      </c>
      <c r="AC58">
        <v>2</v>
      </c>
      <c r="AD58" s="16" t="s">
        <v>167</v>
      </c>
      <c r="AE58" s="18">
        <f>+AC58*20</f>
        <v>40</v>
      </c>
      <c r="AG58">
        <v>3</v>
      </c>
      <c r="AH58" s="16" t="s">
        <v>167</v>
      </c>
      <c r="AI58" s="18">
        <f>+AG58*20</f>
        <v>60</v>
      </c>
      <c r="AK58" s="21"/>
      <c r="AL58" s="16"/>
      <c r="AM58">
        <v>3</v>
      </c>
      <c r="AN58" s="16" t="s">
        <v>167</v>
      </c>
      <c r="AO58" s="18">
        <f>+AM58*20</f>
        <v>60</v>
      </c>
    </row>
    <row r="59" spans="1:41" x14ac:dyDescent="0.25">
      <c r="A59" s="143">
        <v>7</v>
      </c>
      <c r="B59" s="92">
        <v>45252</v>
      </c>
      <c r="C59" s="23">
        <v>0.35416666666666669</v>
      </c>
      <c r="D59" s="23" t="s">
        <v>1281</v>
      </c>
      <c r="E59" s="32">
        <v>5620167396</v>
      </c>
      <c r="F59" s="32" t="s">
        <v>2894</v>
      </c>
      <c r="G59" s="32" t="s">
        <v>2895</v>
      </c>
      <c r="H59" s="39" t="s">
        <v>2896</v>
      </c>
      <c r="I59" s="122">
        <v>195</v>
      </c>
      <c r="J59" s="42">
        <v>174</v>
      </c>
      <c r="K59" s="20">
        <v>21</v>
      </c>
      <c r="L59" s="21">
        <v>15</v>
      </c>
      <c r="M59" s="21">
        <f t="shared" si="9"/>
        <v>195</v>
      </c>
      <c r="N59" s="21">
        <f t="shared" si="10"/>
        <v>0</v>
      </c>
      <c r="O59" s="21">
        <v>210</v>
      </c>
      <c r="P59" s="21"/>
      <c r="Q59" s="5"/>
      <c r="R59" s="16">
        <v>200</v>
      </c>
      <c r="S59" s="16"/>
      <c r="T59" s="21">
        <f t="shared" si="11"/>
        <v>200</v>
      </c>
      <c r="U59" s="16">
        <v>236</v>
      </c>
      <c r="V59" s="78">
        <v>36</v>
      </c>
      <c r="W59" s="140"/>
      <c r="X59" s="334"/>
      <c r="Y59" s="5"/>
      <c r="AA59" t="s">
        <v>2903</v>
      </c>
      <c r="AD59" s="16" t="s">
        <v>171</v>
      </c>
      <c r="AE59" s="18">
        <f>+AC59*500</f>
        <v>0</v>
      </c>
      <c r="AH59" s="16" t="s">
        <v>171</v>
      </c>
      <c r="AI59" s="18">
        <f>+AG59*500</f>
        <v>0</v>
      </c>
      <c r="AK59" s="21">
        <v>210</v>
      </c>
      <c r="AL59" s="16"/>
      <c r="AN59" s="16" t="s">
        <v>171</v>
      </c>
      <c r="AO59" s="18">
        <f>+AM59*500</f>
        <v>0</v>
      </c>
    </row>
    <row r="60" spans="1:41" x14ac:dyDescent="0.25">
      <c r="A60" s="143">
        <v>8</v>
      </c>
      <c r="B60" s="92">
        <v>45252</v>
      </c>
      <c r="C60" s="23">
        <v>0.375</v>
      </c>
      <c r="D60" s="31" t="s">
        <v>2897</v>
      </c>
      <c r="E60" s="123">
        <v>5612050452</v>
      </c>
      <c r="F60" s="123" t="s">
        <v>2898</v>
      </c>
      <c r="G60" s="123" t="s">
        <v>1837</v>
      </c>
      <c r="H60" s="39" t="s">
        <v>2899</v>
      </c>
      <c r="I60" s="122">
        <v>260</v>
      </c>
      <c r="J60" s="32">
        <v>237</v>
      </c>
      <c r="K60" s="20">
        <v>20</v>
      </c>
      <c r="L60" s="21">
        <v>3</v>
      </c>
      <c r="M60" s="21">
        <f t="shared" si="9"/>
        <v>257</v>
      </c>
      <c r="N60" s="21">
        <f t="shared" si="10"/>
        <v>3</v>
      </c>
      <c r="O60" s="21">
        <v>250</v>
      </c>
      <c r="P60" s="21"/>
      <c r="Q60" s="5"/>
      <c r="R60" s="16">
        <v>400</v>
      </c>
      <c r="S60" s="16"/>
      <c r="T60" s="21">
        <f t="shared" si="11"/>
        <v>400</v>
      </c>
      <c r="U60" s="16">
        <v>423</v>
      </c>
      <c r="V60" s="78">
        <v>23</v>
      </c>
      <c r="W60" s="140"/>
      <c r="X60" s="334"/>
      <c r="Y60" s="5"/>
      <c r="AD60" s="16" t="s">
        <v>168</v>
      </c>
      <c r="AE60" s="18">
        <f>+AC60*1000</f>
        <v>0</v>
      </c>
      <c r="AH60" s="16" t="s">
        <v>168</v>
      </c>
      <c r="AI60" s="18">
        <f>+AG60*1000</f>
        <v>0</v>
      </c>
      <c r="AK60" s="21">
        <v>250</v>
      </c>
      <c r="AL60" s="16"/>
      <c r="AN60" s="16" t="s">
        <v>168</v>
      </c>
      <c r="AO60" s="18">
        <f>+AM60*1000</f>
        <v>0</v>
      </c>
    </row>
    <row r="61" spans="1:41" x14ac:dyDescent="0.25">
      <c r="A61" s="143">
        <v>9</v>
      </c>
      <c r="B61" s="92">
        <v>45252</v>
      </c>
      <c r="C61" s="23">
        <v>0.39583333333333331</v>
      </c>
      <c r="D61" s="31" t="s">
        <v>2900</v>
      </c>
      <c r="E61" s="32">
        <v>5527614858</v>
      </c>
      <c r="F61" s="32" t="s">
        <v>106</v>
      </c>
      <c r="G61" s="32" t="s">
        <v>2901</v>
      </c>
      <c r="H61" s="39" t="s">
        <v>2902</v>
      </c>
      <c r="I61" s="39">
        <v>10</v>
      </c>
      <c r="J61" s="40">
        <v>20</v>
      </c>
      <c r="K61" s="20">
        <v>10</v>
      </c>
      <c r="L61" s="21">
        <v>5</v>
      </c>
      <c r="M61" s="21">
        <f t="shared" si="9"/>
        <v>30</v>
      </c>
      <c r="N61" s="21">
        <f t="shared" si="10"/>
        <v>-20</v>
      </c>
      <c r="O61" s="21">
        <v>35</v>
      </c>
      <c r="P61" s="21"/>
      <c r="Q61" s="5"/>
      <c r="R61" s="16">
        <v>100</v>
      </c>
      <c r="S61" s="16"/>
      <c r="T61" s="21">
        <f t="shared" si="11"/>
        <v>100</v>
      </c>
      <c r="U61" s="16">
        <v>115</v>
      </c>
      <c r="V61" s="78">
        <v>15</v>
      </c>
      <c r="W61" s="140"/>
      <c r="X61" s="334"/>
      <c r="Y61" s="5"/>
      <c r="AD61" s="26"/>
      <c r="AE61" s="58"/>
      <c r="AH61" s="26"/>
      <c r="AI61" s="58"/>
      <c r="AK61" s="21">
        <v>35</v>
      </c>
      <c r="AL61" s="16"/>
      <c r="AN61" s="26"/>
      <c r="AO61" s="58"/>
    </row>
    <row r="62" spans="1:41" x14ac:dyDescent="0.25">
      <c r="A62" s="143">
        <v>10</v>
      </c>
      <c r="B62" s="92">
        <v>45252</v>
      </c>
      <c r="C62" s="23"/>
      <c r="D62" s="31"/>
      <c r="E62" s="32"/>
      <c r="F62" s="32"/>
      <c r="G62" s="32"/>
      <c r="H62" s="39"/>
      <c r="I62" s="122"/>
      <c r="J62" s="42"/>
      <c r="K62" s="20">
        <v>10</v>
      </c>
      <c r="L62" s="21"/>
      <c r="M62" s="21">
        <f t="shared" si="9"/>
        <v>10</v>
      </c>
      <c r="N62" s="21">
        <f t="shared" si="10"/>
        <v>-10</v>
      </c>
      <c r="O62" s="21"/>
      <c r="P62" s="21"/>
      <c r="Q62" s="5"/>
      <c r="R62" s="16"/>
      <c r="S62" s="16"/>
      <c r="T62" s="21">
        <f t="shared" si="11"/>
        <v>0</v>
      </c>
      <c r="U62" s="16"/>
      <c r="V62" s="78">
        <f t="shared" si="12"/>
        <v>0</v>
      </c>
      <c r="W62" s="140"/>
      <c r="X62" s="334"/>
      <c r="Y62" s="5"/>
      <c r="AD62" s="16" t="s">
        <v>169</v>
      </c>
      <c r="AE62" s="18">
        <f>SUM(AE52:AE61)</f>
        <v>778.5</v>
      </c>
      <c r="AH62" s="16" t="s">
        <v>169</v>
      </c>
      <c r="AI62" s="18">
        <f>SUM(AI52:AI61)</f>
        <v>568</v>
      </c>
      <c r="AK62" s="16"/>
      <c r="AL62" s="16"/>
      <c r="AN62" s="16" t="s">
        <v>169</v>
      </c>
      <c r="AO62" s="18"/>
    </row>
    <row r="63" spans="1:41" x14ac:dyDescent="0.25">
      <c r="A63" s="143">
        <v>11</v>
      </c>
      <c r="B63" s="92">
        <v>45252</v>
      </c>
      <c r="C63" s="23"/>
      <c r="D63" s="31"/>
      <c r="E63" s="124"/>
      <c r="F63" s="123"/>
      <c r="G63" s="123"/>
      <c r="H63" s="39"/>
      <c r="I63" s="122"/>
      <c r="J63" s="42"/>
      <c r="K63" s="20">
        <v>10</v>
      </c>
      <c r="L63" s="21"/>
      <c r="M63" s="21">
        <f t="shared" si="9"/>
        <v>10</v>
      </c>
      <c r="N63" s="21">
        <f t="shared" si="10"/>
        <v>-10</v>
      </c>
      <c r="O63" s="21"/>
      <c r="P63" s="21"/>
      <c r="Q63" s="5"/>
      <c r="R63" s="16"/>
      <c r="S63" s="16"/>
      <c r="T63" s="21">
        <f t="shared" si="11"/>
        <v>0</v>
      </c>
      <c r="U63" s="16"/>
      <c r="V63" s="78">
        <f t="shared" si="12"/>
        <v>0</v>
      </c>
      <c r="W63" s="140"/>
      <c r="X63" s="334"/>
      <c r="Y63" s="5"/>
      <c r="AE63">
        <v>376.5</v>
      </c>
      <c r="AK63" s="16"/>
      <c r="AL63" s="16"/>
      <c r="AN63" s="16"/>
      <c r="AO63" s="16"/>
    </row>
    <row r="64" spans="1:41" x14ac:dyDescent="0.25">
      <c r="A64" s="143">
        <v>12</v>
      </c>
      <c r="B64" s="92">
        <v>45252</v>
      </c>
      <c r="C64" s="23"/>
      <c r="D64" s="32"/>
      <c r="E64" s="32"/>
      <c r="F64" s="124"/>
      <c r="G64" s="123"/>
      <c r="H64" s="39"/>
      <c r="I64" s="39"/>
      <c r="J64" s="42"/>
      <c r="K64" s="20">
        <v>10</v>
      </c>
      <c r="L64" s="21"/>
      <c r="M64" s="21">
        <f t="shared" si="9"/>
        <v>10</v>
      </c>
      <c r="N64" s="21">
        <f t="shared" si="10"/>
        <v>-10</v>
      </c>
      <c r="O64" s="21"/>
      <c r="P64" s="21"/>
      <c r="Q64" s="5"/>
      <c r="R64" s="45"/>
      <c r="S64" s="44"/>
      <c r="T64" s="21">
        <f t="shared" si="11"/>
        <v>0</v>
      </c>
      <c r="U64" s="45"/>
      <c r="V64" s="78">
        <f t="shared" si="12"/>
        <v>0</v>
      </c>
      <c r="W64" s="140"/>
      <c r="X64" s="334"/>
      <c r="Y64" s="5"/>
      <c r="AK64" s="63" t="s">
        <v>169</v>
      </c>
      <c r="AL64" s="63">
        <f>+SUM(AK53:AK63)-SUM(AL53:AL63)</f>
        <v>719</v>
      </c>
      <c r="AN64" s="63" t="s">
        <v>169</v>
      </c>
      <c r="AO64" s="85">
        <f>+SUM(AN52:AN63)-SUM(AO52:AO63)</f>
        <v>-500</v>
      </c>
    </row>
    <row r="65" spans="1:41" x14ac:dyDescent="0.25">
      <c r="A65" s="143">
        <v>13</v>
      </c>
      <c r="B65" s="92">
        <v>45252</v>
      </c>
      <c r="C65" s="23"/>
      <c r="D65" s="31"/>
      <c r="E65" s="32"/>
      <c r="F65" s="32"/>
      <c r="G65" s="32"/>
      <c r="H65" s="39"/>
      <c r="I65" s="39"/>
      <c r="J65" s="42"/>
      <c r="K65" s="108">
        <v>10</v>
      </c>
      <c r="L65" s="21"/>
      <c r="M65" s="21">
        <f t="shared" si="9"/>
        <v>10</v>
      </c>
      <c r="N65" s="21">
        <f t="shared" si="10"/>
        <v>-10</v>
      </c>
      <c r="O65" s="21"/>
      <c r="P65" s="21"/>
      <c r="Q65" s="5"/>
      <c r="R65" s="43"/>
      <c r="S65" s="32"/>
      <c r="T65" s="21">
        <f t="shared" si="11"/>
        <v>0</v>
      </c>
      <c r="U65" s="43"/>
      <c r="V65" s="78">
        <f t="shared" si="12"/>
        <v>0</v>
      </c>
      <c r="W65" s="140"/>
      <c r="X65" s="334"/>
      <c r="Y65" s="5"/>
      <c r="AI65" s="83"/>
    </row>
    <row r="66" spans="1:41" x14ac:dyDescent="0.25">
      <c r="A66" s="143">
        <v>14</v>
      </c>
      <c r="B66" s="92">
        <v>45252</v>
      </c>
      <c r="C66" s="23"/>
      <c r="D66" s="31"/>
      <c r="E66" s="32"/>
      <c r="F66" s="32"/>
      <c r="G66" s="32"/>
      <c r="H66" s="39"/>
      <c r="I66" s="39"/>
      <c r="J66" s="42"/>
      <c r="K66" s="108">
        <v>10</v>
      </c>
      <c r="L66" s="21"/>
      <c r="M66" s="21">
        <f t="shared" si="9"/>
        <v>10</v>
      </c>
      <c r="N66" s="21">
        <f t="shared" si="10"/>
        <v>-10</v>
      </c>
      <c r="O66" s="21"/>
      <c r="P66" s="21"/>
      <c r="Q66" s="5"/>
      <c r="R66" s="43"/>
      <c r="S66" s="43"/>
      <c r="T66" s="21">
        <f t="shared" si="11"/>
        <v>0</v>
      </c>
      <c r="U66" s="43"/>
      <c r="V66" s="78">
        <f t="shared" si="12"/>
        <v>0</v>
      </c>
      <c r="W66" s="140"/>
      <c r="X66" s="334"/>
      <c r="Y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1:41" x14ac:dyDescent="0.25">
      <c r="A67" s="143">
        <v>15</v>
      </c>
      <c r="B67" s="92">
        <v>45252</v>
      </c>
      <c r="C67" s="23"/>
      <c r="D67" s="127"/>
      <c r="E67" s="32"/>
      <c r="F67" s="32"/>
      <c r="G67" s="128"/>
      <c r="H67" s="129"/>
      <c r="I67" s="39"/>
      <c r="J67" s="42"/>
      <c r="K67" s="108">
        <v>10</v>
      </c>
      <c r="L67" s="21"/>
      <c r="M67" s="21">
        <f t="shared" si="9"/>
        <v>10</v>
      </c>
      <c r="N67" s="21">
        <f t="shared" si="10"/>
        <v>-10</v>
      </c>
      <c r="O67" s="21"/>
      <c r="P67" s="21"/>
      <c r="Q67" s="5"/>
      <c r="R67" s="43"/>
      <c r="S67" s="43"/>
      <c r="T67" s="21">
        <f t="shared" si="11"/>
        <v>0</v>
      </c>
      <c r="U67" s="43"/>
      <c r="V67" s="78">
        <f t="shared" si="12"/>
        <v>0</v>
      </c>
      <c r="W67" s="140"/>
      <c r="X67" s="334"/>
      <c r="Y67" s="5"/>
      <c r="AD67" s="5"/>
      <c r="AE67" s="134" t="s">
        <v>20</v>
      </c>
      <c r="AF67" s="338"/>
      <c r="AG67" s="341" t="s">
        <v>686</v>
      </c>
      <c r="AH67" s="134" t="s">
        <v>20</v>
      </c>
      <c r="AI67" s="338"/>
      <c r="AJ67" s="341" t="s">
        <v>687</v>
      </c>
      <c r="AK67" s="134" t="s">
        <v>20</v>
      </c>
      <c r="AL67" s="338"/>
      <c r="AM67" s="5"/>
    </row>
    <row r="68" spans="1:41" x14ac:dyDescent="0.25">
      <c r="A68" s="143">
        <v>16</v>
      </c>
      <c r="B68" s="92">
        <v>45252</v>
      </c>
      <c r="C68" s="23"/>
      <c r="D68" s="31"/>
      <c r="E68" s="32"/>
      <c r="F68" s="32"/>
      <c r="G68" s="32"/>
      <c r="H68" s="39"/>
      <c r="I68" s="39"/>
      <c r="J68" s="42"/>
      <c r="K68" s="43">
        <v>10</v>
      </c>
      <c r="L68" s="21"/>
      <c r="M68" s="21">
        <f t="shared" si="9"/>
        <v>10</v>
      </c>
      <c r="N68" s="21">
        <f t="shared" si="10"/>
        <v>-10</v>
      </c>
      <c r="O68" s="21"/>
      <c r="P68" s="21"/>
      <c r="Q68" s="5"/>
      <c r="R68" s="43"/>
      <c r="S68" s="32"/>
      <c r="T68" s="21">
        <f t="shared" si="11"/>
        <v>0</v>
      </c>
      <c r="U68" s="131"/>
      <c r="V68" s="78">
        <f t="shared" si="12"/>
        <v>0</v>
      </c>
      <c r="W68" s="140"/>
      <c r="X68" s="334"/>
      <c r="Y68" s="5"/>
      <c r="AD68" s="5" t="s">
        <v>685</v>
      </c>
      <c r="AE68" s="115" t="s">
        <v>684</v>
      </c>
      <c r="AF68" s="339"/>
      <c r="AG68" s="341"/>
      <c r="AH68" s="115" t="s">
        <v>684</v>
      </c>
      <c r="AI68" s="339"/>
      <c r="AJ68" s="341"/>
      <c r="AK68" s="115" t="s">
        <v>684</v>
      </c>
      <c r="AL68" s="339"/>
      <c r="AM68" s="5"/>
    </row>
    <row r="69" spans="1:41" x14ac:dyDescent="0.25">
      <c r="A69" s="143">
        <v>17</v>
      </c>
      <c r="B69" s="92">
        <v>45252</v>
      </c>
      <c r="C69" s="23"/>
      <c r="D69" s="31"/>
      <c r="E69" s="32"/>
      <c r="F69" s="32"/>
      <c r="G69" s="32"/>
      <c r="H69" s="39"/>
      <c r="I69" s="39"/>
      <c r="J69" s="42"/>
      <c r="K69" s="43">
        <v>10</v>
      </c>
      <c r="L69" s="21"/>
      <c r="M69" s="21">
        <f t="shared" si="9"/>
        <v>10</v>
      </c>
      <c r="N69" s="21">
        <f t="shared" si="10"/>
        <v>-10</v>
      </c>
      <c r="O69" s="21"/>
      <c r="P69" s="21"/>
      <c r="Q69" s="5"/>
      <c r="R69" s="43"/>
      <c r="S69" s="32"/>
      <c r="T69" s="21">
        <f t="shared" si="11"/>
        <v>0</v>
      </c>
      <c r="U69" s="132"/>
      <c r="V69" s="78">
        <f t="shared" si="12"/>
        <v>0</v>
      </c>
      <c r="W69" s="140"/>
      <c r="X69" s="340"/>
      <c r="Y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1:41" x14ac:dyDescent="0.25">
      <c r="A70" s="143">
        <v>18</v>
      </c>
      <c r="B70" s="92">
        <v>45252</v>
      </c>
      <c r="C70" s="32"/>
      <c r="D70" s="31"/>
      <c r="E70" s="32"/>
      <c r="F70" s="32"/>
      <c r="G70" s="32"/>
      <c r="H70" s="39"/>
      <c r="I70" s="39"/>
      <c r="J70" s="42"/>
      <c r="K70" s="43">
        <v>10</v>
      </c>
      <c r="L70" s="21"/>
      <c r="M70" s="21">
        <f t="shared" si="9"/>
        <v>10</v>
      </c>
      <c r="N70" s="21">
        <f t="shared" si="10"/>
        <v>-10</v>
      </c>
      <c r="O70" s="21"/>
      <c r="P70" s="21"/>
      <c r="Q70" s="5"/>
      <c r="R70" s="135"/>
      <c r="S70" s="104"/>
      <c r="T70" s="21">
        <f t="shared" si="11"/>
        <v>0</v>
      </c>
      <c r="U70" s="131"/>
      <c r="V70" s="78">
        <f t="shared" si="12"/>
        <v>0</v>
      </c>
      <c r="W70" s="140"/>
      <c r="Y70" s="5"/>
    </row>
    <row r="71" spans="1:41" x14ac:dyDescent="0.25">
      <c r="A71" s="143">
        <v>19</v>
      </c>
      <c r="B71" s="92">
        <v>45252</v>
      </c>
      <c r="C71" s="32"/>
      <c r="D71" s="31"/>
      <c r="E71" s="32"/>
      <c r="F71" s="32"/>
      <c r="G71" s="32"/>
      <c r="H71" s="39"/>
      <c r="I71" s="39"/>
      <c r="J71" s="42"/>
      <c r="K71" s="43">
        <v>10</v>
      </c>
      <c r="L71" s="21"/>
      <c r="M71" s="21">
        <f t="shared" si="9"/>
        <v>10</v>
      </c>
      <c r="N71" s="21">
        <f t="shared" si="10"/>
        <v>-10</v>
      </c>
      <c r="O71" s="21"/>
      <c r="P71" s="21"/>
      <c r="Q71" s="5"/>
      <c r="R71" s="32"/>
      <c r="S71" s="32"/>
      <c r="T71" s="21">
        <f t="shared" si="11"/>
        <v>0</v>
      </c>
      <c r="U71" s="32"/>
      <c r="V71" s="78">
        <f t="shared" si="12"/>
        <v>0</v>
      </c>
      <c r="W71" s="140"/>
      <c r="Y71" s="5"/>
    </row>
    <row r="72" spans="1:41" x14ac:dyDescent="0.25">
      <c r="I72" t="s">
        <v>3164</v>
      </c>
      <c r="J72">
        <f>SUM(J53:J61)</f>
        <v>1210</v>
      </c>
    </row>
    <row r="79" spans="1:41" x14ac:dyDescent="0.25">
      <c r="A79" s="1" t="s">
        <v>0</v>
      </c>
      <c r="B79" s="1"/>
      <c r="C79" s="1"/>
      <c r="D79" s="1"/>
      <c r="E79" s="1"/>
      <c r="F79" s="1"/>
      <c r="G79" s="1"/>
      <c r="H79" s="1"/>
      <c r="I79" s="1"/>
      <c r="J79" s="1" t="s">
        <v>148</v>
      </c>
      <c r="K79" s="1"/>
      <c r="L79" s="1"/>
      <c r="M79" s="1"/>
      <c r="N79" s="1"/>
      <c r="O79" s="1"/>
      <c r="P79" s="1"/>
      <c r="Q79" s="1"/>
      <c r="R79" s="1"/>
      <c r="S79" s="1"/>
      <c r="T79" s="342" t="s">
        <v>1</v>
      </c>
      <c r="U79" s="342"/>
      <c r="V79" s="5"/>
      <c r="W79" s="139"/>
      <c r="X79" s="1"/>
      <c r="Y79" s="5"/>
      <c r="AD79" s="335" t="s">
        <v>160</v>
      </c>
      <c r="AE79" s="336"/>
      <c r="AH79" s="335" t="s">
        <v>170</v>
      </c>
      <c r="AI79" s="336"/>
      <c r="AK79" s="337" t="s">
        <v>172</v>
      </c>
      <c r="AL79" s="337"/>
      <c r="AN79" s="337" t="s">
        <v>681</v>
      </c>
      <c r="AO79" s="337"/>
    </row>
    <row r="80" spans="1:41" ht="90" x14ac:dyDescent="0.25">
      <c r="A80" s="6" t="s">
        <v>2</v>
      </c>
      <c r="B80" s="7" t="s">
        <v>3</v>
      </c>
      <c r="C80" s="245" t="s">
        <v>688</v>
      </c>
      <c r="D80" s="7" t="s">
        <v>4</v>
      </c>
      <c r="E80" s="6" t="s">
        <v>5</v>
      </c>
      <c r="F80" s="6" t="s">
        <v>6</v>
      </c>
      <c r="G80" s="6" t="s">
        <v>7</v>
      </c>
      <c r="H80" s="6" t="s">
        <v>8</v>
      </c>
      <c r="I80" s="8" t="s">
        <v>9</v>
      </c>
      <c r="J80" s="9" t="s">
        <v>10</v>
      </c>
      <c r="K80" s="8" t="s">
        <v>11</v>
      </c>
      <c r="L80" s="10" t="s">
        <v>12</v>
      </c>
      <c r="M80" s="10" t="s">
        <v>13</v>
      </c>
      <c r="N80" s="11" t="s">
        <v>14</v>
      </c>
      <c r="O80" s="10" t="s">
        <v>691</v>
      </c>
      <c r="P80" s="10" t="s">
        <v>28</v>
      </c>
      <c r="Q80" s="5"/>
      <c r="R80" s="10" t="s">
        <v>16</v>
      </c>
      <c r="S80" s="10" t="s">
        <v>17</v>
      </c>
      <c r="T80" s="10" t="s">
        <v>18</v>
      </c>
      <c r="U80" s="10" t="s">
        <v>19</v>
      </c>
      <c r="V80" s="10" t="s">
        <v>20</v>
      </c>
      <c r="W80" s="13"/>
      <c r="X80" s="15" t="s">
        <v>23</v>
      </c>
      <c r="Y80" s="5"/>
      <c r="AA80" s="251" t="s">
        <v>2554</v>
      </c>
      <c r="AB80">
        <v>5</v>
      </c>
      <c r="AC80">
        <v>1</v>
      </c>
      <c r="AD80" s="16" t="s">
        <v>161</v>
      </c>
      <c r="AE80" s="58">
        <f>+AC80*10</f>
        <v>10</v>
      </c>
      <c r="AG80">
        <v>3</v>
      </c>
      <c r="AH80" s="16" t="s">
        <v>161</v>
      </c>
      <c r="AI80" s="58">
        <f>+AG80*10</f>
        <v>30</v>
      </c>
      <c r="AK80" s="61" t="s">
        <v>173</v>
      </c>
      <c r="AL80" s="62" t="s">
        <v>174</v>
      </c>
      <c r="AN80" s="16" t="s">
        <v>161</v>
      </c>
      <c r="AO80" s="58">
        <f>+AM80*10</f>
        <v>0</v>
      </c>
    </row>
    <row r="81" spans="1:41" x14ac:dyDescent="0.25">
      <c r="A81" s="16">
        <v>1</v>
      </c>
      <c r="B81" s="92">
        <v>45253</v>
      </c>
      <c r="C81" s="23">
        <v>0.47916666666666669</v>
      </c>
      <c r="D81" s="31" t="s">
        <v>2904</v>
      </c>
      <c r="E81" s="32">
        <v>5537803548</v>
      </c>
      <c r="F81" s="32" t="s">
        <v>106</v>
      </c>
      <c r="G81" s="39" t="s">
        <v>2092</v>
      </c>
      <c r="H81" s="39" t="s">
        <v>2905</v>
      </c>
      <c r="I81" s="122">
        <v>81</v>
      </c>
      <c r="J81" s="32">
        <v>66</v>
      </c>
      <c r="K81" s="20">
        <v>10</v>
      </c>
      <c r="L81" s="21">
        <v>11</v>
      </c>
      <c r="M81" s="21">
        <f t="shared" ref="M81:M99" si="13">+J81+K81</f>
        <v>76</v>
      </c>
      <c r="N81" s="21">
        <f t="shared" ref="N81:N99" si="14">+I81-M81</f>
        <v>5</v>
      </c>
      <c r="O81" s="21">
        <v>81</v>
      </c>
      <c r="P81" s="21"/>
      <c r="Q81" s="5"/>
      <c r="R81" s="21">
        <v>200</v>
      </c>
      <c r="S81" s="16"/>
      <c r="T81" s="21">
        <f t="shared" ref="T81:T99" si="15">+R81+S81</f>
        <v>200</v>
      </c>
      <c r="U81" s="21">
        <v>140</v>
      </c>
      <c r="V81" s="78">
        <f>+U81-T81+O81+P81</f>
        <v>21</v>
      </c>
      <c r="W81" s="13"/>
      <c r="X81" s="333"/>
      <c r="Y81" s="5"/>
      <c r="AB81">
        <v>70</v>
      </c>
      <c r="AC81">
        <v>21.5</v>
      </c>
      <c r="AD81" s="59" t="s">
        <v>162</v>
      </c>
      <c r="AE81" s="18">
        <f>+AC81*1</f>
        <v>21.5</v>
      </c>
      <c r="AG81">
        <v>11.5</v>
      </c>
      <c r="AH81" s="59" t="s">
        <v>162</v>
      </c>
      <c r="AI81" s="18">
        <f>+AG81*1</f>
        <v>11.5</v>
      </c>
      <c r="AK81" s="16"/>
      <c r="AL81" s="16"/>
      <c r="AN81" s="59" t="s">
        <v>162</v>
      </c>
      <c r="AO81" s="18">
        <f>+AM81*1</f>
        <v>0</v>
      </c>
    </row>
    <row r="82" spans="1:41" x14ac:dyDescent="0.25">
      <c r="A82" s="26">
        <v>2</v>
      </c>
      <c r="B82" s="92">
        <v>45253</v>
      </c>
      <c r="C82" s="23">
        <v>0.46527777777777773</v>
      </c>
      <c r="D82" s="31" t="s">
        <v>37</v>
      </c>
      <c r="E82" s="32">
        <v>5554180418</v>
      </c>
      <c r="F82" s="32" t="s">
        <v>106</v>
      </c>
      <c r="G82" s="32" t="s">
        <v>2906</v>
      </c>
      <c r="H82" s="39" t="s">
        <v>2907</v>
      </c>
      <c r="I82" s="122">
        <v>500</v>
      </c>
      <c r="J82" s="32">
        <v>282</v>
      </c>
      <c r="K82" s="20">
        <v>10</v>
      </c>
      <c r="L82" s="21">
        <v>10</v>
      </c>
      <c r="M82" s="21">
        <f t="shared" si="13"/>
        <v>292</v>
      </c>
      <c r="N82" s="21">
        <f t="shared" si="14"/>
        <v>208</v>
      </c>
      <c r="O82" s="21"/>
      <c r="P82" s="21"/>
      <c r="Q82" s="5"/>
      <c r="R82" s="21"/>
      <c r="S82" s="16"/>
      <c r="T82" s="21">
        <f t="shared" si="15"/>
        <v>0</v>
      </c>
      <c r="U82" s="21">
        <v>20</v>
      </c>
      <c r="V82" s="78">
        <f t="shared" ref="V82:V99" si="16">+U82-T82+O82+P82</f>
        <v>20</v>
      </c>
      <c r="W82" s="140"/>
      <c r="X82" s="334"/>
      <c r="Y82" s="5"/>
      <c r="AB82">
        <v>5</v>
      </c>
      <c r="AD82" s="16" t="s">
        <v>163</v>
      </c>
      <c r="AE82" s="60">
        <f>+AC82*5</f>
        <v>0</v>
      </c>
      <c r="AG82">
        <v>5</v>
      </c>
      <c r="AH82" s="16" t="s">
        <v>163</v>
      </c>
      <c r="AI82" s="60">
        <f>+AG82*5</f>
        <v>25</v>
      </c>
      <c r="AK82" s="16"/>
      <c r="AL82" s="16"/>
      <c r="AN82" s="16" t="s">
        <v>163</v>
      </c>
      <c r="AO82" s="60">
        <f>+AM82*5</f>
        <v>0</v>
      </c>
    </row>
    <row r="83" spans="1:41" x14ac:dyDescent="0.25">
      <c r="A83" s="143">
        <v>3</v>
      </c>
      <c r="B83" s="92">
        <v>45253</v>
      </c>
      <c r="C83" s="23">
        <v>0.52083333333333337</v>
      </c>
      <c r="D83" s="31" t="s">
        <v>1483</v>
      </c>
      <c r="E83" s="32">
        <v>5589529270</v>
      </c>
      <c r="F83" s="32" t="s">
        <v>1997</v>
      </c>
      <c r="G83" s="32" t="s">
        <v>1806</v>
      </c>
      <c r="H83" s="39" t="s">
        <v>2908</v>
      </c>
      <c r="I83" s="122"/>
      <c r="J83" s="32">
        <v>400</v>
      </c>
      <c r="K83" s="20">
        <v>40</v>
      </c>
      <c r="L83" s="21"/>
      <c r="M83" s="21">
        <f t="shared" si="13"/>
        <v>440</v>
      </c>
      <c r="N83" s="21">
        <f t="shared" si="14"/>
        <v>-440</v>
      </c>
      <c r="O83" s="21"/>
      <c r="P83" s="21"/>
      <c r="Q83" s="5"/>
      <c r="R83" s="21">
        <v>400</v>
      </c>
      <c r="S83" s="16"/>
      <c r="T83" s="21">
        <f t="shared" si="15"/>
        <v>400</v>
      </c>
      <c r="U83" s="21">
        <v>440</v>
      </c>
      <c r="V83" s="78">
        <f t="shared" si="16"/>
        <v>40</v>
      </c>
      <c r="W83" s="140"/>
      <c r="X83" s="334"/>
      <c r="Y83" s="5"/>
      <c r="AB83">
        <v>1</v>
      </c>
      <c r="AC83">
        <v>1</v>
      </c>
      <c r="AD83" s="16" t="s">
        <v>164</v>
      </c>
      <c r="AE83" s="18">
        <f>+AC83*200</f>
        <v>200</v>
      </c>
      <c r="AH83" s="16" t="s">
        <v>164</v>
      </c>
      <c r="AI83" s="18">
        <f>+AG83*200</f>
        <v>0</v>
      </c>
      <c r="AK83" s="16"/>
      <c r="AL83" s="16"/>
      <c r="AN83" s="16" t="s">
        <v>164</v>
      </c>
      <c r="AO83" s="18">
        <f>+AM83*200</f>
        <v>0</v>
      </c>
    </row>
    <row r="84" spans="1:41" x14ac:dyDescent="0.25">
      <c r="A84" s="143">
        <v>4</v>
      </c>
      <c r="B84" s="92">
        <v>45253</v>
      </c>
      <c r="C84" s="23">
        <v>0.54166666666666663</v>
      </c>
      <c r="D84" s="31" t="s">
        <v>2909</v>
      </c>
      <c r="E84" s="32">
        <v>5523163096</v>
      </c>
      <c r="F84" s="32" t="s">
        <v>788</v>
      </c>
      <c r="G84" s="32">
        <v>111</v>
      </c>
      <c r="H84" s="39" t="s">
        <v>2910</v>
      </c>
      <c r="I84" s="122"/>
      <c r="J84" s="32"/>
      <c r="K84" s="20">
        <v>10</v>
      </c>
      <c r="L84" s="21">
        <v>10</v>
      </c>
      <c r="M84" s="21">
        <f t="shared" si="13"/>
        <v>10</v>
      </c>
      <c r="N84" s="21">
        <f t="shared" si="14"/>
        <v>-10</v>
      </c>
      <c r="O84" s="21">
        <v>115</v>
      </c>
      <c r="P84" s="21">
        <v>300</v>
      </c>
      <c r="Q84" s="5"/>
      <c r="R84" s="21">
        <v>200</v>
      </c>
      <c r="S84" s="16"/>
      <c r="T84" s="21">
        <f t="shared" si="15"/>
        <v>200</v>
      </c>
      <c r="U84" s="21"/>
      <c r="V84" s="78">
        <f t="shared" si="16"/>
        <v>215</v>
      </c>
      <c r="W84" s="140" t="s">
        <v>952</v>
      </c>
      <c r="X84" s="334"/>
      <c r="Y84" s="5"/>
      <c r="AD84" s="16" t="s">
        <v>165</v>
      </c>
      <c r="AE84" s="18">
        <f>+AC84*100</f>
        <v>0</v>
      </c>
      <c r="AG84">
        <v>1</v>
      </c>
      <c r="AH84" s="16" t="s">
        <v>165</v>
      </c>
      <c r="AI84" s="18">
        <f>+AG84*100</f>
        <v>100</v>
      </c>
      <c r="AK84" s="16"/>
      <c r="AL84" s="16"/>
      <c r="AN84" s="16" t="s">
        <v>165</v>
      </c>
      <c r="AO84" s="18">
        <f>+AM84*100</f>
        <v>0</v>
      </c>
    </row>
    <row r="85" spans="1:41" x14ac:dyDescent="0.25">
      <c r="A85" s="41">
        <v>5</v>
      </c>
      <c r="B85" s="92">
        <v>45253</v>
      </c>
      <c r="C85" s="23">
        <v>0.60763888888888895</v>
      </c>
      <c r="D85" s="31" t="s">
        <v>1822</v>
      </c>
      <c r="E85" s="32">
        <v>5626155524</v>
      </c>
      <c r="F85" s="32" t="s">
        <v>2912</v>
      </c>
      <c r="G85" s="32" t="s">
        <v>2913</v>
      </c>
      <c r="H85" s="32" t="s">
        <v>2911</v>
      </c>
      <c r="I85" s="122">
        <v>238</v>
      </c>
      <c r="J85" s="32">
        <v>224</v>
      </c>
      <c r="K85" s="20">
        <v>10</v>
      </c>
      <c r="L85" s="21">
        <v>10</v>
      </c>
      <c r="M85" s="21">
        <f t="shared" si="13"/>
        <v>234</v>
      </c>
      <c r="N85" s="21">
        <f t="shared" si="14"/>
        <v>4</v>
      </c>
      <c r="O85" s="21">
        <v>238</v>
      </c>
      <c r="P85" s="21"/>
      <c r="Q85" s="5"/>
      <c r="R85" s="16">
        <v>300</v>
      </c>
      <c r="S85" s="16"/>
      <c r="T85" s="21">
        <f t="shared" si="15"/>
        <v>300</v>
      </c>
      <c r="U85" s="21">
        <v>187</v>
      </c>
      <c r="V85" s="78">
        <f t="shared" si="16"/>
        <v>125</v>
      </c>
      <c r="W85" s="140">
        <f>-V84-V85+40</f>
        <v>-300</v>
      </c>
      <c r="X85" s="334"/>
      <c r="Y85" s="5"/>
      <c r="AB85">
        <v>1</v>
      </c>
      <c r="AD85" s="16" t="s">
        <v>166</v>
      </c>
      <c r="AE85" s="18">
        <f>+AC85*50</f>
        <v>0</v>
      </c>
      <c r="AG85">
        <v>2</v>
      </c>
      <c r="AH85" s="16" t="s">
        <v>166</v>
      </c>
      <c r="AI85" s="18">
        <f>+AG85*50</f>
        <v>100</v>
      </c>
      <c r="AK85" s="16"/>
      <c r="AL85" s="16"/>
      <c r="AN85" s="16" t="s">
        <v>166</v>
      </c>
      <c r="AO85" s="18">
        <f>+AM85*50</f>
        <v>0</v>
      </c>
    </row>
    <row r="86" spans="1:41" x14ac:dyDescent="0.25">
      <c r="A86" s="143">
        <v>6</v>
      </c>
      <c r="B86" s="92">
        <v>45253</v>
      </c>
      <c r="C86" s="23">
        <v>0.73472222222222217</v>
      </c>
      <c r="D86" s="31" t="s">
        <v>2915</v>
      </c>
      <c r="E86" s="32">
        <v>5548590297</v>
      </c>
      <c r="F86" s="32" t="s">
        <v>106</v>
      </c>
      <c r="G86" s="32" t="s">
        <v>2914</v>
      </c>
      <c r="H86" s="39" t="s">
        <v>2916</v>
      </c>
      <c r="I86" s="39">
        <v>500</v>
      </c>
      <c r="J86" s="42">
        <v>456</v>
      </c>
      <c r="K86" s="20">
        <v>10</v>
      </c>
      <c r="L86" s="21">
        <v>5</v>
      </c>
      <c r="M86" s="21">
        <f t="shared" si="13"/>
        <v>466</v>
      </c>
      <c r="N86" s="21">
        <f t="shared" si="14"/>
        <v>34</v>
      </c>
      <c r="O86" s="21"/>
      <c r="P86" s="21"/>
      <c r="Q86" s="5"/>
      <c r="R86" s="16"/>
      <c r="S86" s="16"/>
      <c r="T86" s="21">
        <f t="shared" si="15"/>
        <v>0</v>
      </c>
      <c r="U86" s="16"/>
      <c r="V86" s="78">
        <f t="shared" si="16"/>
        <v>0</v>
      </c>
      <c r="W86" s="140"/>
      <c r="X86" s="334"/>
      <c r="Y86" s="5"/>
      <c r="AB86">
        <v>10</v>
      </c>
      <c r="AD86" s="16" t="s">
        <v>167</v>
      </c>
      <c r="AE86" s="18">
        <f>+AC86*20</f>
        <v>0</v>
      </c>
      <c r="AG86">
        <v>3</v>
      </c>
      <c r="AH86" s="16" t="s">
        <v>167</v>
      </c>
      <c r="AI86" s="18">
        <f>+AG86*20</f>
        <v>60</v>
      </c>
      <c r="AK86" s="16"/>
      <c r="AL86" s="16"/>
      <c r="AN86" s="16" t="s">
        <v>167</v>
      </c>
      <c r="AO86" s="18">
        <f>+AM86*20</f>
        <v>0</v>
      </c>
    </row>
    <row r="87" spans="1:41" x14ac:dyDescent="0.25">
      <c r="A87" s="143">
        <v>7</v>
      </c>
      <c r="B87" s="92">
        <v>45253</v>
      </c>
      <c r="C87" s="23">
        <v>0.74652777777777779</v>
      </c>
      <c r="D87" s="31" t="s">
        <v>2917</v>
      </c>
      <c r="E87" s="32">
        <v>5510466400</v>
      </c>
      <c r="F87" s="32" t="s">
        <v>106</v>
      </c>
      <c r="G87" s="32" t="s">
        <v>2918</v>
      </c>
      <c r="H87" s="39" t="s">
        <v>2919</v>
      </c>
      <c r="I87" s="122">
        <v>116</v>
      </c>
      <c r="J87" s="42">
        <v>104</v>
      </c>
      <c r="K87" s="20">
        <v>12</v>
      </c>
      <c r="L87" s="21"/>
      <c r="M87" s="21">
        <f t="shared" si="13"/>
        <v>116</v>
      </c>
      <c r="N87" s="21">
        <f t="shared" si="14"/>
        <v>0</v>
      </c>
      <c r="O87" s="21">
        <v>116</v>
      </c>
      <c r="P87" s="21"/>
      <c r="Q87" s="5"/>
      <c r="R87" s="16"/>
      <c r="S87" s="16"/>
      <c r="T87" s="21">
        <f t="shared" si="15"/>
        <v>0</v>
      </c>
      <c r="U87" s="16"/>
      <c r="V87" s="78">
        <f t="shared" si="16"/>
        <v>116</v>
      </c>
      <c r="W87" s="140"/>
      <c r="X87" s="334"/>
      <c r="Y87" s="5"/>
      <c r="AA87">
        <v>495</v>
      </c>
      <c r="AD87" s="16" t="s">
        <v>171</v>
      </c>
      <c r="AE87" s="18">
        <f>+AC87*500</f>
        <v>0</v>
      </c>
      <c r="AH87" s="16" t="s">
        <v>171</v>
      </c>
      <c r="AI87" s="18">
        <f>+AG87*500</f>
        <v>0</v>
      </c>
      <c r="AK87" s="16"/>
      <c r="AL87" s="16"/>
      <c r="AN87" s="16" t="s">
        <v>171</v>
      </c>
      <c r="AO87" s="18">
        <f>+AM87*500</f>
        <v>0</v>
      </c>
    </row>
    <row r="88" spans="1:41" x14ac:dyDescent="0.25">
      <c r="A88" s="143">
        <v>8</v>
      </c>
      <c r="B88" s="92">
        <v>45253</v>
      </c>
      <c r="C88" s="23">
        <v>0.74722222222222223</v>
      </c>
      <c r="D88" s="31" t="s">
        <v>225</v>
      </c>
      <c r="E88" s="123">
        <v>5510023456</v>
      </c>
      <c r="F88" s="123" t="s">
        <v>2920</v>
      </c>
      <c r="G88" s="123" t="s">
        <v>2921</v>
      </c>
      <c r="H88" s="39" t="s">
        <v>2922</v>
      </c>
      <c r="I88" s="122">
        <v>189</v>
      </c>
      <c r="J88" s="32">
        <v>156</v>
      </c>
      <c r="K88" s="20">
        <v>28</v>
      </c>
      <c r="L88" s="21">
        <v>5</v>
      </c>
      <c r="M88" s="21">
        <f t="shared" si="13"/>
        <v>184</v>
      </c>
      <c r="N88" s="21">
        <f t="shared" si="14"/>
        <v>5</v>
      </c>
      <c r="O88" s="21"/>
      <c r="P88" s="21"/>
      <c r="Q88" s="5"/>
      <c r="R88" s="16"/>
      <c r="S88" s="16"/>
      <c r="T88" s="21">
        <f t="shared" si="15"/>
        <v>0</v>
      </c>
      <c r="U88" s="16"/>
      <c r="V88" s="78">
        <f t="shared" si="16"/>
        <v>0</v>
      </c>
      <c r="W88" s="140"/>
      <c r="X88" s="334"/>
      <c r="Y88" s="5"/>
      <c r="AD88" s="16" t="s">
        <v>168</v>
      </c>
      <c r="AE88" s="18">
        <f>+AC88*1000</f>
        <v>0</v>
      </c>
      <c r="AH88" s="16" t="s">
        <v>168</v>
      </c>
      <c r="AI88" s="18">
        <f>+AG88*1000</f>
        <v>0</v>
      </c>
      <c r="AK88" s="16"/>
      <c r="AL88" s="16"/>
      <c r="AN88" s="16" t="s">
        <v>168</v>
      </c>
      <c r="AO88" s="18">
        <f>+AM88*1000</f>
        <v>0</v>
      </c>
    </row>
    <row r="89" spans="1:41" x14ac:dyDescent="0.25">
      <c r="A89" s="143">
        <v>9</v>
      </c>
      <c r="B89" s="92">
        <v>45253</v>
      </c>
      <c r="C89" s="23">
        <v>0.35069444444444442</v>
      </c>
      <c r="D89" s="31" t="s">
        <v>2925</v>
      </c>
      <c r="E89" s="32">
        <v>5613609318</v>
      </c>
      <c r="F89" s="32" t="s">
        <v>38</v>
      </c>
      <c r="G89" s="32" t="s">
        <v>2924</v>
      </c>
      <c r="H89" s="39" t="s">
        <v>2923</v>
      </c>
      <c r="I89" s="39">
        <v>223</v>
      </c>
      <c r="J89" s="40">
        <v>211</v>
      </c>
      <c r="K89" s="20">
        <v>12</v>
      </c>
      <c r="L89" s="21"/>
      <c r="M89" s="21">
        <f t="shared" si="13"/>
        <v>223</v>
      </c>
      <c r="N89" s="21">
        <f t="shared" si="14"/>
        <v>0</v>
      </c>
      <c r="O89" s="21"/>
      <c r="P89" s="21"/>
      <c r="Q89" s="5"/>
      <c r="R89" s="16"/>
      <c r="S89" s="16"/>
      <c r="T89" s="21">
        <f t="shared" si="15"/>
        <v>0</v>
      </c>
      <c r="U89" s="16"/>
      <c r="V89" s="78">
        <f t="shared" si="16"/>
        <v>0</v>
      </c>
      <c r="W89" s="140"/>
      <c r="X89" s="334"/>
      <c r="Y89" s="5"/>
      <c r="AD89" s="26"/>
      <c r="AE89" s="58"/>
      <c r="AH89" s="26"/>
      <c r="AI89" s="58"/>
      <c r="AK89" s="16"/>
      <c r="AL89" s="16"/>
      <c r="AN89" s="26"/>
      <c r="AO89" s="58"/>
    </row>
    <row r="90" spans="1:41" x14ac:dyDescent="0.25">
      <c r="A90" s="143">
        <v>10</v>
      </c>
      <c r="B90" s="92">
        <v>45253</v>
      </c>
      <c r="C90" s="23">
        <v>0.35416666666666669</v>
      </c>
      <c r="D90" s="31" t="s">
        <v>1629</v>
      </c>
      <c r="E90" s="32">
        <v>5572135350</v>
      </c>
      <c r="F90" s="32" t="s">
        <v>106</v>
      </c>
      <c r="G90" s="32" t="s">
        <v>2927</v>
      </c>
      <c r="H90" s="39" t="s">
        <v>2930</v>
      </c>
      <c r="I90" s="122">
        <v>80</v>
      </c>
      <c r="J90" s="42">
        <v>61</v>
      </c>
      <c r="K90" s="20">
        <v>11</v>
      </c>
      <c r="L90" s="21">
        <v>8</v>
      </c>
      <c r="M90" s="21">
        <f t="shared" si="13"/>
        <v>72</v>
      </c>
      <c r="N90" s="21">
        <v>0</v>
      </c>
      <c r="O90" s="21"/>
      <c r="P90" s="21"/>
      <c r="Q90" s="5"/>
      <c r="R90" s="16"/>
      <c r="S90" s="16"/>
      <c r="T90" s="21">
        <f t="shared" si="15"/>
        <v>0</v>
      </c>
      <c r="U90" s="16"/>
      <c r="V90" s="78">
        <f t="shared" si="16"/>
        <v>0</v>
      </c>
      <c r="W90" s="140"/>
      <c r="X90" s="334"/>
      <c r="Y90" s="5"/>
      <c r="AD90" s="16" t="s">
        <v>169</v>
      </c>
      <c r="AE90" s="18">
        <f>SUM(AE80:AE89)</f>
        <v>231.5</v>
      </c>
      <c r="AH90" s="16" t="s">
        <v>169</v>
      </c>
      <c r="AI90" s="18">
        <f>SUM(AI80:AI89)</f>
        <v>326.5</v>
      </c>
      <c r="AK90" s="16"/>
      <c r="AL90" s="16"/>
      <c r="AN90" s="16" t="s">
        <v>169</v>
      </c>
      <c r="AO90" s="18"/>
    </row>
    <row r="91" spans="1:41" x14ac:dyDescent="0.25">
      <c r="A91" s="143">
        <v>11</v>
      </c>
      <c r="B91" s="92">
        <v>45253</v>
      </c>
      <c r="C91" s="23">
        <v>0.36527777777777781</v>
      </c>
      <c r="D91" s="31" t="s">
        <v>2644</v>
      </c>
      <c r="E91" s="32">
        <v>5537803548</v>
      </c>
      <c r="F91" s="32" t="s">
        <v>106</v>
      </c>
      <c r="G91" s="32" t="s">
        <v>2092</v>
      </c>
      <c r="H91" s="39" t="s">
        <v>2931</v>
      </c>
      <c r="I91" s="122">
        <v>110</v>
      </c>
      <c r="J91" s="42">
        <v>92</v>
      </c>
      <c r="K91" s="20">
        <v>12</v>
      </c>
      <c r="L91" s="21">
        <v>6</v>
      </c>
      <c r="M91" s="21">
        <f t="shared" si="13"/>
        <v>104</v>
      </c>
      <c r="N91" s="21">
        <f t="shared" si="14"/>
        <v>6</v>
      </c>
      <c r="O91" s="21">
        <v>110</v>
      </c>
      <c r="P91" s="21"/>
      <c r="Q91" s="5"/>
      <c r="R91" s="16"/>
      <c r="S91" s="16"/>
      <c r="T91" s="21">
        <f t="shared" si="15"/>
        <v>0</v>
      </c>
      <c r="U91" s="16"/>
      <c r="V91" s="78">
        <f t="shared" si="16"/>
        <v>110</v>
      </c>
      <c r="W91" s="140"/>
      <c r="X91" s="334"/>
      <c r="Y91" s="5"/>
      <c r="AE91">
        <v>500.5</v>
      </c>
      <c r="AK91" s="16"/>
      <c r="AL91" s="16"/>
      <c r="AN91" s="16"/>
      <c r="AO91" s="16"/>
    </row>
    <row r="92" spans="1:41" x14ac:dyDescent="0.25">
      <c r="A92" s="197">
        <v>12</v>
      </c>
      <c r="B92" s="198">
        <v>45253</v>
      </c>
      <c r="C92" s="255">
        <v>0.3576388888888889</v>
      </c>
      <c r="D92" s="207" t="s">
        <v>390</v>
      </c>
      <c r="E92" s="207">
        <v>5614683694</v>
      </c>
      <c r="F92" s="200" t="s">
        <v>2926</v>
      </c>
      <c r="G92" s="201" t="s">
        <v>2928</v>
      </c>
      <c r="H92" s="202" t="s">
        <v>227</v>
      </c>
      <c r="I92" s="265" t="s">
        <v>2932</v>
      </c>
      <c r="J92" s="204">
        <v>176</v>
      </c>
      <c r="K92" s="205">
        <v>10</v>
      </c>
      <c r="L92" s="206"/>
      <c r="M92" s="206">
        <f t="shared" si="13"/>
        <v>186</v>
      </c>
      <c r="N92" s="206" t="e">
        <f t="shared" si="14"/>
        <v>#VALUE!</v>
      </c>
      <c r="O92" s="206"/>
      <c r="P92" s="206"/>
      <c r="Q92" s="208"/>
      <c r="R92" s="263"/>
      <c r="S92" s="264"/>
      <c r="T92" s="206">
        <f t="shared" si="15"/>
        <v>0</v>
      </c>
      <c r="U92" s="263"/>
      <c r="V92" s="210">
        <f t="shared" si="16"/>
        <v>0</v>
      </c>
      <c r="W92" s="140"/>
      <c r="X92" s="334"/>
      <c r="Y92" s="5"/>
      <c r="AK92" s="63" t="s">
        <v>169</v>
      </c>
      <c r="AL92" s="63">
        <f>+SUM(AK81:AK91)-SUM(AL81:AL91)</f>
        <v>0</v>
      </c>
      <c r="AN92" s="63" t="s">
        <v>169</v>
      </c>
      <c r="AO92" s="85">
        <f>+SUM(AN80:AN91)-SUM(AO81:AO91)</f>
        <v>0</v>
      </c>
    </row>
    <row r="93" spans="1:41" x14ac:dyDescent="0.25">
      <c r="A93" s="143">
        <v>13</v>
      </c>
      <c r="B93" s="92">
        <v>45253</v>
      </c>
      <c r="C93" s="23">
        <v>0.3611111111111111</v>
      </c>
      <c r="D93" s="31" t="s">
        <v>2722</v>
      </c>
      <c r="E93" s="32">
        <v>5612050452</v>
      </c>
      <c r="F93" s="32" t="s">
        <v>1252</v>
      </c>
      <c r="G93" s="32" t="s">
        <v>2929</v>
      </c>
      <c r="H93" s="39"/>
      <c r="I93" s="39">
        <v>160</v>
      </c>
      <c r="J93" s="42">
        <v>130</v>
      </c>
      <c r="K93" s="108">
        <v>20</v>
      </c>
      <c r="L93" s="21"/>
      <c r="M93" s="21">
        <f t="shared" si="13"/>
        <v>150</v>
      </c>
      <c r="N93" s="21">
        <f t="shared" si="14"/>
        <v>10</v>
      </c>
      <c r="O93" s="21">
        <v>160</v>
      </c>
      <c r="P93" s="21"/>
      <c r="Q93" s="5"/>
      <c r="R93" s="43"/>
      <c r="S93" s="32"/>
      <c r="T93" s="21">
        <f t="shared" si="15"/>
        <v>0</v>
      </c>
      <c r="U93" s="43"/>
      <c r="V93" s="78">
        <f t="shared" si="16"/>
        <v>160</v>
      </c>
      <c r="W93" s="140"/>
      <c r="X93" s="334"/>
      <c r="Y93" s="5"/>
      <c r="AI93" s="83"/>
    </row>
    <row r="94" spans="1:41" x14ac:dyDescent="0.25">
      <c r="A94" s="143">
        <v>14</v>
      </c>
      <c r="B94" s="92">
        <v>45253</v>
      </c>
      <c r="C94" s="23">
        <v>0.41319444444444442</v>
      </c>
      <c r="D94" s="31" t="s">
        <v>1518</v>
      </c>
      <c r="E94" s="32">
        <v>5612566659</v>
      </c>
      <c r="F94" s="32" t="s">
        <v>106</v>
      </c>
      <c r="G94" s="32" t="s">
        <v>220</v>
      </c>
      <c r="H94" s="39" t="s">
        <v>227</v>
      </c>
      <c r="I94" s="39">
        <v>200</v>
      </c>
      <c r="J94" s="42">
        <v>176</v>
      </c>
      <c r="K94" s="108">
        <v>10</v>
      </c>
      <c r="L94" s="21"/>
      <c r="M94" s="21">
        <f t="shared" si="13"/>
        <v>186</v>
      </c>
      <c r="N94" s="21">
        <f t="shared" si="14"/>
        <v>14</v>
      </c>
      <c r="O94" s="21"/>
      <c r="P94" s="21"/>
      <c r="Q94" s="5"/>
      <c r="R94" s="43"/>
      <c r="S94" s="43"/>
      <c r="T94" s="21">
        <f t="shared" si="15"/>
        <v>0</v>
      </c>
      <c r="U94" s="43"/>
      <c r="V94" s="78">
        <f t="shared" si="16"/>
        <v>0</v>
      </c>
      <c r="W94" s="140"/>
      <c r="X94" s="334"/>
      <c r="Y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1:41" x14ac:dyDescent="0.25">
      <c r="A95" s="143">
        <v>15</v>
      </c>
      <c r="B95" s="92">
        <v>45253</v>
      </c>
      <c r="C95" s="23"/>
      <c r="D95" s="127"/>
      <c r="E95" s="32"/>
      <c r="F95" s="32"/>
      <c r="G95" s="128"/>
      <c r="H95" s="129"/>
      <c r="I95" s="39"/>
      <c r="J95" s="42"/>
      <c r="K95" s="108">
        <v>10</v>
      </c>
      <c r="L95" s="21"/>
      <c r="M95" s="21">
        <f t="shared" si="13"/>
        <v>10</v>
      </c>
      <c r="N95" s="21">
        <f t="shared" si="14"/>
        <v>-10</v>
      </c>
      <c r="O95" s="21"/>
      <c r="P95" s="21"/>
      <c r="Q95" s="5"/>
      <c r="R95" s="43"/>
      <c r="S95" s="43"/>
      <c r="T95" s="21">
        <f t="shared" si="15"/>
        <v>0</v>
      </c>
      <c r="U95" s="43"/>
      <c r="V95" s="78">
        <f t="shared" si="16"/>
        <v>0</v>
      </c>
      <c r="W95" s="140"/>
      <c r="X95" s="334"/>
      <c r="Y95" s="5"/>
      <c r="AD95" s="5"/>
      <c r="AE95" s="134" t="s">
        <v>20</v>
      </c>
      <c r="AF95" s="338"/>
      <c r="AG95" s="341" t="s">
        <v>686</v>
      </c>
      <c r="AH95" s="134" t="s">
        <v>20</v>
      </c>
      <c r="AI95" s="338">
        <v>79</v>
      </c>
      <c r="AJ95" s="341" t="s">
        <v>687</v>
      </c>
      <c r="AK95" s="134" t="s">
        <v>20</v>
      </c>
      <c r="AL95" s="338"/>
      <c r="AM95" s="5"/>
    </row>
    <row r="96" spans="1:41" x14ac:dyDescent="0.25">
      <c r="A96" s="143">
        <v>16</v>
      </c>
      <c r="B96" s="92">
        <v>45253</v>
      </c>
      <c r="C96" s="23"/>
      <c r="D96" s="31"/>
      <c r="E96" s="32"/>
      <c r="F96" s="32"/>
      <c r="G96" s="32"/>
      <c r="H96" s="39"/>
      <c r="I96" s="39"/>
      <c r="J96" s="42"/>
      <c r="K96" s="43">
        <v>10</v>
      </c>
      <c r="L96" s="21"/>
      <c r="M96" s="21">
        <f t="shared" si="13"/>
        <v>10</v>
      </c>
      <c r="N96" s="21">
        <f t="shared" si="14"/>
        <v>-10</v>
      </c>
      <c r="O96" s="21"/>
      <c r="P96" s="21"/>
      <c r="Q96" s="5"/>
      <c r="R96" s="43"/>
      <c r="S96" s="32"/>
      <c r="T96" s="21">
        <f t="shared" si="15"/>
        <v>0</v>
      </c>
      <c r="U96" s="131"/>
      <c r="V96" s="78">
        <f t="shared" si="16"/>
        <v>0</v>
      </c>
      <c r="W96" s="140"/>
      <c r="X96" s="334"/>
      <c r="Y96" s="5"/>
      <c r="AD96" s="5" t="s">
        <v>685</v>
      </c>
      <c r="AE96" s="115" t="s">
        <v>684</v>
      </c>
      <c r="AF96" s="339"/>
      <c r="AG96" s="341"/>
      <c r="AH96" s="115" t="s">
        <v>684</v>
      </c>
      <c r="AI96" s="339"/>
      <c r="AJ96" s="341"/>
      <c r="AK96" s="115" t="s">
        <v>684</v>
      </c>
      <c r="AL96" s="339"/>
      <c r="AM96" s="5"/>
    </row>
    <row r="97" spans="1:41" x14ac:dyDescent="0.25">
      <c r="A97" s="143">
        <v>17</v>
      </c>
      <c r="B97" s="92">
        <v>45253</v>
      </c>
      <c r="C97" s="23"/>
      <c r="D97" s="31"/>
      <c r="E97" s="32"/>
      <c r="F97" s="32"/>
      <c r="G97" s="32"/>
      <c r="H97" s="39"/>
      <c r="I97" s="39"/>
      <c r="J97" s="42"/>
      <c r="K97" s="43">
        <v>10</v>
      </c>
      <c r="L97" s="21"/>
      <c r="M97" s="21">
        <f t="shared" si="13"/>
        <v>10</v>
      </c>
      <c r="N97" s="21">
        <f t="shared" si="14"/>
        <v>-10</v>
      </c>
      <c r="O97" s="21"/>
      <c r="P97" s="21"/>
      <c r="Q97" s="5"/>
      <c r="R97" s="43"/>
      <c r="S97" s="32"/>
      <c r="T97" s="21">
        <f t="shared" si="15"/>
        <v>0</v>
      </c>
      <c r="U97" s="132"/>
      <c r="V97" s="78">
        <f t="shared" si="16"/>
        <v>0</v>
      </c>
      <c r="W97" s="140"/>
      <c r="X97" s="340"/>
      <c r="Y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1:41" x14ac:dyDescent="0.25">
      <c r="A98" s="143">
        <v>18</v>
      </c>
      <c r="B98" s="92">
        <v>45253</v>
      </c>
      <c r="C98" s="32"/>
      <c r="D98" s="31"/>
      <c r="E98" s="32"/>
      <c r="F98" s="32"/>
      <c r="G98" s="32"/>
      <c r="H98" s="39"/>
      <c r="I98" s="39"/>
      <c r="J98" s="42"/>
      <c r="K98" s="43">
        <v>10</v>
      </c>
      <c r="L98" s="21"/>
      <c r="M98" s="21">
        <f t="shared" si="13"/>
        <v>10</v>
      </c>
      <c r="N98" s="21">
        <f t="shared" si="14"/>
        <v>-10</v>
      </c>
      <c r="O98" s="21"/>
      <c r="P98" s="21"/>
      <c r="Q98" s="5"/>
      <c r="R98" s="135"/>
      <c r="S98" s="104"/>
      <c r="T98" s="21">
        <f t="shared" si="15"/>
        <v>0</v>
      </c>
      <c r="U98" s="131"/>
      <c r="V98" s="78">
        <f t="shared" si="16"/>
        <v>0</v>
      </c>
      <c r="W98" s="140"/>
      <c r="Y98" s="5"/>
    </row>
    <row r="99" spans="1:41" x14ac:dyDescent="0.25">
      <c r="A99" s="143">
        <v>19</v>
      </c>
      <c r="B99" s="92">
        <v>45253</v>
      </c>
      <c r="C99" s="32"/>
      <c r="D99" s="31"/>
      <c r="E99" s="32"/>
      <c r="F99" s="32"/>
      <c r="G99" s="32"/>
      <c r="H99" s="39"/>
      <c r="I99" s="39"/>
      <c r="J99" s="42"/>
      <c r="K99" s="43">
        <v>10</v>
      </c>
      <c r="L99" s="21"/>
      <c r="M99" s="21">
        <f t="shared" si="13"/>
        <v>10</v>
      </c>
      <c r="N99" s="21">
        <f t="shared" si="14"/>
        <v>-10</v>
      </c>
      <c r="O99" s="21"/>
      <c r="P99" s="21"/>
      <c r="Q99" s="5"/>
      <c r="R99" s="32"/>
      <c r="S99" s="32"/>
      <c r="T99" s="21">
        <f t="shared" si="15"/>
        <v>0</v>
      </c>
      <c r="U99" s="32"/>
      <c r="V99" s="78">
        <f t="shared" si="16"/>
        <v>0</v>
      </c>
      <c r="W99" s="140"/>
      <c r="Y99" s="5"/>
    </row>
    <row r="100" spans="1:41" x14ac:dyDescent="0.25">
      <c r="I100" t="s">
        <v>3164</v>
      </c>
      <c r="J100">
        <f>SUM(J81:J94)</f>
        <v>2534</v>
      </c>
    </row>
    <row r="102" spans="1:41" x14ac:dyDescent="0.25">
      <c r="D102" t="s">
        <v>2950</v>
      </c>
      <c r="Q102" t="s">
        <v>2945</v>
      </c>
    </row>
    <row r="104" spans="1:41" x14ac:dyDescent="0.25">
      <c r="A104" s="1" t="s">
        <v>0</v>
      </c>
      <c r="B104" s="1"/>
      <c r="C104" s="1"/>
      <c r="D104" s="1"/>
      <c r="E104" s="1"/>
      <c r="F104" s="1"/>
      <c r="G104" s="1"/>
      <c r="H104" s="1"/>
      <c r="I104" s="1"/>
      <c r="J104" s="1" t="s">
        <v>148</v>
      </c>
      <c r="K104" s="1"/>
      <c r="L104" s="1"/>
      <c r="M104" s="1"/>
      <c r="N104" s="1"/>
      <c r="O104" s="1"/>
      <c r="P104" s="1"/>
      <c r="Q104" s="1"/>
      <c r="R104" s="1"/>
      <c r="S104" s="1"/>
      <c r="T104" s="342" t="s">
        <v>1</v>
      </c>
      <c r="U104" s="342"/>
      <c r="V104" s="5"/>
      <c r="W104" s="139"/>
      <c r="X104" s="1"/>
      <c r="Y104" s="5"/>
      <c r="AD104" s="335" t="s">
        <v>160</v>
      </c>
      <c r="AE104" s="336"/>
      <c r="AH104" s="335" t="s">
        <v>170</v>
      </c>
      <c r="AI104" s="336"/>
      <c r="AK104" s="337" t="s">
        <v>172</v>
      </c>
      <c r="AL104" s="337"/>
      <c r="AN104" s="337" t="s">
        <v>681</v>
      </c>
      <c r="AO104" s="337"/>
    </row>
    <row r="105" spans="1:41" ht="90" x14ac:dyDescent="0.25">
      <c r="A105" s="6" t="s">
        <v>2</v>
      </c>
      <c r="B105" s="7" t="s">
        <v>3</v>
      </c>
      <c r="C105" s="245" t="s">
        <v>688</v>
      </c>
      <c r="D105" s="7" t="s">
        <v>4</v>
      </c>
      <c r="E105" s="6" t="s">
        <v>5</v>
      </c>
      <c r="F105" s="6" t="s">
        <v>6</v>
      </c>
      <c r="G105" s="6" t="s">
        <v>7</v>
      </c>
      <c r="H105" s="6" t="s">
        <v>8</v>
      </c>
      <c r="I105" s="8" t="s">
        <v>9</v>
      </c>
      <c r="J105" s="9" t="s">
        <v>10</v>
      </c>
      <c r="K105" s="8" t="s">
        <v>11</v>
      </c>
      <c r="L105" s="10" t="s">
        <v>12</v>
      </c>
      <c r="M105" s="10" t="s">
        <v>13</v>
      </c>
      <c r="N105" s="11" t="s">
        <v>14</v>
      </c>
      <c r="O105" s="10" t="s">
        <v>691</v>
      </c>
      <c r="P105" s="10" t="s">
        <v>28</v>
      </c>
      <c r="Q105" s="266" t="s">
        <v>2943</v>
      </c>
      <c r="R105" s="10" t="s">
        <v>16</v>
      </c>
      <c r="S105" s="10" t="s">
        <v>17</v>
      </c>
      <c r="T105" s="10" t="s">
        <v>18</v>
      </c>
      <c r="U105" s="10" t="s">
        <v>19</v>
      </c>
      <c r="V105" s="10" t="s">
        <v>20</v>
      </c>
      <c r="W105" s="13"/>
      <c r="X105" s="15" t="s">
        <v>23</v>
      </c>
      <c r="Y105" s="5"/>
      <c r="AA105" s="251" t="s">
        <v>2554</v>
      </c>
      <c r="AC105">
        <v>1</v>
      </c>
      <c r="AD105" s="16" t="s">
        <v>161</v>
      </c>
      <c r="AE105" s="58">
        <f>+AC105*10</f>
        <v>10</v>
      </c>
      <c r="AG105">
        <v>2</v>
      </c>
      <c r="AH105" s="16" t="s">
        <v>161</v>
      </c>
      <c r="AI105" s="58">
        <f>+AG105*10</f>
        <v>20</v>
      </c>
      <c r="AK105" s="61" t="s">
        <v>173</v>
      </c>
      <c r="AL105" s="62" t="s">
        <v>174</v>
      </c>
      <c r="AN105" s="16" t="s">
        <v>161</v>
      </c>
      <c r="AO105" s="58">
        <f>+AM105*10</f>
        <v>0</v>
      </c>
    </row>
    <row r="106" spans="1:41" x14ac:dyDescent="0.25">
      <c r="A106" s="16">
        <v>1</v>
      </c>
      <c r="B106" s="92">
        <v>45254</v>
      </c>
      <c r="C106" s="255">
        <v>0.45694444444444443</v>
      </c>
      <c r="D106" s="199" t="s">
        <v>2464</v>
      </c>
      <c r="E106" s="207">
        <v>5610020620</v>
      </c>
      <c r="F106" s="202" t="s">
        <v>106</v>
      </c>
      <c r="G106" s="202" t="s">
        <v>2941</v>
      </c>
      <c r="H106" s="202" t="s">
        <v>2935</v>
      </c>
      <c r="I106" s="203"/>
      <c r="J106" s="207">
        <v>118</v>
      </c>
      <c r="K106" s="205">
        <v>10</v>
      </c>
      <c r="L106" s="206"/>
      <c r="M106" s="206">
        <f t="shared" ref="M106:M124" si="17">+J106+K106</f>
        <v>128</v>
      </c>
      <c r="N106" s="206">
        <f t="shared" ref="N106:N124" si="18">+I106-M106</f>
        <v>-128</v>
      </c>
      <c r="O106" s="206">
        <v>128</v>
      </c>
      <c r="P106" s="206">
        <v>118</v>
      </c>
      <c r="Q106" s="208" t="s">
        <v>2944</v>
      </c>
      <c r="R106" s="206">
        <v>200</v>
      </c>
      <c r="S106" s="209"/>
      <c r="T106" s="206">
        <f t="shared" ref="T106:T124" si="19">+R106+S106</f>
        <v>200</v>
      </c>
      <c r="U106" s="206"/>
      <c r="V106" s="78">
        <f>+U106-T106+O106+P106</f>
        <v>46</v>
      </c>
      <c r="W106" s="13"/>
      <c r="X106" s="333"/>
      <c r="Y106" s="5"/>
      <c r="AC106">
        <v>11.5</v>
      </c>
      <c r="AD106" s="59" t="s">
        <v>162</v>
      </c>
      <c r="AE106" s="18">
        <f>+AC106*1</f>
        <v>11.5</v>
      </c>
      <c r="AG106">
        <v>27</v>
      </c>
      <c r="AH106" s="59" t="s">
        <v>162</v>
      </c>
      <c r="AI106" s="18">
        <f>+AG106*1</f>
        <v>27</v>
      </c>
      <c r="AK106" s="16"/>
      <c r="AL106" s="16"/>
      <c r="AN106" s="59" t="s">
        <v>162</v>
      </c>
      <c r="AO106" s="18">
        <f>+AM106*1</f>
        <v>0</v>
      </c>
    </row>
    <row r="107" spans="1:41" x14ac:dyDescent="0.25">
      <c r="A107" s="26">
        <v>2</v>
      </c>
      <c r="B107" s="92">
        <v>45254</v>
      </c>
      <c r="C107" s="23">
        <v>0.45763888888888887</v>
      </c>
      <c r="D107" s="31" t="s">
        <v>2933</v>
      </c>
      <c r="E107" s="213">
        <v>5610020620</v>
      </c>
      <c r="F107" s="32" t="s">
        <v>701</v>
      </c>
      <c r="G107" s="32" t="s">
        <v>2942</v>
      </c>
      <c r="H107" s="39" t="s">
        <v>2934</v>
      </c>
      <c r="I107" s="122"/>
      <c r="J107" s="32">
        <v>106</v>
      </c>
      <c r="K107" s="20">
        <v>20</v>
      </c>
      <c r="L107" s="21"/>
      <c r="M107" s="21">
        <f t="shared" si="17"/>
        <v>126</v>
      </c>
      <c r="N107" s="21">
        <f t="shared" si="18"/>
        <v>-126</v>
      </c>
      <c r="O107" s="21"/>
      <c r="P107" s="21"/>
      <c r="Q107" s="22">
        <f>+SUM(P106:P124)+100</f>
        <v>377</v>
      </c>
      <c r="R107" s="21"/>
      <c r="S107" s="16"/>
      <c r="T107" s="21">
        <f t="shared" si="19"/>
        <v>0</v>
      </c>
      <c r="U107" s="21">
        <v>10</v>
      </c>
      <c r="V107" s="78">
        <f t="shared" ref="V107:V124" si="20">+U107-T107+O107+P107</f>
        <v>10</v>
      </c>
      <c r="W107" s="140"/>
      <c r="X107" s="334"/>
      <c r="Y107" s="5"/>
      <c r="AC107">
        <v>21</v>
      </c>
      <c r="AD107" s="16" t="s">
        <v>163</v>
      </c>
      <c r="AE107" s="60">
        <f>+AC107*5</f>
        <v>105</v>
      </c>
      <c r="AG107">
        <v>9</v>
      </c>
      <c r="AH107" s="16" t="s">
        <v>163</v>
      </c>
      <c r="AI107" s="60">
        <f>+AG107*5</f>
        <v>45</v>
      </c>
      <c r="AK107" s="16"/>
      <c r="AL107" s="16"/>
      <c r="AN107" s="16" t="s">
        <v>163</v>
      </c>
      <c r="AO107" s="60">
        <f>+AM107*5</f>
        <v>0</v>
      </c>
    </row>
    <row r="108" spans="1:41" x14ac:dyDescent="0.25">
      <c r="A108" s="143">
        <v>3</v>
      </c>
      <c r="B108" s="92">
        <v>45254</v>
      </c>
      <c r="C108" s="23">
        <v>0.5</v>
      </c>
      <c r="D108" s="31" t="s">
        <v>128</v>
      </c>
      <c r="E108" s="32">
        <v>5530181574</v>
      </c>
      <c r="F108" s="32" t="s">
        <v>106</v>
      </c>
      <c r="G108" s="32">
        <v>844</v>
      </c>
      <c r="H108" s="39" t="s">
        <v>2936</v>
      </c>
      <c r="I108" s="122"/>
      <c r="J108" s="32">
        <f>82+46</f>
        <v>128</v>
      </c>
      <c r="K108" s="20">
        <v>14</v>
      </c>
      <c r="L108" s="21">
        <v>20</v>
      </c>
      <c r="M108" s="21">
        <f t="shared" si="17"/>
        <v>142</v>
      </c>
      <c r="N108" s="21">
        <f t="shared" si="18"/>
        <v>-142</v>
      </c>
      <c r="O108" s="21">
        <v>150</v>
      </c>
      <c r="P108" s="21">
        <v>82</v>
      </c>
      <c r="Q108" s="5"/>
      <c r="R108" s="21">
        <v>200</v>
      </c>
      <c r="S108" s="16"/>
      <c r="T108" s="21">
        <f t="shared" si="19"/>
        <v>200</v>
      </c>
      <c r="U108" s="21"/>
      <c r="V108" s="78">
        <f t="shared" si="20"/>
        <v>32</v>
      </c>
      <c r="W108" s="140"/>
      <c r="X108" s="334"/>
      <c r="Y108" s="5"/>
      <c r="AD108" s="16" t="s">
        <v>164</v>
      </c>
      <c r="AE108" s="18">
        <f>+AC108*200</f>
        <v>0</v>
      </c>
      <c r="AG108">
        <v>0</v>
      </c>
      <c r="AH108" s="16" t="s">
        <v>164</v>
      </c>
      <c r="AI108" s="18">
        <f>+AG108*200</f>
        <v>0</v>
      </c>
      <c r="AK108" s="16"/>
      <c r="AL108" s="16"/>
      <c r="AN108" s="16" t="s">
        <v>164</v>
      </c>
      <c r="AO108" s="18">
        <f>+AM108*200</f>
        <v>0</v>
      </c>
    </row>
    <row r="109" spans="1:41" x14ac:dyDescent="0.25">
      <c r="A109" s="143">
        <v>4</v>
      </c>
      <c r="B109" s="92">
        <v>45254</v>
      </c>
      <c r="C109" s="23">
        <v>0.50347222222222221</v>
      </c>
      <c r="D109" s="31" t="s">
        <v>2112</v>
      </c>
      <c r="E109" s="32">
        <v>5612050452</v>
      </c>
      <c r="F109" s="32" t="s">
        <v>2939</v>
      </c>
      <c r="G109" s="32" t="s">
        <v>242</v>
      </c>
      <c r="H109" s="39" t="s">
        <v>2937</v>
      </c>
      <c r="I109" s="122"/>
      <c r="J109" s="32">
        <v>120</v>
      </c>
      <c r="K109" s="20">
        <v>10</v>
      </c>
      <c r="L109" s="21"/>
      <c r="M109" s="21">
        <f t="shared" si="17"/>
        <v>130</v>
      </c>
      <c r="N109" s="21">
        <f t="shared" si="18"/>
        <v>-130</v>
      </c>
      <c r="O109" s="21">
        <v>130</v>
      </c>
      <c r="P109" s="21"/>
      <c r="Q109" s="5"/>
      <c r="R109" s="21">
        <v>100</v>
      </c>
      <c r="S109" s="16"/>
      <c r="T109" s="21">
        <f t="shared" si="19"/>
        <v>100</v>
      </c>
      <c r="U109" s="21"/>
      <c r="V109" s="78">
        <f t="shared" si="20"/>
        <v>30</v>
      </c>
      <c r="W109" s="140"/>
      <c r="X109" s="334"/>
      <c r="Y109" s="5"/>
      <c r="AA109" t="s">
        <v>2962</v>
      </c>
      <c r="AC109">
        <v>1</v>
      </c>
      <c r="AD109" s="16" t="s">
        <v>165</v>
      </c>
      <c r="AE109" s="18">
        <f>+AC109*100</f>
        <v>100</v>
      </c>
      <c r="AH109" s="16" t="s">
        <v>165</v>
      </c>
      <c r="AI109" s="18">
        <f>+AG109*100</f>
        <v>0</v>
      </c>
      <c r="AK109" s="16"/>
      <c r="AL109" s="16"/>
      <c r="AN109" s="16" t="s">
        <v>165</v>
      </c>
      <c r="AO109" s="18">
        <f>+AM109*100</f>
        <v>0</v>
      </c>
    </row>
    <row r="110" spans="1:41" x14ac:dyDescent="0.25">
      <c r="A110" s="143">
        <v>5</v>
      </c>
      <c r="B110" s="92">
        <v>45254</v>
      </c>
      <c r="C110" s="23">
        <v>0.51874999999999993</v>
      </c>
      <c r="D110" s="31" t="s">
        <v>1610</v>
      </c>
      <c r="E110" s="32"/>
      <c r="F110" s="32" t="s">
        <v>2940</v>
      </c>
      <c r="G110" s="32" t="s">
        <v>1746</v>
      </c>
      <c r="H110" s="32" t="s">
        <v>2938</v>
      </c>
      <c r="I110" s="122">
        <v>200</v>
      </c>
      <c r="J110" s="32">
        <v>130</v>
      </c>
      <c r="K110" s="20">
        <v>10</v>
      </c>
      <c r="L110" s="21">
        <v>30</v>
      </c>
      <c r="M110" s="21">
        <f t="shared" si="17"/>
        <v>140</v>
      </c>
      <c r="N110" s="21">
        <f t="shared" si="18"/>
        <v>60</v>
      </c>
      <c r="O110" s="21"/>
      <c r="P110" s="21">
        <v>77</v>
      </c>
      <c r="Q110" s="5"/>
      <c r="R110" s="16">
        <v>200</v>
      </c>
      <c r="S110" s="16"/>
      <c r="T110" s="21">
        <f t="shared" si="19"/>
        <v>200</v>
      </c>
      <c r="U110" s="21">
        <v>163</v>
      </c>
      <c r="V110" s="78">
        <f t="shared" si="20"/>
        <v>40</v>
      </c>
      <c r="W110" s="140"/>
      <c r="X110" s="334"/>
      <c r="Y110" s="5"/>
      <c r="AC110">
        <v>2</v>
      </c>
      <c r="AD110" s="16" t="s">
        <v>166</v>
      </c>
      <c r="AE110" s="18">
        <f>+AC110*50</f>
        <v>100</v>
      </c>
      <c r="AH110" s="16" t="s">
        <v>166</v>
      </c>
      <c r="AI110" s="18">
        <f>+AG110*50</f>
        <v>0</v>
      </c>
      <c r="AK110" s="16"/>
      <c r="AL110" s="16"/>
      <c r="AN110" s="16" t="s">
        <v>166</v>
      </c>
      <c r="AO110" s="18">
        <f>+AM110*50</f>
        <v>0</v>
      </c>
    </row>
    <row r="111" spans="1:41" x14ac:dyDescent="0.25">
      <c r="A111" s="143">
        <v>6</v>
      </c>
      <c r="B111" s="92">
        <v>45254</v>
      </c>
      <c r="C111" s="23">
        <v>0.60833333333333328</v>
      </c>
      <c r="D111" s="31" t="s">
        <v>2293</v>
      </c>
      <c r="E111" s="32"/>
      <c r="F111" s="32" t="s">
        <v>106</v>
      </c>
      <c r="G111" s="32" t="s">
        <v>1674</v>
      </c>
      <c r="H111" s="39" t="s">
        <v>2946</v>
      </c>
      <c r="I111" s="39"/>
      <c r="J111" s="42">
        <v>66</v>
      </c>
      <c r="K111" s="20">
        <v>10</v>
      </c>
      <c r="L111" s="21"/>
      <c r="M111" s="21">
        <f t="shared" si="17"/>
        <v>76</v>
      </c>
      <c r="N111" s="21">
        <f t="shared" si="18"/>
        <v>-76</v>
      </c>
      <c r="O111" s="21"/>
      <c r="P111" s="21"/>
      <c r="Q111" s="5"/>
      <c r="R111" s="16">
        <v>200</v>
      </c>
      <c r="S111" s="16"/>
      <c r="T111" s="21">
        <f t="shared" si="19"/>
        <v>200</v>
      </c>
      <c r="U111" s="16">
        <v>210</v>
      </c>
      <c r="V111" s="78">
        <f t="shared" si="20"/>
        <v>10</v>
      </c>
      <c r="W111" s="140"/>
      <c r="X111" s="334"/>
      <c r="Y111" s="5"/>
      <c r="AA111" t="s">
        <v>2963</v>
      </c>
      <c r="AC111">
        <v>3</v>
      </c>
      <c r="AD111" s="16" t="s">
        <v>167</v>
      </c>
      <c r="AE111" s="18">
        <f>+AC111*20</f>
        <v>60</v>
      </c>
      <c r="AG111">
        <v>3</v>
      </c>
      <c r="AH111" s="16" t="s">
        <v>167</v>
      </c>
      <c r="AI111" s="18">
        <f>+AG111*20</f>
        <v>60</v>
      </c>
      <c r="AK111" s="16"/>
      <c r="AL111" s="16"/>
      <c r="AN111" s="16" t="s">
        <v>167</v>
      </c>
      <c r="AO111" s="18">
        <f>+AM111*20</f>
        <v>0</v>
      </c>
    </row>
    <row r="112" spans="1:41" x14ac:dyDescent="0.25">
      <c r="A112" s="143">
        <v>7</v>
      </c>
      <c r="B112" s="92">
        <v>45254</v>
      </c>
      <c r="C112" s="23">
        <v>0.66666666666666663</v>
      </c>
      <c r="D112" s="31" t="s">
        <v>2753</v>
      </c>
      <c r="E112" s="32"/>
      <c r="F112" s="32" t="s">
        <v>83</v>
      </c>
      <c r="G112" s="39" t="s">
        <v>1351</v>
      </c>
      <c r="H112" s="39" t="s">
        <v>2949</v>
      </c>
      <c r="I112" s="122"/>
      <c r="J112" s="42">
        <v>11</v>
      </c>
      <c r="K112" s="20">
        <v>10</v>
      </c>
      <c r="L112" s="21"/>
      <c r="M112" s="21">
        <f t="shared" si="17"/>
        <v>21</v>
      </c>
      <c r="N112" s="21">
        <f t="shared" si="18"/>
        <v>-21</v>
      </c>
      <c r="O112" s="21"/>
      <c r="P112" s="21"/>
      <c r="Q112" s="5"/>
      <c r="R112" s="16">
        <v>200</v>
      </c>
      <c r="S112" s="16"/>
      <c r="T112" s="21">
        <f t="shared" si="19"/>
        <v>200</v>
      </c>
      <c r="U112" s="16">
        <v>210</v>
      </c>
      <c r="V112" s="78">
        <f t="shared" si="20"/>
        <v>10</v>
      </c>
      <c r="W112" s="140"/>
      <c r="X112" s="334"/>
      <c r="Y112" s="5"/>
      <c r="AA112" t="s">
        <v>2964</v>
      </c>
      <c r="AD112" s="16" t="s">
        <v>171</v>
      </c>
      <c r="AE112" s="18">
        <f>+AC112*500</f>
        <v>0</v>
      </c>
      <c r="AH112" s="16" t="s">
        <v>171</v>
      </c>
      <c r="AI112" s="18">
        <f>+AG112*500</f>
        <v>0</v>
      </c>
      <c r="AK112" s="16"/>
      <c r="AL112" s="16"/>
      <c r="AN112" s="16" t="s">
        <v>171</v>
      </c>
      <c r="AO112" s="18">
        <f>+AM112*500</f>
        <v>0</v>
      </c>
    </row>
    <row r="113" spans="1:41" x14ac:dyDescent="0.25">
      <c r="A113" s="41">
        <v>8</v>
      </c>
      <c r="B113" s="92">
        <v>45254</v>
      </c>
      <c r="C113" s="23">
        <v>0.66736111111111107</v>
      </c>
      <c r="D113" s="31" t="s">
        <v>2947</v>
      </c>
      <c r="E113" s="123"/>
      <c r="F113" s="123" t="s">
        <v>1483</v>
      </c>
      <c r="G113" s="123" t="s">
        <v>2948</v>
      </c>
      <c r="H113" s="39" t="s">
        <v>873</v>
      </c>
      <c r="I113" s="122">
        <v>120</v>
      </c>
      <c r="J113" s="32">
        <v>84</v>
      </c>
      <c r="K113" s="20">
        <v>40</v>
      </c>
      <c r="L113" s="21">
        <v>4</v>
      </c>
      <c r="M113" s="21">
        <f t="shared" si="17"/>
        <v>124</v>
      </c>
      <c r="N113" s="21">
        <f t="shared" si="18"/>
        <v>-4</v>
      </c>
      <c r="O113" s="21"/>
      <c r="P113" s="21"/>
      <c r="Q113" s="5"/>
      <c r="R113" s="16">
        <v>100</v>
      </c>
      <c r="S113" s="16"/>
      <c r="T113" s="21">
        <f t="shared" si="19"/>
        <v>100</v>
      </c>
      <c r="U113" s="16"/>
      <c r="V113" s="78">
        <f t="shared" si="20"/>
        <v>-100</v>
      </c>
      <c r="W113" s="140"/>
      <c r="X113" s="334"/>
      <c r="Y113" s="5"/>
      <c r="AD113" s="16" t="s">
        <v>168</v>
      </c>
      <c r="AE113" s="18">
        <f>+AC113*1000</f>
        <v>0</v>
      </c>
      <c r="AH113" s="16" t="s">
        <v>168</v>
      </c>
      <c r="AI113" s="18">
        <f>+AG113*1000</f>
        <v>0</v>
      </c>
      <c r="AK113" s="16"/>
      <c r="AL113" s="16"/>
      <c r="AN113" s="16" t="s">
        <v>168</v>
      </c>
      <c r="AO113" s="18">
        <f>+AM113*1000</f>
        <v>0</v>
      </c>
    </row>
    <row r="114" spans="1:41" x14ac:dyDescent="0.25">
      <c r="A114" s="143">
        <v>9</v>
      </c>
      <c r="B114" s="92">
        <v>45254</v>
      </c>
      <c r="C114" s="23">
        <v>0.25694444444444448</v>
      </c>
      <c r="D114" s="31" t="s">
        <v>473</v>
      </c>
      <c r="E114" s="32"/>
      <c r="F114" s="32" t="s">
        <v>2273</v>
      </c>
      <c r="G114" s="32" t="s">
        <v>2847</v>
      </c>
      <c r="H114" s="39" t="s">
        <v>2951</v>
      </c>
      <c r="I114" s="39">
        <v>40</v>
      </c>
      <c r="J114" s="40">
        <v>27</v>
      </c>
      <c r="K114" s="20">
        <v>11</v>
      </c>
      <c r="L114" s="21"/>
      <c r="M114" s="21">
        <f t="shared" si="17"/>
        <v>38</v>
      </c>
      <c r="N114" s="21">
        <f t="shared" si="18"/>
        <v>2</v>
      </c>
      <c r="O114" s="21"/>
      <c r="P114" s="21"/>
      <c r="Q114" s="5"/>
      <c r="R114" s="16">
        <v>70</v>
      </c>
      <c r="S114" s="16"/>
      <c r="T114" s="21">
        <f t="shared" si="19"/>
        <v>70</v>
      </c>
      <c r="U114" s="16">
        <v>81</v>
      </c>
      <c r="V114" s="78">
        <f t="shared" si="20"/>
        <v>11</v>
      </c>
      <c r="W114" s="140"/>
      <c r="X114" s="334"/>
      <c r="Y114" s="5"/>
      <c r="AA114" t="s">
        <v>2965</v>
      </c>
      <c r="AD114" s="26"/>
      <c r="AE114" s="58"/>
      <c r="AH114" s="26"/>
      <c r="AI114" s="58"/>
      <c r="AK114" s="16"/>
      <c r="AL114" s="16"/>
      <c r="AN114" s="26"/>
      <c r="AO114" s="58"/>
    </row>
    <row r="115" spans="1:41" x14ac:dyDescent="0.25">
      <c r="A115" s="143">
        <v>10</v>
      </c>
      <c r="B115" s="92">
        <v>45254</v>
      </c>
      <c r="C115" s="23">
        <v>0.3263888888888889</v>
      </c>
      <c r="D115" s="31" t="s">
        <v>2663</v>
      </c>
      <c r="E115" s="32"/>
      <c r="F115" s="32" t="s">
        <v>52</v>
      </c>
      <c r="G115" s="32" t="s">
        <v>2952</v>
      </c>
      <c r="H115" s="39" t="s">
        <v>2953</v>
      </c>
      <c r="I115" s="122">
        <v>80</v>
      </c>
      <c r="J115" s="42">
        <v>67</v>
      </c>
      <c r="K115" s="20">
        <v>12</v>
      </c>
      <c r="L115" s="21">
        <v>5</v>
      </c>
      <c r="M115" s="21">
        <f t="shared" si="17"/>
        <v>79</v>
      </c>
      <c r="N115" s="21">
        <f t="shared" si="18"/>
        <v>1</v>
      </c>
      <c r="O115" s="21"/>
      <c r="P115" s="21"/>
      <c r="Q115" s="5"/>
      <c r="R115" s="16">
        <v>100</v>
      </c>
      <c r="S115" s="16"/>
      <c r="T115" s="21">
        <f t="shared" si="19"/>
        <v>100</v>
      </c>
      <c r="U115" s="16">
        <v>117</v>
      </c>
      <c r="V115" s="78">
        <f t="shared" si="20"/>
        <v>17</v>
      </c>
      <c r="W115" s="140"/>
      <c r="X115" s="334"/>
      <c r="Y115" s="5"/>
      <c r="AD115" s="16" t="s">
        <v>169</v>
      </c>
      <c r="AE115" s="18">
        <f>SUM(AE105:AE114)</f>
        <v>386.5</v>
      </c>
      <c r="AH115" s="16" t="s">
        <v>169</v>
      </c>
      <c r="AI115" s="18">
        <f>SUM(AI105:AI114)</f>
        <v>152</v>
      </c>
      <c r="AK115" s="16"/>
      <c r="AL115" s="16"/>
      <c r="AN115" s="16" t="s">
        <v>169</v>
      </c>
      <c r="AO115" s="18"/>
    </row>
    <row r="116" spans="1:41" x14ac:dyDescent="0.25">
      <c r="A116" s="143">
        <v>11</v>
      </c>
      <c r="B116" s="92">
        <v>45254</v>
      </c>
      <c r="C116" s="23">
        <v>0.3611111111111111</v>
      </c>
      <c r="D116" s="31" t="s">
        <v>2955</v>
      </c>
      <c r="E116" s="124"/>
      <c r="F116" s="123" t="s">
        <v>52</v>
      </c>
      <c r="G116" s="123" t="s">
        <v>2954</v>
      </c>
      <c r="H116" s="39"/>
      <c r="I116" s="122">
        <v>250</v>
      </c>
      <c r="J116" s="42"/>
      <c r="K116" s="20">
        <v>10</v>
      </c>
      <c r="L116" s="21"/>
      <c r="M116" s="21">
        <f t="shared" si="17"/>
        <v>10</v>
      </c>
      <c r="N116" s="21">
        <f t="shared" si="18"/>
        <v>240</v>
      </c>
      <c r="O116" s="21"/>
      <c r="P116" s="21"/>
      <c r="Q116" s="5"/>
      <c r="R116" s="16"/>
      <c r="S116" s="16"/>
      <c r="T116" s="21">
        <f t="shared" si="19"/>
        <v>0</v>
      </c>
      <c r="U116" s="16"/>
      <c r="V116" s="78">
        <f t="shared" si="20"/>
        <v>0</v>
      </c>
      <c r="W116" s="140"/>
      <c r="X116" s="334"/>
      <c r="Y116" s="5"/>
      <c r="AK116" s="16"/>
      <c r="AL116" s="16"/>
      <c r="AN116" s="16"/>
      <c r="AO116" s="16"/>
    </row>
    <row r="117" spans="1:41" x14ac:dyDescent="0.25">
      <c r="A117" s="143">
        <v>12</v>
      </c>
      <c r="B117" s="92">
        <v>45254</v>
      </c>
      <c r="C117" s="267">
        <v>0.375</v>
      </c>
      <c r="D117" s="64" t="s">
        <v>1518</v>
      </c>
      <c r="E117" s="64"/>
      <c r="F117" s="268" t="s">
        <v>2956</v>
      </c>
      <c r="G117" s="64" t="s">
        <v>220</v>
      </c>
      <c r="H117" s="269" t="s">
        <v>379</v>
      </c>
      <c r="I117" s="269" t="s">
        <v>2959</v>
      </c>
      <c r="J117" s="269">
        <v>88</v>
      </c>
      <c r="K117" s="168">
        <v>10</v>
      </c>
      <c r="L117" s="169"/>
      <c r="M117" s="169">
        <f t="shared" si="17"/>
        <v>98</v>
      </c>
      <c r="N117" s="169" t="e">
        <f t="shared" si="18"/>
        <v>#VALUE!</v>
      </c>
      <c r="O117" s="169"/>
      <c r="P117" s="169"/>
      <c r="Q117" s="5"/>
      <c r="R117" s="45"/>
      <c r="S117" s="44"/>
      <c r="T117" s="21">
        <f t="shared" si="19"/>
        <v>0</v>
      </c>
      <c r="U117" s="45"/>
      <c r="V117" s="78">
        <f t="shared" si="20"/>
        <v>0</v>
      </c>
      <c r="W117" s="140"/>
      <c r="X117" s="334"/>
      <c r="Y117" s="5"/>
      <c r="AK117" s="63" t="s">
        <v>169</v>
      </c>
      <c r="AL117" s="63">
        <f>+SUM(AK106:AK116)-SUM(AL106:AL116)</f>
        <v>0</v>
      </c>
      <c r="AN117" s="63" t="s">
        <v>169</v>
      </c>
      <c r="AO117" s="85">
        <f>+SUM(AN105:AN116)-SUM(AO106:AO116)</f>
        <v>0</v>
      </c>
    </row>
    <row r="118" spans="1:41" x14ac:dyDescent="0.25">
      <c r="A118" s="143">
        <v>13</v>
      </c>
      <c r="B118" s="92">
        <v>45254</v>
      </c>
      <c r="C118" s="23">
        <v>0.40277777777777773</v>
      </c>
      <c r="D118" s="31" t="s">
        <v>765</v>
      </c>
      <c r="E118" s="32"/>
      <c r="F118" s="32" t="s">
        <v>52</v>
      </c>
      <c r="G118" s="32" t="s">
        <v>2960</v>
      </c>
      <c r="H118" s="39" t="s">
        <v>2957</v>
      </c>
      <c r="I118" s="39"/>
      <c r="J118" s="42">
        <v>203</v>
      </c>
      <c r="K118" s="108">
        <v>10</v>
      </c>
      <c r="L118" s="21"/>
      <c r="M118" s="21">
        <f t="shared" si="17"/>
        <v>213</v>
      </c>
      <c r="N118" s="21">
        <f t="shared" si="18"/>
        <v>-213</v>
      </c>
      <c r="O118" s="21"/>
      <c r="P118" s="21"/>
      <c r="Q118" s="5"/>
      <c r="R118" s="43"/>
      <c r="S118" s="32"/>
      <c r="T118" s="21">
        <f t="shared" si="19"/>
        <v>0</v>
      </c>
      <c r="U118" s="43"/>
      <c r="V118" s="78">
        <f t="shared" si="20"/>
        <v>0</v>
      </c>
      <c r="W118" s="140"/>
      <c r="X118" s="334"/>
      <c r="Y118" s="5"/>
      <c r="AI118" s="83"/>
    </row>
    <row r="119" spans="1:41" x14ac:dyDescent="0.25">
      <c r="A119" s="143">
        <v>14</v>
      </c>
      <c r="B119" s="92">
        <v>45254</v>
      </c>
      <c r="C119" s="23">
        <v>0.4152777777777778</v>
      </c>
      <c r="D119" s="31" t="s">
        <v>1238</v>
      </c>
      <c r="E119" s="32"/>
      <c r="F119" s="32" t="s">
        <v>52</v>
      </c>
      <c r="G119" s="32" t="s">
        <v>2961</v>
      </c>
      <c r="H119" s="39" t="s">
        <v>2958</v>
      </c>
      <c r="I119" s="39">
        <v>291</v>
      </c>
      <c r="J119" s="42">
        <v>281</v>
      </c>
      <c r="K119" s="108">
        <v>10</v>
      </c>
      <c r="L119" s="21">
        <v>19</v>
      </c>
      <c r="M119" s="21">
        <f t="shared" si="17"/>
        <v>291</v>
      </c>
      <c r="N119" s="21">
        <f t="shared" si="18"/>
        <v>0</v>
      </c>
      <c r="O119" s="21">
        <v>310</v>
      </c>
      <c r="P119" s="21"/>
      <c r="Q119" s="5"/>
      <c r="R119" s="43"/>
      <c r="S119" s="43"/>
      <c r="T119" s="21">
        <f t="shared" si="19"/>
        <v>0</v>
      </c>
      <c r="U119" s="43"/>
      <c r="V119" s="78">
        <f t="shared" si="20"/>
        <v>310</v>
      </c>
      <c r="W119" s="140"/>
      <c r="X119" s="334"/>
      <c r="Y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</row>
    <row r="120" spans="1:41" x14ac:dyDescent="0.25">
      <c r="A120" s="143">
        <v>15</v>
      </c>
      <c r="B120" s="92">
        <v>45254</v>
      </c>
      <c r="C120" s="23"/>
      <c r="D120" s="127" t="s">
        <v>128</v>
      </c>
      <c r="E120" s="32"/>
      <c r="F120" s="32"/>
      <c r="G120" s="128"/>
      <c r="H120" s="129"/>
      <c r="I120" s="39"/>
      <c r="J120" s="42">
        <v>180</v>
      </c>
      <c r="K120" s="108">
        <v>10</v>
      </c>
      <c r="L120" s="21"/>
      <c r="M120" s="21">
        <f t="shared" si="17"/>
        <v>190</v>
      </c>
      <c r="N120" s="21">
        <f t="shared" si="18"/>
        <v>-190</v>
      </c>
      <c r="O120" s="21">
        <v>180</v>
      </c>
      <c r="P120" s="21"/>
      <c r="Q120" s="5"/>
      <c r="R120" s="43"/>
      <c r="S120" s="43"/>
      <c r="T120" s="21">
        <f t="shared" si="19"/>
        <v>0</v>
      </c>
      <c r="U120" s="43"/>
      <c r="V120" s="78">
        <f t="shared" si="20"/>
        <v>180</v>
      </c>
      <c r="W120" s="140"/>
      <c r="X120" s="334"/>
      <c r="Y120" s="5"/>
      <c r="AD120" s="5"/>
      <c r="AE120" s="134" t="s">
        <v>20</v>
      </c>
      <c r="AF120" s="338"/>
      <c r="AG120" s="341" t="s">
        <v>686</v>
      </c>
      <c r="AH120" s="134" t="s">
        <v>20</v>
      </c>
      <c r="AI120" s="338"/>
      <c r="AJ120" s="341" t="s">
        <v>687</v>
      </c>
      <c r="AK120" s="134" t="s">
        <v>20</v>
      </c>
      <c r="AL120" s="338"/>
      <c r="AM120" s="5"/>
    </row>
    <row r="121" spans="1:41" x14ac:dyDescent="0.25">
      <c r="A121" s="143">
        <v>16</v>
      </c>
      <c r="B121" s="92">
        <v>45254</v>
      </c>
      <c r="C121" s="23"/>
      <c r="D121" s="31"/>
      <c r="E121" s="32"/>
      <c r="F121" s="32"/>
      <c r="G121" s="32"/>
      <c r="H121" s="39"/>
      <c r="I121" s="39"/>
      <c r="J121" s="42"/>
      <c r="K121" s="43">
        <v>10</v>
      </c>
      <c r="L121" s="21"/>
      <c r="M121" s="21">
        <f t="shared" si="17"/>
        <v>10</v>
      </c>
      <c r="N121" s="21">
        <f t="shared" si="18"/>
        <v>-10</v>
      </c>
      <c r="O121" s="21"/>
      <c r="P121" s="21"/>
      <c r="Q121" s="5"/>
      <c r="R121" s="43"/>
      <c r="S121" s="32"/>
      <c r="T121" s="21">
        <f t="shared" si="19"/>
        <v>0</v>
      </c>
      <c r="U121" s="131"/>
      <c r="V121" s="78">
        <f t="shared" si="20"/>
        <v>0</v>
      </c>
      <c r="W121" s="140"/>
      <c r="X121" s="334"/>
      <c r="Y121" s="5"/>
      <c r="AD121" s="5" t="s">
        <v>685</v>
      </c>
      <c r="AE121" s="115" t="s">
        <v>684</v>
      </c>
      <c r="AF121" s="339"/>
      <c r="AG121" s="341"/>
      <c r="AH121" s="115" t="s">
        <v>684</v>
      </c>
      <c r="AI121" s="339"/>
      <c r="AJ121" s="341"/>
      <c r="AK121" s="115" t="s">
        <v>684</v>
      </c>
      <c r="AL121" s="339"/>
      <c r="AM121" s="5"/>
    </row>
    <row r="122" spans="1:41" x14ac:dyDescent="0.25">
      <c r="A122" s="143">
        <v>17</v>
      </c>
      <c r="B122" s="92">
        <v>45254</v>
      </c>
      <c r="C122" s="23"/>
      <c r="D122" s="31"/>
      <c r="E122" s="32"/>
      <c r="F122" s="32"/>
      <c r="G122" s="32"/>
      <c r="H122" s="39"/>
      <c r="I122" s="39"/>
      <c r="J122" s="42"/>
      <c r="K122" s="43">
        <v>10</v>
      </c>
      <c r="L122" s="21"/>
      <c r="M122" s="21">
        <f t="shared" si="17"/>
        <v>10</v>
      </c>
      <c r="N122" s="21">
        <f t="shared" si="18"/>
        <v>-10</v>
      </c>
      <c r="O122" s="21"/>
      <c r="P122" s="21"/>
      <c r="Q122" s="5"/>
      <c r="R122" s="43"/>
      <c r="S122" s="32"/>
      <c r="T122" s="21">
        <f t="shared" si="19"/>
        <v>0</v>
      </c>
      <c r="U122" s="132"/>
      <c r="V122" s="78">
        <f t="shared" si="20"/>
        <v>0</v>
      </c>
      <c r="W122" s="140"/>
      <c r="X122" s="340"/>
      <c r="Y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</row>
    <row r="123" spans="1:41" x14ac:dyDescent="0.25">
      <c r="A123" s="143">
        <v>18</v>
      </c>
      <c r="B123" s="92">
        <v>45254</v>
      </c>
      <c r="C123" s="32"/>
      <c r="D123" s="31"/>
      <c r="E123" s="32"/>
      <c r="F123" s="32"/>
      <c r="G123" s="32"/>
      <c r="H123" s="39"/>
      <c r="I123" s="39"/>
      <c r="J123" s="42"/>
      <c r="K123" s="43">
        <v>10</v>
      </c>
      <c r="L123" s="21"/>
      <c r="M123" s="21">
        <f t="shared" si="17"/>
        <v>10</v>
      </c>
      <c r="N123" s="21">
        <f t="shared" si="18"/>
        <v>-10</v>
      </c>
      <c r="O123" s="21"/>
      <c r="P123" s="21"/>
      <c r="Q123" s="5"/>
      <c r="R123" s="135"/>
      <c r="S123" s="104"/>
      <c r="T123" s="21">
        <f t="shared" si="19"/>
        <v>0</v>
      </c>
      <c r="U123" s="131"/>
      <c r="V123" s="78">
        <f t="shared" si="20"/>
        <v>0</v>
      </c>
      <c r="W123" s="140"/>
      <c r="Y123" s="5"/>
    </row>
    <row r="124" spans="1:41" x14ac:dyDescent="0.25">
      <c r="A124" s="143">
        <v>19</v>
      </c>
      <c r="B124" s="92">
        <v>45254</v>
      </c>
      <c r="C124" s="32"/>
      <c r="D124" s="31"/>
      <c r="E124" s="32"/>
      <c r="F124" s="32"/>
      <c r="G124" s="32"/>
      <c r="H124" s="39"/>
      <c r="I124" s="39"/>
      <c r="J124" s="42"/>
      <c r="K124" s="43">
        <v>10</v>
      </c>
      <c r="L124" s="21"/>
      <c r="M124" s="21">
        <f t="shared" si="17"/>
        <v>10</v>
      </c>
      <c r="N124" s="21">
        <f t="shared" si="18"/>
        <v>-10</v>
      </c>
      <c r="O124" s="21"/>
      <c r="P124" s="21"/>
      <c r="Q124" s="5"/>
      <c r="R124" s="32"/>
      <c r="S124" s="32"/>
      <c r="T124" s="21">
        <f t="shared" si="19"/>
        <v>0</v>
      </c>
      <c r="U124" s="32"/>
      <c r="V124" s="78">
        <f t="shared" si="20"/>
        <v>0</v>
      </c>
      <c r="W124" s="140"/>
      <c r="Y124" s="5"/>
    </row>
    <row r="125" spans="1:41" x14ac:dyDescent="0.25">
      <c r="I125" t="s">
        <v>3164</v>
      </c>
      <c r="J125">
        <f>SUM(J106:J120)</f>
        <v>1609</v>
      </c>
    </row>
    <row r="127" spans="1:41" x14ac:dyDescent="0.25">
      <c r="A127" s="1" t="s">
        <v>0</v>
      </c>
      <c r="B127" s="1"/>
      <c r="C127" s="1"/>
      <c r="D127" s="1"/>
      <c r="E127" s="1"/>
      <c r="F127" s="1"/>
      <c r="G127" s="1"/>
      <c r="H127" s="1"/>
      <c r="I127" s="1"/>
      <c r="J127" s="1" t="s">
        <v>148</v>
      </c>
      <c r="K127" s="1"/>
      <c r="L127" s="1"/>
      <c r="M127" s="1"/>
      <c r="N127" s="1"/>
      <c r="O127" s="1"/>
      <c r="P127" s="1"/>
      <c r="Q127" s="1"/>
      <c r="R127" s="1"/>
      <c r="S127" s="1"/>
      <c r="T127" s="342" t="s">
        <v>1</v>
      </c>
      <c r="U127" s="342"/>
      <c r="V127" s="5"/>
      <c r="W127" s="139"/>
      <c r="X127" s="1"/>
      <c r="Y127" s="5"/>
      <c r="AD127" s="335" t="s">
        <v>160</v>
      </c>
      <c r="AE127" s="336"/>
      <c r="AH127" s="335" t="s">
        <v>170</v>
      </c>
      <c r="AI127" s="336"/>
      <c r="AK127" s="337" t="s">
        <v>172</v>
      </c>
      <c r="AL127" s="337"/>
      <c r="AN127" s="337" t="s">
        <v>681</v>
      </c>
      <c r="AO127" s="337"/>
    </row>
    <row r="128" spans="1:41" ht="90" x14ac:dyDescent="0.25">
      <c r="A128" s="6" t="s">
        <v>2</v>
      </c>
      <c r="B128" s="7" t="s">
        <v>3</v>
      </c>
      <c r="C128" s="245" t="s">
        <v>688</v>
      </c>
      <c r="D128" s="7" t="s">
        <v>4</v>
      </c>
      <c r="E128" s="6" t="s">
        <v>5</v>
      </c>
      <c r="F128" s="6" t="s">
        <v>6</v>
      </c>
      <c r="G128" s="6" t="s">
        <v>7</v>
      </c>
      <c r="H128" s="6" t="s">
        <v>8</v>
      </c>
      <c r="I128" s="8" t="s">
        <v>9</v>
      </c>
      <c r="J128" s="9" t="s">
        <v>10</v>
      </c>
      <c r="K128" s="8" t="s">
        <v>11</v>
      </c>
      <c r="L128" s="10" t="s">
        <v>12</v>
      </c>
      <c r="M128" s="10" t="s">
        <v>13</v>
      </c>
      <c r="N128" s="11" t="s">
        <v>14</v>
      </c>
      <c r="O128" s="10" t="s">
        <v>691</v>
      </c>
      <c r="P128" s="10" t="s">
        <v>28</v>
      </c>
      <c r="Q128" s="5"/>
      <c r="R128" s="10" t="s">
        <v>16</v>
      </c>
      <c r="S128" s="10" t="s">
        <v>17</v>
      </c>
      <c r="T128" s="10" t="s">
        <v>18</v>
      </c>
      <c r="U128" s="10" t="s">
        <v>19</v>
      </c>
      <c r="V128" s="10" t="s">
        <v>20</v>
      </c>
      <c r="W128" s="13"/>
      <c r="X128" s="15" t="s">
        <v>23</v>
      </c>
      <c r="Y128" s="5"/>
      <c r="AA128" s="251" t="s">
        <v>2554</v>
      </c>
      <c r="AD128" s="16" t="s">
        <v>161</v>
      </c>
      <c r="AE128" s="58">
        <f>+AC128*10</f>
        <v>0</v>
      </c>
      <c r="AH128" s="16" t="s">
        <v>161</v>
      </c>
      <c r="AI128" s="58">
        <f>+AG128*10</f>
        <v>0</v>
      </c>
      <c r="AK128" s="61" t="s">
        <v>173</v>
      </c>
      <c r="AL128" s="62" t="s">
        <v>174</v>
      </c>
      <c r="AN128" s="16" t="s">
        <v>161</v>
      </c>
      <c r="AO128" s="58">
        <f>+AM128*10</f>
        <v>0</v>
      </c>
    </row>
    <row r="129" spans="1:41" x14ac:dyDescent="0.25">
      <c r="A129" s="16">
        <v>1</v>
      </c>
      <c r="B129" s="92">
        <v>45254</v>
      </c>
      <c r="C129" s="23">
        <v>0.4368055555555555</v>
      </c>
      <c r="D129" s="31" t="s">
        <v>753</v>
      </c>
      <c r="E129" s="32"/>
      <c r="F129" s="32" t="s">
        <v>38</v>
      </c>
      <c r="G129" s="39" t="s">
        <v>2966</v>
      </c>
      <c r="H129" s="39"/>
      <c r="I129" s="122">
        <v>200</v>
      </c>
      <c r="J129" s="32">
        <v>200</v>
      </c>
      <c r="K129" s="20">
        <v>10</v>
      </c>
      <c r="L129" s="21"/>
      <c r="M129" s="21">
        <f t="shared" ref="M129:M147" si="21">+J129+K129</f>
        <v>210</v>
      </c>
      <c r="N129" s="21">
        <f t="shared" ref="N129:N147" si="22">+I129-M129</f>
        <v>-10</v>
      </c>
      <c r="O129" s="21"/>
      <c r="P129" s="21"/>
      <c r="Q129" s="5"/>
      <c r="R129" s="21">
        <v>95</v>
      </c>
      <c r="S129" s="16"/>
      <c r="T129" s="21">
        <f t="shared" ref="T129:T147" si="23">+R129+S129</f>
        <v>95</v>
      </c>
      <c r="U129" s="21"/>
      <c r="V129" s="78">
        <f>+U129-T129+O129+P129</f>
        <v>-95</v>
      </c>
      <c r="W129" s="13"/>
      <c r="X129" s="333"/>
      <c r="Y129" s="5"/>
      <c r="AD129" s="59" t="s">
        <v>162</v>
      </c>
      <c r="AE129" s="18">
        <f>+AC129*1</f>
        <v>0</v>
      </c>
      <c r="AG129">
        <v>16</v>
      </c>
      <c r="AH129" s="59" t="s">
        <v>162</v>
      </c>
      <c r="AI129" s="18">
        <f>+AG129*1</f>
        <v>16</v>
      </c>
      <c r="AK129" s="16"/>
      <c r="AL129" s="16"/>
      <c r="AN129" s="59" t="s">
        <v>162</v>
      </c>
      <c r="AO129" s="18">
        <f>+AM129*1</f>
        <v>0</v>
      </c>
    </row>
    <row r="130" spans="1:41" x14ac:dyDescent="0.25">
      <c r="A130" s="26">
        <v>2</v>
      </c>
      <c r="B130" s="92">
        <v>45254</v>
      </c>
      <c r="C130" s="23">
        <v>0.1388888888888889</v>
      </c>
      <c r="D130" s="31" t="s">
        <v>2967</v>
      </c>
      <c r="E130" s="32">
        <v>5562185282</v>
      </c>
      <c r="F130" s="32" t="s">
        <v>902</v>
      </c>
      <c r="G130" s="32" t="s">
        <v>2968</v>
      </c>
      <c r="H130" s="39" t="s">
        <v>2969</v>
      </c>
      <c r="I130" s="122">
        <v>100</v>
      </c>
      <c r="J130" s="32">
        <v>22</v>
      </c>
      <c r="K130" s="20">
        <v>10</v>
      </c>
      <c r="L130" s="21"/>
      <c r="M130" s="21">
        <f t="shared" si="21"/>
        <v>32</v>
      </c>
      <c r="N130" s="21">
        <f t="shared" si="22"/>
        <v>68</v>
      </c>
      <c r="O130" s="21"/>
      <c r="P130" s="21"/>
      <c r="Q130" s="5"/>
      <c r="R130" s="21"/>
      <c r="S130" s="16"/>
      <c r="T130" s="21">
        <f t="shared" si="23"/>
        <v>0</v>
      </c>
      <c r="U130" s="21"/>
      <c r="V130" s="78">
        <f t="shared" ref="V130:V147" si="24">+U130-T130+O130+P130</f>
        <v>0</v>
      </c>
      <c r="W130" s="140"/>
      <c r="X130" s="334"/>
      <c r="Y130" s="5"/>
      <c r="AD130" s="16" t="s">
        <v>163</v>
      </c>
      <c r="AE130" s="60">
        <f>+AC130*5</f>
        <v>0</v>
      </c>
      <c r="AG130">
        <v>7</v>
      </c>
      <c r="AH130" s="16" t="s">
        <v>163</v>
      </c>
      <c r="AI130" s="60">
        <f>+AG130*5</f>
        <v>35</v>
      </c>
      <c r="AK130" s="16"/>
      <c r="AL130" s="16"/>
      <c r="AN130" s="16" t="s">
        <v>163</v>
      </c>
      <c r="AO130" s="60">
        <f>+AM130*5</f>
        <v>0</v>
      </c>
    </row>
    <row r="131" spans="1:41" x14ac:dyDescent="0.25">
      <c r="A131" s="143">
        <v>3</v>
      </c>
      <c r="B131" s="92">
        <v>45254</v>
      </c>
      <c r="C131" s="23">
        <v>0.15277777777777776</v>
      </c>
      <c r="D131" s="31" t="s">
        <v>2465</v>
      </c>
      <c r="E131" s="32"/>
      <c r="F131" s="32" t="s">
        <v>114</v>
      </c>
      <c r="G131" s="32" t="s">
        <v>2970</v>
      </c>
      <c r="H131" s="39" t="s">
        <v>2971</v>
      </c>
      <c r="I131" s="122">
        <v>200</v>
      </c>
      <c r="J131" s="32">
        <v>97</v>
      </c>
      <c r="K131" s="20">
        <v>12</v>
      </c>
      <c r="L131" s="21"/>
      <c r="M131" s="21">
        <f t="shared" si="21"/>
        <v>109</v>
      </c>
      <c r="N131" s="21">
        <f t="shared" si="22"/>
        <v>91</v>
      </c>
      <c r="O131" s="21"/>
      <c r="P131" s="21"/>
      <c r="Q131" s="5"/>
      <c r="R131" s="21"/>
      <c r="S131" s="16"/>
      <c r="T131" s="21">
        <f t="shared" si="23"/>
        <v>0</v>
      </c>
      <c r="U131" s="21"/>
      <c r="V131" s="78">
        <f t="shared" si="24"/>
        <v>0</v>
      </c>
      <c r="W131" s="140"/>
      <c r="X131" s="334"/>
      <c r="Y131" s="5"/>
      <c r="AD131" s="16" t="s">
        <v>164</v>
      </c>
      <c r="AE131" s="18">
        <f>+AC131*200</f>
        <v>0</v>
      </c>
      <c r="AG131">
        <v>1</v>
      </c>
      <c r="AH131" s="16" t="s">
        <v>164</v>
      </c>
      <c r="AI131" s="18">
        <f>+AG131*200</f>
        <v>200</v>
      </c>
      <c r="AK131" s="16"/>
      <c r="AL131" s="16"/>
      <c r="AN131" s="16" t="s">
        <v>164</v>
      </c>
      <c r="AO131" s="18">
        <f>+AM131*200</f>
        <v>0</v>
      </c>
    </row>
    <row r="132" spans="1:41" x14ac:dyDescent="0.25">
      <c r="A132" s="143">
        <v>4</v>
      </c>
      <c r="B132" s="92">
        <v>45254</v>
      </c>
      <c r="C132" s="23">
        <v>0.16666666666666666</v>
      </c>
      <c r="D132" s="31" t="s">
        <v>1629</v>
      </c>
      <c r="E132" s="32"/>
      <c r="F132" s="32" t="s">
        <v>52</v>
      </c>
      <c r="G132" s="32" t="s">
        <v>2972</v>
      </c>
      <c r="H132" s="39" t="s">
        <v>2973</v>
      </c>
      <c r="I132" s="122">
        <v>120</v>
      </c>
      <c r="J132" s="32">
        <v>80</v>
      </c>
      <c r="K132" s="20">
        <v>10</v>
      </c>
      <c r="L132" s="21"/>
      <c r="M132" s="21">
        <f t="shared" si="21"/>
        <v>90</v>
      </c>
      <c r="N132" s="21">
        <f t="shared" si="22"/>
        <v>30</v>
      </c>
      <c r="O132" s="21"/>
      <c r="P132" s="21"/>
      <c r="Q132" s="5"/>
      <c r="R132" s="21"/>
      <c r="S132" s="16"/>
      <c r="T132" s="21">
        <f t="shared" si="23"/>
        <v>0</v>
      </c>
      <c r="U132" s="21"/>
      <c r="V132" s="78">
        <f t="shared" si="24"/>
        <v>0</v>
      </c>
      <c r="W132" s="140"/>
      <c r="X132" s="334"/>
      <c r="Y132" s="5"/>
      <c r="AD132" s="16" t="s">
        <v>165</v>
      </c>
      <c r="AE132" s="18">
        <f>+AC132*100</f>
        <v>0</v>
      </c>
      <c r="AG132">
        <v>1</v>
      </c>
      <c r="AH132" s="16" t="s">
        <v>165</v>
      </c>
      <c r="AI132" s="18">
        <f>+AG132*100</f>
        <v>100</v>
      </c>
      <c r="AK132" s="16"/>
      <c r="AL132" s="16"/>
      <c r="AN132" s="16" t="s">
        <v>165</v>
      </c>
      <c r="AO132" s="18">
        <f>+AM132*100</f>
        <v>0</v>
      </c>
    </row>
    <row r="133" spans="1:41" x14ac:dyDescent="0.25">
      <c r="A133" s="143">
        <v>5</v>
      </c>
      <c r="B133" s="92">
        <v>45254</v>
      </c>
      <c r="C133" s="23">
        <v>0.29166666666666669</v>
      </c>
      <c r="D133" s="31" t="s">
        <v>2974</v>
      </c>
      <c r="E133" s="32"/>
      <c r="F133" s="32" t="s">
        <v>52</v>
      </c>
      <c r="G133" s="32" t="s">
        <v>2975</v>
      </c>
      <c r="H133" s="32" t="s">
        <v>2976</v>
      </c>
      <c r="I133" s="122">
        <v>200</v>
      </c>
      <c r="J133" s="32">
        <v>67</v>
      </c>
      <c r="K133" s="20">
        <v>11</v>
      </c>
      <c r="L133" s="21"/>
      <c r="M133" s="21">
        <f t="shared" si="21"/>
        <v>78</v>
      </c>
      <c r="N133" s="21">
        <f t="shared" si="22"/>
        <v>122</v>
      </c>
      <c r="O133" s="21"/>
      <c r="P133" s="21"/>
      <c r="Q133" s="5"/>
      <c r="R133" s="16"/>
      <c r="S133" s="16"/>
      <c r="T133" s="21">
        <f t="shared" si="23"/>
        <v>0</v>
      </c>
      <c r="U133" s="21"/>
      <c r="V133" s="78">
        <f t="shared" si="24"/>
        <v>0</v>
      </c>
      <c r="W133" s="140"/>
      <c r="X133" s="334"/>
      <c r="Y133" s="5"/>
      <c r="AD133" s="16" t="s">
        <v>166</v>
      </c>
      <c r="AE133" s="18">
        <f>+AC133*50</f>
        <v>0</v>
      </c>
      <c r="AG133">
        <v>2</v>
      </c>
      <c r="AH133" s="16" t="s">
        <v>166</v>
      </c>
      <c r="AI133" s="18">
        <f>+AG133*50</f>
        <v>100</v>
      </c>
      <c r="AK133" s="16"/>
      <c r="AL133" s="16"/>
      <c r="AN133" s="16" t="s">
        <v>166</v>
      </c>
      <c r="AO133" s="18">
        <f>+AM133*50</f>
        <v>0</v>
      </c>
    </row>
    <row r="134" spans="1:41" x14ac:dyDescent="0.25">
      <c r="A134" s="143">
        <v>6</v>
      </c>
      <c r="B134" s="92">
        <v>45254</v>
      </c>
      <c r="C134" s="23">
        <v>0.31458333333333333</v>
      </c>
      <c r="D134" s="31" t="s">
        <v>2977</v>
      </c>
      <c r="E134" s="32"/>
      <c r="F134" s="32" t="s">
        <v>52</v>
      </c>
      <c r="G134" s="32" t="s">
        <v>2978</v>
      </c>
      <c r="H134" s="39" t="s">
        <v>2979</v>
      </c>
      <c r="I134" s="39">
        <v>100</v>
      </c>
      <c r="J134" s="42">
        <v>54</v>
      </c>
      <c r="K134" s="20">
        <v>11</v>
      </c>
      <c r="L134" s="21">
        <v>5</v>
      </c>
      <c r="M134" s="21">
        <f t="shared" si="21"/>
        <v>65</v>
      </c>
      <c r="N134" s="21">
        <f t="shared" si="22"/>
        <v>35</v>
      </c>
      <c r="O134" s="21"/>
      <c r="P134" s="21"/>
      <c r="Q134" s="5"/>
      <c r="R134" s="16"/>
      <c r="S134" s="16"/>
      <c r="T134" s="21">
        <f t="shared" si="23"/>
        <v>0</v>
      </c>
      <c r="U134" s="16"/>
      <c r="V134" s="78">
        <f t="shared" si="24"/>
        <v>0</v>
      </c>
      <c r="W134" s="140"/>
      <c r="X134" s="334"/>
      <c r="Y134" s="5"/>
      <c r="AD134" s="16" t="s">
        <v>167</v>
      </c>
      <c r="AE134" s="18">
        <f>+AC134*20</f>
        <v>0</v>
      </c>
      <c r="AH134" s="16" t="s">
        <v>167</v>
      </c>
      <c r="AI134" s="18">
        <f>+AG134*20</f>
        <v>0</v>
      </c>
      <c r="AK134" s="16"/>
      <c r="AL134" s="16"/>
      <c r="AN134" s="16" t="s">
        <v>167</v>
      </c>
      <c r="AO134" s="18">
        <f>+AM134*20</f>
        <v>0</v>
      </c>
    </row>
    <row r="135" spans="1:41" x14ac:dyDescent="0.25">
      <c r="A135" s="143">
        <v>7</v>
      </c>
      <c r="B135" s="92">
        <v>45254</v>
      </c>
      <c r="C135" s="23">
        <v>7.34</v>
      </c>
      <c r="D135" s="31" t="s">
        <v>319</v>
      </c>
      <c r="E135" s="32"/>
      <c r="F135" s="32" t="s">
        <v>2980</v>
      </c>
      <c r="G135" s="32" t="s">
        <v>2981</v>
      </c>
      <c r="H135" s="39" t="s">
        <v>2982</v>
      </c>
      <c r="I135" s="122">
        <v>100</v>
      </c>
      <c r="J135" s="42">
        <v>90</v>
      </c>
      <c r="K135" s="20">
        <v>10</v>
      </c>
      <c r="L135" s="21"/>
      <c r="M135" s="21">
        <f t="shared" si="21"/>
        <v>100</v>
      </c>
      <c r="N135" s="21">
        <f t="shared" si="22"/>
        <v>0</v>
      </c>
      <c r="O135" s="21"/>
      <c r="P135" s="21"/>
      <c r="Q135" s="5"/>
      <c r="R135" s="16"/>
      <c r="S135" s="16"/>
      <c r="T135" s="21">
        <f t="shared" si="23"/>
        <v>0</v>
      </c>
      <c r="U135" s="16"/>
      <c r="V135" s="78">
        <f t="shared" si="24"/>
        <v>0</v>
      </c>
      <c r="W135" s="140"/>
      <c r="X135" s="334"/>
      <c r="Y135" s="5"/>
      <c r="AD135" s="16" t="s">
        <v>171</v>
      </c>
      <c r="AE135" s="18">
        <f>+AC135*500</f>
        <v>0</v>
      </c>
      <c r="AH135" s="16" t="s">
        <v>171</v>
      </c>
      <c r="AI135" s="18">
        <f>+AG135*500</f>
        <v>0</v>
      </c>
      <c r="AK135" s="16"/>
      <c r="AL135" s="16"/>
      <c r="AN135" s="16" t="s">
        <v>171</v>
      </c>
      <c r="AO135" s="18">
        <f>+AM135*500</f>
        <v>0</v>
      </c>
    </row>
    <row r="136" spans="1:41" x14ac:dyDescent="0.25">
      <c r="A136" s="143">
        <v>8</v>
      </c>
      <c r="B136" s="92">
        <v>45254</v>
      </c>
      <c r="C136" s="23"/>
      <c r="D136" s="31" t="s">
        <v>2983</v>
      </c>
      <c r="E136" s="123"/>
      <c r="F136" s="123" t="s">
        <v>594</v>
      </c>
      <c r="G136" s="123" t="s">
        <v>2984</v>
      </c>
      <c r="H136" s="39" t="s">
        <v>2985</v>
      </c>
      <c r="I136" s="122">
        <v>250</v>
      </c>
      <c r="J136" s="32">
        <v>250</v>
      </c>
      <c r="K136" s="20">
        <v>10</v>
      </c>
      <c r="L136" s="21"/>
      <c r="M136" s="21">
        <f t="shared" si="21"/>
        <v>260</v>
      </c>
      <c r="N136" s="21">
        <f t="shared" si="22"/>
        <v>-10</v>
      </c>
      <c r="O136" s="21"/>
      <c r="P136" s="21"/>
      <c r="Q136" s="5"/>
      <c r="R136" s="16"/>
      <c r="S136" s="16"/>
      <c r="T136" s="21">
        <f t="shared" si="23"/>
        <v>0</v>
      </c>
      <c r="U136" s="16"/>
      <c r="V136" s="78">
        <f t="shared" si="24"/>
        <v>0</v>
      </c>
      <c r="W136" s="140"/>
      <c r="X136" s="334"/>
      <c r="Y136" s="5"/>
      <c r="AD136" s="16" t="s">
        <v>168</v>
      </c>
      <c r="AE136" s="18">
        <f>+AC136*1000</f>
        <v>0</v>
      </c>
      <c r="AH136" s="16" t="s">
        <v>168</v>
      </c>
      <c r="AI136" s="18">
        <f>+AG136*1000</f>
        <v>0</v>
      </c>
      <c r="AK136" s="16"/>
      <c r="AL136" s="16"/>
      <c r="AN136" s="16" t="s">
        <v>168</v>
      </c>
      <c r="AO136" s="18">
        <f>+AM136*1000</f>
        <v>0</v>
      </c>
    </row>
    <row r="137" spans="1:41" x14ac:dyDescent="0.25">
      <c r="A137" s="143">
        <v>9</v>
      </c>
      <c r="B137" s="92">
        <v>45254</v>
      </c>
      <c r="C137" s="23"/>
      <c r="D137" s="31"/>
      <c r="E137" s="32"/>
      <c r="F137" s="32"/>
      <c r="G137" s="32"/>
      <c r="H137" s="39"/>
      <c r="I137" s="39"/>
      <c r="J137" s="40"/>
      <c r="K137" s="20">
        <v>10</v>
      </c>
      <c r="L137" s="21"/>
      <c r="M137" s="21">
        <f t="shared" si="21"/>
        <v>10</v>
      </c>
      <c r="N137" s="21">
        <f t="shared" si="22"/>
        <v>-10</v>
      </c>
      <c r="O137" s="21"/>
      <c r="P137" s="21"/>
      <c r="Q137" s="5"/>
      <c r="R137" s="16"/>
      <c r="S137" s="16"/>
      <c r="T137" s="21">
        <f t="shared" si="23"/>
        <v>0</v>
      </c>
      <c r="U137" s="16"/>
      <c r="V137" s="78">
        <f t="shared" si="24"/>
        <v>0</v>
      </c>
      <c r="W137" s="140"/>
      <c r="X137" s="334"/>
      <c r="Y137" s="5"/>
      <c r="AD137" s="26"/>
      <c r="AE137" s="58"/>
      <c r="AH137" s="26"/>
      <c r="AI137" s="58"/>
      <c r="AK137" s="16"/>
      <c r="AL137" s="16"/>
      <c r="AN137" s="26"/>
      <c r="AO137" s="58"/>
    </row>
    <row r="138" spans="1:41" x14ac:dyDescent="0.25">
      <c r="A138" s="143">
        <v>10</v>
      </c>
      <c r="B138" s="92">
        <v>45254</v>
      </c>
      <c r="C138" s="23"/>
      <c r="D138" s="31"/>
      <c r="E138" s="32"/>
      <c r="F138" s="32"/>
      <c r="G138" s="32"/>
      <c r="H138" s="39"/>
      <c r="I138" s="122"/>
      <c r="J138" s="42"/>
      <c r="K138" s="20">
        <v>10</v>
      </c>
      <c r="L138" s="21"/>
      <c r="M138" s="21">
        <f t="shared" si="21"/>
        <v>10</v>
      </c>
      <c r="N138" s="21">
        <f t="shared" si="22"/>
        <v>-10</v>
      </c>
      <c r="O138" s="21"/>
      <c r="P138" s="21"/>
      <c r="Q138" s="5"/>
      <c r="R138" s="16"/>
      <c r="S138" s="16"/>
      <c r="T138" s="21">
        <f t="shared" si="23"/>
        <v>0</v>
      </c>
      <c r="U138" s="16"/>
      <c r="V138" s="78">
        <f t="shared" si="24"/>
        <v>0</v>
      </c>
      <c r="W138" s="140"/>
      <c r="X138" s="334"/>
      <c r="Y138" s="5"/>
      <c r="AD138" s="16" t="s">
        <v>169</v>
      </c>
      <c r="AE138" s="18">
        <f>SUM(AE128:AE137)</f>
        <v>0</v>
      </c>
      <c r="AH138" s="16" t="s">
        <v>169</v>
      </c>
      <c r="AI138" s="18">
        <f>SUM(AI128:AI137)</f>
        <v>451</v>
      </c>
      <c r="AK138" s="16"/>
      <c r="AL138" s="16"/>
      <c r="AN138" s="16" t="s">
        <v>169</v>
      </c>
      <c r="AO138" s="18"/>
    </row>
    <row r="139" spans="1:41" x14ac:dyDescent="0.25">
      <c r="A139" s="143">
        <v>11</v>
      </c>
      <c r="B139" s="92">
        <v>45254</v>
      </c>
      <c r="C139" s="23"/>
      <c r="D139" s="31"/>
      <c r="E139" s="124"/>
      <c r="F139" s="123"/>
      <c r="G139" s="123"/>
      <c r="H139" s="39"/>
      <c r="I139" s="122"/>
      <c r="J139" s="42"/>
      <c r="K139" s="20">
        <v>10</v>
      </c>
      <c r="L139" s="21"/>
      <c r="M139" s="21">
        <f t="shared" si="21"/>
        <v>10</v>
      </c>
      <c r="N139" s="21">
        <f t="shared" si="22"/>
        <v>-10</v>
      </c>
      <c r="O139" s="21"/>
      <c r="P139" s="21"/>
      <c r="Q139" s="5"/>
      <c r="R139" s="16"/>
      <c r="S139" s="16"/>
      <c r="T139" s="21">
        <f t="shared" si="23"/>
        <v>0</v>
      </c>
      <c r="U139" s="16"/>
      <c r="V139" s="78">
        <f t="shared" si="24"/>
        <v>0</v>
      </c>
      <c r="W139" s="140"/>
      <c r="X139" s="334"/>
      <c r="Y139" s="5"/>
      <c r="AK139" s="16"/>
      <c r="AL139" s="16"/>
      <c r="AN139" s="16"/>
      <c r="AO139" s="16"/>
    </row>
    <row r="140" spans="1:41" x14ac:dyDescent="0.25">
      <c r="A140" s="143">
        <v>12</v>
      </c>
      <c r="B140" s="92">
        <v>45254</v>
      </c>
      <c r="C140" s="23"/>
      <c r="D140" s="32"/>
      <c r="E140" s="32"/>
      <c r="F140" s="124"/>
      <c r="G140" s="123"/>
      <c r="H140" s="39"/>
      <c r="I140" s="39"/>
      <c r="J140" s="42"/>
      <c r="K140" s="20">
        <v>10</v>
      </c>
      <c r="L140" s="21"/>
      <c r="M140" s="21">
        <f t="shared" si="21"/>
        <v>10</v>
      </c>
      <c r="N140" s="21">
        <f t="shared" si="22"/>
        <v>-10</v>
      </c>
      <c r="O140" s="21"/>
      <c r="P140" s="21"/>
      <c r="Q140" s="5"/>
      <c r="R140" s="45"/>
      <c r="S140" s="44"/>
      <c r="T140" s="21">
        <f t="shared" si="23"/>
        <v>0</v>
      </c>
      <c r="U140" s="45"/>
      <c r="V140" s="78">
        <f t="shared" si="24"/>
        <v>0</v>
      </c>
      <c r="W140" s="140"/>
      <c r="X140" s="334"/>
      <c r="Y140" s="5"/>
      <c r="AK140" s="63" t="s">
        <v>169</v>
      </c>
      <c r="AL140" s="63">
        <f>+SUM(AK129:AK139)-SUM(AL129:AL139)</f>
        <v>0</v>
      </c>
      <c r="AN140" s="63" t="s">
        <v>169</v>
      </c>
      <c r="AO140" s="85">
        <f>+SUM(AN128:AN139)-SUM(AO129:AO139)</f>
        <v>0</v>
      </c>
    </row>
    <row r="141" spans="1:41" x14ac:dyDescent="0.25">
      <c r="A141" s="143">
        <v>13</v>
      </c>
      <c r="B141" s="92">
        <v>45254</v>
      </c>
      <c r="C141" s="23"/>
      <c r="D141" s="31"/>
      <c r="E141" s="32"/>
      <c r="F141" s="32"/>
      <c r="G141" s="32"/>
      <c r="H141" s="39"/>
      <c r="I141" s="39"/>
      <c r="J141" s="42"/>
      <c r="K141" s="108">
        <v>10</v>
      </c>
      <c r="L141" s="21"/>
      <c r="M141" s="21">
        <f t="shared" si="21"/>
        <v>10</v>
      </c>
      <c r="N141" s="21">
        <f t="shared" si="22"/>
        <v>-10</v>
      </c>
      <c r="O141" s="21"/>
      <c r="P141" s="21"/>
      <c r="Q141" s="5"/>
      <c r="R141" s="43"/>
      <c r="S141" s="32"/>
      <c r="T141" s="21">
        <f t="shared" si="23"/>
        <v>0</v>
      </c>
      <c r="U141" s="43"/>
      <c r="V141" s="78">
        <f t="shared" si="24"/>
        <v>0</v>
      </c>
      <c r="W141" s="140"/>
      <c r="X141" s="334"/>
      <c r="Y141" s="5"/>
      <c r="AI141" s="83"/>
    </row>
    <row r="142" spans="1:41" x14ac:dyDescent="0.25">
      <c r="A142" s="143">
        <v>14</v>
      </c>
      <c r="B142" s="92">
        <v>45254</v>
      </c>
      <c r="C142" s="23"/>
      <c r="D142" s="31"/>
      <c r="E142" s="32"/>
      <c r="F142" s="32"/>
      <c r="G142" s="32"/>
      <c r="H142" s="39"/>
      <c r="I142" s="39"/>
      <c r="J142" s="42"/>
      <c r="K142" s="108">
        <v>10</v>
      </c>
      <c r="L142" s="21"/>
      <c r="M142" s="21">
        <f t="shared" si="21"/>
        <v>10</v>
      </c>
      <c r="N142" s="21">
        <f t="shared" si="22"/>
        <v>-10</v>
      </c>
      <c r="O142" s="21"/>
      <c r="P142" s="21"/>
      <c r="Q142" s="5"/>
      <c r="R142" s="43"/>
      <c r="S142" s="43"/>
      <c r="T142" s="21">
        <f t="shared" si="23"/>
        <v>0</v>
      </c>
      <c r="U142" s="43"/>
      <c r="V142" s="78">
        <f t="shared" si="24"/>
        <v>0</v>
      </c>
      <c r="W142" s="140"/>
      <c r="X142" s="334"/>
      <c r="Y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</row>
    <row r="143" spans="1:41" x14ac:dyDescent="0.25">
      <c r="A143" s="143">
        <v>15</v>
      </c>
      <c r="B143" s="92">
        <v>45254</v>
      </c>
      <c r="C143" s="23"/>
      <c r="D143" s="127"/>
      <c r="E143" s="32"/>
      <c r="F143" s="32"/>
      <c r="G143" s="128"/>
      <c r="H143" s="129"/>
      <c r="I143" s="39"/>
      <c r="J143" s="42"/>
      <c r="K143" s="108">
        <v>10</v>
      </c>
      <c r="L143" s="21"/>
      <c r="M143" s="21">
        <f t="shared" si="21"/>
        <v>10</v>
      </c>
      <c r="N143" s="21">
        <f t="shared" si="22"/>
        <v>-10</v>
      </c>
      <c r="O143" s="21"/>
      <c r="P143" s="21"/>
      <c r="Q143" s="5"/>
      <c r="R143" s="43"/>
      <c r="S143" s="43"/>
      <c r="T143" s="21">
        <f t="shared" si="23"/>
        <v>0</v>
      </c>
      <c r="U143" s="43"/>
      <c r="V143" s="78">
        <f t="shared" si="24"/>
        <v>0</v>
      </c>
      <c r="W143" s="140"/>
      <c r="X143" s="334"/>
      <c r="Y143" s="5"/>
      <c r="AD143" s="5"/>
      <c r="AE143" s="134" t="s">
        <v>20</v>
      </c>
      <c r="AF143" s="338"/>
      <c r="AG143" s="341" t="s">
        <v>686</v>
      </c>
      <c r="AH143" s="134" t="s">
        <v>20</v>
      </c>
      <c r="AI143" s="338"/>
      <c r="AJ143" s="341" t="s">
        <v>687</v>
      </c>
      <c r="AK143" s="134" t="s">
        <v>20</v>
      </c>
      <c r="AL143" s="338"/>
      <c r="AM143" s="5"/>
    </row>
    <row r="144" spans="1:41" x14ac:dyDescent="0.25">
      <c r="A144" s="143">
        <v>16</v>
      </c>
      <c r="B144" s="92">
        <v>45254</v>
      </c>
      <c r="C144" s="23"/>
      <c r="D144" s="31"/>
      <c r="E144" s="32"/>
      <c r="F144" s="32"/>
      <c r="G144" s="32"/>
      <c r="H144" s="39"/>
      <c r="I144" s="39"/>
      <c r="J144" s="42"/>
      <c r="K144" s="43">
        <v>10</v>
      </c>
      <c r="L144" s="21"/>
      <c r="M144" s="21">
        <f t="shared" si="21"/>
        <v>10</v>
      </c>
      <c r="N144" s="21">
        <f t="shared" si="22"/>
        <v>-10</v>
      </c>
      <c r="O144" s="21"/>
      <c r="P144" s="21"/>
      <c r="Q144" s="5"/>
      <c r="R144" s="43"/>
      <c r="S144" s="32"/>
      <c r="T144" s="21">
        <f t="shared" si="23"/>
        <v>0</v>
      </c>
      <c r="U144" s="131"/>
      <c r="V144" s="78">
        <f t="shared" si="24"/>
        <v>0</v>
      </c>
      <c r="W144" s="140"/>
      <c r="X144" s="334"/>
      <c r="Y144" s="5"/>
      <c r="AD144" s="5" t="s">
        <v>685</v>
      </c>
      <c r="AE144" s="115" t="s">
        <v>684</v>
      </c>
      <c r="AF144" s="339"/>
      <c r="AG144" s="341"/>
      <c r="AH144" s="115" t="s">
        <v>684</v>
      </c>
      <c r="AI144" s="339"/>
      <c r="AJ144" s="341"/>
      <c r="AK144" s="115" t="s">
        <v>684</v>
      </c>
      <c r="AL144" s="339"/>
      <c r="AM144" s="5"/>
    </row>
    <row r="145" spans="1:41" x14ac:dyDescent="0.25">
      <c r="A145" s="143">
        <v>17</v>
      </c>
      <c r="B145" s="92">
        <v>45254</v>
      </c>
      <c r="C145" s="23"/>
      <c r="D145" s="31"/>
      <c r="E145" s="32"/>
      <c r="F145" s="32"/>
      <c r="G145" s="32"/>
      <c r="H145" s="39"/>
      <c r="I145" s="39"/>
      <c r="J145" s="42"/>
      <c r="K145" s="43">
        <v>10</v>
      </c>
      <c r="L145" s="21"/>
      <c r="M145" s="21">
        <f t="shared" si="21"/>
        <v>10</v>
      </c>
      <c r="N145" s="21">
        <f t="shared" si="22"/>
        <v>-10</v>
      </c>
      <c r="O145" s="21"/>
      <c r="P145" s="21"/>
      <c r="Q145" s="5"/>
      <c r="R145" s="43"/>
      <c r="S145" s="32"/>
      <c r="T145" s="21">
        <f t="shared" si="23"/>
        <v>0</v>
      </c>
      <c r="U145" s="132"/>
      <c r="V145" s="78">
        <f t="shared" si="24"/>
        <v>0</v>
      </c>
      <c r="W145" s="140"/>
      <c r="X145" s="340"/>
      <c r="Y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</row>
    <row r="146" spans="1:41" x14ac:dyDescent="0.25">
      <c r="A146" s="143">
        <v>18</v>
      </c>
      <c r="B146" s="92">
        <v>45254</v>
      </c>
      <c r="C146" s="32"/>
      <c r="D146" s="31"/>
      <c r="E146" s="32"/>
      <c r="F146" s="32"/>
      <c r="G146" s="32"/>
      <c r="H146" s="39"/>
      <c r="I146" s="39"/>
      <c r="J146" s="42"/>
      <c r="K146" s="43">
        <v>10</v>
      </c>
      <c r="L146" s="21"/>
      <c r="M146" s="21">
        <f t="shared" si="21"/>
        <v>10</v>
      </c>
      <c r="N146" s="21">
        <f t="shared" si="22"/>
        <v>-10</v>
      </c>
      <c r="O146" s="21"/>
      <c r="P146" s="21"/>
      <c r="Q146" s="5"/>
      <c r="R146" s="135"/>
      <c r="S146" s="104"/>
      <c r="T146" s="21">
        <f t="shared" si="23"/>
        <v>0</v>
      </c>
      <c r="U146" s="131"/>
      <c r="V146" s="78">
        <f t="shared" si="24"/>
        <v>0</v>
      </c>
      <c r="W146" s="140"/>
      <c r="Y146" s="5"/>
    </row>
    <row r="147" spans="1:41" x14ac:dyDescent="0.25">
      <c r="A147" s="143">
        <v>19</v>
      </c>
      <c r="B147" s="92">
        <v>45254</v>
      </c>
      <c r="C147" s="32"/>
      <c r="D147" s="31"/>
      <c r="E147" s="32"/>
      <c r="F147" s="32"/>
      <c r="G147" s="32"/>
      <c r="H147" s="39"/>
      <c r="I147" s="39"/>
      <c r="J147" s="42"/>
      <c r="K147" s="43">
        <v>10</v>
      </c>
      <c r="L147" s="21"/>
      <c r="M147" s="21">
        <f t="shared" si="21"/>
        <v>10</v>
      </c>
      <c r="N147" s="21">
        <f t="shared" si="22"/>
        <v>-10</v>
      </c>
      <c r="O147" s="21"/>
      <c r="P147" s="21"/>
      <c r="Q147" s="5"/>
      <c r="R147" s="32"/>
      <c r="S147" s="32"/>
      <c r="T147" s="21">
        <f t="shared" si="23"/>
        <v>0</v>
      </c>
      <c r="U147" s="32"/>
      <c r="V147" s="78">
        <f t="shared" si="24"/>
        <v>0</v>
      </c>
      <c r="W147" s="140"/>
      <c r="Y147" s="5"/>
    </row>
    <row r="148" spans="1:4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141"/>
      <c r="X148" s="5"/>
      <c r="Y148" s="5"/>
    </row>
    <row r="149" spans="1:41" x14ac:dyDescent="0.25">
      <c r="I149" t="s">
        <v>3164</v>
      </c>
      <c r="J149">
        <f>SUM(J129:J136)</f>
        <v>860</v>
      </c>
    </row>
    <row r="153" spans="1:41" x14ac:dyDescent="0.25">
      <c r="A153" s="1" t="s">
        <v>0</v>
      </c>
      <c r="B153" s="1"/>
      <c r="C153" s="1"/>
      <c r="D153" s="1"/>
      <c r="E153" s="1"/>
      <c r="F153" s="1"/>
      <c r="G153" s="1"/>
      <c r="H153" s="1"/>
      <c r="I153" s="1"/>
      <c r="J153" s="1" t="s">
        <v>148</v>
      </c>
      <c r="K153" s="1"/>
      <c r="L153" s="1"/>
      <c r="M153" s="1"/>
      <c r="N153" s="1"/>
      <c r="O153" s="1"/>
      <c r="P153" s="1"/>
      <c r="Q153" s="1"/>
      <c r="R153" s="1"/>
      <c r="S153" s="1"/>
      <c r="T153" s="342" t="s">
        <v>1</v>
      </c>
      <c r="U153" s="342"/>
      <c r="V153" s="5"/>
      <c r="W153" s="139"/>
      <c r="X153" s="1"/>
      <c r="Y153" s="5"/>
      <c r="AD153" s="335" t="s">
        <v>160</v>
      </c>
      <c r="AE153" s="336"/>
      <c r="AH153" s="335" t="s">
        <v>170</v>
      </c>
      <c r="AI153" s="336"/>
      <c r="AK153" s="337" t="s">
        <v>172</v>
      </c>
      <c r="AL153" s="337"/>
      <c r="AN153" s="337" t="s">
        <v>681</v>
      </c>
      <c r="AO153" s="337"/>
    </row>
    <row r="154" spans="1:41" ht="90" x14ac:dyDescent="0.25">
      <c r="A154" s="6" t="s">
        <v>2</v>
      </c>
      <c r="B154" s="7" t="s">
        <v>3</v>
      </c>
      <c r="C154" s="245" t="s">
        <v>688</v>
      </c>
      <c r="D154" s="7" t="s">
        <v>4</v>
      </c>
      <c r="E154" s="6" t="s">
        <v>5</v>
      </c>
      <c r="F154" s="6" t="s">
        <v>6</v>
      </c>
      <c r="G154" s="6" t="s">
        <v>7</v>
      </c>
      <c r="H154" s="6" t="s">
        <v>8</v>
      </c>
      <c r="I154" s="8" t="s">
        <v>9</v>
      </c>
      <c r="J154" s="9" t="s">
        <v>10</v>
      </c>
      <c r="K154" s="8" t="s">
        <v>11</v>
      </c>
      <c r="L154" s="10" t="s">
        <v>12</v>
      </c>
      <c r="M154" s="10" t="s">
        <v>13</v>
      </c>
      <c r="N154" s="11" t="s">
        <v>14</v>
      </c>
      <c r="O154" s="10" t="s">
        <v>691</v>
      </c>
      <c r="P154" s="10" t="s">
        <v>28</v>
      </c>
      <c r="Q154" s="5"/>
      <c r="R154" s="10" t="s">
        <v>16</v>
      </c>
      <c r="S154" s="10" t="s">
        <v>17</v>
      </c>
      <c r="T154" s="10" t="s">
        <v>18</v>
      </c>
      <c r="U154" s="10" t="s">
        <v>19</v>
      </c>
      <c r="V154" s="10" t="s">
        <v>20</v>
      </c>
      <c r="W154" s="13"/>
      <c r="X154" s="15" t="s">
        <v>23</v>
      </c>
      <c r="Y154" s="5"/>
      <c r="AA154" s="251" t="s">
        <v>2554</v>
      </c>
      <c r="AD154" s="16" t="s">
        <v>161</v>
      </c>
      <c r="AE154" s="58">
        <f>+AC154*10</f>
        <v>0</v>
      </c>
      <c r="AG154">
        <v>7</v>
      </c>
      <c r="AH154" s="16" t="s">
        <v>161</v>
      </c>
      <c r="AI154" s="58">
        <f>+AG154*10</f>
        <v>70</v>
      </c>
      <c r="AK154" s="61" t="s">
        <v>173</v>
      </c>
      <c r="AL154" s="62" t="s">
        <v>174</v>
      </c>
      <c r="AN154" s="16" t="s">
        <v>161</v>
      </c>
      <c r="AO154" s="58">
        <f>+AM154*10</f>
        <v>0</v>
      </c>
    </row>
    <row r="155" spans="1:41" x14ac:dyDescent="0.25">
      <c r="A155" s="16">
        <v>1</v>
      </c>
      <c r="B155" s="92">
        <v>45256</v>
      </c>
      <c r="C155" s="23">
        <v>0.74791666666666667</v>
      </c>
      <c r="D155" s="31" t="s">
        <v>387</v>
      </c>
      <c r="E155" s="32">
        <v>5520873875</v>
      </c>
      <c r="F155" s="32" t="s">
        <v>106</v>
      </c>
      <c r="G155" s="39" t="s">
        <v>388</v>
      </c>
      <c r="H155" s="39" t="s">
        <v>2986</v>
      </c>
      <c r="I155" s="122">
        <v>85</v>
      </c>
      <c r="J155" s="32">
        <v>75</v>
      </c>
      <c r="K155" s="20">
        <v>10</v>
      </c>
      <c r="L155" s="21">
        <v>10</v>
      </c>
      <c r="M155" s="21">
        <f t="shared" ref="M155:M173" si="25">+J155+K155</f>
        <v>85</v>
      </c>
      <c r="N155" s="21">
        <f t="shared" ref="N155:N173" si="26">+I155-M155</f>
        <v>0</v>
      </c>
      <c r="O155" s="21"/>
      <c r="P155" s="21"/>
      <c r="Q155" s="5"/>
      <c r="R155" s="21">
        <v>200</v>
      </c>
      <c r="S155" s="16"/>
      <c r="T155" s="21">
        <f t="shared" ref="T155:T173" si="27">+R155+S155</f>
        <v>200</v>
      </c>
      <c r="U155" s="21">
        <v>220</v>
      </c>
      <c r="V155" s="78">
        <f>+U155-T155+O155+P155</f>
        <v>20</v>
      </c>
      <c r="W155" s="13"/>
      <c r="X155" s="333"/>
      <c r="Y155" s="5"/>
      <c r="AC155">
        <v>17.5</v>
      </c>
      <c r="AD155" s="59" t="s">
        <v>162</v>
      </c>
      <c r="AE155" s="18">
        <f>+AC155*1</f>
        <v>17.5</v>
      </c>
      <c r="AG155">
        <v>44</v>
      </c>
      <c r="AH155" s="59" t="s">
        <v>162</v>
      </c>
      <c r="AI155" s="18">
        <f>+AG155*1</f>
        <v>44</v>
      </c>
      <c r="AK155" s="16"/>
      <c r="AL155" s="16"/>
      <c r="AN155" s="59" t="s">
        <v>162</v>
      </c>
      <c r="AO155" s="18">
        <f>+AM155*1</f>
        <v>0</v>
      </c>
    </row>
    <row r="156" spans="1:41" x14ac:dyDescent="0.25">
      <c r="A156" s="26">
        <v>2</v>
      </c>
      <c r="B156" s="92">
        <v>45256</v>
      </c>
      <c r="C156" s="23">
        <v>0.32500000000000001</v>
      </c>
      <c r="D156" s="31" t="s">
        <v>387</v>
      </c>
      <c r="E156" s="32">
        <v>5520873875</v>
      </c>
      <c r="F156" s="32" t="s">
        <v>106</v>
      </c>
      <c r="G156" s="32" t="s">
        <v>388</v>
      </c>
      <c r="H156" s="39" t="s">
        <v>2989</v>
      </c>
      <c r="I156" s="122"/>
      <c r="J156" s="32">
        <v>150</v>
      </c>
      <c r="K156" s="20">
        <v>10</v>
      </c>
      <c r="L156" s="21"/>
      <c r="M156" s="21">
        <f t="shared" si="25"/>
        <v>160</v>
      </c>
      <c r="N156" s="21">
        <f t="shared" si="26"/>
        <v>-160</v>
      </c>
      <c r="O156" s="21"/>
      <c r="P156" s="21"/>
      <c r="Q156" s="5"/>
      <c r="R156" s="21"/>
      <c r="S156" s="16"/>
      <c r="T156" s="21">
        <f t="shared" si="27"/>
        <v>0</v>
      </c>
      <c r="U156" s="21"/>
      <c r="V156" s="78">
        <f t="shared" ref="V156:V173" si="28">+U156-T156+O156+P156</f>
        <v>0</v>
      </c>
      <c r="W156" s="140"/>
      <c r="X156" s="334"/>
      <c r="Y156" s="5"/>
      <c r="AC156">
        <v>7</v>
      </c>
      <c r="AD156" s="16" t="s">
        <v>163</v>
      </c>
      <c r="AE156" s="60">
        <f>+AC156*5</f>
        <v>35</v>
      </c>
      <c r="AG156">
        <v>13</v>
      </c>
      <c r="AH156" s="16" t="s">
        <v>163</v>
      </c>
      <c r="AI156" s="60">
        <f>+AG156*5</f>
        <v>65</v>
      </c>
      <c r="AK156" s="16"/>
      <c r="AL156" s="16"/>
      <c r="AN156" s="16" t="s">
        <v>163</v>
      </c>
      <c r="AO156" s="60">
        <f>+AM156*5</f>
        <v>0</v>
      </c>
    </row>
    <row r="157" spans="1:41" x14ac:dyDescent="0.25">
      <c r="A157" s="64">
        <v>3</v>
      </c>
      <c r="B157" s="92">
        <v>45256</v>
      </c>
      <c r="C157" s="23">
        <v>0.33333333333333331</v>
      </c>
      <c r="D157" s="31" t="s">
        <v>815</v>
      </c>
      <c r="E157" s="32">
        <v>5572135350</v>
      </c>
      <c r="F157" s="32" t="s">
        <v>106</v>
      </c>
      <c r="G157" s="32" t="s">
        <v>2927</v>
      </c>
      <c r="H157" s="39" t="s">
        <v>2988</v>
      </c>
      <c r="I157" s="122">
        <v>80</v>
      </c>
      <c r="J157" s="32">
        <v>70</v>
      </c>
      <c r="K157" s="20">
        <v>10</v>
      </c>
      <c r="L157" s="21"/>
      <c r="M157" s="21">
        <f t="shared" si="25"/>
        <v>80</v>
      </c>
      <c r="N157" s="21">
        <f t="shared" si="26"/>
        <v>0</v>
      </c>
      <c r="O157" s="21"/>
      <c r="P157" s="21"/>
      <c r="Q157" s="5"/>
      <c r="R157" s="21"/>
      <c r="S157" s="16"/>
      <c r="T157" s="21">
        <f t="shared" si="27"/>
        <v>0</v>
      </c>
      <c r="U157" s="21"/>
      <c r="V157" s="78">
        <f t="shared" si="28"/>
        <v>0</v>
      </c>
      <c r="W157" s="140"/>
      <c r="X157" s="334"/>
      <c r="Y157" s="5"/>
      <c r="AA157" t="s">
        <v>2990</v>
      </c>
      <c r="AC157">
        <v>1</v>
      </c>
      <c r="AD157" s="16" t="s">
        <v>164</v>
      </c>
      <c r="AE157" s="18">
        <f>+AC157*200</f>
        <v>200</v>
      </c>
      <c r="AG157">
        <v>1</v>
      </c>
      <c r="AH157" s="16" t="s">
        <v>164</v>
      </c>
      <c r="AI157" s="18">
        <f>+AG157*200</f>
        <v>200</v>
      </c>
      <c r="AK157" s="16"/>
      <c r="AL157" s="16"/>
      <c r="AN157" s="16" t="s">
        <v>164</v>
      </c>
      <c r="AO157" s="18">
        <f>+AM157*200</f>
        <v>0</v>
      </c>
    </row>
    <row r="158" spans="1:41" x14ac:dyDescent="0.25">
      <c r="A158" s="143">
        <v>4</v>
      </c>
      <c r="B158" s="92">
        <v>45256</v>
      </c>
      <c r="C158" s="23">
        <v>0.34861111111111115</v>
      </c>
      <c r="D158" s="31" t="s">
        <v>1003</v>
      </c>
      <c r="E158" s="32">
        <v>5554180418</v>
      </c>
      <c r="F158" s="32" t="s">
        <v>106</v>
      </c>
      <c r="G158" s="32" t="s">
        <v>2661</v>
      </c>
      <c r="H158" s="39" t="s">
        <v>2987</v>
      </c>
      <c r="I158" s="122">
        <v>200</v>
      </c>
      <c r="J158" s="32">
        <v>113</v>
      </c>
      <c r="K158" s="20">
        <v>10</v>
      </c>
      <c r="L158" s="21">
        <v>8</v>
      </c>
      <c r="M158" s="21">
        <f t="shared" si="25"/>
        <v>123</v>
      </c>
      <c r="N158" s="21">
        <f t="shared" si="26"/>
        <v>77</v>
      </c>
      <c r="O158" s="21"/>
      <c r="P158" s="21"/>
      <c r="Q158" s="5"/>
      <c r="R158" s="21"/>
      <c r="S158" s="16"/>
      <c r="T158" s="21">
        <f t="shared" si="27"/>
        <v>0</v>
      </c>
      <c r="U158" s="21"/>
      <c r="V158" s="78">
        <f t="shared" si="28"/>
        <v>0</v>
      </c>
      <c r="W158" s="140"/>
      <c r="X158" s="334"/>
      <c r="Y158" s="5"/>
      <c r="AA158" t="s">
        <v>2991</v>
      </c>
      <c r="AC158">
        <v>1</v>
      </c>
      <c r="AD158" s="16" t="s">
        <v>165</v>
      </c>
      <c r="AE158" s="18">
        <f>+AC158*100</f>
        <v>100</v>
      </c>
      <c r="AH158" s="16" t="s">
        <v>165</v>
      </c>
      <c r="AI158" s="18">
        <f>+AG158*100</f>
        <v>0</v>
      </c>
      <c r="AK158" s="16"/>
      <c r="AL158" s="16"/>
      <c r="AN158" s="16" t="s">
        <v>165</v>
      </c>
      <c r="AO158" s="18">
        <f>+AM158*100</f>
        <v>0</v>
      </c>
    </row>
    <row r="159" spans="1:41" x14ac:dyDescent="0.25">
      <c r="A159" s="64">
        <v>5</v>
      </c>
      <c r="B159" s="92">
        <v>45256</v>
      </c>
      <c r="C159" s="23">
        <v>0.88124999999999998</v>
      </c>
      <c r="D159" s="31" t="s">
        <v>815</v>
      </c>
      <c r="E159" s="32">
        <v>5572135350</v>
      </c>
      <c r="F159" s="32" t="s">
        <v>106</v>
      </c>
      <c r="G159" s="32" t="s">
        <v>1734</v>
      </c>
      <c r="H159" s="32" t="s">
        <v>2992</v>
      </c>
      <c r="I159" s="122"/>
      <c r="J159" s="32">
        <v>57</v>
      </c>
      <c r="K159" s="20">
        <v>10</v>
      </c>
      <c r="L159" s="21"/>
      <c r="M159" s="21">
        <f t="shared" si="25"/>
        <v>67</v>
      </c>
      <c r="N159" s="21">
        <f t="shared" si="26"/>
        <v>-67</v>
      </c>
      <c r="O159" s="21"/>
      <c r="P159" s="21"/>
      <c r="Q159" s="5"/>
      <c r="R159" s="16"/>
      <c r="S159" s="16"/>
      <c r="T159" s="21">
        <f t="shared" si="27"/>
        <v>0</v>
      </c>
      <c r="U159" s="21"/>
      <c r="V159" s="78">
        <f t="shared" si="28"/>
        <v>0</v>
      </c>
      <c r="W159" s="140"/>
      <c r="X159" s="334"/>
      <c r="Y159" s="5"/>
      <c r="AC159">
        <v>2</v>
      </c>
      <c r="AD159" s="16" t="s">
        <v>166</v>
      </c>
      <c r="AE159" s="18">
        <f>+AC159*50</f>
        <v>100</v>
      </c>
      <c r="AG159">
        <v>1</v>
      </c>
      <c r="AH159" s="16" t="s">
        <v>166</v>
      </c>
      <c r="AI159" s="18">
        <f>+AG159*50</f>
        <v>50</v>
      </c>
      <c r="AK159" s="16"/>
      <c r="AL159" s="16"/>
      <c r="AN159" s="16" t="s">
        <v>166</v>
      </c>
      <c r="AO159" s="18">
        <f>+AM159*50</f>
        <v>0</v>
      </c>
    </row>
    <row r="160" spans="1:41" x14ac:dyDescent="0.25">
      <c r="A160" s="143">
        <v>6</v>
      </c>
      <c r="B160" s="92">
        <v>45256</v>
      </c>
      <c r="C160" s="23">
        <v>0.3888888888888889</v>
      </c>
      <c r="D160" s="31" t="s">
        <v>2993</v>
      </c>
      <c r="E160" s="32"/>
      <c r="F160" s="32" t="s">
        <v>106</v>
      </c>
      <c r="G160" s="32" t="s">
        <v>2995</v>
      </c>
      <c r="H160" s="39" t="s">
        <v>2998</v>
      </c>
      <c r="I160" s="39"/>
      <c r="J160" s="42">
        <v>250</v>
      </c>
      <c r="K160" s="20">
        <v>20</v>
      </c>
      <c r="L160" s="21"/>
      <c r="M160" s="21">
        <f t="shared" si="25"/>
        <v>270</v>
      </c>
      <c r="N160" s="21">
        <f t="shared" si="26"/>
        <v>-270</v>
      </c>
      <c r="O160" s="21"/>
      <c r="P160" s="21"/>
      <c r="Q160" s="5"/>
      <c r="R160" s="16"/>
      <c r="S160" s="16"/>
      <c r="T160" s="21">
        <f t="shared" si="27"/>
        <v>0</v>
      </c>
      <c r="U160" s="16"/>
      <c r="V160" s="78">
        <f t="shared" si="28"/>
        <v>0</v>
      </c>
      <c r="W160" s="140"/>
      <c r="X160" s="334"/>
      <c r="Y160" s="5"/>
      <c r="AD160" s="16" t="s">
        <v>167</v>
      </c>
      <c r="AE160" s="18">
        <f>+AC160*20</f>
        <v>0</v>
      </c>
      <c r="AG160">
        <v>4</v>
      </c>
      <c r="AH160" s="16" t="s">
        <v>167</v>
      </c>
      <c r="AI160" s="18">
        <f>+AG160*20</f>
        <v>80</v>
      </c>
      <c r="AK160" s="16"/>
      <c r="AL160" s="16"/>
      <c r="AN160" s="16" t="s">
        <v>167</v>
      </c>
      <c r="AO160" s="18">
        <f>+AM160*20</f>
        <v>0</v>
      </c>
    </row>
    <row r="161" spans="1:41" x14ac:dyDescent="0.25">
      <c r="A161" s="143">
        <v>7</v>
      </c>
      <c r="B161" s="92">
        <v>45256</v>
      </c>
      <c r="C161" s="23">
        <v>0.39930555555555558</v>
      </c>
      <c r="D161" s="31" t="s">
        <v>1412</v>
      </c>
      <c r="E161" s="32"/>
      <c r="F161" s="32" t="s">
        <v>106</v>
      </c>
      <c r="G161" s="32" t="s">
        <v>2411</v>
      </c>
      <c r="H161" s="39" t="s">
        <v>2999</v>
      </c>
      <c r="I161" s="122">
        <v>80</v>
      </c>
      <c r="J161" s="42">
        <v>59</v>
      </c>
      <c r="K161" s="20">
        <v>11</v>
      </c>
      <c r="L161" s="21"/>
      <c r="M161" s="21">
        <f t="shared" si="25"/>
        <v>70</v>
      </c>
      <c r="N161" s="21">
        <f t="shared" si="26"/>
        <v>10</v>
      </c>
      <c r="O161" s="21"/>
      <c r="P161" s="21"/>
      <c r="Q161" s="5"/>
      <c r="R161" s="16"/>
      <c r="S161" s="16"/>
      <c r="T161" s="21">
        <f t="shared" si="27"/>
        <v>0</v>
      </c>
      <c r="U161" s="16"/>
      <c r="V161" s="78">
        <f t="shared" si="28"/>
        <v>0</v>
      </c>
      <c r="W161" s="140"/>
      <c r="X161" s="334"/>
      <c r="Y161" s="5"/>
      <c r="AD161" s="16" t="s">
        <v>171</v>
      </c>
      <c r="AE161" s="18">
        <f>+AC161*500</f>
        <v>0</v>
      </c>
      <c r="AH161" s="16" t="s">
        <v>171</v>
      </c>
      <c r="AI161" s="18">
        <f>+AG161*500</f>
        <v>0</v>
      </c>
      <c r="AK161" s="16"/>
      <c r="AL161" s="16"/>
      <c r="AN161" s="16" t="s">
        <v>171</v>
      </c>
      <c r="AO161" s="18">
        <f>+AM161*500</f>
        <v>0</v>
      </c>
    </row>
    <row r="162" spans="1:41" x14ac:dyDescent="0.25">
      <c r="A162" s="143">
        <v>8</v>
      </c>
      <c r="B162" s="92">
        <v>45256</v>
      </c>
      <c r="C162" s="23">
        <v>0.40277777777777773</v>
      </c>
      <c r="D162" s="31" t="s">
        <v>2994</v>
      </c>
      <c r="E162" s="123"/>
      <c r="F162" s="123" t="s">
        <v>106</v>
      </c>
      <c r="G162" s="123" t="s">
        <v>2996</v>
      </c>
      <c r="H162" s="39"/>
      <c r="I162" s="122"/>
      <c r="J162" s="32">
        <v>57</v>
      </c>
      <c r="K162" s="20">
        <v>10</v>
      </c>
      <c r="L162" s="21"/>
      <c r="M162" s="21">
        <f t="shared" si="25"/>
        <v>67</v>
      </c>
      <c r="N162" s="21">
        <f t="shared" si="26"/>
        <v>-67</v>
      </c>
      <c r="O162" s="21"/>
      <c r="P162" s="21"/>
      <c r="Q162" s="5"/>
      <c r="R162" s="16"/>
      <c r="S162" s="16"/>
      <c r="T162" s="21">
        <f t="shared" si="27"/>
        <v>0</v>
      </c>
      <c r="U162" s="16"/>
      <c r="V162" s="78">
        <f t="shared" si="28"/>
        <v>0</v>
      </c>
      <c r="W162" s="140"/>
      <c r="X162" s="334"/>
      <c r="Y162" s="5"/>
      <c r="AD162" s="16" t="s">
        <v>168</v>
      </c>
      <c r="AE162" s="18">
        <f>+AC162*1000</f>
        <v>0</v>
      </c>
      <c r="AH162" s="16" t="s">
        <v>168</v>
      </c>
      <c r="AI162" s="18">
        <f>+AG162*1000</f>
        <v>0</v>
      </c>
      <c r="AK162" s="16"/>
      <c r="AL162" s="16"/>
      <c r="AN162" s="16" t="s">
        <v>168</v>
      </c>
      <c r="AO162" s="18">
        <f>+AM162*1000</f>
        <v>0</v>
      </c>
    </row>
    <row r="163" spans="1:41" x14ac:dyDescent="0.25">
      <c r="A163" s="143">
        <v>9</v>
      </c>
      <c r="B163" s="92">
        <v>45256</v>
      </c>
      <c r="C163" s="23">
        <v>0.40625</v>
      </c>
      <c r="D163" s="23" t="s">
        <v>2669</v>
      </c>
      <c r="E163" s="32"/>
      <c r="F163" s="32" t="s">
        <v>106</v>
      </c>
      <c r="G163" s="32" t="s">
        <v>2997</v>
      </c>
      <c r="H163" s="39"/>
      <c r="I163" s="39">
        <v>124</v>
      </c>
      <c r="J163" s="40">
        <v>109</v>
      </c>
      <c r="K163" s="20">
        <v>10</v>
      </c>
      <c r="L163" s="21"/>
      <c r="M163" s="21">
        <f t="shared" si="25"/>
        <v>119</v>
      </c>
      <c r="N163" s="21">
        <f t="shared" si="26"/>
        <v>5</v>
      </c>
      <c r="O163" s="21"/>
      <c r="P163" s="21"/>
      <c r="Q163" s="5"/>
      <c r="R163" s="16"/>
      <c r="S163" s="16"/>
      <c r="T163" s="21">
        <f t="shared" si="27"/>
        <v>0</v>
      </c>
      <c r="U163" s="16"/>
      <c r="V163" s="78">
        <f t="shared" si="28"/>
        <v>0</v>
      </c>
      <c r="W163" s="140"/>
      <c r="X163" s="334"/>
      <c r="Y163" s="5"/>
      <c r="AD163" s="26"/>
      <c r="AE163" s="58"/>
      <c r="AH163" s="26"/>
      <c r="AI163" s="58"/>
      <c r="AK163" s="16"/>
      <c r="AL163" s="16"/>
      <c r="AN163" s="26"/>
      <c r="AO163" s="58"/>
    </row>
    <row r="164" spans="1:41" x14ac:dyDescent="0.25">
      <c r="A164" s="143">
        <v>10</v>
      </c>
      <c r="B164" s="92">
        <v>45256</v>
      </c>
      <c r="C164" s="23"/>
      <c r="D164" s="31"/>
      <c r="E164" s="32"/>
      <c r="F164" s="32"/>
      <c r="G164" s="32"/>
      <c r="H164" s="39"/>
      <c r="I164" s="122"/>
      <c r="J164" s="42"/>
      <c r="K164" s="20">
        <v>10</v>
      </c>
      <c r="L164" s="21"/>
      <c r="M164" s="21">
        <f t="shared" si="25"/>
        <v>10</v>
      </c>
      <c r="N164" s="21">
        <f t="shared" si="26"/>
        <v>-10</v>
      </c>
      <c r="O164" s="21"/>
      <c r="P164" s="21"/>
      <c r="Q164" s="5"/>
      <c r="R164" s="16"/>
      <c r="S164" s="16"/>
      <c r="T164" s="21">
        <f t="shared" si="27"/>
        <v>0</v>
      </c>
      <c r="U164" s="16"/>
      <c r="V164" s="78">
        <f t="shared" si="28"/>
        <v>0</v>
      </c>
      <c r="W164" s="140"/>
      <c r="X164" s="334"/>
      <c r="Y164" s="5"/>
      <c r="AD164" s="16" t="s">
        <v>169</v>
      </c>
      <c r="AE164" s="18">
        <f>SUM(AE154:AE163)</f>
        <v>452.5</v>
      </c>
      <c r="AH164" s="16" t="s">
        <v>169</v>
      </c>
      <c r="AI164" s="18">
        <f>SUM(AI154:AI163)</f>
        <v>509</v>
      </c>
      <c r="AK164" s="16"/>
      <c r="AL164" s="16"/>
      <c r="AN164" s="16" t="s">
        <v>169</v>
      </c>
      <c r="AO164" s="18"/>
    </row>
    <row r="165" spans="1:41" x14ac:dyDescent="0.25">
      <c r="A165" s="143">
        <v>11</v>
      </c>
      <c r="B165" s="92">
        <v>45256</v>
      </c>
      <c r="C165" s="23"/>
      <c r="D165" s="31"/>
      <c r="E165" s="124"/>
      <c r="F165" s="123"/>
      <c r="G165" s="123"/>
      <c r="H165" s="39"/>
      <c r="I165" s="122"/>
      <c r="J165" s="42"/>
      <c r="K165" s="20">
        <v>10</v>
      </c>
      <c r="L165" s="21"/>
      <c r="M165" s="21">
        <f t="shared" si="25"/>
        <v>10</v>
      </c>
      <c r="N165" s="21">
        <f t="shared" si="26"/>
        <v>-10</v>
      </c>
      <c r="O165" s="21"/>
      <c r="P165" s="21"/>
      <c r="Q165" s="5"/>
      <c r="R165" s="16"/>
      <c r="S165" s="16"/>
      <c r="T165" s="21">
        <f t="shared" si="27"/>
        <v>0</v>
      </c>
      <c r="U165" s="16"/>
      <c r="V165" s="78">
        <f t="shared" si="28"/>
        <v>0</v>
      </c>
      <c r="W165" s="140"/>
      <c r="X165" s="334"/>
      <c r="Y165" s="5"/>
      <c r="AK165" s="16"/>
      <c r="AL165" s="16"/>
      <c r="AN165" s="16"/>
      <c r="AO165" s="16"/>
    </row>
    <row r="166" spans="1:41" x14ac:dyDescent="0.25">
      <c r="A166" s="143">
        <v>12</v>
      </c>
      <c r="B166" s="92">
        <v>45256</v>
      </c>
      <c r="C166" s="23"/>
      <c r="D166" s="32"/>
      <c r="E166" s="32"/>
      <c r="F166" s="124"/>
      <c r="G166" s="123"/>
      <c r="H166" s="39"/>
      <c r="I166" s="39"/>
      <c r="J166" s="42"/>
      <c r="K166" s="20">
        <v>10</v>
      </c>
      <c r="L166" s="21"/>
      <c r="M166" s="21">
        <f t="shared" si="25"/>
        <v>10</v>
      </c>
      <c r="N166" s="21">
        <f t="shared" si="26"/>
        <v>-10</v>
      </c>
      <c r="O166" s="21"/>
      <c r="P166" s="21"/>
      <c r="Q166" s="5"/>
      <c r="R166" s="45"/>
      <c r="S166" s="44"/>
      <c r="T166" s="21">
        <f t="shared" si="27"/>
        <v>0</v>
      </c>
      <c r="U166" s="45"/>
      <c r="V166" s="78">
        <f t="shared" si="28"/>
        <v>0</v>
      </c>
      <c r="W166" s="140"/>
      <c r="X166" s="334"/>
      <c r="Y166" s="5"/>
      <c r="AK166" s="63" t="s">
        <v>169</v>
      </c>
      <c r="AL166" s="63">
        <f>+SUM(AK155:AK165)-SUM(AL155:AL165)</f>
        <v>0</v>
      </c>
      <c r="AN166" s="63" t="s">
        <v>169</v>
      </c>
      <c r="AO166" s="85">
        <f>+SUM(AN154:AN165)-SUM(AO155:AO165)</f>
        <v>0</v>
      </c>
    </row>
    <row r="167" spans="1:41" x14ac:dyDescent="0.25">
      <c r="A167" s="143">
        <v>13</v>
      </c>
      <c r="B167" s="92">
        <v>45256</v>
      </c>
      <c r="C167" s="23"/>
      <c r="D167" s="31"/>
      <c r="E167" s="32"/>
      <c r="F167" s="32"/>
      <c r="G167" s="32"/>
      <c r="H167" s="39"/>
      <c r="I167" s="39"/>
      <c r="J167" s="42"/>
      <c r="K167" s="108">
        <v>10</v>
      </c>
      <c r="L167" s="21"/>
      <c r="M167" s="21">
        <f t="shared" si="25"/>
        <v>10</v>
      </c>
      <c r="N167" s="21">
        <f t="shared" si="26"/>
        <v>-10</v>
      </c>
      <c r="O167" s="21"/>
      <c r="P167" s="21"/>
      <c r="Q167" s="5"/>
      <c r="R167" s="43"/>
      <c r="S167" s="32"/>
      <c r="T167" s="21">
        <f t="shared" si="27"/>
        <v>0</v>
      </c>
      <c r="U167" s="43"/>
      <c r="V167" s="78">
        <f t="shared" si="28"/>
        <v>0</v>
      </c>
      <c r="W167" s="140"/>
      <c r="X167" s="334"/>
      <c r="Y167" s="5"/>
      <c r="AI167" s="83"/>
    </row>
    <row r="168" spans="1:41" x14ac:dyDescent="0.25">
      <c r="A168" s="143">
        <v>14</v>
      </c>
      <c r="B168" s="92">
        <v>45256</v>
      </c>
      <c r="C168" s="23"/>
      <c r="D168" s="31"/>
      <c r="E168" s="32"/>
      <c r="F168" s="32"/>
      <c r="G168" s="32"/>
      <c r="H168" s="39"/>
      <c r="I168" s="39"/>
      <c r="J168" s="42"/>
      <c r="K168" s="108">
        <v>10</v>
      </c>
      <c r="L168" s="21"/>
      <c r="M168" s="21">
        <f t="shared" si="25"/>
        <v>10</v>
      </c>
      <c r="N168" s="21">
        <f t="shared" si="26"/>
        <v>-10</v>
      </c>
      <c r="O168" s="21"/>
      <c r="P168" s="21"/>
      <c r="Q168" s="5"/>
      <c r="R168" s="43"/>
      <c r="S168" s="43"/>
      <c r="T168" s="21">
        <f t="shared" si="27"/>
        <v>0</v>
      </c>
      <c r="U168" s="43"/>
      <c r="V168" s="78">
        <f t="shared" si="28"/>
        <v>0</v>
      </c>
      <c r="W168" s="140"/>
      <c r="X168" s="334"/>
      <c r="Y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</row>
    <row r="169" spans="1:41" x14ac:dyDescent="0.25">
      <c r="A169" s="143">
        <v>15</v>
      </c>
      <c r="B169" s="92">
        <v>45256</v>
      </c>
      <c r="C169" s="23"/>
      <c r="D169" s="127"/>
      <c r="E169" s="32"/>
      <c r="F169" s="32"/>
      <c r="G169" s="128"/>
      <c r="H169" s="129"/>
      <c r="I169" s="39"/>
      <c r="J169" s="42"/>
      <c r="K169" s="108">
        <v>10</v>
      </c>
      <c r="L169" s="21"/>
      <c r="M169" s="21">
        <f t="shared" si="25"/>
        <v>10</v>
      </c>
      <c r="N169" s="21">
        <f t="shared" si="26"/>
        <v>-10</v>
      </c>
      <c r="O169" s="21"/>
      <c r="P169" s="21"/>
      <c r="Q169" s="5"/>
      <c r="R169" s="43"/>
      <c r="S169" s="43"/>
      <c r="T169" s="21">
        <f t="shared" si="27"/>
        <v>0</v>
      </c>
      <c r="U169" s="43"/>
      <c r="V169" s="78">
        <f t="shared" si="28"/>
        <v>0</v>
      </c>
      <c r="W169" s="140"/>
      <c r="X169" s="334"/>
      <c r="Y169" s="5"/>
      <c r="AD169" s="5"/>
      <c r="AE169" s="134" t="s">
        <v>20</v>
      </c>
      <c r="AF169" s="338"/>
      <c r="AG169" s="341" t="s">
        <v>686</v>
      </c>
      <c r="AH169" s="134" t="s">
        <v>20</v>
      </c>
      <c r="AI169" s="338"/>
      <c r="AJ169" s="341" t="s">
        <v>687</v>
      </c>
      <c r="AK169" s="134" t="s">
        <v>20</v>
      </c>
      <c r="AL169" s="338"/>
      <c r="AM169" s="5"/>
    </row>
    <row r="170" spans="1:41" x14ac:dyDescent="0.25">
      <c r="A170" s="143">
        <v>16</v>
      </c>
      <c r="B170" s="92">
        <v>45256</v>
      </c>
      <c r="C170" s="23"/>
      <c r="D170" s="31"/>
      <c r="E170" s="32"/>
      <c r="F170" s="32"/>
      <c r="G170" s="32"/>
      <c r="H170" s="39"/>
      <c r="I170" s="39"/>
      <c r="J170" s="42"/>
      <c r="K170" s="43">
        <v>10</v>
      </c>
      <c r="L170" s="21"/>
      <c r="M170" s="21">
        <f t="shared" si="25"/>
        <v>10</v>
      </c>
      <c r="N170" s="21">
        <f t="shared" si="26"/>
        <v>-10</v>
      </c>
      <c r="O170" s="21"/>
      <c r="P170" s="21"/>
      <c r="Q170" s="5"/>
      <c r="R170" s="43"/>
      <c r="S170" s="32"/>
      <c r="T170" s="21">
        <f t="shared" si="27"/>
        <v>0</v>
      </c>
      <c r="U170" s="131"/>
      <c r="V170" s="78">
        <f t="shared" si="28"/>
        <v>0</v>
      </c>
      <c r="W170" s="140"/>
      <c r="X170" s="334"/>
      <c r="Y170" s="5"/>
      <c r="AD170" s="5" t="s">
        <v>685</v>
      </c>
      <c r="AE170" s="115" t="s">
        <v>684</v>
      </c>
      <c r="AF170" s="339"/>
      <c r="AG170" s="341"/>
      <c r="AH170" s="115" t="s">
        <v>684</v>
      </c>
      <c r="AI170" s="339"/>
      <c r="AJ170" s="341"/>
      <c r="AK170" s="115" t="s">
        <v>684</v>
      </c>
      <c r="AL170" s="339"/>
      <c r="AM170" s="5"/>
    </row>
    <row r="171" spans="1:41" x14ac:dyDescent="0.25">
      <c r="A171" s="143">
        <v>17</v>
      </c>
      <c r="B171" s="92">
        <v>45256</v>
      </c>
      <c r="C171" s="23"/>
      <c r="D171" s="31"/>
      <c r="E171" s="32"/>
      <c r="F171" s="32"/>
      <c r="G171" s="32"/>
      <c r="H171" s="39"/>
      <c r="I171" s="39"/>
      <c r="J171" s="42"/>
      <c r="K171" s="43">
        <v>10</v>
      </c>
      <c r="L171" s="21"/>
      <c r="M171" s="21">
        <f t="shared" si="25"/>
        <v>10</v>
      </c>
      <c r="N171" s="21">
        <f t="shared" si="26"/>
        <v>-10</v>
      </c>
      <c r="O171" s="21"/>
      <c r="P171" s="21"/>
      <c r="Q171" s="5"/>
      <c r="R171" s="43"/>
      <c r="S171" s="32"/>
      <c r="T171" s="21">
        <f t="shared" si="27"/>
        <v>0</v>
      </c>
      <c r="U171" s="132"/>
      <c r="V171" s="78">
        <f t="shared" si="28"/>
        <v>0</v>
      </c>
      <c r="W171" s="140"/>
      <c r="X171" s="340"/>
      <c r="Y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</row>
    <row r="172" spans="1:41" x14ac:dyDescent="0.25">
      <c r="A172" s="143">
        <v>18</v>
      </c>
      <c r="B172" s="92">
        <v>45256</v>
      </c>
      <c r="C172" s="32"/>
      <c r="D172" s="31"/>
      <c r="E172" s="32"/>
      <c r="F172" s="32"/>
      <c r="G172" s="32"/>
      <c r="H172" s="39"/>
      <c r="I172" s="39"/>
      <c r="J172" s="42"/>
      <c r="K172" s="43">
        <v>10</v>
      </c>
      <c r="L172" s="21"/>
      <c r="M172" s="21">
        <f t="shared" si="25"/>
        <v>10</v>
      </c>
      <c r="N172" s="21">
        <f t="shared" si="26"/>
        <v>-10</v>
      </c>
      <c r="O172" s="21"/>
      <c r="P172" s="21"/>
      <c r="Q172" s="5"/>
      <c r="R172" s="135"/>
      <c r="S172" s="104"/>
      <c r="T172" s="21">
        <f t="shared" si="27"/>
        <v>0</v>
      </c>
      <c r="U172" s="131"/>
      <c r="V172" s="78">
        <f t="shared" si="28"/>
        <v>0</v>
      </c>
      <c r="W172" s="140"/>
      <c r="Y172" s="5"/>
    </row>
    <row r="173" spans="1:41" x14ac:dyDescent="0.25">
      <c r="A173" s="143">
        <v>19</v>
      </c>
      <c r="B173" s="92">
        <v>45256</v>
      </c>
      <c r="C173" s="32"/>
      <c r="D173" s="31"/>
      <c r="E173" s="32"/>
      <c r="F173" s="32"/>
      <c r="G173" s="32"/>
      <c r="H173" s="39"/>
      <c r="I173" s="39"/>
      <c r="J173" s="42"/>
      <c r="K173" s="43">
        <v>10</v>
      </c>
      <c r="L173" s="21"/>
      <c r="M173" s="21">
        <f t="shared" si="25"/>
        <v>10</v>
      </c>
      <c r="N173" s="21">
        <f t="shared" si="26"/>
        <v>-10</v>
      </c>
      <c r="O173" s="21"/>
      <c r="P173" s="21"/>
      <c r="Q173" s="5"/>
      <c r="R173" s="32"/>
      <c r="S173" s="32"/>
      <c r="T173" s="21">
        <f t="shared" si="27"/>
        <v>0</v>
      </c>
      <c r="U173" s="32"/>
      <c r="V173" s="78">
        <f t="shared" si="28"/>
        <v>0</v>
      </c>
      <c r="W173" s="140"/>
      <c r="Y173" s="5"/>
    </row>
    <row r="174" spans="1:4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141"/>
      <c r="X174" s="5"/>
      <c r="Y174" s="5"/>
    </row>
    <row r="175" spans="1:41" x14ac:dyDescent="0.25">
      <c r="I175" t="s">
        <v>3164</v>
      </c>
      <c r="J175">
        <f>SUM(J155:J163)</f>
        <v>940</v>
      </c>
    </row>
    <row r="177" spans="1:41" x14ac:dyDescent="0.25">
      <c r="A177" s="1" t="s">
        <v>0</v>
      </c>
      <c r="B177" s="1"/>
      <c r="C177" s="1"/>
      <c r="D177" s="1"/>
      <c r="E177" s="1"/>
      <c r="F177" s="1"/>
      <c r="G177" s="1"/>
      <c r="H177" s="1"/>
      <c r="I177" s="1"/>
      <c r="J177" s="1" t="s">
        <v>148</v>
      </c>
      <c r="K177" s="1"/>
      <c r="L177" s="1"/>
      <c r="M177" s="1"/>
      <c r="N177" s="1"/>
      <c r="O177" s="1"/>
      <c r="P177" s="1"/>
      <c r="Q177" s="1"/>
      <c r="R177" s="1"/>
      <c r="S177" s="1"/>
      <c r="T177" s="342" t="s">
        <v>1</v>
      </c>
      <c r="U177" s="342"/>
      <c r="V177" s="5"/>
      <c r="W177" s="139"/>
      <c r="X177" s="1"/>
      <c r="Y177" s="5"/>
      <c r="AD177" s="335" t="s">
        <v>160</v>
      </c>
      <c r="AE177" s="336"/>
      <c r="AH177" s="335" t="s">
        <v>170</v>
      </c>
      <c r="AI177" s="336"/>
      <c r="AK177" s="337" t="s">
        <v>172</v>
      </c>
      <c r="AL177" s="337"/>
      <c r="AN177" s="337" t="s">
        <v>681</v>
      </c>
      <c r="AO177" s="337"/>
    </row>
    <row r="178" spans="1:41" ht="90" x14ac:dyDescent="0.25">
      <c r="A178" s="6" t="s">
        <v>2</v>
      </c>
      <c r="B178" s="7" t="s">
        <v>3</v>
      </c>
      <c r="C178" s="245" t="s">
        <v>688</v>
      </c>
      <c r="D178" s="7" t="s">
        <v>4</v>
      </c>
      <c r="E178" s="6" t="s">
        <v>5</v>
      </c>
      <c r="F178" s="6" t="s">
        <v>6</v>
      </c>
      <c r="G178" s="6" t="s">
        <v>7</v>
      </c>
      <c r="H178" s="6" t="s">
        <v>8</v>
      </c>
      <c r="I178" s="8" t="s">
        <v>9</v>
      </c>
      <c r="J178" s="9" t="s">
        <v>10</v>
      </c>
      <c r="K178" s="8" t="s">
        <v>11</v>
      </c>
      <c r="L178" s="10" t="s">
        <v>12</v>
      </c>
      <c r="M178" s="10" t="s">
        <v>13</v>
      </c>
      <c r="N178" s="11" t="s">
        <v>14</v>
      </c>
      <c r="O178" s="10" t="s">
        <v>691</v>
      </c>
      <c r="P178" s="10" t="s">
        <v>28</v>
      </c>
      <c r="Q178" s="5"/>
      <c r="R178" s="10" t="s">
        <v>16</v>
      </c>
      <c r="S178" s="10" t="s">
        <v>17</v>
      </c>
      <c r="T178" s="10" t="s">
        <v>18</v>
      </c>
      <c r="U178" s="10" t="s">
        <v>19</v>
      </c>
      <c r="V178" s="10" t="s">
        <v>20</v>
      </c>
      <c r="W178" s="13"/>
      <c r="X178" s="15" t="s">
        <v>23</v>
      </c>
      <c r="Y178" s="5"/>
      <c r="AA178" s="251" t="s">
        <v>2554</v>
      </c>
      <c r="AD178" s="16" t="s">
        <v>161</v>
      </c>
      <c r="AE178" s="58">
        <f>+AC178*10</f>
        <v>0</v>
      </c>
      <c r="AG178">
        <v>3</v>
      </c>
      <c r="AH178" s="16" t="s">
        <v>161</v>
      </c>
      <c r="AI178" s="58">
        <f>+AG178*10</f>
        <v>30</v>
      </c>
      <c r="AK178" s="61" t="s">
        <v>173</v>
      </c>
      <c r="AL178" s="62" t="s">
        <v>174</v>
      </c>
      <c r="AN178" s="16" t="s">
        <v>161</v>
      </c>
      <c r="AO178" s="58">
        <f>+AM178*10</f>
        <v>0</v>
      </c>
    </row>
    <row r="179" spans="1:41" x14ac:dyDescent="0.25">
      <c r="A179" s="16">
        <v>1</v>
      </c>
      <c r="B179" s="92">
        <v>45257</v>
      </c>
      <c r="C179" s="23">
        <v>0.54861111111111105</v>
      </c>
      <c r="D179" s="31" t="s">
        <v>203</v>
      </c>
      <c r="E179" s="32">
        <v>5578861024</v>
      </c>
      <c r="F179" s="32" t="s">
        <v>3000</v>
      </c>
      <c r="G179" s="39" t="s">
        <v>1148</v>
      </c>
      <c r="H179" s="39" t="s">
        <v>3001</v>
      </c>
      <c r="I179" s="122"/>
      <c r="J179" s="32">
        <v>148</v>
      </c>
      <c r="K179" s="20">
        <v>12</v>
      </c>
      <c r="L179" s="21"/>
      <c r="M179" s="21">
        <f t="shared" ref="M179:M197" si="29">+J179+K179</f>
        <v>160</v>
      </c>
      <c r="N179" s="21">
        <f t="shared" ref="N179:N197" si="30">+I179-M179</f>
        <v>-160</v>
      </c>
      <c r="O179" s="21"/>
      <c r="P179" s="21"/>
      <c r="Q179" s="5"/>
      <c r="R179" s="21">
        <v>400</v>
      </c>
      <c r="S179" s="16"/>
      <c r="T179" s="21">
        <f t="shared" ref="T179:T197" si="31">+R179+S179</f>
        <v>400</v>
      </c>
      <c r="U179" s="21">
        <v>412</v>
      </c>
      <c r="V179" s="78">
        <f>+U179-T179+O179+P179</f>
        <v>12</v>
      </c>
      <c r="W179" s="13"/>
      <c r="X179" s="333"/>
      <c r="Y179" s="5"/>
      <c r="AC179">
        <v>78.5</v>
      </c>
      <c r="AD179" s="59" t="s">
        <v>162</v>
      </c>
      <c r="AE179" s="18">
        <f>+AC179*1</f>
        <v>78.5</v>
      </c>
      <c r="AG179">
        <v>64</v>
      </c>
      <c r="AH179" s="59" t="s">
        <v>162</v>
      </c>
      <c r="AI179" s="18">
        <f>+AG179*1</f>
        <v>64</v>
      </c>
      <c r="AK179" s="21">
        <v>188</v>
      </c>
      <c r="AL179" s="16"/>
      <c r="AN179" s="59" t="s">
        <v>162</v>
      </c>
      <c r="AO179" s="18">
        <f>+AM179*1</f>
        <v>0</v>
      </c>
    </row>
    <row r="180" spans="1:41" x14ac:dyDescent="0.25">
      <c r="A180" s="26">
        <v>2</v>
      </c>
      <c r="B180" s="92">
        <v>45257</v>
      </c>
      <c r="C180" s="23">
        <v>0.5625</v>
      </c>
      <c r="D180" s="31" t="s">
        <v>125</v>
      </c>
      <c r="E180" s="32">
        <v>5529573104</v>
      </c>
      <c r="F180" s="32" t="s">
        <v>106</v>
      </c>
      <c r="G180" s="39" t="s">
        <v>126</v>
      </c>
      <c r="H180" s="39" t="s">
        <v>3002</v>
      </c>
      <c r="I180" s="122">
        <v>160</v>
      </c>
      <c r="J180" s="32">
        <v>126</v>
      </c>
      <c r="K180" s="20">
        <v>12</v>
      </c>
      <c r="L180" s="21"/>
      <c r="M180" s="21">
        <f t="shared" si="29"/>
        <v>138</v>
      </c>
      <c r="N180" s="21">
        <f t="shared" si="30"/>
        <v>22</v>
      </c>
      <c r="O180" s="21"/>
      <c r="P180" s="21"/>
      <c r="Q180" s="5"/>
      <c r="R180" s="21"/>
      <c r="S180" s="16"/>
      <c r="T180" s="21">
        <f t="shared" si="31"/>
        <v>0</v>
      </c>
      <c r="U180" s="21">
        <v>12</v>
      </c>
      <c r="V180" s="78">
        <f t="shared" ref="V180:V197" si="32">+U180-T180+O180+P180</f>
        <v>12</v>
      </c>
      <c r="W180" s="140"/>
      <c r="X180" s="334"/>
      <c r="Y180" s="5"/>
      <c r="AD180" s="16" t="s">
        <v>163</v>
      </c>
      <c r="AE180" s="60">
        <f>+AC180*5</f>
        <v>0</v>
      </c>
      <c r="AG180">
        <v>12</v>
      </c>
      <c r="AH180" s="16" t="s">
        <v>163</v>
      </c>
      <c r="AI180" s="60">
        <f>+AG180*5</f>
        <v>60</v>
      </c>
      <c r="AK180" s="21"/>
      <c r="AL180" s="16"/>
      <c r="AN180" s="16" t="s">
        <v>163</v>
      </c>
      <c r="AO180" s="60">
        <f>+AM180*5</f>
        <v>0</v>
      </c>
    </row>
    <row r="181" spans="1:41" x14ac:dyDescent="0.25">
      <c r="A181" s="143">
        <v>3</v>
      </c>
      <c r="B181" s="92">
        <v>45257</v>
      </c>
      <c r="C181" s="23">
        <v>0.64722222222222225</v>
      </c>
      <c r="D181" s="31" t="s">
        <v>3003</v>
      </c>
      <c r="E181" s="32">
        <v>5576656724</v>
      </c>
      <c r="F181" s="32" t="s">
        <v>106</v>
      </c>
      <c r="G181" s="32" t="s">
        <v>3004</v>
      </c>
      <c r="H181" s="39" t="s">
        <v>3005</v>
      </c>
      <c r="I181" s="122"/>
      <c r="J181" s="32">
        <f>127+34</f>
        <v>161</v>
      </c>
      <c r="K181" s="20">
        <v>10</v>
      </c>
      <c r="L181" s="21">
        <v>10</v>
      </c>
      <c r="M181" s="21">
        <f t="shared" si="29"/>
        <v>171</v>
      </c>
      <c r="N181" s="21">
        <f t="shared" si="30"/>
        <v>-171</v>
      </c>
      <c r="O181" s="21"/>
      <c r="P181" s="21"/>
      <c r="Q181" s="5"/>
      <c r="R181" s="21">
        <v>200</v>
      </c>
      <c r="S181" s="16"/>
      <c r="T181" s="21">
        <f t="shared" si="31"/>
        <v>200</v>
      </c>
      <c r="U181" s="21">
        <v>220</v>
      </c>
      <c r="V181" s="78">
        <f t="shared" si="32"/>
        <v>20</v>
      </c>
      <c r="W181" s="140"/>
      <c r="X181" s="334"/>
      <c r="Y181" s="5"/>
      <c r="AD181" s="16" t="s">
        <v>164</v>
      </c>
      <c r="AE181" s="18">
        <f>+AC181*200</f>
        <v>0</v>
      </c>
      <c r="AH181" s="16" t="s">
        <v>164</v>
      </c>
      <c r="AI181" s="18">
        <f>+AG181*200</f>
        <v>0</v>
      </c>
      <c r="AK181" s="21"/>
      <c r="AL181" s="16"/>
      <c r="AN181" s="16" t="s">
        <v>164</v>
      </c>
      <c r="AO181" s="18">
        <f>+AM181*200</f>
        <v>0</v>
      </c>
    </row>
    <row r="182" spans="1:41" x14ac:dyDescent="0.25">
      <c r="A182" s="143">
        <v>4</v>
      </c>
      <c r="B182" s="92">
        <v>45257</v>
      </c>
      <c r="C182" s="23">
        <v>0.64930555555555558</v>
      </c>
      <c r="D182" s="31" t="s">
        <v>1746</v>
      </c>
      <c r="E182" s="32">
        <v>5612853273</v>
      </c>
      <c r="F182" s="32" t="s">
        <v>106</v>
      </c>
      <c r="G182" s="32" t="s">
        <v>3006</v>
      </c>
      <c r="H182" s="39" t="s">
        <v>3007</v>
      </c>
      <c r="I182" s="122">
        <v>150</v>
      </c>
      <c r="J182" s="32">
        <v>118</v>
      </c>
      <c r="K182" s="20">
        <v>10</v>
      </c>
      <c r="L182" s="21">
        <v>9</v>
      </c>
      <c r="M182" s="21">
        <f t="shared" si="29"/>
        <v>128</v>
      </c>
      <c r="N182" s="21">
        <f t="shared" si="30"/>
        <v>22</v>
      </c>
      <c r="O182" s="21"/>
      <c r="P182" s="21"/>
      <c r="Q182" s="5"/>
      <c r="R182" s="21"/>
      <c r="S182" s="16"/>
      <c r="T182" s="21">
        <f t="shared" si="31"/>
        <v>0</v>
      </c>
      <c r="U182" s="21">
        <v>19</v>
      </c>
      <c r="V182" s="78">
        <f t="shared" si="32"/>
        <v>19</v>
      </c>
      <c r="W182" s="140"/>
      <c r="X182" s="334"/>
      <c r="Y182" s="5"/>
      <c r="AD182" s="16" t="s">
        <v>165</v>
      </c>
      <c r="AE182" s="18">
        <f>+AC182*100</f>
        <v>0</v>
      </c>
      <c r="AG182">
        <v>1</v>
      </c>
      <c r="AH182" s="16" t="s">
        <v>165</v>
      </c>
      <c r="AI182" s="18">
        <f>+AG182*100</f>
        <v>100</v>
      </c>
      <c r="AK182" s="21">
        <v>50</v>
      </c>
      <c r="AL182" s="16"/>
      <c r="AN182" s="16" t="s">
        <v>165</v>
      </c>
      <c r="AO182" s="18">
        <f>+AM182*100</f>
        <v>0</v>
      </c>
    </row>
    <row r="183" spans="1:41" x14ac:dyDescent="0.25">
      <c r="A183" s="143">
        <v>5</v>
      </c>
      <c r="B183" s="92">
        <v>45257</v>
      </c>
      <c r="C183" s="23">
        <v>0.22708333333333333</v>
      </c>
      <c r="D183" s="31" t="s">
        <v>274</v>
      </c>
      <c r="E183" s="32">
        <v>5510466400</v>
      </c>
      <c r="F183" s="32" t="s">
        <v>38</v>
      </c>
      <c r="G183" s="32" t="s">
        <v>2918</v>
      </c>
      <c r="H183" s="32" t="s">
        <v>3008</v>
      </c>
      <c r="I183" s="122">
        <v>188</v>
      </c>
      <c r="J183" s="32">
        <v>177</v>
      </c>
      <c r="K183" s="20">
        <v>11</v>
      </c>
      <c r="L183" s="21"/>
      <c r="M183" s="21">
        <f t="shared" si="29"/>
        <v>188</v>
      </c>
      <c r="N183" s="21">
        <f t="shared" si="30"/>
        <v>0</v>
      </c>
      <c r="O183" s="21">
        <v>188</v>
      </c>
      <c r="P183" s="21"/>
      <c r="Q183" s="5"/>
      <c r="R183" s="16"/>
      <c r="S183" s="16"/>
      <c r="T183" s="21">
        <f t="shared" si="31"/>
        <v>0</v>
      </c>
      <c r="U183" s="21"/>
      <c r="V183" s="78">
        <f t="shared" si="32"/>
        <v>188</v>
      </c>
      <c r="W183" s="140"/>
      <c r="X183" s="334"/>
      <c r="Y183" s="5"/>
      <c r="AD183" s="16" t="s">
        <v>166</v>
      </c>
      <c r="AE183" s="18">
        <f>+AC183*50</f>
        <v>0</v>
      </c>
      <c r="AG183">
        <v>2</v>
      </c>
      <c r="AH183" s="16" t="s">
        <v>166</v>
      </c>
      <c r="AI183" s="18">
        <f>+AG183*50</f>
        <v>100</v>
      </c>
      <c r="AK183" s="21"/>
      <c r="AL183" s="16"/>
      <c r="AN183" s="16" t="s">
        <v>166</v>
      </c>
      <c r="AO183" s="18">
        <f>+AM183*50</f>
        <v>0</v>
      </c>
    </row>
    <row r="184" spans="1:41" x14ac:dyDescent="0.25">
      <c r="A184" s="143">
        <v>6</v>
      </c>
      <c r="B184" s="92">
        <v>45257</v>
      </c>
      <c r="C184" s="23">
        <v>0.19</v>
      </c>
      <c r="D184" s="31" t="s">
        <v>3009</v>
      </c>
      <c r="E184" s="32">
        <v>5541902669</v>
      </c>
      <c r="F184" s="32" t="s">
        <v>106</v>
      </c>
      <c r="G184" s="32" t="s">
        <v>3010</v>
      </c>
      <c r="H184" s="39" t="s">
        <v>3011</v>
      </c>
      <c r="I184" s="39">
        <v>100</v>
      </c>
      <c r="J184" s="42">
        <v>85</v>
      </c>
      <c r="K184" s="20">
        <v>15</v>
      </c>
      <c r="L184" s="21"/>
      <c r="M184" s="21">
        <f t="shared" si="29"/>
        <v>100</v>
      </c>
      <c r="N184" s="21">
        <f t="shared" si="30"/>
        <v>0</v>
      </c>
      <c r="O184" s="21"/>
      <c r="P184" s="21"/>
      <c r="Q184" s="5"/>
      <c r="R184" s="16"/>
      <c r="S184" s="16"/>
      <c r="T184" s="21">
        <f t="shared" si="31"/>
        <v>0</v>
      </c>
      <c r="U184" s="16"/>
      <c r="V184" s="78">
        <f t="shared" si="32"/>
        <v>0</v>
      </c>
      <c r="W184" s="140"/>
      <c r="X184" s="334"/>
      <c r="Y184" s="5"/>
      <c r="AD184" s="16" t="s">
        <v>167</v>
      </c>
      <c r="AE184" s="18">
        <f>+AC184*20</f>
        <v>0</v>
      </c>
      <c r="AG184">
        <v>1</v>
      </c>
      <c r="AH184" s="16" t="s">
        <v>167</v>
      </c>
      <c r="AI184" s="18">
        <f>+AG184*20</f>
        <v>20</v>
      </c>
      <c r="AK184" s="21">
        <v>154</v>
      </c>
      <c r="AL184" s="16"/>
      <c r="AN184" s="16" t="s">
        <v>167</v>
      </c>
      <c r="AO184" s="18">
        <f>+AM184*20</f>
        <v>0</v>
      </c>
    </row>
    <row r="185" spans="1:41" x14ac:dyDescent="0.25">
      <c r="A185" s="143">
        <v>7</v>
      </c>
      <c r="B185" s="92">
        <v>45257</v>
      </c>
      <c r="C185" s="23">
        <v>0.25</v>
      </c>
      <c r="D185" s="31" t="s">
        <v>30</v>
      </c>
      <c r="E185" s="32"/>
      <c r="F185" s="32" t="s">
        <v>3020</v>
      </c>
      <c r="G185" s="32" t="s">
        <v>3017</v>
      </c>
      <c r="H185" s="39" t="s">
        <v>3016</v>
      </c>
      <c r="I185" s="122">
        <v>240</v>
      </c>
      <c r="J185" s="42">
        <v>250</v>
      </c>
      <c r="K185" s="20">
        <v>40</v>
      </c>
      <c r="L185" s="21">
        <v>15</v>
      </c>
      <c r="M185" s="21">
        <f t="shared" si="29"/>
        <v>290</v>
      </c>
      <c r="N185" s="21">
        <f t="shared" si="30"/>
        <v>-50</v>
      </c>
      <c r="O185" s="21"/>
      <c r="P185" s="21"/>
      <c r="Q185" s="5"/>
      <c r="R185" s="16"/>
      <c r="S185" s="16"/>
      <c r="T185" s="21">
        <f t="shared" si="31"/>
        <v>0</v>
      </c>
      <c r="U185" s="16"/>
      <c r="V185" s="78">
        <f t="shared" si="32"/>
        <v>0</v>
      </c>
      <c r="W185" s="140"/>
      <c r="X185" s="334"/>
      <c r="Y185" s="5"/>
      <c r="AA185" t="s">
        <v>3021</v>
      </c>
      <c r="AD185" s="16" t="s">
        <v>171</v>
      </c>
      <c r="AE185" s="18">
        <f>+AC185*500</f>
        <v>0</v>
      </c>
      <c r="AH185" s="16" t="s">
        <v>171</v>
      </c>
      <c r="AI185" s="18">
        <f>+AG185*500</f>
        <v>0</v>
      </c>
      <c r="AK185" s="21">
        <v>264</v>
      </c>
      <c r="AL185" s="16"/>
      <c r="AN185" s="16" t="s">
        <v>171</v>
      </c>
      <c r="AO185" s="18">
        <f>+AM185*500</f>
        <v>0</v>
      </c>
    </row>
    <row r="186" spans="1:41" x14ac:dyDescent="0.25">
      <c r="A186" s="143">
        <v>8</v>
      </c>
      <c r="B186" s="92">
        <v>45257</v>
      </c>
      <c r="C186" s="23">
        <v>7</v>
      </c>
      <c r="D186" s="31" t="s">
        <v>3013</v>
      </c>
      <c r="E186" s="123"/>
      <c r="F186" s="123" t="s">
        <v>52</v>
      </c>
      <c r="G186" s="123" t="s">
        <v>2591</v>
      </c>
      <c r="H186" s="39" t="s">
        <v>3015</v>
      </c>
      <c r="I186" s="122">
        <v>116</v>
      </c>
      <c r="J186" s="32">
        <v>104</v>
      </c>
      <c r="K186" s="20">
        <v>12</v>
      </c>
      <c r="L186" s="21">
        <v>12</v>
      </c>
      <c r="M186" s="21">
        <f t="shared" si="29"/>
        <v>116</v>
      </c>
      <c r="N186" s="21">
        <f t="shared" si="30"/>
        <v>0</v>
      </c>
      <c r="O186" s="21">
        <v>50</v>
      </c>
      <c r="P186" s="21"/>
      <c r="Q186" s="5"/>
      <c r="R186" s="16"/>
      <c r="S186" s="16"/>
      <c r="T186" s="21">
        <f t="shared" si="31"/>
        <v>0</v>
      </c>
      <c r="U186" s="16"/>
      <c r="V186" s="78">
        <f t="shared" si="32"/>
        <v>50</v>
      </c>
      <c r="W186" s="140"/>
      <c r="X186" s="334"/>
      <c r="Y186" s="5"/>
      <c r="AD186" s="16" t="s">
        <v>168</v>
      </c>
      <c r="AE186" s="18">
        <f>+AC186*1000</f>
        <v>0</v>
      </c>
      <c r="AH186" s="16" t="s">
        <v>168</v>
      </c>
      <c r="AI186" s="18">
        <f>+AG186*1000</f>
        <v>0</v>
      </c>
      <c r="AK186" s="16"/>
      <c r="AL186" s="16"/>
      <c r="AN186" s="16" t="s">
        <v>168</v>
      </c>
      <c r="AO186" s="18">
        <f>+AM186*1000</f>
        <v>0</v>
      </c>
    </row>
    <row r="187" spans="1:41" x14ac:dyDescent="0.25">
      <c r="A187" s="143">
        <v>9</v>
      </c>
      <c r="B187" s="92">
        <v>45257</v>
      </c>
      <c r="C187" s="23">
        <v>0.38819444444444445</v>
      </c>
      <c r="D187" s="31" t="s">
        <v>2669</v>
      </c>
      <c r="E187" s="32"/>
      <c r="F187" s="32" t="s">
        <v>2756</v>
      </c>
      <c r="G187" s="32" t="s">
        <v>3018</v>
      </c>
      <c r="H187" s="39" t="s">
        <v>3012</v>
      </c>
      <c r="I187" s="39">
        <v>105</v>
      </c>
      <c r="J187" s="40">
        <v>94</v>
      </c>
      <c r="K187" s="20">
        <v>11</v>
      </c>
      <c r="L187" s="21"/>
      <c r="M187" s="21">
        <f t="shared" si="29"/>
        <v>105</v>
      </c>
      <c r="N187" s="21">
        <f t="shared" si="30"/>
        <v>0</v>
      </c>
      <c r="O187" s="21"/>
      <c r="P187" s="21"/>
      <c r="Q187" s="5"/>
      <c r="R187" s="16"/>
      <c r="S187" s="16"/>
      <c r="T187" s="21">
        <f t="shared" si="31"/>
        <v>0</v>
      </c>
      <c r="U187" s="16"/>
      <c r="V187" s="78">
        <f t="shared" si="32"/>
        <v>0</v>
      </c>
      <c r="W187" s="140"/>
      <c r="X187" s="334"/>
      <c r="Y187" s="5"/>
      <c r="AD187" s="26"/>
      <c r="AE187" s="58"/>
      <c r="AH187" s="26"/>
      <c r="AI187" s="58"/>
      <c r="AK187" s="16"/>
      <c r="AL187" s="16"/>
      <c r="AN187" s="26"/>
      <c r="AO187" s="58"/>
    </row>
    <row r="188" spans="1:41" x14ac:dyDescent="0.25">
      <c r="A188" s="143">
        <v>10</v>
      </c>
      <c r="B188" s="92">
        <v>45257</v>
      </c>
      <c r="C188" s="23">
        <v>0.40625</v>
      </c>
      <c r="D188" s="31" t="s">
        <v>1866</v>
      </c>
      <c r="E188" s="32"/>
      <c r="F188" s="32" t="s">
        <v>2273</v>
      </c>
      <c r="G188" s="32" t="s">
        <v>3019</v>
      </c>
      <c r="H188" s="39" t="s">
        <v>3014</v>
      </c>
      <c r="I188" s="122">
        <v>154</v>
      </c>
      <c r="J188" s="42">
        <v>143</v>
      </c>
      <c r="K188" s="20">
        <v>12</v>
      </c>
      <c r="L188" s="21">
        <v>20</v>
      </c>
      <c r="M188" s="21">
        <f t="shared" si="29"/>
        <v>155</v>
      </c>
      <c r="N188" s="21">
        <f t="shared" si="30"/>
        <v>-1</v>
      </c>
      <c r="O188" s="21">
        <v>154</v>
      </c>
      <c r="P188" s="21"/>
      <c r="Q188" s="5"/>
      <c r="R188" s="16"/>
      <c r="S188" s="16"/>
      <c r="T188" s="21">
        <f t="shared" si="31"/>
        <v>0</v>
      </c>
      <c r="U188" s="16"/>
      <c r="V188" s="78">
        <f t="shared" si="32"/>
        <v>154</v>
      </c>
      <c r="W188" s="140"/>
      <c r="X188" s="334"/>
      <c r="Y188" s="5"/>
      <c r="AD188" s="16" t="s">
        <v>169</v>
      </c>
      <c r="AE188" s="18">
        <f>SUM(AE178:AE187)</f>
        <v>78.5</v>
      </c>
      <c r="AH188" s="16" t="s">
        <v>169</v>
      </c>
      <c r="AI188" s="18">
        <f>SUM(AI178:AI187)</f>
        <v>374</v>
      </c>
      <c r="AK188" s="16"/>
      <c r="AL188" s="16"/>
      <c r="AN188" s="16" t="s">
        <v>169</v>
      </c>
      <c r="AO188" s="18"/>
    </row>
    <row r="189" spans="1:41" x14ac:dyDescent="0.25">
      <c r="A189" s="143">
        <v>11</v>
      </c>
      <c r="B189" s="92">
        <v>45257</v>
      </c>
      <c r="C189" s="23"/>
      <c r="D189" s="31"/>
      <c r="E189" s="124"/>
      <c r="F189" s="123"/>
      <c r="G189" s="123"/>
      <c r="H189" s="39"/>
      <c r="I189" s="122"/>
      <c r="J189" s="42"/>
      <c r="K189" s="20">
        <v>10</v>
      </c>
      <c r="L189" s="21"/>
      <c r="M189" s="21">
        <f t="shared" si="29"/>
        <v>10</v>
      </c>
      <c r="N189" s="21">
        <f t="shared" si="30"/>
        <v>-10</v>
      </c>
      <c r="O189" s="21">
        <v>264</v>
      </c>
      <c r="P189" s="21"/>
      <c r="Q189" s="5"/>
      <c r="R189" s="16"/>
      <c r="S189" s="16"/>
      <c r="T189" s="21">
        <f t="shared" si="31"/>
        <v>0</v>
      </c>
      <c r="U189" s="16"/>
      <c r="V189" s="78">
        <f t="shared" si="32"/>
        <v>264</v>
      </c>
      <c r="W189" s="140"/>
      <c r="X189" s="334"/>
      <c r="Y189" s="5"/>
      <c r="AE189">
        <v>509</v>
      </c>
      <c r="AK189" s="16"/>
      <c r="AL189" s="16"/>
      <c r="AN189" s="16"/>
      <c r="AO189" s="16"/>
    </row>
    <row r="190" spans="1:41" x14ac:dyDescent="0.25">
      <c r="A190" s="143">
        <v>12</v>
      </c>
      <c r="B190" s="92">
        <v>45257</v>
      </c>
      <c r="C190" s="23"/>
      <c r="D190" s="32"/>
      <c r="E190" s="32"/>
      <c r="F190" s="124"/>
      <c r="G190" s="123"/>
      <c r="H190" s="39"/>
      <c r="I190" s="39"/>
      <c r="J190" s="42"/>
      <c r="K190" s="20">
        <v>10</v>
      </c>
      <c r="L190" s="21"/>
      <c r="M190" s="21">
        <f t="shared" si="29"/>
        <v>10</v>
      </c>
      <c r="N190" s="21">
        <f t="shared" si="30"/>
        <v>-10</v>
      </c>
      <c r="O190" s="21"/>
      <c r="P190" s="21"/>
      <c r="Q190" s="5"/>
      <c r="R190" s="45"/>
      <c r="S190" s="44"/>
      <c r="T190" s="21">
        <f t="shared" si="31"/>
        <v>0</v>
      </c>
      <c r="U190" s="45"/>
      <c r="V190" s="78">
        <f t="shared" si="32"/>
        <v>0</v>
      </c>
      <c r="W190" s="140"/>
      <c r="X190" s="334"/>
      <c r="Y190" s="5"/>
      <c r="AK190" s="63" t="s">
        <v>169</v>
      </c>
      <c r="AL190" s="63">
        <f>+SUM(AK179:AK189)-SUM(AL179:AL189)</f>
        <v>656</v>
      </c>
      <c r="AN190" s="63" t="s">
        <v>169</v>
      </c>
      <c r="AO190" s="85">
        <f>+SUM(AN178:AN189)-SUM(AO179:AO189)</f>
        <v>0</v>
      </c>
    </row>
    <row r="191" spans="1:41" x14ac:dyDescent="0.25">
      <c r="A191" s="143">
        <v>13</v>
      </c>
      <c r="B191" s="92">
        <v>45257</v>
      </c>
      <c r="C191" s="23"/>
      <c r="D191" s="31"/>
      <c r="E191" s="32"/>
      <c r="F191" s="32"/>
      <c r="G191" s="32"/>
      <c r="H191" s="39"/>
      <c r="I191" s="39"/>
      <c r="J191" s="42"/>
      <c r="K191" s="108">
        <v>10</v>
      </c>
      <c r="L191" s="21"/>
      <c r="M191" s="21">
        <f t="shared" si="29"/>
        <v>10</v>
      </c>
      <c r="N191" s="21">
        <f t="shared" si="30"/>
        <v>-10</v>
      </c>
      <c r="O191" s="21"/>
      <c r="P191" s="21"/>
      <c r="Q191" s="5"/>
      <c r="R191" s="43"/>
      <c r="S191" s="32"/>
      <c r="T191" s="21">
        <f t="shared" si="31"/>
        <v>0</v>
      </c>
      <c r="U191" s="43"/>
      <c r="V191" s="78">
        <f t="shared" si="32"/>
        <v>0</v>
      </c>
      <c r="W191" s="140"/>
      <c r="X191" s="334"/>
      <c r="Y191" s="5"/>
      <c r="AI191" s="83"/>
    </row>
    <row r="192" spans="1:41" x14ac:dyDescent="0.25">
      <c r="A192" s="143">
        <v>14</v>
      </c>
      <c r="B192" s="92">
        <v>45257</v>
      </c>
      <c r="C192" s="23"/>
      <c r="D192" s="31"/>
      <c r="E192" s="32"/>
      <c r="F192" s="32"/>
      <c r="G192" s="32"/>
      <c r="H192" s="39"/>
      <c r="I192" s="39"/>
      <c r="J192" s="42"/>
      <c r="K192" s="108">
        <v>10</v>
      </c>
      <c r="L192" s="21"/>
      <c r="M192" s="21">
        <f t="shared" si="29"/>
        <v>10</v>
      </c>
      <c r="N192" s="21">
        <f t="shared" si="30"/>
        <v>-10</v>
      </c>
      <c r="O192" s="21"/>
      <c r="P192" s="21"/>
      <c r="Q192" s="5"/>
      <c r="R192" s="43"/>
      <c r="S192" s="43"/>
      <c r="T192" s="21">
        <f t="shared" si="31"/>
        <v>0</v>
      </c>
      <c r="U192" s="43"/>
      <c r="V192" s="78">
        <f t="shared" si="32"/>
        <v>0</v>
      </c>
      <c r="W192" s="140"/>
      <c r="X192" s="334"/>
      <c r="Y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</row>
    <row r="193" spans="1:41" x14ac:dyDescent="0.25">
      <c r="A193" s="143">
        <v>15</v>
      </c>
      <c r="B193" s="92">
        <v>45257</v>
      </c>
      <c r="C193" s="23"/>
      <c r="D193" s="127"/>
      <c r="E193" s="32"/>
      <c r="F193" s="32"/>
      <c r="G193" s="128"/>
      <c r="H193" s="129"/>
      <c r="I193" s="39"/>
      <c r="J193" s="42"/>
      <c r="K193" s="108">
        <v>10</v>
      </c>
      <c r="L193" s="21"/>
      <c r="M193" s="21">
        <f t="shared" si="29"/>
        <v>10</v>
      </c>
      <c r="N193" s="21">
        <f t="shared" si="30"/>
        <v>-10</v>
      </c>
      <c r="O193" s="21"/>
      <c r="P193" s="21"/>
      <c r="Q193" s="5"/>
      <c r="R193" s="43"/>
      <c r="S193" s="43"/>
      <c r="T193" s="21">
        <f t="shared" si="31"/>
        <v>0</v>
      </c>
      <c r="U193" s="43"/>
      <c r="V193" s="78">
        <f t="shared" si="32"/>
        <v>0</v>
      </c>
      <c r="W193" s="140"/>
      <c r="X193" s="334"/>
      <c r="Y193" s="5"/>
      <c r="AD193" s="5"/>
      <c r="AE193" s="134" t="s">
        <v>20</v>
      </c>
      <c r="AF193" s="338"/>
      <c r="AG193" s="341" t="s">
        <v>686</v>
      </c>
      <c r="AH193" s="134" t="s">
        <v>20</v>
      </c>
      <c r="AI193" s="338"/>
      <c r="AJ193" s="341" t="s">
        <v>687</v>
      </c>
      <c r="AK193" s="134" t="s">
        <v>20</v>
      </c>
      <c r="AL193" s="338"/>
      <c r="AM193" s="5"/>
    </row>
    <row r="194" spans="1:41" x14ac:dyDescent="0.25">
      <c r="A194" s="143">
        <v>16</v>
      </c>
      <c r="B194" s="92">
        <v>45257</v>
      </c>
      <c r="C194" s="23"/>
      <c r="D194" s="31"/>
      <c r="E194" s="32"/>
      <c r="F194" s="32"/>
      <c r="G194" s="32"/>
      <c r="H194" s="39"/>
      <c r="I194" s="39"/>
      <c r="J194" s="42"/>
      <c r="K194" s="43">
        <v>10</v>
      </c>
      <c r="L194" s="21"/>
      <c r="M194" s="21">
        <f t="shared" si="29"/>
        <v>10</v>
      </c>
      <c r="N194" s="21">
        <f t="shared" si="30"/>
        <v>-10</v>
      </c>
      <c r="O194" s="21"/>
      <c r="P194" s="21"/>
      <c r="Q194" s="5"/>
      <c r="R194" s="43"/>
      <c r="S194" s="32"/>
      <c r="T194" s="21">
        <f t="shared" si="31"/>
        <v>0</v>
      </c>
      <c r="U194" s="131"/>
      <c r="V194" s="78">
        <f t="shared" si="32"/>
        <v>0</v>
      </c>
      <c r="W194" s="140"/>
      <c r="X194" s="334"/>
      <c r="Y194" s="5"/>
      <c r="AD194" s="5" t="s">
        <v>685</v>
      </c>
      <c r="AE194" s="115" t="s">
        <v>684</v>
      </c>
      <c r="AF194" s="339"/>
      <c r="AG194" s="341"/>
      <c r="AH194" s="115" t="s">
        <v>684</v>
      </c>
      <c r="AI194" s="339"/>
      <c r="AJ194" s="341"/>
      <c r="AK194" s="115" t="s">
        <v>684</v>
      </c>
      <c r="AL194" s="339"/>
      <c r="AM194" s="5"/>
    </row>
    <row r="195" spans="1:41" x14ac:dyDescent="0.25">
      <c r="A195" s="143">
        <v>17</v>
      </c>
      <c r="B195" s="92">
        <v>45257</v>
      </c>
      <c r="C195" s="23"/>
      <c r="D195" s="31"/>
      <c r="E195" s="32"/>
      <c r="F195" s="32"/>
      <c r="G195" s="32"/>
      <c r="H195" s="39"/>
      <c r="I195" s="39"/>
      <c r="J195" s="42"/>
      <c r="K195" s="43">
        <v>10</v>
      </c>
      <c r="L195" s="21"/>
      <c r="M195" s="21">
        <f t="shared" si="29"/>
        <v>10</v>
      </c>
      <c r="N195" s="21">
        <f t="shared" si="30"/>
        <v>-10</v>
      </c>
      <c r="O195" s="21"/>
      <c r="P195" s="21"/>
      <c r="Q195" s="5"/>
      <c r="R195" s="43"/>
      <c r="S195" s="32"/>
      <c r="T195" s="21">
        <f t="shared" si="31"/>
        <v>0</v>
      </c>
      <c r="U195" s="132"/>
      <c r="V195" s="78">
        <f t="shared" si="32"/>
        <v>0</v>
      </c>
      <c r="W195" s="140"/>
      <c r="X195" s="340"/>
      <c r="Y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</row>
    <row r="196" spans="1:41" x14ac:dyDescent="0.25">
      <c r="A196" s="143">
        <v>18</v>
      </c>
      <c r="B196" s="92">
        <v>45257</v>
      </c>
      <c r="C196" s="32"/>
      <c r="D196" s="31"/>
      <c r="E196" s="32"/>
      <c r="F196" s="32"/>
      <c r="G196" s="32"/>
      <c r="H196" s="39"/>
      <c r="I196" s="39"/>
      <c r="J196" s="42"/>
      <c r="K196" s="43">
        <v>10</v>
      </c>
      <c r="L196" s="21"/>
      <c r="M196" s="21">
        <f t="shared" si="29"/>
        <v>10</v>
      </c>
      <c r="N196" s="21">
        <f t="shared" si="30"/>
        <v>-10</v>
      </c>
      <c r="O196" s="21"/>
      <c r="P196" s="21"/>
      <c r="Q196" s="5"/>
      <c r="R196" s="135"/>
      <c r="S196" s="104"/>
      <c r="T196" s="21">
        <f t="shared" si="31"/>
        <v>0</v>
      </c>
      <c r="U196" s="131"/>
      <c r="V196" s="78">
        <f t="shared" si="32"/>
        <v>0</v>
      </c>
      <c r="W196" s="140"/>
      <c r="Y196" s="5"/>
    </row>
    <row r="197" spans="1:41" x14ac:dyDescent="0.25">
      <c r="A197" s="143">
        <v>19</v>
      </c>
      <c r="B197" s="92">
        <v>45257</v>
      </c>
      <c r="C197" s="32"/>
      <c r="D197" s="31"/>
      <c r="E197" s="32"/>
      <c r="F197" s="32"/>
      <c r="G197" s="32"/>
      <c r="H197" s="39"/>
      <c r="I197" s="39"/>
      <c r="J197" s="42"/>
      <c r="K197" s="43">
        <v>10</v>
      </c>
      <c r="L197" s="21"/>
      <c r="M197" s="21">
        <f t="shared" si="29"/>
        <v>10</v>
      </c>
      <c r="N197" s="21">
        <f t="shared" si="30"/>
        <v>-10</v>
      </c>
      <c r="O197" s="21"/>
      <c r="P197" s="21"/>
      <c r="Q197" s="5"/>
      <c r="R197" s="32"/>
      <c r="S197" s="32"/>
      <c r="T197" s="21">
        <f t="shared" si="31"/>
        <v>0</v>
      </c>
      <c r="U197" s="32"/>
      <c r="V197" s="78">
        <f t="shared" si="32"/>
        <v>0</v>
      </c>
      <c r="W197" s="140"/>
      <c r="Y197" s="5"/>
    </row>
    <row r="198" spans="1:4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141"/>
      <c r="X198" s="5"/>
      <c r="Y198" s="5"/>
    </row>
    <row r="199" spans="1:41" x14ac:dyDescent="0.25">
      <c r="I199" t="s">
        <v>3164</v>
      </c>
      <c r="J199">
        <f>SUM(J179:J188)</f>
        <v>1406</v>
      </c>
    </row>
    <row r="205" spans="1:41" x14ac:dyDescent="0.25">
      <c r="C205" t="s">
        <v>3030</v>
      </c>
      <c r="D205">
        <v>218</v>
      </c>
    </row>
    <row r="208" spans="1:41" x14ac:dyDescent="0.25">
      <c r="A208" s="1" t="s">
        <v>0</v>
      </c>
      <c r="B208" s="1"/>
      <c r="C208" s="1"/>
      <c r="D208" s="1"/>
      <c r="E208" s="1"/>
      <c r="F208" s="1"/>
      <c r="G208" s="1"/>
      <c r="H208" s="1"/>
      <c r="I208" s="1"/>
      <c r="J208" s="1" t="s">
        <v>148</v>
      </c>
      <c r="K208" s="1"/>
      <c r="L208" s="1"/>
      <c r="M208" s="1"/>
      <c r="N208" s="1"/>
      <c r="O208" s="1"/>
      <c r="P208" s="1"/>
      <c r="Q208" s="1"/>
      <c r="R208" s="1"/>
      <c r="S208" s="1"/>
      <c r="T208" s="342" t="s">
        <v>1</v>
      </c>
      <c r="U208" s="342"/>
      <c r="V208" s="5"/>
      <c r="W208" s="139"/>
      <c r="X208" s="1"/>
      <c r="Y208" s="5"/>
      <c r="AD208" s="335" t="s">
        <v>160</v>
      </c>
      <c r="AE208" s="336"/>
      <c r="AH208" s="335" t="s">
        <v>170</v>
      </c>
      <c r="AI208" s="336"/>
      <c r="AK208" s="337" t="s">
        <v>172</v>
      </c>
      <c r="AL208" s="337"/>
      <c r="AN208" s="337" t="s">
        <v>681</v>
      </c>
      <c r="AO208" s="337"/>
    </row>
    <row r="209" spans="1:41" ht="90" x14ac:dyDescent="0.25">
      <c r="A209" s="6" t="s">
        <v>2</v>
      </c>
      <c r="B209" s="7" t="s">
        <v>3</v>
      </c>
      <c r="C209" s="245" t="s">
        <v>688</v>
      </c>
      <c r="D209" s="7" t="s">
        <v>4</v>
      </c>
      <c r="E209" s="6" t="s">
        <v>5</v>
      </c>
      <c r="F209" s="6" t="s">
        <v>6</v>
      </c>
      <c r="G209" s="6" t="s">
        <v>7</v>
      </c>
      <c r="H209" s="6" t="s">
        <v>8</v>
      </c>
      <c r="I209" s="8" t="s">
        <v>9</v>
      </c>
      <c r="J209" s="9" t="s">
        <v>10</v>
      </c>
      <c r="K209" s="8" t="s">
        <v>11</v>
      </c>
      <c r="L209" s="10" t="s">
        <v>12</v>
      </c>
      <c r="M209" s="10" t="s">
        <v>13</v>
      </c>
      <c r="N209" s="11" t="s">
        <v>14</v>
      </c>
      <c r="O209" s="10" t="s">
        <v>691</v>
      </c>
      <c r="P209" s="10" t="s">
        <v>28</v>
      </c>
      <c r="Q209" s="5"/>
      <c r="R209" s="10" t="s">
        <v>16</v>
      </c>
      <c r="S209" s="10" t="s">
        <v>17</v>
      </c>
      <c r="T209" s="10" t="s">
        <v>18</v>
      </c>
      <c r="U209" s="10" t="s">
        <v>19</v>
      </c>
      <c r="V209" s="10" t="s">
        <v>20</v>
      </c>
      <c r="W209" s="13"/>
      <c r="X209" s="15" t="s">
        <v>23</v>
      </c>
      <c r="Y209" s="5"/>
      <c r="AA209" s="251" t="s">
        <v>2554</v>
      </c>
      <c r="AD209" s="16" t="s">
        <v>161</v>
      </c>
      <c r="AE209" s="58">
        <f>+AC209*10</f>
        <v>0</v>
      </c>
      <c r="AG209">
        <v>11</v>
      </c>
      <c r="AH209" s="16" t="s">
        <v>161</v>
      </c>
      <c r="AI209" s="58">
        <f>+AG209*10</f>
        <v>110</v>
      </c>
      <c r="AK209" s="61" t="s">
        <v>173</v>
      </c>
      <c r="AL209" s="62" t="s">
        <v>174</v>
      </c>
      <c r="AN209" s="16" t="s">
        <v>161</v>
      </c>
      <c r="AO209" s="58">
        <f>+AM209*10</f>
        <v>0</v>
      </c>
    </row>
    <row r="210" spans="1:41" x14ac:dyDescent="0.25">
      <c r="A210" s="16">
        <v>1</v>
      </c>
      <c r="B210" s="92">
        <v>45258</v>
      </c>
      <c r="C210" s="23"/>
      <c r="D210" s="31" t="s">
        <v>119</v>
      </c>
      <c r="E210" s="32"/>
      <c r="F210" s="32" t="s">
        <v>1151</v>
      </c>
      <c r="G210" s="39" t="s">
        <v>3023</v>
      </c>
      <c r="H210" s="39" t="s">
        <v>3022</v>
      </c>
      <c r="I210" s="122"/>
      <c r="J210" s="32">
        <v>17</v>
      </c>
      <c r="K210" s="20">
        <v>10</v>
      </c>
      <c r="L210" s="21"/>
      <c r="M210" s="21">
        <f t="shared" ref="M210:M228" si="33">+J210+K210</f>
        <v>27</v>
      </c>
      <c r="N210" s="21">
        <f t="shared" ref="N210:N228" si="34">+I210-M210</f>
        <v>-27</v>
      </c>
      <c r="O210" s="21">
        <v>27</v>
      </c>
      <c r="P210" s="21"/>
      <c r="Q210" s="5"/>
      <c r="R210" s="21"/>
      <c r="S210" s="16"/>
      <c r="T210" s="21">
        <f t="shared" ref="T210:T228" si="35">+R210+S210</f>
        <v>0</v>
      </c>
      <c r="U210" s="21"/>
      <c r="V210" s="78">
        <f>+U210-T210+O210+P210</f>
        <v>27</v>
      </c>
      <c r="W210" s="13"/>
      <c r="X210" s="333"/>
      <c r="Y210" s="5"/>
      <c r="AD210" s="59" t="s">
        <v>162</v>
      </c>
      <c r="AE210" s="18">
        <f>+AC210*1</f>
        <v>0</v>
      </c>
      <c r="AG210">
        <v>54</v>
      </c>
      <c r="AH210" s="59" t="s">
        <v>162</v>
      </c>
      <c r="AI210" s="18">
        <f>+AG210*1</f>
        <v>54</v>
      </c>
      <c r="AK210" s="16">
        <v>1093</v>
      </c>
      <c r="AL210" s="16"/>
      <c r="AN210" s="59" t="s">
        <v>162</v>
      </c>
      <c r="AO210" s="18">
        <f>+AM210*1</f>
        <v>0</v>
      </c>
    </row>
    <row r="211" spans="1:41" x14ac:dyDescent="0.25">
      <c r="A211" s="26">
        <v>2</v>
      </c>
      <c r="B211" s="92">
        <v>45258</v>
      </c>
      <c r="C211" s="23"/>
      <c r="D211" s="31" t="s">
        <v>203</v>
      </c>
      <c r="E211" s="32"/>
      <c r="F211" s="32"/>
      <c r="G211" s="32"/>
      <c r="H211" s="39" t="s">
        <v>3024</v>
      </c>
      <c r="I211" s="122">
        <v>200</v>
      </c>
      <c r="J211" s="32">
        <v>167</v>
      </c>
      <c r="K211" s="20">
        <v>10</v>
      </c>
      <c r="L211" s="21">
        <v>23</v>
      </c>
      <c r="M211" s="21">
        <f t="shared" si="33"/>
        <v>177</v>
      </c>
      <c r="N211" s="21">
        <f t="shared" si="34"/>
        <v>23</v>
      </c>
      <c r="O211" s="21"/>
      <c r="P211" s="21"/>
      <c r="Q211" s="5"/>
      <c r="R211" s="21">
        <v>400</v>
      </c>
      <c r="S211" s="16"/>
      <c r="T211" s="21">
        <f t="shared" si="35"/>
        <v>400</v>
      </c>
      <c r="U211" s="21"/>
      <c r="V211" s="78">
        <f t="shared" ref="V211:V228" si="36">+U211-T211+O211+P211</f>
        <v>-400</v>
      </c>
      <c r="W211" s="140"/>
      <c r="X211" s="334"/>
      <c r="Y211" s="5"/>
      <c r="AD211" s="16" t="s">
        <v>163</v>
      </c>
      <c r="AE211" s="60">
        <f>+AC211*5</f>
        <v>0</v>
      </c>
      <c r="AG211">
        <v>32</v>
      </c>
      <c r="AH211" s="16" t="s">
        <v>163</v>
      </c>
      <c r="AI211" s="60">
        <f>+AG211*5</f>
        <v>160</v>
      </c>
      <c r="AK211" s="16"/>
      <c r="AL211" s="16"/>
      <c r="AN211" s="16" t="s">
        <v>163</v>
      </c>
      <c r="AO211" s="60">
        <f>+AM211*5</f>
        <v>0</v>
      </c>
    </row>
    <row r="212" spans="1:41" x14ac:dyDescent="0.25">
      <c r="A212" s="143">
        <v>3</v>
      </c>
      <c r="B212" s="92">
        <v>45258</v>
      </c>
      <c r="C212" s="23"/>
      <c r="D212" t="s">
        <v>203</v>
      </c>
      <c r="E212" s="32"/>
      <c r="F212" s="32"/>
      <c r="G212" s="32"/>
      <c r="H212" s="39" t="s">
        <v>3025</v>
      </c>
      <c r="I212" s="122"/>
      <c r="J212" s="32">
        <v>100</v>
      </c>
      <c r="K212" s="20">
        <v>10</v>
      </c>
      <c r="L212" s="21"/>
      <c r="M212" s="21">
        <f t="shared" si="33"/>
        <v>110</v>
      </c>
      <c r="N212" s="21">
        <f t="shared" si="34"/>
        <v>-110</v>
      </c>
      <c r="O212" s="21"/>
      <c r="P212" s="21"/>
      <c r="Q212" s="5"/>
      <c r="R212" s="21"/>
      <c r="S212" s="16"/>
      <c r="T212" s="21">
        <f t="shared" si="35"/>
        <v>0</v>
      </c>
      <c r="U212" s="21"/>
      <c r="V212" s="78">
        <f t="shared" si="36"/>
        <v>0</v>
      </c>
      <c r="W212" s="140"/>
      <c r="X212" s="334"/>
      <c r="Y212" s="5"/>
      <c r="AA212" t="s">
        <v>3048</v>
      </c>
      <c r="AD212" s="16" t="s">
        <v>164</v>
      </c>
      <c r="AE212" s="18">
        <f>+AC212*200</f>
        <v>0</v>
      </c>
      <c r="AH212" s="16" t="s">
        <v>164</v>
      </c>
      <c r="AI212" s="18">
        <f>+AG212*200</f>
        <v>0</v>
      </c>
      <c r="AK212" s="16"/>
      <c r="AL212" s="16"/>
      <c r="AN212" s="16" t="s">
        <v>164</v>
      </c>
      <c r="AO212" s="18">
        <f>+AM212*200</f>
        <v>0</v>
      </c>
    </row>
    <row r="213" spans="1:41" x14ac:dyDescent="0.25">
      <c r="A213" s="197">
        <v>4</v>
      </c>
      <c r="B213" s="92">
        <v>45258</v>
      </c>
      <c r="C213" s="255"/>
      <c r="D213" s="199" t="s">
        <v>255</v>
      </c>
      <c r="E213" s="207"/>
      <c r="F213" s="207"/>
      <c r="G213" s="207"/>
      <c r="H213" s="202" t="s">
        <v>3026</v>
      </c>
      <c r="I213" s="203"/>
      <c r="J213" s="207">
        <v>96</v>
      </c>
      <c r="K213" s="205">
        <v>10</v>
      </c>
      <c r="L213" s="206"/>
      <c r="M213" s="206">
        <f t="shared" si="33"/>
        <v>106</v>
      </c>
      <c r="N213" s="206">
        <f t="shared" si="34"/>
        <v>-106</v>
      </c>
      <c r="O213" s="206"/>
      <c r="P213" s="206"/>
      <c r="Q213" s="208"/>
      <c r="R213" s="206"/>
      <c r="S213" s="209"/>
      <c r="T213" s="206">
        <f t="shared" si="35"/>
        <v>0</v>
      </c>
      <c r="U213" s="206"/>
      <c r="V213" s="210">
        <f t="shared" si="36"/>
        <v>0</v>
      </c>
      <c r="W213" s="140"/>
      <c r="X213" s="334"/>
      <c r="Y213" s="5"/>
      <c r="AD213" s="16" t="s">
        <v>165</v>
      </c>
      <c r="AE213" s="18">
        <f>+AC213*100</f>
        <v>0</v>
      </c>
      <c r="AH213" s="16" t="s">
        <v>165</v>
      </c>
      <c r="AI213" s="18">
        <f>+AG213*100</f>
        <v>0</v>
      </c>
      <c r="AK213" s="16"/>
      <c r="AL213" s="16"/>
      <c r="AN213" s="16" t="s">
        <v>165</v>
      </c>
      <c r="AO213" s="18">
        <f>+AM213*100</f>
        <v>0</v>
      </c>
    </row>
    <row r="214" spans="1:41" x14ac:dyDescent="0.25">
      <c r="A214" s="143">
        <v>5</v>
      </c>
      <c r="B214" s="92">
        <v>45258</v>
      </c>
      <c r="C214" s="23"/>
      <c r="D214" s="31" t="s">
        <v>2644</v>
      </c>
      <c r="E214" s="32"/>
      <c r="F214" s="32"/>
      <c r="G214" s="32" t="s">
        <v>2613</v>
      </c>
      <c r="H214" s="32" t="s">
        <v>3029</v>
      </c>
      <c r="I214" s="122"/>
      <c r="J214" s="32">
        <v>63</v>
      </c>
      <c r="K214" s="20">
        <v>10</v>
      </c>
      <c r="L214" s="21"/>
      <c r="M214" s="21">
        <f t="shared" si="33"/>
        <v>73</v>
      </c>
      <c r="N214" s="21">
        <f t="shared" si="34"/>
        <v>-73</v>
      </c>
      <c r="O214" s="21"/>
      <c r="P214" s="21"/>
      <c r="Q214" s="5"/>
      <c r="R214" s="16"/>
      <c r="S214" s="16"/>
      <c r="T214" s="21">
        <f t="shared" si="35"/>
        <v>0</v>
      </c>
      <c r="U214" s="21"/>
      <c r="V214" s="78">
        <f t="shared" si="36"/>
        <v>0</v>
      </c>
      <c r="W214" s="140"/>
      <c r="X214" s="334"/>
      <c r="Y214" s="5"/>
      <c r="AD214" s="16" t="s">
        <v>166</v>
      </c>
      <c r="AE214" s="18">
        <f>+AC214*50</f>
        <v>0</v>
      </c>
      <c r="AG214">
        <v>1</v>
      </c>
      <c r="AH214" s="16" t="s">
        <v>166</v>
      </c>
      <c r="AI214" s="18">
        <f>+AG214*50</f>
        <v>50</v>
      </c>
      <c r="AK214" s="16"/>
      <c r="AL214" s="16"/>
      <c r="AN214" s="16" t="s">
        <v>166</v>
      </c>
      <c r="AO214" s="18">
        <f>+AM214*50</f>
        <v>0</v>
      </c>
    </row>
    <row r="215" spans="1:41" x14ac:dyDescent="0.25">
      <c r="A215" s="143">
        <v>6</v>
      </c>
      <c r="B215" s="92">
        <v>45258</v>
      </c>
      <c r="C215" s="23"/>
      <c r="D215" s="31" t="s">
        <v>298</v>
      </c>
      <c r="E215" s="32"/>
      <c r="F215" s="32"/>
      <c r="G215" s="32" t="s">
        <v>3028</v>
      </c>
      <c r="H215" s="39" t="s">
        <v>3027</v>
      </c>
      <c r="I215" s="39"/>
      <c r="J215" s="42">
        <v>113</v>
      </c>
      <c r="K215" s="20">
        <v>10</v>
      </c>
      <c r="L215" s="21"/>
      <c r="M215" s="21">
        <f t="shared" si="33"/>
        <v>123</v>
      </c>
      <c r="N215" s="21">
        <f t="shared" si="34"/>
        <v>-123</v>
      </c>
      <c r="O215" s="21"/>
      <c r="P215" s="21"/>
      <c r="Q215" s="5"/>
      <c r="R215" s="16"/>
      <c r="S215" s="16"/>
      <c r="T215" s="21">
        <f t="shared" si="35"/>
        <v>0</v>
      </c>
      <c r="U215" s="16"/>
      <c r="V215" s="78">
        <f t="shared" si="36"/>
        <v>0</v>
      </c>
      <c r="W215" s="140"/>
      <c r="X215" s="334"/>
      <c r="Y215" s="5"/>
      <c r="AD215" s="16" t="s">
        <v>167</v>
      </c>
      <c r="AE215" s="18">
        <f>+AC215*20</f>
        <v>0</v>
      </c>
      <c r="AG215">
        <v>1</v>
      </c>
      <c r="AH215" s="16" t="s">
        <v>167</v>
      </c>
      <c r="AI215" s="18">
        <f>+AG215*20</f>
        <v>20</v>
      </c>
      <c r="AK215" s="16"/>
      <c r="AL215" s="16"/>
      <c r="AN215" s="16" t="s">
        <v>167</v>
      </c>
      <c r="AO215" s="18">
        <f>+AM215*20</f>
        <v>0</v>
      </c>
    </row>
    <row r="216" spans="1:41" x14ac:dyDescent="0.25">
      <c r="A216" s="143">
        <v>7</v>
      </c>
      <c r="B216" s="92">
        <v>45258</v>
      </c>
      <c r="C216" s="23"/>
      <c r="D216" s="31" t="s">
        <v>3031</v>
      </c>
      <c r="E216" s="32"/>
      <c r="F216" s="32"/>
      <c r="G216" s="32"/>
      <c r="H216" s="39"/>
      <c r="I216" s="122"/>
      <c r="J216" s="42"/>
      <c r="K216" s="20">
        <v>10</v>
      </c>
      <c r="L216" s="21"/>
      <c r="M216" s="21">
        <f t="shared" si="33"/>
        <v>10</v>
      </c>
      <c r="N216" s="21">
        <f t="shared" si="34"/>
        <v>-10</v>
      </c>
      <c r="O216" s="21"/>
      <c r="P216" s="21"/>
      <c r="Q216" s="5"/>
      <c r="R216" s="16"/>
      <c r="S216" s="16"/>
      <c r="T216" s="21">
        <f t="shared" si="35"/>
        <v>0</v>
      </c>
      <c r="U216" s="16"/>
      <c r="V216" s="78">
        <f t="shared" si="36"/>
        <v>0</v>
      </c>
      <c r="W216" s="140"/>
      <c r="X216" s="334"/>
      <c r="Y216" s="5"/>
      <c r="AD216" s="16" t="s">
        <v>171</v>
      </c>
      <c r="AE216" s="18">
        <f>+AC216*500</f>
        <v>0</v>
      </c>
      <c r="AH216" s="16" t="s">
        <v>171</v>
      </c>
      <c r="AI216" s="18">
        <f>+AG216*500</f>
        <v>0</v>
      </c>
      <c r="AK216" s="16"/>
      <c r="AL216" s="16"/>
      <c r="AN216" s="16" t="s">
        <v>171</v>
      </c>
      <c r="AO216" s="18">
        <f>+AM216*500</f>
        <v>0</v>
      </c>
    </row>
    <row r="217" spans="1:41" x14ac:dyDescent="0.25">
      <c r="A217" s="143">
        <v>8</v>
      </c>
      <c r="B217" s="92">
        <v>45258</v>
      </c>
      <c r="C217" s="23"/>
      <c r="D217" s="31"/>
      <c r="E217" s="123"/>
      <c r="F217" s="123"/>
      <c r="G217" s="123"/>
      <c r="H217" s="31" t="s">
        <v>3032</v>
      </c>
      <c r="I217" s="122"/>
      <c r="J217" s="32"/>
      <c r="K217" s="20">
        <v>10</v>
      </c>
      <c r="L217" s="21"/>
      <c r="M217" s="21">
        <f t="shared" si="33"/>
        <v>10</v>
      </c>
      <c r="N217" s="21">
        <f t="shared" si="34"/>
        <v>-10</v>
      </c>
      <c r="O217" s="21"/>
      <c r="P217" s="21"/>
      <c r="Q217" s="5"/>
      <c r="R217" s="16"/>
      <c r="S217" s="16"/>
      <c r="T217" s="21">
        <f t="shared" si="35"/>
        <v>0</v>
      </c>
      <c r="U217" s="16"/>
      <c r="V217" s="78">
        <f t="shared" si="36"/>
        <v>0</v>
      </c>
      <c r="W217" s="140"/>
      <c r="X217" s="334"/>
      <c r="Y217" s="5"/>
      <c r="AD217" s="16" t="s">
        <v>168</v>
      </c>
      <c r="AE217" s="18">
        <f>+AC217*1000</f>
        <v>0</v>
      </c>
      <c r="AH217" s="16" t="s">
        <v>168</v>
      </c>
      <c r="AI217" s="18">
        <f>+AG217*1000</f>
        <v>0</v>
      </c>
      <c r="AK217" s="16"/>
      <c r="AL217" s="16"/>
      <c r="AN217" s="16" t="s">
        <v>168</v>
      </c>
      <c r="AO217" s="18">
        <f>+AM217*1000</f>
        <v>0</v>
      </c>
    </row>
    <row r="218" spans="1:41" x14ac:dyDescent="0.25">
      <c r="A218" s="143">
        <v>9</v>
      </c>
      <c r="B218" s="92">
        <v>45258</v>
      </c>
      <c r="C218" s="23"/>
      <c r="D218" s="31"/>
      <c r="E218" s="32"/>
      <c r="F218" s="32"/>
      <c r="G218" s="32"/>
      <c r="H218" s="39"/>
      <c r="I218" s="39"/>
      <c r="J218" s="40"/>
      <c r="K218" s="20">
        <v>10</v>
      </c>
      <c r="L218" s="21"/>
      <c r="M218" s="21">
        <f t="shared" si="33"/>
        <v>10</v>
      </c>
      <c r="N218" s="21">
        <f t="shared" si="34"/>
        <v>-10</v>
      </c>
      <c r="O218" s="21"/>
      <c r="P218" s="21"/>
      <c r="Q218" s="5"/>
      <c r="R218" s="16"/>
      <c r="S218" s="16"/>
      <c r="T218" s="21">
        <f t="shared" si="35"/>
        <v>0</v>
      </c>
      <c r="U218" s="16"/>
      <c r="V218" s="78">
        <f t="shared" si="36"/>
        <v>0</v>
      </c>
      <c r="W218" s="140"/>
      <c r="X218" s="334"/>
      <c r="Y218" s="5"/>
      <c r="AD218" s="26"/>
      <c r="AE218" s="58"/>
      <c r="AH218" s="26"/>
      <c r="AI218" s="58"/>
      <c r="AK218" s="16"/>
      <c r="AL218" s="16"/>
      <c r="AN218" s="26"/>
      <c r="AO218" s="58"/>
    </row>
    <row r="219" spans="1:41" x14ac:dyDescent="0.25">
      <c r="A219" s="41">
        <v>10</v>
      </c>
      <c r="B219" s="92">
        <v>45258</v>
      </c>
      <c r="C219" s="23"/>
      <c r="D219" s="31"/>
      <c r="E219" s="32"/>
      <c r="F219" s="32"/>
      <c r="G219" s="32"/>
      <c r="H219" s="39"/>
      <c r="I219" s="122"/>
      <c r="J219" s="42"/>
      <c r="K219" s="20">
        <v>10</v>
      </c>
      <c r="L219" s="21"/>
      <c r="M219" s="21">
        <f t="shared" si="33"/>
        <v>10</v>
      </c>
      <c r="N219" s="21">
        <f t="shared" si="34"/>
        <v>-10</v>
      </c>
      <c r="O219" s="21"/>
      <c r="P219" s="21"/>
      <c r="Q219" s="5"/>
      <c r="R219" s="16"/>
      <c r="S219" s="16"/>
      <c r="T219" s="21">
        <f t="shared" si="35"/>
        <v>0</v>
      </c>
      <c r="U219" s="16"/>
      <c r="V219" s="78">
        <f t="shared" si="36"/>
        <v>0</v>
      </c>
      <c r="W219" s="140"/>
      <c r="X219" s="334"/>
      <c r="Y219" s="5"/>
      <c r="AD219" s="16" t="s">
        <v>169</v>
      </c>
      <c r="AE219" s="18">
        <f>SUM(AE209:AE218)</f>
        <v>0</v>
      </c>
      <c r="AH219" s="16" t="s">
        <v>169</v>
      </c>
      <c r="AI219" s="18">
        <f>SUM(AI209:AI218)</f>
        <v>394</v>
      </c>
      <c r="AK219" s="16"/>
      <c r="AL219" s="16"/>
      <c r="AN219" s="16" t="s">
        <v>169</v>
      </c>
      <c r="AO219" s="18"/>
    </row>
    <row r="220" spans="1:41" x14ac:dyDescent="0.25">
      <c r="A220" s="143">
        <v>11</v>
      </c>
      <c r="B220" s="92">
        <v>45258</v>
      </c>
      <c r="C220" s="23"/>
      <c r="D220" s="31" t="s">
        <v>921</v>
      </c>
      <c r="E220" s="124"/>
      <c r="F220" s="123" t="s">
        <v>892</v>
      </c>
      <c r="G220" s="123" t="s">
        <v>3035</v>
      </c>
      <c r="H220" s="39" t="s">
        <v>3041</v>
      </c>
      <c r="I220" s="122">
        <v>22</v>
      </c>
      <c r="J220" s="42">
        <v>17</v>
      </c>
      <c r="K220" s="20">
        <v>15</v>
      </c>
      <c r="L220" s="21"/>
      <c r="M220" s="21">
        <f t="shared" si="33"/>
        <v>32</v>
      </c>
      <c r="N220" s="21">
        <f t="shared" si="34"/>
        <v>-10</v>
      </c>
      <c r="O220" s="21"/>
      <c r="P220" s="21"/>
      <c r="Q220" s="5"/>
      <c r="R220" s="16"/>
      <c r="S220" s="16"/>
      <c r="T220" s="21">
        <f t="shared" si="35"/>
        <v>0</v>
      </c>
      <c r="U220" s="16"/>
      <c r="V220" s="78">
        <f t="shared" si="36"/>
        <v>0</v>
      </c>
      <c r="W220" s="140"/>
      <c r="X220" s="334"/>
      <c r="Y220" s="5"/>
      <c r="AE220">
        <v>390.5</v>
      </c>
      <c r="AK220" s="16"/>
      <c r="AL220" s="16"/>
      <c r="AN220" s="16"/>
      <c r="AO220" s="16"/>
    </row>
    <row r="221" spans="1:41" x14ac:dyDescent="0.25">
      <c r="A221" s="143">
        <v>12</v>
      </c>
      <c r="B221" s="92">
        <v>45258</v>
      </c>
      <c r="C221" s="23"/>
      <c r="D221" s="32" t="s">
        <v>3033</v>
      </c>
      <c r="E221" s="32"/>
      <c r="F221" s="124" t="s">
        <v>38</v>
      </c>
      <c r="G221" s="123" t="s">
        <v>3036</v>
      </c>
      <c r="H221" s="39" t="s">
        <v>3042</v>
      </c>
      <c r="I221" s="39">
        <v>300</v>
      </c>
      <c r="J221" s="42">
        <v>271</v>
      </c>
      <c r="K221" s="20">
        <v>14</v>
      </c>
      <c r="L221" s="21">
        <v>5</v>
      </c>
      <c r="M221" s="21">
        <f t="shared" si="33"/>
        <v>285</v>
      </c>
      <c r="N221" s="21">
        <f t="shared" si="34"/>
        <v>15</v>
      </c>
      <c r="O221" s="21"/>
      <c r="P221" s="21"/>
      <c r="Q221" s="5"/>
      <c r="R221" s="45"/>
      <c r="S221" s="44"/>
      <c r="T221" s="21">
        <f t="shared" si="35"/>
        <v>0</v>
      </c>
      <c r="U221" s="45"/>
      <c r="V221" s="78">
        <f t="shared" si="36"/>
        <v>0</v>
      </c>
      <c r="W221" s="140"/>
      <c r="X221" s="334"/>
      <c r="Y221" s="5"/>
      <c r="AK221" s="63" t="s">
        <v>169</v>
      </c>
      <c r="AL221" s="63">
        <f>+SUM(AK210:AK220)-SUM(AL210:AL220)</f>
        <v>1093</v>
      </c>
      <c r="AN221" s="63" t="s">
        <v>169</v>
      </c>
      <c r="AO221" s="85">
        <f>+SUM(AN209:AN220)-SUM(AO210:AO220)</f>
        <v>0</v>
      </c>
    </row>
    <row r="222" spans="1:41" x14ac:dyDescent="0.25">
      <c r="A222" s="143">
        <v>13</v>
      </c>
      <c r="B222" s="92">
        <v>45258</v>
      </c>
      <c r="C222" s="23"/>
      <c r="D222" s="31" t="s">
        <v>2058</v>
      </c>
      <c r="E222" s="32"/>
      <c r="F222" s="32" t="s">
        <v>52</v>
      </c>
      <c r="G222" s="32" t="s">
        <v>3018</v>
      </c>
      <c r="H222" s="39" t="s">
        <v>3043</v>
      </c>
      <c r="I222" s="39"/>
      <c r="J222" s="42"/>
      <c r="K222" s="108">
        <v>10</v>
      </c>
      <c r="L222" s="21"/>
      <c r="M222" s="21">
        <f t="shared" si="33"/>
        <v>10</v>
      </c>
      <c r="N222" s="21">
        <f t="shared" si="34"/>
        <v>-10</v>
      </c>
      <c r="O222" s="21"/>
      <c r="P222" s="21"/>
      <c r="Q222" s="5"/>
      <c r="R222" s="43"/>
      <c r="S222" s="32"/>
      <c r="T222" s="21">
        <f t="shared" si="35"/>
        <v>0</v>
      </c>
      <c r="U222" s="43"/>
      <c r="V222" s="78">
        <f t="shared" si="36"/>
        <v>0</v>
      </c>
      <c r="W222" s="140"/>
      <c r="X222" s="334"/>
      <c r="Y222" s="5"/>
      <c r="AI222" s="83"/>
    </row>
    <row r="223" spans="1:41" x14ac:dyDescent="0.25">
      <c r="A223" s="143">
        <v>14</v>
      </c>
      <c r="B223" s="92">
        <v>45258</v>
      </c>
      <c r="C223" s="23"/>
      <c r="D223" s="31" t="s">
        <v>758</v>
      </c>
      <c r="E223" s="32"/>
      <c r="F223" s="32" t="s">
        <v>52</v>
      </c>
      <c r="G223" s="32" t="s">
        <v>3037</v>
      </c>
      <c r="H223" s="39"/>
      <c r="I223" s="39">
        <v>60</v>
      </c>
      <c r="J223" s="42">
        <v>44</v>
      </c>
      <c r="K223" s="108">
        <v>12</v>
      </c>
      <c r="L223" s="21">
        <v>4</v>
      </c>
      <c r="M223" s="21">
        <f t="shared" si="33"/>
        <v>56</v>
      </c>
      <c r="N223" s="21">
        <f t="shared" si="34"/>
        <v>4</v>
      </c>
      <c r="O223" s="21"/>
      <c r="P223" s="21"/>
      <c r="Q223" s="5"/>
      <c r="R223" s="43"/>
      <c r="S223" s="43"/>
      <c r="T223" s="21">
        <f t="shared" si="35"/>
        <v>0</v>
      </c>
      <c r="U223" s="43"/>
      <c r="V223" s="78">
        <f t="shared" si="36"/>
        <v>0</v>
      </c>
      <c r="W223" s="140"/>
      <c r="X223" s="334"/>
      <c r="Y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</row>
    <row r="224" spans="1:41" x14ac:dyDescent="0.25">
      <c r="A224" s="143">
        <v>15</v>
      </c>
      <c r="B224" s="92">
        <v>45258</v>
      </c>
      <c r="C224" s="23"/>
      <c r="D224" s="127" t="s">
        <v>319</v>
      </c>
      <c r="E224" s="32"/>
      <c r="F224" s="32" t="s">
        <v>52</v>
      </c>
      <c r="G224" s="128" t="s">
        <v>3038</v>
      </c>
      <c r="H224" s="39" t="s">
        <v>3044</v>
      </c>
      <c r="I224" s="39">
        <v>321</v>
      </c>
      <c r="J224" s="42">
        <v>309</v>
      </c>
      <c r="K224" s="108">
        <v>12</v>
      </c>
      <c r="L224" s="21"/>
      <c r="M224" s="21">
        <f t="shared" si="33"/>
        <v>321</v>
      </c>
      <c r="N224" s="21">
        <f t="shared" si="34"/>
        <v>0</v>
      </c>
      <c r="O224" s="21"/>
      <c r="P224" s="21"/>
      <c r="Q224" s="5"/>
      <c r="R224" s="43"/>
      <c r="S224" s="43"/>
      <c r="T224" s="21">
        <f t="shared" si="35"/>
        <v>0</v>
      </c>
      <c r="U224" s="43"/>
      <c r="V224" s="78">
        <f t="shared" si="36"/>
        <v>0</v>
      </c>
      <c r="W224" s="140"/>
      <c r="X224" s="334"/>
      <c r="Y224" s="5"/>
      <c r="AD224" s="5"/>
      <c r="AE224" s="134" t="s">
        <v>20</v>
      </c>
      <c r="AF224" s="338"/>
      <c r="AG224" s="341" t="s">
        <v>686</v>
      </c>
      <c r="AH224" s="134" t="s">
        <v>20</v>
      </c>
      <c r="AI224" s="338"/>
      <c r="AJ224" s="341" t="s">
        <v>687</v>
      </c>
      <c r="AK224" s="134" t="s">
        <v>20</v>
      </c>
      <c r="AL224" s="338"/>
      <c r="AM224" s="5"/>
    </row>
    <row r="225" spans="1:41" x14ac:dyDescent="0.25">
      <c r="A225" s="143">
        <v>16</v>
      </c>
      <c r="B225" s="92">
        <v>45258</v>
      </c>
      <c r="C225" s="23"/>
      <c r="D225" s="31" t="s">
        <v>274</v>
      </c>
      <c r="E225" s="32"/>
      <c r="F225" s="32" t="s">
        <v>52</v>
      </c>
      <c r="G225" s="32" t="s">
        <v>3039</v>
      </c>
      <c r="H225" s="39" t="s">
        <v>3045</v>
      </c>
      <c r="I225" s="39">
        <v>145</v>
      </c>
      <c r="J225" s="42">
        <v>133</v>
      </c>
      <c r="K225" s="43">
        <v>12</v>
      </c>
      <c r="L225" s="21"/>
      <c r="M225" s="21">
        <f t="shared" si="33"/>
        <v>145</v>
      </c>
      <c r="N225" s="21">
        <f t="shared" si="34"/>
        <v>0</v>
      </c>
      <c r="O225" s="21">
        <v>145</v>
      </c>
      <c r="P225" s="21"/>
      <c r="Q225" s="5"/>
      <c r="R225" s="43"/>
      <c r="S225" s="32"/>
      <c r="T225" s="21">
        <f t="shared" si="35"/>
        <v>0</v>
      </c>
      <c r="U225" s="131"/>
      <c r="V225" s="78">
        <f t="shared" si="36"/>
        <v>145</v>
      </c>
      <c r="W225" s="140"/>
      <c r="X225" s="334"/>
      <c r="Y225" s="5"/>
      <c r="AD225" s="5" t="s">
        <v>685</v>
      </c>
      <c r="AE225" s="115" t="s">
        <v>684</v>
      </c>
      <c r="AF225" s="339"/>
      <c r="AG225" s="341"/>
      <c r="AH225" s="115" t="s">
        <v>684</v>
      </c>
      <c r="AI225" s="339"/>
      <c r="AJ225" s="341"/>
      <c r="AK225" s="115" t="s">
        <v>684</v>
      </c>
      <c r="AL225" s="339"/>
      <c r="AM225" s="5"/>
    </row>
    <row r="226" spans="1:41" x14ac:dyDescent="0.25">
      <c r="A226" s="143">
        <v>17</v>
      </c>
      <c r="B226" s="92">
        <v>45258</v>
      </c>
      <c r="C226" s="23"/>
      <c r="D226" s="31" t="s">
        <v>3034</v>
      </c>
      <c r="E226" s="32"/>
      <c r="F226" s="32" t="s">
        <v>52</v>
      </c>
      <c r="G226" s="32" t="s">
        <v>3040</v>
      </c>
      <c r="H226" s="39" t="s">
        <v>3046</v>
      </c>
      <c r="I226" s="39">
        <v>50</v>
      </c>
      <c r="J226" s="42">
        <v>35</v>
      </c>
      <c r="K226" s="43">
        <v>13.5</v>
      </c>
      <c r="L226" s="21">
        <v>1.5</v>
      </c>
      <c r="M226" s="21">
        <f t="shared" si="33"/>
        <v>48.5</v>
      </c>
      <c r="N226" s="21">
        <f t="shared" si="34"/>
        <v>1.5</v>
      </c>
      <c r="O226" s="21"/>
      <c r="P226" s="21"/>
      <c r="Q226" s="5"/>
      <c r="R226" s="43"/>
      <c r="S226" s="32"/>
      <c r="T226" s="21">
        <f t="shared" si="35"/>
        <v>0</v>
      </c>
      <c r="U226" s="132"/>
      <c r="V226" s="78">
        <f t="shared" si="36"/>
        <v>0</v>
      </c>
      <c r="W226" s="140"/>
      <c r="X226" s="340"/>
      <c r="Y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</row>
    <row r="227" spans="1:41" x14ac:dyDescent="0.25">
      <c r="A227" s="143">
        <v>18</v>
      </c>
      <c r="B227" s="92">
        <v>45258</v>
      </c>
      <c r="C227" s="32"/>
      <c r="D227" s="31" t="s">
        <v>921</v>
      </c>
      <c r="E227" s="32"/>
      <c r="F227" s="32" t="s">
        <v>52</v>
      </c>
      <c r="G227" s="123" t="s">
        <v>3035</v>
      </c>
      <c r="H227" s="39" t="s">
        <v>3047</v>
      </c>
      <c r="I227" s="39">
        <v>100</v>
      </c>
      <c r="J227" s="42">
        <v>95</v>
      </c>
      <c r="K227" s="43">
        <v>10</v>
      </c>
      <c r="L227" s="21"/>
      <c r="M227" s="21">
        <f t="shared" si="33"/>
        <v>105</v>
      </c>
      <c r="N227" s="21">
        <f t="shared" si="34"/>
        <v>-5</v>
      </c>
      <c r="O227" s="21"/>
      <c r="P227" s="21"/>
      <c r="Q227" s="5"/>
      <c r="R227" s="135"/>
      <c r="S227" s="104"/>
      <c r="T227" s="21">
        <f t="shared" si="35"/>
        <v>0</v>
      </c>
      <c r="U227" s="131"/>
      <c r="V227" s="78">
        <f t="shared" si="36"/>
        <v>0</v>
      </c>
      <c r="W227" s="140"/>
      <c r="Y227" s="5"/>
    </row>
    <row r="228" spans="1:41" x14ac:dyDescent="0.25">
      <c r="A228" s="143">
        <v>19</v>
      </c>
      <c r="B228" s="92">
        <v>45258</v>
      </c>
      <c r="C228" s="32"/>
      <c r="D228" s="31"/>
      <c r="E228" s="32"/>
      <c r="F228" s="32"/>
      <c r="G228" s="32"/>
      <c r="H228" s="39"/>
      <c r="I228" s="39"/>
      <c r="J228" s="42"/>
      <c r="K228" s="43">
        <v>10</v>
      </c>
      <c r="L228" s="21"/>
      <c r="M228" s="21">
        <f t="shared" si="33"/>
        <v>10</v>
      </c>
      <c r="N228" s="21">
        <f t="shared" si="34"/>
        <v>-10</v>
      </c>
      <c r="O228" s="21"/>
      <c r="P228" s="21"/>
      <c r="Q228" s="5"/>
      <c r="R228" s="32"/>
      <c r="S228" s="32"/>
      <c r="T228" s="21">
        <f t="shared" si="35"/>
        <v>0</v>
      </c>
      <c r="U228" s="32"/>
      <c r="V228" s="78">
        <f t="shared" si="36"/>
        <v>0</v>
      </c>
      <c r="W228" s="140"/>
      <c r="Y228" s="5"/>
    </row>
    <row r="229" spans="1:4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141"/>
      <c r="X229" s="5"/>
      <c r="Y229" s="5"/>
    </row>
    <row r="230" spans="1:41" x14ac:dyDescent="0.25">
      <c r="I230" t="s">
        <v>3164</v>
      </c>
      <c r="J230">
        <f>SUM(J210:J227)</f>
        <v>1460</v>
      </c>
    </row>
    <row r="234" spans="1:41" x14ac:dyDescent="0.25">
      <c r="A234" s="1" t="s">
        <v>0</v>
      </c>
      <c r="B234" s="1"/>
      <c r="C234" s="1"/>
      <c r="D234" s="1"/>
      <c r="E234" s="1"/>
      <c r="F234" s="1"/>
      <c r="G234" s="1"/>
      <c r="H234" s="1"/>
      <c r="I234" s="1"/>
      <c r="J234" s="1" t="s">
        <v>148</v>
      </c>
      <c r="K234" s="1"/>
      <c r="L234" s="1"/>
      <c r="M234" s="1"/>
      <c r="N234" s="1"/>
      <c r="O234" s="1"/>
      <c r="P234" s="1"/>
      <c r="Q234" s="1"/>
      <c r="R234" s="1"/>
      <c r="S234" s="1"/>
      <c r="T234" s="342" t="s">
        <v>1</v>
      </c>
      <c r="U234" s="342"/>
      <c r="V234" s="5"/>
      <c r="W234" s="139"/>
      <c r="X234" s="1"/>
      <c r="Y234" s="5"/>
      <c r="AD234" s="335" t="s">
        <v>160</v>
      </c>
      <c r="AE234" s="336"/>
      <c r="AH234" s="335" t="s">
        <v>170</v>
      </c>
      <c r="AI234" s="336"/>
      <c r="AK234" s="337" t="s">
        <v>172</v>
      </c>
      <c r="AL234" s="337"/>
      <c r="AN234" s="337" t="s">
        <v>681</v>
      </c>
      <c r="AO234" s="337"/>
    </row>
    <row r="235" spans="1:41" ht="90" x14ac:dyDescent="0.25">
      <c r="A235" s="6" t="s">
        <v>2</v>
      </c>
      <c r="B235" s="7" t="s">
        <v>3</v>
      </c>
      <c r="C235" s="245" t="s">
        <v>688</v>
      </c>
      <c r="D235" s="7" t="s">
        <v>4</v>
      </c>
      <c r="E235" s="6" t="s">
        <v>5</v>
      </c>
      <c r="F235" s="6" t="s">
        <v>6</v>
      </c>
      <c r="G235" s="6" t="s">
        <v>7</v>
      </c>
      <c r="H235" s="6" t="s">
        <v>8</v>
      </c>
      <c r="I235" s="8" t="s">
        <v>9</v>
      </c>
      <c r="J235" s="9" t="s">
        <v>10</v>
      </c>
      <c r="K235" s="8" t="s">
        <v>11</v>
      </c>
      <c r="L235" s="10" t="s">
        <v>12</v>
      </c>
      <c r="M235" s="10" t="s">
        <v>13</v>
      </c>
      <c r="N235" s="11" t="s">
        <v>14</v>
      </c>
      <c r="O235" s="10" t="s">
        <v>691</v>
      </c>
      <c r="P235" s="10" t="s">
        <v>28</v>
      </c>
      <c r="Q235" s="5"/>
      <c r="R235" s="10" t="s">
        <v>16</v>
      </c>
      <c r="S235" s="10" t="s">
        <v>17</v>
      </c>
      <c r="T235" s="10" t="s">
        <v>18</v>
      </c>
      <c r="U235" s="10" t="s">
        <v>19</v>
      </c>
      <c r="V235" s="10" t="s">
        <v>20</v>
      </c>
      <c r="W235" s="13"/>
      <c r="X235" s="15" t="s">
        <v>23</v>
      </c>
      <c r="Y235" s="5"/>
      <c r="AA235" s="251" t="s">
        <v>2554</v>
      </c>
      <c r="AC235">
        <v>11</v>
      </c>
      <c r="AD235" s="16" t="s">
        <v>161</v>
      </c>
      <c r="AE235" s="58">
        <f>+AC235*10</f>
        <v>110</v>
      </c>
      <c r="AG235">
        <v>70</v>
      </c>
      <c r="AH235" s="16" t="s">
        <v>161</v>
      </c>
      <c r="AI235" s="58">
        <f>+AG235*10</f>
        <v>700</v>
      </c>
      <c r="AK235" s="61" t="s">
        <v>173</v>
      </c>
      <c r="AL235" s="62" t="s">
        <v>174</v>
      </c>
      <c r="AN235" s="16" t="s">
        <v>161</v>
      </c>
      <c r="AO235" s="58">
        <f>+AM235*10</f>
        <v>0</v>
      </c>
    </row>
    <row r="236" spans="1:41" x14ac:dyDescent="0.25">
      <c r="A236" s="16">
        <v>1</v>
      </c>
      <c r="B236" s="92">
        <v>45259</v>
      </c>
      <c r="C236" s="23">
        <v>0.42569444444444443</v>
      </c>
      <c r="D236" s="31" t="s">
        <v>1194</v>
      </c>
      <c r="E236" s="32">
        <v>5516609716</v>
      </c>
      <c r="F236" s="32" t="s">
        <v>145</v>
      </c>
      <c r="G236" s="39" t="s">
        <v>918</v>
      </c>
      <c r="H236" s="39" t="s">
        <v>3049</v>
      </c>
      <c r="I236" s="122">
        <v>160</v>
      </c>
      <c r="J236" s="32">
        <v>45</v>
      </c>
      <c r="K236" s="20">
        <v>10</v>
      </c>
      <c r="L236" s="21">
        <v>10</v>
      </c>
      <c r="M236" s="21">
        <f t="shared" ref="M236:M254" si="37">+J236+K236</f>
        <v>55</v>
      </c>
      <c r="N236" s="21">
        <f t="shared" ref="N236:N254" si="38">+I236-M236</f>
        <v>105</v>
      </c>
      <c r="O236" s="21"/>
      <c r="P236" s="21"/>
      <c r="Q236" s="5"/>
      <c r="R236" s="21">
        <v>150</v>
      </c>
      <c r="S236" s="16"/>
      <c r="T236" s="21">
        <f t="shared" ref="T236:T254" si="39">+R236+S236</f>
        <v>150</v>
      </c>
      <c r="U236" s="21">
        <v>160</v>
      </c>
      <c r="V236" s="78">
        <f>+U236-T236+O236+P236</f>
        <v>10</v>
      </c>
      <c r="W236" s="13"/>
      <c r="X236" s="333"/>
      <c r="Y236" s="5"/>
      <c r="AC236">
        <v>55</v>
      </c>
      <c r="AD236" s="59" t="s">
        <v>162</v>
      </c>
      <c r="AE236" s="18">
        <f>+AC236*1</f>
        <v>55</v>
      </c>
      <c r="AG236">
        <v>26</v>
      </c>
      <c r="AH236" s="59" t="s">
        <v>162</v>
      </c>
      <c r="AI236" s="18">
        <f>+AG236*1</f>
        <v>26</v>
      </c>
      <c r="AK236" s="16"/>
      <c r="AL236" s="16"/>
      <c r="AN236" s="59" t="s">
        <v>162</v>
      </c>
      <c r="AO236" s="18">
        <f>+AM236*1</f>
        <v>0</v>
      </c>
    </row>
    <row r="237" spans="1:41" x14ac:dyDescent="0.25">
      <c r="A237" s="26">
        <v>2</v>
      </c>
      <c r="B237" s="92">
        <v>45259</v>
      </c>
      <c r="C237" s="23">
        <v>0.45833333333333331</v>
      </c>
      <c r="D237" s="31" t="s">
        <v>3050</v>
      </c>
      <c r="E237" s="32"/>
      <c r="F237" s="32" t="s">
        <v>106</v>
      </c>
      <c r="G237" s="32" t="s">
        <v>269</v>
      </c>
      <c r="H237" s="39" t="s">
        <v>3052</v>
      </c>
      <c r="I237" s="122">
        <v>98</v>
      </c>
      <c r="J237" s="32">
        <v>88</v>
      </c>
      <c r="K237" s="20">
        <v>10</v>
      </c>
      <c r="L237" s="21"/>
      <c r="M237" s="21">
        <f t="shared" si="37"/>
        <v>98</v>
      </c>
      <c r="N237" s="21">
        <f t="shared" si="38"/>
        <v>0</v>
      </c>
      <c r="O237" s="21"/>
      <c r="P237" s="21"/>
      <c r="Q237" s="5"/>
      <c r="R237" s="21"/>
      <c r="S237" s="16"/>
      <c r="T237" s="21">
        <f t="shared" si="39"/>
        <v>0</v>
      </c>
      <c r="U237" s="21">
        <v>10</v>
      </c>
      <c r="V237" s="78">
        <f t="shared" ref="V237:V254" si="40">+U237-T237+O237+P237</f>
        <v>10</v>
      </c>
      <c r="W237" s="140"/>
      <c r="X237" s="334"/>
      <c r="Y237" s="5"/>
      <c r="AC237">
        <v>32</v>
      </c>
      <c r="AD237" s="16" t="s">
        <v>163</v>
      </c>
      <c r="AE237" s="60">
        <f>+AC237*5</f>
        <v>160</v>
      </c>
      <c r="AG237">
        <v>20</v>
      </c>
      <c r="AH237" s="16" t="s">
        <v>163</v>
      </c>
      <c r="AI237" s="60">
        <f>+AG237*5</f>
        <v>100</v>
      </c>
      <c r="AK237" s="16"/>
      <c r="AL237" s="16"/>
      <c r="AN237" s="16" t="s">
        <v>163</v>
      </c>
      <c r="AO237" s="60">
        <f>+AM237*5</f>
        <v>0</v>
      </c>
    </row>
    <row r="238" spans="1:41" x14ac:dyDescent="0.25">
      <c r="A238" s="143">
        <v>3</v>
      </c>
      <c r="B238" s="92">
        <v>45259</v>
      </c>
      <c r="C238" s="23">
        <v>0.48402777777777778</v>
      </c>
      <c r="D238" s="31" t="s">
        <v>3050</v>
      </c>
      <c r="E238" s="32"/>
      <c r="F238" s="32" t="s">
        <v>106</v>
      </c>
      <c r="G238" s="32" t="s">
        <v>269</v>
      </c>
      <c r="H238" s="39" t="s">
        <v>3053</v>
      </c>
      <c r="I238" s="122">
        <v>50</v>
      </c>
      <c r="J238" s="32">
        <v>37</v>
      </c>
      <c r="K238" s="20">
        <v>10</v>
      </c>
      <c r="L238" s="21"/>
      <c r="M238" s="21">
        <f t="shared" si="37"/>
        <v>47</v>
      </c>
      <c r="N238" s="21">
        <f t="shared" si="38"/>
        <v>3</v>
      </c>
      <c r="O238" s="21"/>
      <c r="P238" s="21"/>
      <c r="Q238" s="5"/>
      <c r="R238" s="21"/>
      <c r="S238" s="16"/>
      <c r="T238" s="21">
        <f t="shared" si="39"/>
        <v>0</v>
      </c>
      <c r="U238" s="21">
        <v>10</v>
      </c>
      <c r="V238" s="78">
        <f t="shared" si="40"/>
        <v>10</v>
      </c>
      <c r="W238" s="140"/>
      <c r="X238" s="334"/>
      <c r="Y238" s="5"/>
      <c r="AD238" s="16" t="s">
        <v>164</v>
      </c>
      <c r="AE238" s="18">
        <f>+AC238*200</f>
        <v>0</v>
      </c>
      <c r="AH238" s="16" t="s">
        <v>164</v>
      </c>
      <c r="AI238" s="18">
        <f>+AG238*200</f>
        <v>0</v>
      </c>
      <c r="AK238" s="16"/>
      <c r="AL238" s="16"/>
      <c r="AN238" s="16" t="s">
        <v>164</v>
      </c>
      <c r="AO238" s="18">
        <f>+AM238*200</f>
        <v>0</v>
      </c>
    </row>
    <row r="239" spans="1:41" x14ac:dyDescent="0.25">
      <c r="A239" s="143">
        <v>4</v>
      </c>
      <c r="B239" s="92">
        <v>45259</v>
      </c>
      <c r="C239" s="23">
        <v>0.48402777777777778</v>
      </c>
      <c r="D239" s="31" t="s">
        <v>1947</v>
      </c>
      <c r="E239" s="32">
        <v>5615589545</v>
      </c>
      <c r="F239" s="32" t="s">
        <v>106</v>
      </c>
      <c r="G239" s="32" t="s">
        <v>3051</v>
      </c>
      <c r="H239" s="39"/>
      <c r="I239" s="122"/>
      <c r="J239" s="32">
        <v>90</v>
      </c>
      <c r="K239" s="20">
        <v>10</v>
      </c>
      <c r="L239" s="21"/>
      <c r="M239" s="21">
        <f t="shared" si="37"/>
        <v>100</v>
      </c>
      <c r="N239" s="21">
        <f t="shared" si="38"/>
        <v>-100</v>
      </c>
      <c r="O239" s="21"/>
      <c r="P239" s="21"/>
      <c r="Q239" s="5"/>
      <c r="R239" s="21">
        <v>250</v>
      </c>
      <c r="S239" s="16"/>
      <c r="T239" s="21">
        <f t="shared" si="39"/>
        <v>250</v>
      </c>
      <c r="U239" s="21">
        <v>260</v>
      </c>
      <c r="V239" s="78">
        <f t="shared" si="40"/>
        <v>10</v>
      </c>
      <c r="W239" s="140"/>
      <c r="X239" s="334"/>
      <c r="Y239" s="5"/>
      <c r="AA239" t="s">
        <v>3062</v>
      </c>
      <c r="AD239" s="16" t="s">
        <v>165</v>
      </c>
      <c r="AE239" s="18">
        <f>+AC239*100</f>
        <v>0</v>
      </c>
      <c r="AG239">
        <v>1</v>
      </c>
      <c r="AH239" s="16" t="s">
        <v>165</v>
      </c>
      <c r="AI239" s="18">
        <f>+AG239*100</f>
        <v>100</v>
      </c>
      <c r="AK239" s="16"/>
      <c r="AL239" s="16"/>
      <c r="AN239" s="16" t="s">
        <v>165</v>
      </c>
      <c r="AO239" s="18">
        <f>+AM239*100</f>
        <v>0</v>
      </c>
    </row>
    <row r="240" spans="1:41" x14ac:dyDescent="0.25">
      <c r="A240" s="143">
        <v>5</v>
      </c>
      <c r="B240" s="92">
        <v>45259</v>
      </c>
      <c r="C240" s="23">
        <v>0.14097222222222222</v>
      </c>
      <c r="D240" s="31" t="s">
        <v>364</v>
      </c>
      <c r="E240" s="32">
        <v>5553838178</v>
      </c>
      <c r="F240" s="32"/>
      <c r="G240" s="32"/>
      <c r="H240" s="32"/>
      <c r="I240" s="122"/>
      <c r="J240" s="32"/>
      <c r="K240" s="20">
        <v>10</v>
      </c>
      <c r="L240" s="21"/>
      <c r="M240" s="21">
        <f t="shared" si="37"/>
        <v>10</v>
      </c>
      <c r="N240" s="21">
        <f t="shared" si="38"/>
        <v>-10</v>
      </c>
      <c r="O240" s="21"/>
      <c r="P240" s="21"/>
      <c r="Q240" s="5"/>
      <c r="R240" s="16">
        <v>250</v>
      </c>
      <c r="S240" s="16"/>
      <c r="T240" s="21">
        <f t="shared" si="39"/>
        <v>250</v>
      </c>
      <c r="U240" s="21">
        <v>260</v>
      </c>
      <c r="V240" s="78">
        <f t="shared" si="40"/>
        <v>10</v>
      </c>
      <c r="W240" s="140"/>
      <c r="X240" s="334"/>
      <c r="Y240" s="5"/>
      <c r="AC240">
        <v>1</v>
      </c>
      <c r="AD240" s="16" t="s">
        <v>166</v>
      </c>
      <c r="AE240" s="18">
        <f>+AC240*50</f>
        <v>50</v>
      </c>
      <c r="AG240">
        <v>1</v>
      </c>
      <c r="AH240" s="16" t="s">
        <v>166</v>
      </c>
      <c r="AI240" s="18">
        <f>+AG240*50</f>
        <v>50</v>
      </c>
      <c r="AK240" s="16"/>
      <c r="AL240" s="16"/>
      <c r="AN240" s="16" t="s">
        <v>166</v>
      </c>
      <c r="AO240" s="18">
        <f>+AM240*50</f>
        <v>0</v>
      </c>
    </row>
    <row r="241" spans="1:41" x14ac:dyDescent="0.25">
      <c r="A241" s="143">
        <v>6</v>
      </c>
      <c r="B241" s="92">
        <v>45259</v>
      </c>
      <c r="C241" s="23"/>
      <c r="D241" s="31"/>
      <c r="E241" s="32">
        <v>5624436149</v>
      </c>
      <c r="F241" s="32" t="s">
        <v>3054</v>
      </c>
      <c r="G241" s="32"/>
      <c r="H241" s="39"/>
      <c r="I241" s="39"/>
      <c r="J241" s="42"/>
      <c r="K241" s="20">
        <v>10</v>
      </c>
      <c r="L241" s="21">
        <v>12</v>
      </c>
      <c r="M241" s="21">
        <f t="shared" si="37"/>
        <v>10</v>
      </c>
      <c r="N241" s="21">
        <f t="shared" si="38"/>
        <v>-10</v>
      </c>
      <c r="O241" s="21"/>
      <c r="P241" s="21"/>
      <c r="Q241" s="5"/>
      <c r="R241" s="16">
        <v>300</v>
      </c>
      <c r="S241" s="16"/>
      <c r="T241" s="21">
        <f t="shared" si="39"/>
        <v>300</v>
      </c>
      <c r="U241" s="16">
        <v>310</v>
      </c>
      <c r="V241" s="78">
        <f t="shared" si="40"/>
        <v>10</v>
      </c>
      <c r="W241" s="140"/>
      <c r="X241" s="334"/>
      <c r="Y241" s="5"/>
      <c r="AC241">
        <v>1</v>
      </c>
      <c r="AD241" s="16" t="s">
        <v>167</v>
      </c>
      <c r="AE241" s="18">
        <f>+AC241*20</f>
        <v>20</v>
      </c>
      <c r="AH241" s="16" t="s">
        <v>167</v>
      </c>
      <c r="AI241" s="18">
        <f>+AG241*20</f>
        <v>0</v>
      </c>
      <c r="AK241" s="16"/>
      <c r="AL241" s="16"/>
      <c r="AN241" s="16" t="s">
        <v>167</v>
      </c>
      <c r="AO241" s="18">
        <f>+AM241*20</f>
        <v>0</v>
      </c>
    </row>
    <row r="242" spans="1:41" x14ac:dyDescent="0.25">
      <c r="A242" s="41">
        <v>7</v>
      </c>
      <c r="B242" s="92">
        <v>45259</v>
      </c>
      <c r="C242" s="23"/>
      <c r="D242" s="31" t="s">
        <v>255</v>
      </c>
      <c r="E242" s="32">
        <v>5621699116</v>
      </c>
      <c r="F242" s="32"/>
      <c r="G242" s="32"/>
      <c r="H242" s="39"/>
      <c r="I242" s="122"/>
      <c r="J242" s="42"/>
      <c r="K242" s="20">
        <v>10</v>
      </c>
      <c r="L242" s="21"/>
      <c r="M242" s="21">
        <f t="shared" si="37"/>
        <v>10</v>
      </c>
      <c r="N242" s="21">
        <f t="shared" si="38"/>
        <v>-10</v>
      </c>
      <c r="O242" s="21"/>
      <c r="P242" s="21"/>
      <c r="Q242" s="5"/>
      <c r="R242" s="16">
        <v>250</v>
      </c>
      <c r="S242" s="16"/>
      <c r="T242" s="21">
        <f t="shared" si="39"/>
        <v>250</v>
      </c>
      <c r="U242" s="16"/>
      <c r="V242" s="78">
        <f t="shared" si="40"/>
        <v>-250</v>
      </c>
      <c r="W242" s="140"/>
      <c r="X242" s="334"/>
      <c r="Y242" s="5"/>
      <c r="AD242" s="16" t="s">
        <v>171</v>
      </c>
      <c r="AE242" s="18">
        <f>+AC242*500</f>
        <v>0</v>
      </c>
      <c r="AH242" s="16" t="s">
        <v>171</v>
      </c>
      <c r="AI242" s="18">
        <f>+AG242*500</f>
        <v>0</v>
      </c>
      <c r="AK242" s="16"/>
      <c r="AL242" s="16"/>
      <c r="AN242" s="16" t="s">
        <v>171</v>
      </c>
      <c r="AO242" s="18">
        <f>+AM242*500</f>
        <v>0</v>
      </c>
    </row>
    <row r="243" spans="1:41" x14ac:dyDescent="0.25">
      <c r="A243" s="143">
        <v>8</v>
      </c>
      <c r="B243" s="92">
        <v>45259</v>
      </c>
      <c r="C243" s="23">
        <v>0.23611111111111113</v>
      </c>
      <c r="D243" s="31" t="s">
        <v>765</v>
      </c>
      <c r="E243" s="123">
        <v>5537803548</v>
      </c>
      <c r="F243" s="123" t="s">
        <v>3056</v>
      </c>
      <c r="G243" s="123" t="s">
        <v>2984</v>
      </c>
      <c r="H243" s="39"/>
      <c r="I243" s="122">
        <v>250</v>
      </c>
      <c r="J243" s="32">
        <v>206</v>
      </c>
      <c r="K243" s="20">
        <v>20</v>
      </c>
      <c r="L243" s="21">
        <v>14</v>
      </c>
      <c r="M243" s="21">
        <f t="shared" si="37"/>
        <v>226</v>
      </c>
      <c r="N243" s="21">
        <v>0</v>
      </c>
      <c r="O243" s="21">
        <v>250</v>
      </c>
      <c r="P243" s="21"/>
      <c r="Q243" s="5"/>
      <c r="R243" s="16">
        <v>200</v>
      </c>
      <c r="S243" s="16"/>
      <c r="T243" s="21">
        <f t="shared" si="39"/>
        <v>200</v>
      </c>
      <c r="U243" s="16">
        <v>234</v>
      </c>
      <c r="V243" s="78">
        <v>34</v>
      </c>
      <c r="W243" s="140"/>
      <c r="X243" s="334"/>
      <c r="Y243" s="5"/>
      <c r="AD243" s="16" t="s">
        <v>168</v>
      </c>
      <c r="AE243" s="18">
        <f>+AC243*1000</f>
        <v>0</v>
      </c>
      <c r="AH243" s="16" t="s">
        <v>168</v>
      </c>
      <c r="AI243" s="18">
        <f>+AG243*1000</f>
        <v>0</v>
      </c>
      <c r="AK243" s="16"/>
      <c r="AL243" s="16"/>
      <c r="AN243" s="16" t="s">
        <v>168</v>
      </c>
      <c r="AO243" s="18">
        <f>+AM243*1000</f>
        <v>0</v>
      </c>
    </row>
    <row r="244" spans="1:41" x14ac:dyDescent="0.25">
      <c r="A244" s="143">
        <v>9</v>
      </c>
      <c r="B244" s="92">
        <v>45259</v>
      </c>
      <c r="C244" s="23">
        <v>0.20486111111111113</v>
      </c>
      <c r="D244" s="31" t="s">
        <v>3055</v>
      </c>
      <c r="E244" s="32">
        <v>5585652455</v>
      </c>
      <c r="F244" s="32" t="s">
        <v>106</v>
      </c>
      <c r="G244" s="32" t="s">
        <v>3060</v>
      </c>
      <c r="H244" s="32" t="s">
        <v>3058</v>
      </c>
      <c r="I244" s="39">
        <v>120</v>
      </c>
      <c r="J244" s="40">
        <v>100</v>
      </c>
      <c r="K244" s="20">
        <v>10</v>
      </c>
      <c r="L244" s="21">
        <v>10</v>
      </c>
      <c r="M244" s="21">
        <f t="shared" si="37"/>
        <v>110</v>
      </c>
      <c r="N244" s="21">
        <v>0</v>
      </c>
      <c r="O244" s="21"/>
      <c r="P244" s="21"/>
      <c r="Q244" s="5"/>
      <c r="R244" s="16">
        <v>100</v>
      </c>
      <c r="S244" s="16"/>
      <c r="T244" s="21">
        <f t="shared" si="39"/>
        <v>100</v>
      </c>
      <c r="U244" s="16">
        <v>120</v>
      </c>
      <c r="V244" s="78">
        <f t="shared" si="40"/>
        <v>20</v>
      </c>
      <c r="W244" s="140"/>
      <c r="X244" s="334"/>
      <c r="Y244" s="5"/>
      <c r="AD244" s="26"/>
      <c r="AE244" s="58"/>
      <c r="AH244" s="26"/>
      <c r="AI244" s="58"/>
      <c r="AK244" s="16"/>
      <c r="AL244" s="16"/>
      <c r="AN244" s="26"/>
      <c r="AO244" s="58"/>
    </row>
    <row r="245" spans="1:41" x14ac:dyDescent="0.25">
      <c r="A245" s="143">
        <v>10</v>
      </c>
      <c r="B245" s="92">
        <v>45259</v>
      </c>
      <c r="C245" s="23">
        <v>0.25</v>
      </c>
      <c r="D245" s="31" t="s">
        <v>1518</v>
      </c>
      <c r="E245" s="32">
        <v>5510080515</v>
      </c>
      <c r="F245" s="32" t="s">
        <v>3057</v>
      </c>
      <c r="G245" s="32" t="s">
        <v>3061</v>
      </c>
      <c r="H245" s="32" t="s">
        <v>3059</v>
      </c>
      <c r="I245" s="122">
        <v>145</v>
      </c>
      <c r="J245" s="42">
        <v>131</v>
      </c>
      <c r="K245" s="20">
        <v>10</v>
      </c>
      <c r="L245" s="21">
        <v>4</v>
      </c>
      <c r="M245" s="21">
        <f t="shared" si="37"/>
        <v>141</v>
      </c>
      <c r="N245" s="21">
        <f t="shared" si="38"/>
        <v>4</v>
      </c>
      <c r="O245" s="21"/>
      <c r="P245" s="21"/>
      <c r="Q245" s="5"/>
      <c r="R245" s="16">
        <v>150</v>
      </c>
      <c r="S245" s="16"/>
      <c r="T245" s="21">
        <f t="shared" si="39"/>
        <v>150</v>
      </c>
      <c r="U245" s="16">
        <v>164</v>
      </c>
      <c r="V245" s="78">
        <f t="shared" si="40"/>
        <v>14</v>
      </c>
      <c r="W245" s="140"/>
      <c r="X245" s="334"/>
      <c r="Y245" s="5"/>
      <c r="AD245" s="16" t="s">
        <v>169</v>
      </c>
      <c r="AE245" s="18">
        <f>SUM(AE235:AE244)</f>
        <v>395</v>
      </c>
      <c r="AH245" s="16" t="s">
        <v>169</v>
      </c>
      <c r="AI245" s="18">
        <f>SUM(AI235:AI244)</f>
        <v>976</v>
      </c>
      <c r="AK245" s="16"/>
      <c r="AL245" s="16"/>
      <c r="AN245" s="16" t="s">
        <v>169</v>
      </c>
      <c r="AO245" s="18"/>
    </row>
    <row r="246" spans="1:41" x14ac:dyDescent="0.25">
      <c r="A246" s="143">
        <v>11</v>
      </c>
      <c r="B246" s="92">
        <v>45259</v>
      </c>
      <c r="C246" s="23">
        <v>0.3263888888888889</v>
      </c>
      <c r="D246" s="31" t="s">
        <v>319</v>
      </c>
      <c r="E246" s="124">
        <v>5544467689</v>
      </c>
      <c r="F246" s="123" t="s">
        <v>106</v>
      </c>
      <c r="G246" s="123" t="s">
        <v>2759</v>
      </c>
      <c r="H246" s="123" t="s">
        <v>3063</v>
      </c>
      <c r="I246" s="122">
        <v>110</v>
      </c>
      <c r="J246" s="42">
        <v>100</v>
      </c>
      <c r="K246" s="20">
        <v>10</v>
      </c>
      <c r="L246" s="21"/>
      <c r="M246" s="21">
        <f t="shared" si="37"/>
        <v>110</v>
      </c>
      <c r="N246" s="21">
        <f t="shared" si="38"/>
        <v>0</v>
      </c>
      <c r="O246" s="21"/>
      <c r="P246" s="21"/>
      <c r="Q246" s="5"/>
      <c r="R246" s="16">
        <v>200</v>
      </c>
      <c r="S246" s="16"/>
      <c r="T246" s="21">
        <f t="shared" si="39"/>
        <v>200</v>
      </c>
      <c r="U246" s="16">
        <v>210</v>
      </c>
      <c r="V246" s="78">
        <f t="shared" si="40"/>
        <v>10</v>
      </c>
      <c r="W246" s="140"/>
      <c r="X246" s="334"/>
      <c r="Y246" s="5"/>
      <c r="AK246" s="16"/>
      <c r="AL246" s="16"/>
      <c r="AN246" s="16"/>
      <c r="AO246" s="16"/>
    </row>
    <row r="247" spans="1:41" x14ac:dyDescent="0.25">
      <c r="A247" s="143">
        <v>12</v>
      </c>
      <c r="B247" s="92">
        <v>45259</v>
      </c>
      <c r="C247" s="23">
        <v>0.40277777777777773</v>
      </c>
      <c r="D247" s="32" t="s">
        <v>758</v>
      </c>
      <c r="E247" s="32">
        <v>55512050452</v>
      </c>
      <c r="F247" s="124" t="s">
        <v>3064</v>
      </c>
      <c r="G247" s="123" t="s">
        <v>3065</v>
      </c>
      <c r="H247" s="39" t="s">
        <v>3066</v>
      </c>
      <c r="I247" s="39">
        <v>100</v>
      </c>
      <c r="J247" s="42">
        <v>88</v>
      </c>
      <c r="K247" s="20">
        <v>10</v>
      </c>
      <c r="L247" s="21">
        <v>2</v>
      </c>
      <c r="M247" s="21">
        <f t="shared" si="37"/>
        <v>98</v>
      </c>
      <c r="N247" s="21">
        <v>0</v>
      </c>
      <c r="O247" s="21">
        <v>100</v>
      </c>
      <c r="P247" s="21"/>
      <c r="Q247" s="5"/>
      <c r="R247" s="45">
        <v>200</v>
      </c>
      <c r="S247" s="44"/>
      <c r="T247" s="21">
        <f t="shared" si="39"/>
        <v>200</v>
      </c>
      <c r="U247" s="45">
        <v>213</v>
      </c>
      <c r="V247" s="78">
        <v>13</v>
      </c>
      <c r="W247" s="140"/>
      <c r="X247" s="334"/>
      <c r="Y247" s="5"/>
      <c r="AK247" s="63" t="s">
        <v>169</v>
      </c>
      <c r="AL247" s="63">
        <f>+SUM(AK236:AK246)-SUM(AL236:AL246)</f>
        <v>0</v>
      </c>
      <c r="AN247" s="63" t="s">
        <v>169</v>
      </c>
      <c r="AO247" s="85">
        <f>+SUM(AN235:AN246)-SUM(AO236:AO246)</f>
        <v>0</v>
      </c>
    </row>
    <row r="248" spans="1:41" x14ac:dyDescent="0.25">
      <c r="A248" s="143">
        <v>13</v>
      </c>
      <c r="B248" s="92">
        <v>45259</v>
      </c>
      <c r="C248" s="23"/>
      <c r="D248" s="31"/>
      <c r="E248" s="32"/>
      <c r="F248" s="32"/>
      <c r="G248" s="32"/>
      <c r="H248" s="39"/>
      <c r="I248" s="39"/>
      <c r="J248" s="42"/>
      <c r="K248" s="108">
        <v>10</v>
      </c>
      <c r="L248" s="21"/>
      <c r="M248" s="21">
        <f t="shared" si="37"/>
        <v>10</v>
      </c>
      <c r="N248" s="21">
        <f t="shared" si="38"/>
        <v>-10</v>
      </c>
      <c r="O248" s="21"/>
      <c r="P248" s="21"/>
      <c r="Q248" s="5"/>
      <c r="R248" s="43"/>
      <c r="S248" s="32"/>
      <c r="T248" s="21">
        <f t="shared" si="39"/>
        <v>0</v>
      </c>
      <c r="U248" s="43"/>
      <c r="V248" s="78">
        <f t="shared" si="40"/>
        <v>0</v>
      </c>
      <c r="W248" s="140"/>
      <c r="X248" s="334"/>
      <c r="Y248" s="5"/>
      <c r="AI248" s="83"/>
    </row>
    <row r="249" spans="1:41" x14ac:dyDescent="0.25">
      <c r="A249" s="143">
        <v>14</v>
      </c>
      <c r="B249" s="92">
        <v>45259</v>
      </c>
      <c r="C249" s="23"/>
      <c r="D249" s="31"/>
      <c r="E249" s="32"/>
      <c r="F249" s="32"/>
      <c r="G249" s="32"/>
      <c r="H249" s="39"/>
      <c r="I249" s="39"/>
      <c r="J249" s="42"/>
      <c r="K249" s="108">
        <v>10</v>
      </c>
      <c r="L249" s="21"/>
      <c r="M249" s="21">
        <f t="shared" si="37"/>
        <v>10</v>
      </c>
      <c r="N249" s="21">
        <f t="shared" si="38"/>
        <v>-10</v>
      </c>
      <c r="O249" s="21"/>
      <c r="P249" s="21"/>
      <c r="Q249" s="5"/>
      <c r="R249" s="43"/>
      <c r="S249" s="43"/>
      <c r="T249" s="21">
        <f t="shared" si="39"/>
        <v>0</v>
      </c>
      <c r="U249" s="43"/>
      <c r="V249" s="78">
        <f t="shared" si="40"/>
        <v>0</v>
      </c>
      <c r="W249" s="140"/>
      <c r="X249" s="334"/>
      <c r="Y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</row>
    <row r="250" spans="1:41" x14ac:dyDescent="0.25">
      <c r="A250" s="143">
        <v>15</v>
      </c>
      <c r="B250" s="92">
        <v>45259</v>
      </c>
      <c r="C250" s="23"/>
      <c r="D250" s="127"/>
      <c r="E250" s="32"/>
      <c r="F250" s="32"/>
      <c r="G250" s="128"/>
      <c r="H250" s="129"/>
      <c r="I250" s="39"/>
      <c r="J250" s="42"/>
      <c r="K250" s="108">
        <v>10</v>
      </c>
      <c r="L250" s="21"/>
      <c r="M250" s="21">
        <f t="shared" si="37"/>
        <v>10</v>
      </c>
      <c r="N250" s="21">
        <f t="shared" si="38"/>
        <v>-10</v>
      </c>
      <c r="O250" s="21"/>
      <c r="P250" s="21"/>
      <c r="Q250" s="5"/>
      <c r="R250" s="43"/>
      <c r="S250" s="43"/>
      <c r="T250" s="21">
        <f t="shared" si="39"/>
        <v>0</v>
      </c>
      <c r="U250" s="43"/>
      <c r="V250" s="78">
        <f t="shared" si="40"/>
        <v>0</v>
      </c>
      <c r="W250" s="140"/>
      <c r="X250" s="334"/>
      <c r="Y250" s="5"/>
      <c r="AD250" s="5"/>
      <c r="AE250" s="134" t="s">
        <v>20</v>
      </c>
      <c r="AF250" s="338"/>
      <c r="AG250" s="341" t="s">
        <v>686</v>
      </c>
      <c r="AH250" s="134" t="s">
        <v>20</v>
      </c>
      <c r="AI250" s="338"/>
      <c r="AJ250" s="341" t="s">
        <v>687</v>
      </c>
      <c r="AK250" s="134" t="s">
        <v>20</v>
      </c>
      <c r="AL250" s="338"/>
      <c r="AM250" s="5"/>
    </row>
    <row r="251" spans="1:41" x14ac:dyDescent="0.25">
      <c r="A251" s="143">
        <v>16</v>
      </c>
      <c r="B251" s="92">
        <v>45259</v>
      </c>
      <c r="C251" s="23"/>
      <c r="D251" s="31"/>
      <c r="E251" s="32"/>
      <c r="F251" s="32"/>
      <c r="G251" s="32"/>
      <c r="H251" s="39"/>
      <c r="I251" s="39"/>
      <c r="J251" s="42"/>
      <c r="K251" s="43">
        <v>10</v>
      </c>
      <c r="L251" s="21"/>
      <c r="M251" s="21">
        <f t="shared" si="37"/>
        <v>10</v>
      </c>
      <c r="N251" s="21">
        <f t="shared" si="38"/>
        <v>-10</v>
      </c>
      <c r="O251" s="21"/>
      <c r="P251" s="21"/>
      <c r="Q251" s="5"/>
      <c r="R251" s="43"/>
      <c r="S251" s="32"/>
      <c r="T251" s="21">
        <f t="shared" si="39"/>
        <v>0</v>
      </c>
      <c r="U251" s="131"/>
      <c r="V251" s="78">
        <f t="shared" si="40"/>
        <v>0</v>
      </c>
      <c r="W251" s="140"/>
      <c r="X251" s="334"/>
      <c r="Y251" s="5"/>
      <c r="AD251" s="5" t="s">
        <v>685</v>
      </c>
      <c r="AE251" s="115" t="s">
        <v>684</v>
      </c>
      <c r="AF251" s="339"/>
      <c r="AG251" s="341"/>
      <c r="AH251" s="115" t="s">
        <v>684</v>
      </c>
      <c r="AI251" s="339"/>
      <c r="AJ251" s="341"/>
      <c r="AK251" s="115" t="s">
        <v>684</v>
      </c>
      <c r="AL251" s="339"/>
      <c r="AM251" s="5"/>
    </row>
    <row r="252" spans="1:41" x14ac:dyDescent="0.25">
      <c r="A252" s="143">
        <v>17</v>
      </c>
      <c r="B252" s="92">
        <v>45259</v>
      </c>
      <c r="C252" s="23"/>
      <c r="D252" s="31"/>
      <c r="E252" s="32"/>
      <c r="F252" s="32"/>
      <c r="G252" s="32"/>
      <c r="H252" s="39"/>
      <c r="I252" s="39"/>
      <c r="J252" s="42"/>
      <c r="K252" s="43">
        <v>10</v>
      </c>
      <c r="L252" s="21"/>
      <c r="M252" s="21">
        <f t="shared" si="37"/>
        <v>10</v>
      </c>
      <c r="N252" s="21">
        <f t="shared" si="38"/>
        <v>-10</v>
      </c>
      <c r="O252" s="21"/>
      <c r="P252" s="21"/>
      <c r="Q252" s="5"/>
      <c r="R252" s="43"/>
      <c r="S252" s="32"/>
      <c r="T252" s="21">
        <f t="shared" si="39"/>
        <v>0</v>
      </c>
      <c r="U252" s="132"/>
      <c r="V252" s="78">
        <f t="shared" si="40"/>
        <v>0</v>
      </c>
      <c r="W252" s="140"/>
      <c r="X252" s="340"/>
      <c r="Y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</row>
    <row r="253" spans="1:41" x14ac:dyDescent="0.25">
      <c r="A253" s="143">
        <v>18</v>
      </c>
      <c r="B253" s="92">
        <v>45259</v>
      </c>
      <c r="C253" s="32"/>
      <c r="D253" s="31"/>
      <c r="E253" s="32"/>
      <c r="F253" s="32"/>
      <c r="G253" s="32"/>
      <c r="H253" s="39"/>
      <c r="I253" s="39"/>
      <c r="J253" s="42"/>
      <c r="K253" s="43">
        <v>10</v>
      </c>
      <c r="L253" s="21"/>
      <c r="M253" s="21">
        <f t="shared" si="37"/>
        <v>10</v>
      </c>
      <c r="N253" s="21">
        <f t="shared" si="38"/>
        <v>-10</v>
      </c>
      <c r="O253" s="21"/>
      <c r="P253" s="21"/>
      <c r="Q253" s="5"/>
      <c r="R253" s="135"/>
      <c r="S253" s="104"/>
      <c r="T253" s="21">
        <f t="shared" si="39"/>
        <v>0</v>
      </c>
      <c r="U253" s="131"/>
      <c r="V253" s="78">
        <f t="shared" si="40"/>
        <v>0</v>
      </c>
      <c r="W253" s="140"/>
      <c r="Y253" s="5"/>
    </row>
    <row r="254" spans="1:41" x14ac:dyDescent="0.25">
      <c r="A254" s="143">
        <v>19</v>
      </c>
      <c r="B254" s="92">
        <v>45259</v>
      </c>
      <c r="C254" s="32"/>
      <c r="D254" s="31"/>
      <c r="E254" s="32"/>
      <c r="F254" s="32"/>
      <c r="G254" s="32"/>
      <c r="H254" s="39"/>
      <c r="I254" s="39"/>
      <c r="J254" s="42"/>
      <c r="K254" s="43">
        <v>10</v>
      </c>
      <c r="L254" s="21"/>
      <c r="M254" s="21">
        <f t="shared" si="37"/>
        <v>10</v>
      </c>
      <c r="N254" s="21">
        <f t="shared" si="38"/>
        <v>-10</v>
      </c>
      <c r="O254" s="21"/>
      <c r="P254" s="21"/>
      <c r="Q254" s="5"/>
      <c r="R254" s="32"/>
      <c r="S254" s="32"/>
      <c r="T254" s="21">
        <f t="shared" si="39"/>
        <v>0</v>
      </c>
      <c r="U254" s="32"/>
      <c r="V254" s="78">
        <f t="shared" si="40"/>
        <v>0</v>
      </c>
      <c r="W254" s="140"/>
      <c r="Y254" s="5"/>
    </row>
    <row r="255" spans="1:4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141"/>
      <c r="X255" s="5"/>
      <c r="Y255" s="5"/>
    </row>
    <row r="256" spans="1:41" x14ac:dyDescent="0.25">
      <c r="I256" t="s">
        <v>3164</v>
      </c>
      <c r="J256">
        <f>SUM(J236:J247)</f>
        <v>885</v>
      </c>
    </row>
    <row r="258" spans="1:41" x14ac:dyDescent="0.25">
      <c r="A258" s="1" t="s">
        <v>0</v>
      </c>
      <c r="B258" s="1"/>
      <c r="C258" s="1"/>
      <c r="D258" s="1"/>
      <c r="E258" s="1"/>
      <c r="F258" s="1"/>
      <c r="G258" s="1"/>
      <c r="H258" s="1"/>
      <c r="I258" s="1"/>
      <c r="J258" s="1" t="s">
        <v>148</v>
      </c>
      <c r="K258" s="1"/>
      <c r="L258" s="1"/>
      <c r="M258" s="1"/>
      <c r="N258" s="1"/>
      <c r="O258" s="1"/>
      <c r="P258" s="1"/>
      <c r="Q258" s="1"/>
      <c r="R258" s="1"/>
      <c r="S258" s="1"/>
      <c r="T258" s="342" t="s">
        <v>1</v>
      </c>
      <c r="U258" s="342"/>
      <c r="V258" s="5"/>
      <c r="W258" s="139"/>
      <c r="X258" s="1"/>
      <c r="Y258" s="5"/>
      <c r="AD258" s="335" t="s">
        <v>160</v>
      </c>
      <c r="AE258" s="336"/>
      <c r="AH258" s="335" t="s">
        <v>170</v>
      </c>
      <c r="AI258" s="336"/>
      <c r="AK258" s="337" t="s">
        <v>172</v>
      </c>
      <c r="AL258" s="337"/>
      <c r="AN258" s="337" t="s">
        <v>681</v>
      </c>
      <c r="AO258" s="337"/>
    </row>
    <row r="259" spans="1:41" ht="90" x14ac:dyDescent="0.25">
      <c r="A259" s="6" t="s">
        <v>2</v>
      </c>
      <c r="B259" s="7" t="s">
        <v>3</v>
      </c>
      <c r="C259" s="245">
        <v>0.25</v>
      </c>
      <c r="D259" s="7" t="s">
        <v>4</v>
      </c>
      <c r="E259" s="6" t="s">
        <v>5</v>
      </c>
      <c r="F259" s="6" t="s">
        <v>6</v>
      </c>
      <c r="G259" s="6" t="s">
        <v>7</v>
      </c>
      <c r="H259" s="6" t="s">
        <v>8</v>
      </c>
      <c r="I259" s="8" t="s">
        <v>9</v>
      </c>
      <c r="J259" s="9" t="s">
        <v>10</v>
      </c>
      <c r="K259" s="8" t="s">
        <v>11</v>
      </c>
      <c r="L259" s="10" t="s">
        <v>12</v>
      </c>
      <c r="M259" s="10" t="s">
        <v>13</v>
      </c>
      <c r="N259" s="11" t="s">
        <v>14</v>
      </c>
      <c r="O259" s="10" t="s">
        <v>691</v>
      </c>
      <c r="P259" s="10" t="s">
        <v>28</v>
      </c>
      <c r="Q259" s="5"/>
      <c r="R259" s="10" t="s">
        <v>16</v>
      </c>
      <c r="S259" s="10" t="s">
        <v>17</v>
      </c>
      <c r="T259" s="10" t="s">
        <v>18</v>
      </c>
      <c r="U259" s="10" t="s">
        <v>19</v>
      </c>
      <c r="V259" s="10" t="s">
        <v>20</v>
      </c>
      <c r="W259" s="13"/>
      <c r="X259" s="15" t="s">
        <v>23</v>
      </c>
      <c r="Y259" s="5"/>
      <c r="AA259" s="251" t="s">
        <v>2554</v>
      </c>
      <c r="AD259" s="16" t="s">
        <v>161</v>
      </c>
      <c r="AE259" s="58">
        <f>+AC259*10</f>
        <v>0</v>
      </c>
      <c r="AG259">
        <v>13</v>
      </c>
      <c r="AH259" s="16" t="s">
        <v>161</v>
      </c>
      <c r="AI259" s="58">
        <f>+AG259*10</f>
        <v>130</v>
      </c>
      <c r="AK259" s="61" t="s">
        <v>173</v>
      </c>
      <c r="AL259" s="62" t="s">
        <v>174</v>
      </c>
      <c r="AM259">
        <v>13</v>
      </c>
      <c r="AN259" s="16" t="s">
        <v>161</v>
      </c>
      <c r="AO259" s="58">
        <f>+AM259*10</f>
        <v>130</v>
      </c>
    </row>
    <row r="260" spans="1:41" x14ac:dyDescent="0.25">
      <c r="A260" s="16">
        <v>1</v>
      </c>
      <c r="B260" s="92">
        <v>45260</v>
      </c>
      <c r="C260" s="23">
        <v>0.45833333333333331</v>
      </c>
      <c r="D260" s="31" t="s">
        <v>1483</v>
      </c>
      <c r="E260" s="32">
        <v>5589529270</v>
      </c>
      <c r="F260" s="32" t="s">
        <v>1484</v>
      </c>
      <c r="G260" s="39" t="s">
        <v>1806</v>
      </c>
      <c r="H260" s="39" t="s">
        <v>3067</v>
      </c>
      <c r="I260" s="122"/>
      <c r="J260" s="32">
        <v>449</v>
      </c>
      <c r="K260" s="20">
        <v>40</v>
      </c>
      <c r="L260" s="21"/>
      <c r="M260" s="21">
        <f t="shared" ref="M260:M278" si="41">+J260+K260</f>
        <v>489</v>
      </c>
      <c r="N260" s="21">
        <f t="shared" ref="N260:N278" si="42">+I260-M260</f>
        <v>-489</v>
      </c>
      <c r="O260" s="21"/>
      <c r="P260" s="21"/>
      <c r="Q260" s="5"/>
      <c r="R260" s="21">
        <v>300</v>
      </c>
      <c r="S260" s="16"/>
      <c r="T260" s="21">
        <f t="shared" ref="T260:T278" si="43">+R260+S260</f>
        <v>300</v>
      </c>
      <c r="U260" s="21">
        <v>340</v>
      </c>
      <c r="V260" s="78">
        <f>+U260-T260+O260+P260</f>
        <v>40</v>
      </c>
      <c r="W260" s="13"/>
      <c r="X260" s="333"/>
      <c r="Y260" s="5"/>
      <c r="AD260" s="59" t="s">
        <v>162</v>
      </c>
      <c r="AE260" s="18">
        <f>+AC260*1</f>
        <v>0</v>
      </c>
      <c r="AG260">
        <v>58</v>
      </c>
      <c r="AH260" s="59" t="s">
        <v>162</v>
      </c>
      <c r="AI260" s="18">
        <f>+AG260*1</f>
        <v>58</v>
      </c>
      <c r="AK260" s="16"/>
      <c r="AL260" s="16"/>
      <c r="AM260">
        <v>58</v>
      </c>
      <c r="AN260" s="59" t="s">
        <v>162</v>
      </c>
      <c r="AO260" s="18">
        <f>+AM260*1</f>
        <v>58</v>
      </c>
    </row>
    <row r="261" spans="1:41" x14ac:dyDescent="0.25">
      <c r="A261" s="26">
        <v>2</v>
      </c>
      <c r="B261" s="92">
        <v>45260</v>
      </c>
      <c r="C261" s="23">
        <v>0.52569444444444446</v>
      </c>
      <c r="D261" s="31" t="s">
        <v>2008</v>
      </c>
      <c r="E261" s="32">
        <v>5539975295</v>
      </c>
      <c r="F261" s="32" t="s">
        <v>28</v>
      </c>
      <c r="G261" s="32" t="s">
        <v>3069</v>
      </c>
      <c r="H261" s="39" t="s">
        <v>3068</v>
      </c>
      <c r="I261" s="122"/>
      <c r="J261" s="32">
        <v>58</v>
      </c>
      <c r="K261" s="20">
        <v>10</v>
      </c>
      <c r="L261" s="21">
        <v>22</v>
      </c>
      <c r="M261" s="21">
        <f t="shared" si="41"/>
        <v>68</v>
      </c>
      <c r="N261" s="21">
        <f t="shared" si="42"/>
        <v>-68</v>
      </c>
      <c r="O261" s="21"/>
      <c r="P261" s="21"/>
      <c r="Q261" s="5"/>
      <c r="R261" s="21">
        <v>100</v>
      </c>
      <c r="S261" s="16"/>
      <c r="T261" s="21">
        <f t="shared" si="43"/>
        <v>100</v>
      </c>
      <c r="U261" s="21">
        <v>110</v>
      </c>
      <c r="V261" s="78">
        <f t="shared" ref="V261:V278" si="44">+U261-T261+O261+P261</f>
        <v>10</v>
      </c>
      <c r="W261" s="140"/>
      <c r="X261" s="334"/>
      <c r="Y261" s="5"/>
      <c r="AD261" s="16" t="s">
        <v>163</v>
      </c>
      <c r="AE261" s="60">
        <f>+AC261*5</f>
        <v>0</v>
      </c>
      <c r="AG261">
        <v>14</v>
      </c>
      <c r="AH261" s="16" t="s">
        <v>163</v>
      </c>
      <c r="AI261" s="60">
        <f>+AG261*5</f>
        <v>70</v>
      </c>
      <c r="AK261" s="16"/>
      <c r="AL261" s="16"/>
      <c r="AM261">
        <v>14</v>
      </c>
      <c r="AN261" s="16" t="s">
        <v>163</v>
      </c>
      <c r="AO261" s="60">
        <f>+AM261*5</f>
        <v>70</v>
      </c>
    </row>
    <row r="262" spans="1:41" x14ac:dyDescent="0.25">
      <c r="A262" s="143">
        <v>3</v>
      </c>
      <c r="B262" s="92">
        <v>45260</v>
      </c>
      <c r="C262" s="23">
        <v>0.54166666666666663</v>
      </c>
      <c r="D262" s="31" t="s">
        <v>2672</v>
      </c>
      <c r="E262" s="32">
        <v>5578861024</v>
      </c>
      <c r="F262" s="32" t="s">
        <v>76</v>
      </c>
      <c r="G262" s="32" t="s">
        <v>3071</v>
      </c>
      <c r="H262" s="39" t="s">
        <v>3070</v>
      </c>
      <c r="I262" s="122"/>
      <c r="J262" s="32">
        <v>126</v>
      </c>
      <c r="K262" s="20">
        <v>10</v>
      </c>
      <c r="L262" s="21">
        <v>28</v>
      </c>
      <c r="M262" s="21">
        <f t="shared" si="41"/>
        <v>136</v>
      </c>
      <c r="N262" s="21">
        <f t="shared" si="42"/>
        <v>-136</v>
      </c>
      <c r="O262" s="21"/>
      <c r="P262" s="21"/>
      <c r="Q262" s="5"/>
      <c r="R262" s="21">
        <v>200</v>
      </c>
      <c r="S262" s="16"/>
      <c r="T262" s="21">
        <f t="shared" si="43"/>
        <v>200</v>
      </c>
      <c r="U262" s="21">
        <v>210</v>
      </c>
      <c r="V262" s="78">
        <f t="shared" si="44"/>
        <v>10</v>
      </c>
      <c r="W262" s="140"/>
      <c r="X262" s="334"/>
      <c r="Y262" s="5"/>
      <c r="AD262" s="16" t="s">
        <v>164</v>
      </c>
      <c r="AE262" s="18">
        <f>+AC262*200</f>
        <v>0</v>
      </c>
      <c r="AG262">
        <v>2</v>
      </c>
      <c r="AH262" s="16" t="s">
        <v>164</v>
      </c>
      <c r="AI262" s="18">
        <f>+AG262*200</f>
        <v>400</v>
      </c>
      <c r="AK262" s="16"/>
      <c r="AL262" s="16"/>
      <c r="AN262" s="16" t="s">
        <v>164</v>
      </c>
      <c r="AO262" s="18">
        <f>+AM262*200</f>
        <v>0</v>
      </c>
    </row>
    <row r="263" spans="1:41" x14ac:dyDescent="0.25">
      <c r="A263" s="143">
        <v>4</v>
      </c>
      <c r="B263" s="92">
        <v>45260</v>
      </c>
      <c r="C263" s="23">
        <v>0.55902777777777779</v>
      </c>
      <c r="D263" s="31" t="s">
        <v>30</v>
      </c>
      <c r="E263" s="32">
        <v>5537803548</v>
      </c>
      <c r="F263" s="32" t="s">
        <v>3072</v>
      </c>
      <c r="G263" s="32" t="s">
        <v>2613</v>
      </c>
      <c r="H263" s="39" t="s">
        <v>213</v>
      </c>
      <c r="I263" s="122"/>
      <c r="J263" s="32">
        <v>285</v>
      </c>
      <c r="K263" s="20">
        <v>20</v>
      </c>
      <c r="L263" s="21">
        <v>15</v>
      </c>
      <c r="M263" s="21">
        <f t="shared" si="41"/>
        <v>305</v>
      </c>
      <c r="N263" s="21">
        <f t="shared" si="42"/>
        <v>-305</v>
      </c>
      <c r="O263" s="21"/>
      <c r="P263" s="21"/>
      <c r="Q263" s="5"/>
      <c r="R263" s="21">
        <v>285</v>
      </c>
      <c r="S263" s="16"/>
      <c r="T263" s="21">
        <f t="shared" si="43"/>
        <v>285</v>
      </c>
      <c r="U263" s="21">
        <v>305</v>
      </c>
      <c r="V263" s="78">
        <f t="shared" si="44"/>
        <v>20</v>
      </c>
      <c r="W263" s="140"/>
      <c r="X263" s="334"/>
      <c r="Y263" s="5"/>
      <c r="AD263" s="16" t="s">
        <v>165</v>
      </c>
      <c r="AE263" s="18">
        <f>+AC263*100</f>
        <v>0</v>
      </c>
      <c r="AG263">
        <v>4</v>
      </c>
      <c r="AH263" s="16" t="s">
        <v>165</v>
      </c>
      <c r="AI263" s="18">
        <f>+AG263*100</f>
        <v>400</v>
      </c>
      <c r="AK263" s="16"/>
      <c r="AL263" s="16"/>
      <c r="AM263">
        <v>1</v>
      </c>
      <c r="AN263" s="16" t="s">
        <v>165</v>
      </c>
      <c r="AO263" s="18">
        <f>+AM263*100</f>
        <v>100</v>
      </c>
    </row>
    <row r="264" spans="1:41" x14ac:dyDescent="0.25">
      <c r="A264" s="143">
        <v>5</v>
      </c>
      <c r="B264" s="92">
        <v>45260</v>
      </c>
      <c r="C264" s="23">
        <v>0.59027777777777779</v>
      </c>
      <c r="D264" s="32" t="s">
        <v>3074</v>
      </c>
      <c r="E264" s="32">
        <v>5613476389</v>
      </c>
      <c r="F264" s="32" t="s">
        <v>31</v>
      </c>
      <c r="G264" s="32" t="s">
        <v>3074</v>
      </c>
      <c r="H264" s="32" t="s">
        <v>3073</v>
      </c>
      <c r="I264" s="122"/>
      <c r="J264" s="32">
        <v>41</v>
      </c>
      <c r="K264" s="20">
        <v>10</v>
      </c>
      <c r="L264" s="21">
        <v>16</v>
      </c>
      <c r="M264" s="21">
        <f t="shared" si="41"/>
        <v>51</v>
      </c>
      <c r="N264" s="21">
        <f t="shared" si="42"/>
        <v>-51</v>
      </c>
      <c r="O264" s="21"/>
      <c r="P264" s="21"/>
      <c r="Q264" s="5"/>
      <c r="R264" s="16">
        <v>100</v>
      </c>
      <c r="S264" s="16"/>
      <c r="T264" s="21">
        <f t="shared" si="43"/>
        <v>100</v>
      </c>
      <c r="U264" s="21">
        <v>110</v>
      </c>
      <c r="V264" s="78">
        <f t="shared" si="44"/>
        <v>10</v>
      </c>
      <c r="W264" s="140"/>
      <c r="X264" s="334"/>
      <c r="Y264" s="5"/>
      <c r="AD264" s="16" t="s">
        <v>166</v>
      </c>
      <c r="AE264" s="18">
        <f>+AC264*50</f>
        <v>0</v>
      </c>
      <c r="AG264">
        <v>1</v>
      </c>
      <c r="AH264" s="16" t="s">
        <v>166</v>
      </c>
      <c r="AI264" s="18">
        <f>+AG264*50</f>
        <v>50</v>
      </c>
      <c r="AK264" s="16"/>
      <c r="AL264" s="16"/>
      <c r="AM264">
        <v>1</v>
      </c>
      <c r="AN264" s="16" t="s">
        <v>166</v>
      </c>
      <c r="AO264" s="18">
        <f>+AM264*50</f>
        <v>50</v>
      </c>
    </row>
    <row r="265" spans="1:41" x14ac:dyDescent="0.25">
      <c r="A265" s="143">
        <v>6</v>
      </c>
      <c r="B265" s="92">
        <v>45260</v>
      </c>
      <c r="C265" s="23">
        <v>0.63750000000000007</v>
      </c>
      <c r="D265" s="31" t="s">
        <v>2045</v>
      </c>
      <c r="E265" s="32">
        <v>5529573104</v>
      </c>
      <c r="F265" s="32" t="s">
        <v>83</v>
      </c>
      <c r="G265" s="32" t="s">
        <v>745</v>
      </c>
      <c r="H265" s="39" t="s">
        <v>3075</v>
      </c>
      <c r="I265" s="39"/>
      <c r="J265" s="42"/>
      <c r="K265" s="20">
        <v>10</v>
      </c>
      <c r="L265" s="21"/>
      <c r="M265" s="21">
        <f t="shared" si="41"/>
        <v>10</v>
      </c>
      <c r="N265" s="21">
        <f t="shared" si="42"/>
        <v>-10</v>
      </c>
      <c r="O265" s="21"/>
      <c r="P265" s="21"/>
      <c r="Q265" s="5"/>
      <c r="R265" s="16">
        <v>50</v>
      </c>
      <c r="S265" s="16"/>
      <c r="T265" s="21">
        <f t="shared" si="43"/>
        <v>50</v>
      </c>
      <c r="U265" s="16"/>
      <c r="V265" s="78">
        <f t="shared" si="44"/>
        <v>-50</v>
      </c>
      <c r="W265" s="140"/>
      <c r="X265" s="334"/>
      <c r="Y265" s="5"/>
      <c r="AD265" s="16" t="s">
        <v>167</v>
      </c>
      <c r="AE265" s="18">
        <f>+AC265*20</f>
        <v>0</v>
      </c>
      <c r="AG265">
        <v>5</v>
      </c>
      <c r="AH265" s="16" t="s">
        <v>167</v>
      </c>
      <c r="AI265" s="18">
        <f>+AG265*20</f>
        <v>100</v>
      </c>
      <c r="AK265" s="16"/>
      <c r="AL265" s="16"/>
      <c r="AM265">
        <v>5</v>
      </c>
      <c r="AN265" s="16" t="s">
        <v>167</v>
      </c>
      <c r="AO265" s="18">
        <f>+AM265*20</f>
        <v>100</v>
      </c>
    </row>
    <row r="266" spans="1:41" x14ac:dyDescent="0.25">
      <c r="A266" s="143">
        <v>7</v>
      </c>
      <c r="B266" s="92">
        <v>45260</v>
      </c>
      <c r="C266" s="23">
        <v>0.75</v>
      </c>
      <c r="D266" s="31" t="s">
        <v>2391</v>
      </c>
      <c r="E266" s="32"/>
      <c r="F266" s="32" t="s">
        <v>3076</v>
      </c>
      <c r="G266" s="32" t="s">
        <v>1053</v>
      </c>
      <c r="H266" s="39" t="s">
        <v>3077</v>
      </c>
      <c r="I266" s="122"/>
      <c r="J266" s="42">
        <v>266</v>
      </c>
      <c r="K266" s="20">
        <v>10</v>
      </c>
      <c r="L266" s="21">
        <v>10</v>
      </c>
      <c r="M266" s="21">
        <f t="shared" si="41"/>
        <v>276</v>
      </c>
      <c r="N266" s="21">
        <f t="shared" si="42"/>
        <v>-276</v>
      </c>
      <c r="O266" s="21"/>
      <c r="P266" s="21"/>
      <c r="Q266" s="5"/>
      <c r="R266" s="16">
        <v>500</v>
      </c>
      <c r="S266" s="16"/>
      <c r="T266" s="21">
        <f t="shared" si="43"/>
        <v>500</v>
      </c>
      <c r="U266" s="16">
        <v>520</v>
      </c>
      <c r="V266" s="78">
        <f t="shared" si="44"/>
        <v>20</v>
      </c>
      <c r="W266" s="140"/>
      <c r="X266" s="334"/>
      <c r="Y266" s="5"/>
      <c r="AD266" s="16" t="s">
        <v>171</v>
      </c>
      <c r="AE266" s="18">
        <f>+AC266*500</f>
        <v>0</v>
      </c>
      <c r="AH266" s="16" t="s">
        <v>171</v>
      </c>
      <c r="AI266" s="18">
        <f>+AG266*500</f>
        <v>0</v>
      </c>
      <c r="AK266" s="16"/>
      <c r="AL266" s="16"/>
      <c r="AN266" s="16" t="s">
        <v>171</v>
      </c>
      <c r="AO266" s="18">
        <f>+AM266*500</f>
        <v>0</v>
      </c>
    </row>
    <row r="267" spans="1:41" x14ac:dyDescent="0.25">
      <c r="A267" s="143">
        <v>8</v>
      </c>
      <c r="B267" s="92">
        <v>45260</v>
      </c>
      <c r="C267" s="23">
        <v>0.76041666666666663</v>
      </c>
      <c r="D267" s="31" t="s">
        <v>252</v>
      </c>
      <c r="E267" s="123"/>
      <c r="F267" s="123" t="s">
        <v>394</v>
      </c>
      <c r="G267" s="123" t="s">
        <v>269</v>
      </c>
      <c r="H267" s="39" t="s">
        <v>3078</v>
      </c>
      <c r="I267" s="122"/>
      <c r="J267" s="32">
        <v>49</v>
      </c>
      <c r="K267" s="20">
        <v>10</v>
      </c>
      <c r="L267" s="21"/>
      <c r="M267" s="21">
        <f t="shared" si="41"/>
        <v>59</v>
      </c>
      <c r="N267" s="21">
        <f t="shared" si="42"/>
        <v>-59</v>
      </c>
      <c r="O267" s="21"/>
      <c r="P267" s="21"/>
      <c r="Q267" s="5"/>
      <c r="R267" s="16">
        <v>100</v>
      </c>
      <c r="S267" s="16"/>
      <c r="T267" s="21">
        <f t="shared" si="43"/>
        <v>100</v>
      </c>
      <c r="U267" s="16">
        <v>110</v>
      </c>
      <c r="V267" s="78">
        <f t="shared" si="44"/>
        <v>10</v>
      </c>
      <c r="W267" s="140"/>
      <c r="X267" s="334"/>
      <c r="Y267" s="5"/>
      <c r="AD267" s="16" t="s">
        <v>168</v>
      </c>
      <c r="AE267" s="18">
        <f>+AC267*1000</f>
        <v>0</v>
      </c>
      <c r="AH267" s="16" t="s">
        <v>168</v>
      </c>
      <c r="AI267" s="18">
        <f>+AG267*1000</f>
        <v>0</v>
      </c>
      <c r="AK267" s="16"/>
      <c r="AL267" s="16"/>
      <c r="AN267" s="16" t="s">
        <v>168</v>
      </c>
      <c r="AO267" s="18">
        <f>+AM267*1000</f>
        <v>0</v>
      </c>
    </row>
    <row r="268" spans="1:41" x14ac:dyDescent="0.25">
      <c r="A268" s="143">
        <v>9</v>
      </c>
      <c r="B268" s="92">
        <v>45260</v>
      </c>
      <c r="C268" s="23">
        <v>0.77986111111111101</v>
      </c>
      <c r="D268" s="31" t="s">
        <v>2045</v>
      </c>
      <c r="E268" s="32"/>
      <c r="F268" s="32" t="s">
        <v>28</v>
      </c>
      <c r="G268" s="32" t="s">
        <v>745</v>
      </c>
      <c r="H268" s="39" t="s">
        <v>3079</v>
      </c>
      <c r="I268" s="39">
        <v>60</v>
      </c>
      <c r="J268" s="40">
        <v>50</v>
      </c>
      <c r="K268" s="20">
        <v>10</v>
      </c>
      <c r="L268" s="21"/>
      <c r="M268" s="21">
        <f t="shared" si="41"/>
        <v>60</v>
      </c>
      <c r="N268" s="21">
        <f t="shared" si="42"/>
        <v>0</v>
      </c>
      <c r="O268" s="21"/>
      <c r="P268" s="21"/>
      <c r="Q268" s="5"/>
      <c r="R268" s="16">
        <v>50</v>
      </c>
      <c r="S268" s="16"/>
      <c r="T268" s="21">
        <f t="shared" si="43"/>
        <v>50</v>
      </c>
      <c r="U268" s="16">
        <v>60</v>
      </c>
      <c r="V268" s="78">
        <f t="shared" si="44"/>
        <v>10</v>
      </c>
      <c r="W268" s="140"/>
      <c r="X268" s="334"/>
      <c r="Y268" s="5"/>
      <c r="AD268" s="26"/>
      <c r="AE268" s="58"/>
      <c r="AH268" s="26"/>
      <c r="AI268" s="58"/>
      <c r="AK268" s="16"/>
      <c r="AL268" s="16"/>
      <c r="AN268" s="26"/>
      <c r="AO268" s="58"/>
    </row>
    <row r="269" spans="1:41" x14ac:dyDescent="0.25">
      <c r="A269" s="143">
        <v>10</v>
      </c>
      <c r="B269" s="92">
        <v>45260</v>
      </c>
      <c r="C269" s="23">
        <v>0.20833333333333334</v>
      </c>
      <c r="D269" s="31" t="s">
        <v>2383</v>
      </c>
      <c r="E269" s="32"/>
      <c r="F269" s="32"/>
      <c r="G269" s="32" t="s">
        <v>3084</v>
      </c>
      <c r="H269" s="39" t="s">
        <v>3080</v>
      </c>
      <c r="I269" s="122"/>
      <c r="J269" s="42"/>
      <c r="K269" s="20">
        <v>10</v>
      </c>
      <c r="L269" s="21"/>
      <c r="M269" s="21">
        <f t="shared" si="41"/>
        <v>10</v>
      </c>
      <c r="N269" s="21">
        <f t="shared" si="42"/>
        <v>-10</v>
      </c>
      <c r="O269" s="21"/>
      <c r="P269" s="21"/>
      <c r="Q269" s="5"/>
      <c r="R269" s="16">
        <v>250</v>
      </c>
      <c r="S269" s="16"/>
      <c r="T269" s="21">
        <f t="shared" si="43"/>
        <v>250</v>
      </c>
      <c r="U269" s="16">
        <v>280</v>
      </c>
      <c r="V269" s="78">
        <f t="shared" si="44"/>
        <v>30</v>
      </c>
      <c r="W269" s="140"/>
      <c r="X269" s="334"/>
      <c r="Y269" s="5"/>
      <c r="AD269" s="16" t="s">
        <v>169</v>
      </c>
      <c r="AE269" s="18">
        <f>SUM(AE259:AE268)</f>
        <v>0</v>
      </c>
      <c r="AH269" s="16" t="s">
        <v>169</v>
      </c>
      <c r="AI269" s="18">
        <f>SUM(AI259:AI268)</f>
        <v>1208</v>
      </c>
      <c r="AK269" s="16"/>
      <c r="AL269" s="16"/>
      <c r="AN269" s="16" t="s">
        <v>169</v>
      </c>
      <c r="AO269" s="18"/>
    </row>
    <row r="270" spans="1:41" x14ac:dyDescent="0.25">
      <c r="A270" s="143">
        <v>11</v>
      </c>
      <c r="B270" s="92">
        <v>45260</v>
      </c>
      <c r="C270" s="23">
        <v>0.25</v>
      </c>
      <c r="D270" s="31" t="s">
        <v>3083</v>
      </c>
      <c r="E270" s="124"/>
      <c r="F270" s="123" t="s">
        <v>3087</v>
      </c>
      <c r="G270" s="123" t="s">
        <v>3082</v>
      </c>
      <c r="H270" s="39" t="s">
        <v>3081</v>
      </c>
      <c r="I270" s="122">
        <v>100</v>
      </c>
      <c r="J270" s="42">
        <v>68</v>
      </c>
      <c r="K270" s="20">
        <v>11</v>
      </c>
      <c r="L270" s="21">
        <v>10</v>
      </c>
      <c r="M270" s="21">
        <f t="shared" si="41"/>
        <v>79</v>
      </c>
      <c r="N270" s="21">
        <f t="shared" si="42"/>
        <v>21</v>
      </c>
      <c r="O270" s="21"/>
      <c r="P270" s="21"/>
      <c r="Q270" s="5"/>
      <c r="R270" s="16">
        <v>100</v>
      </c>
      <c r="S270" s="16"/>
      <c r="T270" s="21">
        <f t="shared" si="43"/>
        <v>100</v>
      </c>
      <c r="U270" s="16">
        <v>121</v>
      </c>
      <c r="V270" s="78">
        <f t="shared" si="44"/>
        <v>21</v>
      </c>
      <c r="W270" s="140"/>
      <c r="X270" s="334"/>
      <c r="Y270" s="5"/>
      <c r="AK270" s="16"/>
      <c r="AL270" s="16"/>
      <c r="AN270" s="16"/>
      <c r="AO270" s="16"/>
    </row>
    <row r="271" spans="1:41" x14ac:dyDescent="0.25">
      <c r="A271" s="143">
        <v>12</v>
      </c>
      <c r="B271" s="92">
        <v>45260</v>
      </c>
      <c r="C271" s="23">
        <v>0.3263888888888889</v>
      </c>
      <c r="D271" s="31" t="s">
        <v>2383</v>
      </c>
      <c r="E271" s="32"/>
      <c r="F271" s="124" t="s">
        <v>228</v>
      </c>
      <c r="G271" s="32" t="s">
        <v>3084</v>
      </c>
      <c r="H271" s="39" t="s">
        <v>3085</v>
      </c>
      <c r="I271" s="39">
        <v>100</v>
      </c>
      <c r="J271" s="42">
        <v>74</v>
      </c>
      <c r="K271" s="20">
        <v>20</v>
      </c>
      <c r="L271" s="21">
        <v>6</v>
      </c>
      <c r="M271" s="21">
        <f t="shared" si="41"/>
        <v>94</v>
      </c>
      <c r="N271" s="21">
        <f t="shared" si="42"/>
        <v>6</v>
      </c>
      <c r="O271" s="21"/>
      <c r="P271" s="21"/>
      <c r="Q271" s="5"/>
      <c r="R271" s="45">
        <v>100</v>
      </c>
      <c r="S271" s="44"/>
      <c r="T271" s="21">
        <f t="shared" si="43"/>
        <v>100</v>
      </c>
      <c r="U271" s="45">
        <v>116</v>
      </c>
      <c r="V271" s="78">
        <f t="shared" si="44"/>
        <v>16</v>
      </c>
      <c r="W271" s="140"/>
      <c r="X271" s="334"/>
      <c r="Y271" s="5"/>
      <c r="AK271" s="63" t="s">
        <v>169</v>
      </c>
      <c r="AL271" s="63">
        <f>+SUM(AK260:AK270)-SUM(AL260:AL270)</f>
        <v>0</v>
      </c>
      <c r="AN271" s="63" t="s">
        <v>169</v>
      </c>
      <c r="AO271" s="85">
        <f>+SUM(AN259:AN270)-SUM(AO259:AO270)</f>
        <v>-508</v>
      </c>
    </row>
    <row r="272" spans="1:41" x14ac:dyDescent="0.25">
      <c r="A272" s="143">
        <v>13</v>
      </c>
      <c r="B272" s="92">
        <v>45260</v>
      </c>
      <c r="C272" s="23">
        <v>0.33333333333333331</v>
      </c>
      <c r="D272" s="31" t="s">
        <v>1341</v>
      </c>
      <c r="E272" s="32"/>
      <c r="F272" s="32" t="s">
        <v>52</v>
      </c>
      <c r="G272" s="32" t="s">
        <v>269</v>
      </c>
      <c r="H272" s="39" t="s">
        <v>379</v>
      </c>
      <c r="I272" s="39">
        <v>200</v>
      </c>
      <c r="J272" s="42">
        <v>88</v>
      </c>
      <c r="K272" s="108">
        <v>10</v>
      </c>
      <c r="L272" s="21"/>
      <c r="M272" s="21">
        <f t="shared" si="41"/>
        <v>98</v>
      </c>
      <c r="N272" s="21">
        <f t="shared" si="42"/>
        <v>102</v>
      </c>
      <c r="O272" s="21"/>
      <c r="P272" s="21"/>
      <c r="Q272" s="5"/>
      <c r="R272" s="43">
        <v>200</v>
      </c>
      <c r="S272" s="32"/>
      <c r="T272" s="21">
        <f t="shared" si="43"/>
        <v>200</v>
      </c>
      <c r="U272" s="43">
        <v>210</v>
      </c>
      <c r="V272" s="78">
        <f t="shared" si="44"/>
        <v>10</v>
      </c>
      <c r="W272" s="140"/>
      <c r="X272" s="334"/>
      <c r="Y272" s="5"/>
      <c r="AI272" s="83"/>
    </row>
    <row r="273" spans="1:41" x14ac:dyDescent="0.25">
      <c r="A273" s="143">
        <v>14</v>
      </c>
      <c r="B273" s="92">
        <v>45260</v>
      </c>
      <c r="C273" s="23">
        <v>0.36458333333333331</v>
      </c>
      <c r="D273" s="31" t="s">
        <v>252</v>
      </c>
      <c r="E273" s="32"/>
      <c r="F273" s="32" t="s">
        <v>52</v>
      </c>
      <c r="G273" s="32" t="s">
        <v>269</v>
      </c>
      <c r="H273" s="39" t="s">
        <v>3086</v>
      </c>
      <c r="I273" s="39">
        <v>200</v>
      </c>
      <c r="J273" s="42">
        <v>190</v>
      </c>
      <c r="K273" s="108">
        <v>10</v>
      </c>
      <c r="L273" s="21"/>
      <c r="M273" s="21">
        <f t="shared" si="41"/>
        <v>200</v>
      </c>
      <c r="N273" s="21">
        <f t="shared" si="42"/>
        <v>0</v>
      </c>
      <c r="O273" s="21"/>
      <c r="P273" s="21"/>
      <c r="Q273" s="5"/>
      <c r="R273" s="43">
        <v>200</v>
      </c>
      <c r="S273" s="43"/>
      <c r="T273" s="21">
        <f t="shared" si="43"/>
        <v>200</v>
      </c>
      <c r="U273" s="43">
        <v>210</v>
      </c>
      <c r="V273" s="78">
        <f t="shared" si="44"/>
        <v>10</v>
      </c>
      <c r="W273" s="140"/>
      <c r="X273" s="334"/>
      <c r="Y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</row>
    <row r="274" spans="1:41" x14ac:dyDescent="0.25">
      <c r="A274" s="64">
        <v>15</v>
      </c>
      <c r="B274" s="92">
        <v>45260</v>
      </c>
      <c r="C274" s="267">
        <v>0.40277777777777773</v>
      </c>
      <c r="D274" s="270" t="s">
        <v>2058</v>
      </c>
      <c r="E274" s="64"/>
      <c r="F274" s="64" t="s">
        <v>52</v>
      </c>
      <c r="G274" s="150" t="s">
        <v>3018</v>
      </c>
      <c r="H274" s="271"/>
      <c r="I274" s="269">
        <v>60</v>
      </c>
      <c r="J274" s="269">
        <v>50</v>
      </c>
      <c r="K274" s="272">
        <v>10</v>
      </c>
      <c r="L274" s="169"/>
      <c r="M274" s="169">
        <f t="shared" si="41"/>
        <v>60</v>
      </c>
      <c r="N274" s="169">
        <f t="shared" si="42"/>
        <v>0</v>
      </c>
      <c r="O274" s="169"/>
      <c r="P274" s="169"/>
      <c r="Q274" s="150"/>
      <c r="R274" s="273"/>
      <c r="S274" s="273"/>
      <c r="T274" s="169">
        <f t="shared" si="43"/>
        <v>0</v>
      </c>
      <c r="U274" s="273"/>
      <c r="V274" s="171">
        <f t="shared" si="44"/>
        <v>0</v>
      </c>
      <c r="W274" s="140"/>
      <c r="X274" s="334"/>
      <c r="Y274" s="5"/>
      <c r="AD274" s="5"/>
      <c r="AE274" s="134" t="s">
        <v>20</v>
      </c>
      <c r="AF274" s="338"/>
      <c r="AG274" s="341" t="s">
        <v>686</v>
      </c>
      <c r="AH274" s="134" t="s">
        <v>20</v>
      </c>
      <c r="AI274" s="338"/>
      <c r="AJ274" s="341" t="s">
        <v>687</v>
      </c>
      <c r="AK274" s="134" t="s">
        <v>20</v>
      </c>
      <c r="AL274" s="338"/>
      <c r="AM274" s="5"/>
    </row>
    <row r="275" spans="1:41" x14ac:dyDescent="0.25">
      <c r="A275" s="143">
        <v>16</v>
      </c>
      <c r="B275" s="92">
        <v>45260</v>
      </c>
      <c r="C275" s="23"/>
      <c r="D275" s="31"/>
      <c r="E275" s="32"/>
      <c r="F275" s="32"/>
      <c r="G275" s="32"/>
      <c r="H275" s="39"/>
      <c r="I275" s="39"/>
      <c r="J275" s="42"/>
      <c r="K275" s="43">
        <v>10</v>
      </c>
      <c r="L275" s="21"/>
      <c r="M275" s="21">
        <f t="shared" si="41"/>
        <v>10</v>
      </c>
      <c r="N275" s="21">
        <f t="shared" si="42"/>
        <v>-10</v>
      </c>
      <c r="O275" s="21"/>
      <c r="P275" s="21"/>
      <c r="Q275" s="5"/>
      <c r="R275" s="43"/>
      <c r="S275" s="32"/>
      <c r="T275" s="21">
        <f t="shared" si="43"/>
        <v>0</v>
      </c>
      <c r="U275" s="131"/>
      <c r="V275" s="78">
        <f t="shared" si="44"/>
        <v>0</v>
      </c>
      <c r="W275" s="140"/>
      <c r="X275" s="334"/>
      <c r="Y275" s="5"/>
      <c r="AD275" s="5" t="s">
        <v>685</v>
      </c>
      <c r="AE275" s="115" t="s">
        <v>684</v>
      </c>
      <c r="AF275" s="339"/>
      <c r="AG275" s="341"/>
      <c r="AH275" s="115" t="s">
        <v>684</v>
      </c>
      <c r="AI275" s="339"/>
      <c r="AJ275" s="341"/>
      <c r="AK275" s="115" t="s">
        <v>684</v>
      </c>
      <c r="AL275" s="339"/>
      <c r="AM275" s="5"/>
    </row>
    <row r="276" spans="1:41" x14ac:dyDescent="0.25">
      <c r="A276" s="143">
        <v>17</v>
      </c>
      <c r="B276" s="92">
        <v>45260</v>
      </c>
      <c r="C276" s="23"/>
      <c r="D276" s="31"/>
      <c r="E276" s="32"/>
      <c r="F276" s="32"/>
      <c r="G276" s="32"/>
      <c r="H276" s="39"/>
      <c r="I276" s="39"/>
      <c r="J276" s="42"/>
      <c r="K276" s="43">
        <v>10</v>
      </c>
      <c r="L276" s="21"/>
      <c r="M276" s="21">
        <f t="shared" si="41"/>
        <v>10</v>
      </c>
      <c r="N276" s="21">
        <f t="shared" si="42"/>
        <v>-10</v>
      </c>
      <c r="O276" s="21"/>
      <c r="P276" s="21"/>
      <c r="Q276" s="5"/>
      <c r="R276" s="43"/>
      <c r="S276" s="32"/>
      <c r="T276" s="21">
        <f t="shared" si="43"/>
        <v>0</v>
      </c>
      <c r="U276" s="132"/>
      <c r="V276" s="78">
        <f t="shared" si="44"/>
        <v>0</v>
      </c>
      <c r="W276" s="140"/>
      <c r="X276" s="340"/>
      <c r="Y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</row>
    <row r="277" spans="1:41" x14ac:dyDescent="0.25">
      <c r="A277" s="143">
        <v>18</v>
      </c>
      <c r="B277" s="92">
        <v>45260</v>
      </c>
      <c r="C277" s="32"/>
      <c r="D277" s="31"/>
      <c r="E277" s="32"/>
      <c r="F277" s="32"/>
      <c r="G277" s="32"/>
      <c r="H277" s="39"/>
      <c r="I277" s="39"/>
      <c r="J277" s="42"/>
      <c r="K277" s="43">
        <v>10</v>
      </c>
      <c r="L277" s="21"/>
      <c r="M277" s="21">
        <f t="shared" si="41"/>
        <v>10</v>
      </c>
      <c r="N277" s="21">
        <f t="shared" si="42"/>
        <v>-10</v>
      </c>
      <c r="O277" s="21"/>
      <c r="P277" s="21"/>
      <c r="Q277" s="5"/>
      <c r="R277" s="135"/>
      <c r="S277" s="104"/>
      <c r="T277" s="21">
        <f t="shared" si="43"/>
        <v>0</v>
      </c>
      <c r="U277" s="131"/>
      <c r="V277" s="78">
        <f t="shared" si="44"/>
        <v>0</v>
      </c>
      <c r="W277" s="140"/>
      <c r="Y277" s="5"/>
    </row>
    <row r="278" spans="1:41" x14ac:dyDescent="0.25">
      <c r="A278" s="143">
        <v>19</v>
      </c>
      <c r="B278" s="92">
        <v>45260</v>
      </c>
      <c r="C278" s="32"/>
      <c r="D278" s="31"/>
      <c r="E278" s="32"/>
      <c r="F278" s="32"/>
      <c r="G278" s="32"/>
      <c r="H278" s="39"/>
      <c r="I278" s="39"/>
      <c r="J278" s="42"/>
      <c r="K278" s="43">
        <v>10</v>
      </c>
      <c r="L278" s="21"/>
      <c r="M278" s="21">
        <f t="shared" si="41"/>
        <v>10</v>
      </c>
      <c r="N278" s="21">
        <f t="shared" si="42"/>
        <v>-10</v>
      </c>
      <c r="O278" s="21"/>
      <c r="P278" s="21"/>
      <c r="Q278" s="5"/>
      <c r="R278" s="32"/>
      <c r="S278" s="32"/>
      <c r="T278" s="21">
        <f t="shared" si="43"/>
        <v>0</v>
      </c>
      <c r="U278" s="32"/>
      <c r="V278" s="78">
        <f t="shared" si="44"/>
        <v>0</v>
      </c>
      <c r="W278" s="140"/>
      <c r="Y278" s="5"/>
    </row>
    <row r="279" spans="1:4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141"/>
      <c r="X279" s="5"/>
      <c r="Y279" s="5"/>
    </row>
    <row r="280" spans="1:41" x14ac:dyDescent="0.25">
      <c r="I280" t="s">
        <v>3164</v>
      </c>
      <c r="J280">
        <f>SUM(J260:J278)</f>
        <v>1794</v>
      </c>
    </row>
    <row r="283" spans="1:41" x14ac:dyDescent="0.25">
      <c r="A283" s="1" t="s">
        <v>0</v>
      </c>
      <c r="B283" s="1"/>
      <c r="C283" s="1"/>
      <c r="D283" s="1"/>
      <c r="E283" s="1"/>
      <c r="F283" s="1"/>
      <c r="G283" s="1"/>
      <c r="H283" s="1"/>
      <c r="I283" s="1"/>
      <c r="J283" s="1" t="s">
        <v>148</v>
      </c>
      <c r="K283" s="1"/>
      <c r="L283" s="1"/>
      <c r="M283" s="1"/>
      <c r="N283" s="1"/>
      <c r="O283" s="1"/>
      <c r="P283" s="1"/>
      <c r="Q283" s="1"/>
      <c r="R283" s="1"/>
      <c r="S283" s="1"/>
      <c r="T283" s="342" t="s">
        <v>1</v>
      </c>
      <c r="U283" s="342"/>
      <c r="V283" s="5"/>
      <c r="W283" s="139"/>
      <c r="X283" s="1"/>
      <c r="Y283" s="5"/>
      <c r="AD283" s="335" t="s">
        <v>160</v>
      </c>
      <c r="AE283" s="336"/>
      <c r="AH283" s="335" t="s">
        <v>170</v>
      </c>
      <c r="AI283" s="336"/>
      <c r="AK283" s="337" t="s">
        <v>172</v>
      </c>
      <c r="AL283" s="337"/>
      <c r="AN283" s="337" t="s">
        <v>681</v>
      </c>
      <c r="AO283" s="337"/>
    </row>
    <row r="284" spans="1:41" ht="90" x14ac:dyDescent="0.25">
      <c r="A284" s="6" t="s">
        <v>2</v>
      </c>
      <c r="B284" s="7" t="s">
        <v>3</v>
      </c>
      <c r="C284" s="245" t="s">
        <v>688</v>
      </c>
      <c r="D284" s="7" t="s">
        <v>4</v>
      </c>
      <c r="E284" s="6" t="s">
        <v>5</v>
      </c>
      <c r="F284" s="6" t="s">
        <v>6</v>
      </c>
      <c r="G284" s="6" t="s">
        <v>7</v>
      </c>
      <c r="H284" s="6" t="s">
        <v>8</v>
      </c>
      <c r="I284" s="8" t="s">
        <v>9</v>
      </c>
      <c r="J284" s="9" t="s">
        <v>10</v>
      </c>
      <c r="K284" s="8" t="s">
        <v>11</v>
      </c>
      <c r="L284" s="10" t="s">
        <v>12</v>
      </c>
      <c r="M284" s="10" t="s">
        <v>13</v>
      </c>
      <c r="N284" s="11" t="s">
        <v>14</v>
      </c>
      <c r="O284" s="10" t="s">
        <v>691</v>
      </c>
      <c r="P284" s="10" t="s">
        <v>28</v>
      </c>
      <c r="Q284" s="5"/>
      <c r="R284" s="10" t="s">
        <v>16</v>
      </c>
      <c r="S284" s="10" t="s">
        <v>17</v>
      </c>
      <c r="T284" s="10" t="s">
        <v>18</v>
      </c>
      <c r="U284" s="10" t="s">
        <v>19</v>
      </c>
      <c r="V284" s="10" t="s">
        <v>20</v>
      </c>
      <c r="W284" s="13"/>
      <c r="X284" s="15" t="s">
        <v>23</v>
      </c>
      <c r="Y284" s="5"/>
      <c r="AA284" s="251" t="s">
        <v>2554</v>
      </c>
      <c r="AC284">
        <v>2</v>
      </c>
      <c r="AD284" s="16" t="s">
        <v>161</v>
      </c>
      <c r="AE284" s="58">
        <f>+AC284*10</f>
        <v>20</v>
      </c>
      <c r="AG284">
        <v>10</v>
      </c>
      <c r="AH284" s="16" t="s">
        <v>161</v>
      </c>
      <c r="AI284" s="58">
        <f>+AG284*10</f>
        <v>100</v>
      </c>
      <c r="AK284" s="61" t="s">
        <v>173</v>
      </c>
      <c r="AL284" s="62" t="s">
        <v>174</v>
      </c>
      <c r="AN284" s="16" t="s">
        <v>161</v>
      </c>
      <c r="AO284" s="58">
        <f>+AM284*10</f>
        <v>0</v>
      </c>
    </row>
    <row r="285" spans="1:41" x14ac:dyDescent="0.25">
      <c r="A285" s="16">
        <v>1</v>
      </c>
      <c r="B285" s="92">
        <v>45261</v>
      </c>
      <c r="C285" s="23">
        <v>0.45208333333333334</v>
      </c>
      <c r="D285" s="31" t="s">
        <v>3088</v>
      </c>
      <c r="E285" s="32"/>
      <c r="F285" s="32" t="s">
        <v>31</v>
      </c>
      <c r="G285" s="39"/>
      <c r="H285" s="39" t="s">
        <v>3090</v>
      </c>
      <c r="I285" s="122"/>
      <c r="J285" s="32">
        <v>68</v>
      </c>
      <c r="K285" s="20">
        <v>12</v>
      </c>
      <c r="L285" s="21"/>
      <c r="M285" s="21">
        <f t="shared" ref="M285:M303" si="45">+J285+K285</f>
        <v>80</v>
      </c>
      <c r="N285" s="21">
        <f t="shared" ref="N285:N303" si="46">+I285-M285</f>
        <v>-80</v>
      </c>
      <c r="O285" s="21"/>
      <c r="P285" s="21"/>
      <c r="Q285" s="5"/>
      <c r="R285" s="21">
        <v>100</v>
      </c>
      <c r="S285" s="16"/>
      <c r="T285" s="21">
        <f t="shared" ref="T285:T303" si="47">+R285+S285</f>
        <v>100</v>
      </c>
      <c r="U285" s="21">
        <v>112</v>
      </c>
      <c r="V285" s="78">
        <f>+U285-T285+O285+P285</f>
        <v>12</v>
      </c>
      <c r="W285" s="13"/>
      <c r="X285" s="333"/>
      <c r="Y285" s="5"/>
      <c r="AA285" s="83">
        <f>+AE295+AO271</f>
        <v>6.5</v>
      </c>
      <c r="AC285">
        <v>65.5</v>
      </c>
      <c r="AD285" s="59" t="s">
        <v>162</v>
      </c>
      <c r="AE285" s="18">
        <f>+AC285*1</f>
        <v>65.5</v>
      </c>
      <c r="AG285">
        <v>91</v>
      </c>
      <c r="AH285" s="59" t="s">
        <v>162</v>
      </c>
      <c r="AI285" s="18">
        <f>+AG285*1</f>
        <v>91</v>
      </c>
      <c r="AK285" s="16"/>
      <c r="AL285" s="16"/>
      <c r="AN285" s="59" t="s">
        <v>162</v>
      </c>
      <c r="AO285" s="18">
        <f>+AM285*1</f>
        <v>0</v>
      </c>
    </row>
    <row r="286" spans="1:41" x14ac:dyDescent="0.25">
      <c r="A286" s="26">
        <v>2</v>
      </c>
      <c r="B286" s="92">
        <v>45261</v>
      </c>
      <c r="C286" s="23">
        <v>0.47916666666666669</v>
      </c>
      <c r="D286" s="31" t="s">
        <v>3089</v>
      </c>
      <c r="E286" s="32"/>
      <c r="F286" s="32" t="s">
        <v>3091</v>
      </c>
      <c r="G286" s="32" t="s">
        <v>1806</v>
      </c>
      <c r="H286" s="39" t="s">
        <v>1231</v>
      </c>
      <c r="I286" s="122"/>
      <c r="J286" s="32">
        <v>200</v>
      </c>
      <c r="K286" s="20">
        <v>40</v>
      </c>
      <c r="L286" s="21"/>
      <c r="M286" s="21">
        <f t="shared" si="45"/>
        <v>240</v>
      </c>
      <c r="N286" s="21">
        <f t="shared" si="46"/>
        <v>-240</v>
      </c>
      <c r="O286" s="21"/>
      <c r="P286" s="21"/>
      <c r="Q286" s="5"/>
      <c r="R286" s="21">
        <v>250</v>
      </c>
      <c r="S286" s="16"/>
      <c r="T286" s="21">
        <f t="shared" si="47"/>
        <v>250</v>
      </c>
      <c r="U286" s="21">
        <v>290</v>
      </c>
      <c r="V286" s="78">
        <f t="shared" ref="V286:V303" si="48">+U286-T286+O286+P286</f>
        <v>40</v>
      </c>
      <c r="W286" s="140"/>
      <c r="X286" s="334"/>
      <c r="Y286" s="5"/>
      <c r="AC286">
        <v>17</v>
      </c>
      <c r="AD286" s="16" t="s">
        <v>163</v>
      </c>
      <c r="AE286" s="60">
        <f>+AC286*5</f>
        <v>85</v>
      </c>
      <c r="AG286">
        <v>19</v>
      </c>
      <c r="AH286" s="16" t="s">
        <v>163</v>
      </c>
      <c r="AI286" s="60">
        <f>+AG286*5</f>
        <v>95</v>
      </c>
      <c r="AK286" s="16"/>
      <c r="AL286" s="16"/>
      <c r="AN286" s="16" t="s">
        <v>163</v>
      </c>
      <c r="AO286" s="60">
        <f>+AM286*5</f>
        <v>0</v>
      </c>
    </row>
    <row r="287" spans="1:41" x14ac:dyDescent="0.25">
      <c r="A287" s="143">
        <v>3</v>
      </c>
      <c r="B287" s="92">
        <v>45261</v>
      </c>
      <c r="C287" s="23">
        <v>0.5625</v>
      </c>
      <c r="D287" s="31" t="s">
        <v>3096</v>
      </c>
      <c r="E287" s="32">
        <v>5546392505</v>
      </c>
      <c r="F287" s="32"/>
      <c r="G287" s="32">
        <v>844</v>
      </c>
      <c r="H287" s="39" t="s">
        <v>3097</v>
      </c>
      <c r="I287" s="122"/>
      <c r="J287" s="32">
        <v>85</v>
      </c>
      <c r="K287" s="20">
        <v>12</v>
      </c>
      <c r="L287" s="21">
        <v>5</v>
      </c>
      <c r="M287" s="21">
        <f t="shared" si="45"/>
        <v>97</v>
      </c>
      <c r="N287" s="21">
        <f t="shared" si="46"/>
        <v>-97</v>
      </c>
      <c r="O287" s="21">
        <v>90</v>
      </c>
      <c r="P287" s="21"/>
      <c r="Q287" s="5"/>
      <c r="R287" s="21">
        <v>200</v>
      </c>
      <c r="S287" s="16"/>
      <c r="T287" s="21">
        <f t="shared" si="47"/>
        <v>200</v>
      </c>
      <c r="U287" s="21">
        <v>150</v>
      </c>
      <c r="V287" s="78">
        <f t="shared" si="48"/>
        <v>40</v>
      </c>
      <c r="W287" s="140"/>
      <c r="X287" s="334"/>
      <c r="Y287" s="5"/>
      <c r="AC287">
        <v>1</v>
      </c>
      <c r="AD287" s="16" t="s">
        <v>164</v>
      </c>
      <c r="AE287" s="18">
        <f>+AC287*200</f>
        <v>200</v>
      </c>
      <c r="AG287">
        <v>1</v>
      </c>
      <c r="AH287" s="16" t="s">
        <v>164</v>
      </c>
      <c r="AI287" s="18">
        <f>+AG287*200</f>
        <v>200</v>
      </c>
      <c r="AK287" s="16"/>
      <c r="AL287" s="16"/>
      <c r="AN287" s="16" t="s">
        <v>164</v>
      </c>
      <c r="AO287" s="18">
        <f>+AM287*200</f>
        <v>0</v>
      </c>
    </row>
    <row r="288" spans="1:41" x14ac:dyDescent="0.25">
      <c r="A288" s="41">
        <v>4</v>
      </c>
      <c r="B288" s="92">
        <v>45261</v>
      </c>
      <c r="C288" s="23">
        <v>0.56944444444444442</v>
      </c>
      <c r="D288" s="31" t="s">
        <v>119</v>
      </c>
      <c r="E288" s="32">
        <v>5610020620</v>
      </c>
      <c r="F288" s="32"/>
      <c r="G288" s="32" t="s">
        <v>1199</v>
      </c>
      <c r="H288" s="39" t="s">
        <v>3098</v>
      </c>
      <c r="I288" s="122"/>
      <c r="J288" s="32">
        <v>65</v>
      </c>
      <c r="K288" s="20">
        <v>10</v>
      </c>
      <c r="L288" s="21"/>
      <c r="M288" s="21">
        <f t="shared" si="45"/>
        <v>75</v>
      </c>
      <c r="N288" s="21">
        <f t="shared" si="46"/>
        <v>-75</v>
      </c>
      <c r="O288" s="21"/>
      <c r="P288" s="21"/>
      <c r="Q288" s="5"/>
      <c r="R288" s="21">
        <v>100</v>
      </c>
      <c r="S288" s="16"/>
      <c r="T288" s="21">
        <f t="shared" si="47"/>
        <v>100</v>
      </c>
      <c r="U288" s="21"/>
      <c r="V288" s="78">
        <f t="shared" si="48"/>
        <v>-100</v>
      </c>
      <c r="W288" s="140"/>
      <c r="X288" s="334"/>
      <c r="Y288" s="5"/>
      <c r="AD288" s="16" t="s">
        <v>165</v>
      </c>
      <c r="AE288" s="18">
        <f>+AC288*100</f>
        <v>0</v>
      </c>
      <c r="AG288">
        <v>1</v>
      </c>
      <c r="AH288" s="16" t="s">
        <v>165</v>
      </c>
      <c r="AI288" s="18">
        <f>+AG288*100</f>
        <v>100</v>
      </c>
      <c r="AK288" s="16"/>
      <c r="AL288" s="16"/>
      <c r="AN288" s="16" t="s">
        <v>165</v>
      </c>
      <c r="AO288" s="18">
        <f>+AM288*100</f>
        <v>0</v>
      </c>
    </row>
    <row r="289" spans="1:41" x14ac:dyDescent="0.25">
      <c r="A289" s="143">
        <v>5</v>
      </c>
      <c r="B289" s="92">
        <v>45261</v>
      </c>
      <c r="C289" s="23">
        <v>0.19444444444444445</v>
      </c>
      <c r="D289" s="31" t="s">
        <v>3122</v>
      </c>
      <c r="E289" s="32">
        <v>5541902669</v>
      </c>
      <c r="F289" s="32" t="s">
        <v>2939</v>
      </c>
      <c r="G289" s="32" t="s">
        <v>3010</v>
      </c>
      <c r="H289" s="32" t="s">
        <v>3128</v>
      </c>
      <c r="I289" s="122">
        <v>100</v>
      </c>
      <c r="J289" s="32">
        <v>70</v>
      </c>
      <c r="K289" s="20">
        <v>10</v>
      </c>
      <c r="L289" s="21">
        <v>10</v>
      </c>
      <c r="M289" s="21">
        <f t="shared" si="45"/>
        <v>80</v>
      </c>
      <c r="N289" s="21">
        <f t="shared" si="46"/>
        <v>20</v>
      </c>
      <c r="O289" s="21"/>
      <c r="P289" s="21"/>
      <c r="Q289" s="5"/>
      <c r="R289" s="16"/>
      <c r="S289" s="16"/>
      <c r="T289" s="21">
        <f t="shared" si="47"/>
        <v>0</v>
      </c>
      <c r="U289" s="21"/>
      <c r="V289" s="78">
        <f t="shared" si="48"/>
        <v>0</v>
      </c>
      <c r="W289" s="140"/>
      <c r="X289" s="334"/>
      <c r="Y289" s="5"/>
      <c r="AD289" s="16" t="s">
        <v>166</v>
      </c>
      <c r="AE289" s="18">
        <f>+AC289*50</f>
        <v>0</v>
      </c>
      <c r="AG289">
        <v>1</v>
      </c>
      <c r="AH289" s="16" t="s">
        <v>166</v>
      </c>
      <c r="AI289" s="18">
        <f>+AG289*50</f>
        <v>50</v>
      </c>
      <c r="AK289" s="16"/>
      <c r="AL289" s="16"/>
      <c r="AN289" s="16" t="s">
        <v>166</v>
      </c>
      <c r="AO289" s="18">
        <f>+AM289*50</f>
        <v>0</v>
      </c>
    </row>
    <row r="290" spans="1:41" x14ac:dyDescent="0.25">
      <c r="A290" s="143">
        <v>6</v>
      </c>
      <c r="B290" s="92">
        <v>45261</v>
      </c>
      <c r="C290" s="23">
        <v>0.20833333333333334</v>
      </c>
      <c r="D290" s="31" t="s">
        <v>3123</v>
      </c>
      <c r="E290" s="32">
        <v>5511728082</v>
      </c>
      <c r="F290" s="32" t="s">
        <v>3125</v>
      </c>
      <c r="G290" s="32" t="s">
        <v>3126</v>
      </c>
      <c r="H290" s="39"/>
      <c r="I290" s="39">
        <v>300</v>
      </c>
      <c r="J290" s="42">
        <v>212</v>
      </c>
      <c r="K290" s="20">
        <v>12</v>
      </c>
      <c r="L290" s="21"/>
      <c r="M290" s="21">
        <f t="shared" si="45"/>
        <v>224</v>
      </c>
      <c r="N290" s="21">
        <f t="shared" si="46"/>
        <v>76</v>
      </c>
      <c r="O290" s="21"/>
      <c r="P290" s="21"/>
      <c r="Q290" s="5"/>
      <c r="R290" s="16"/>
      <c r="S290" s="16"/>
      <c r="T290" s="21">
        <f t="shared" si="47"/>
        <v>0</v>
      </c>
      <c r="U290" s="16"/>
      <c r="V290" s="78">
        <f t="shared" si="48"/>
        <v>0</v>
      </c>
      <c r="W290" s="140"/>
      <c r="X290" s="334"/>
      <c r="Y290" s="5"/>
      <c r="AD290" s="16" t="s">
        <v>167</v>
      </c>
      <c r="AE290" s="18">
        <f>+AC290*20</f>
        <v>0</v>
      </c>
      <c r="AG290">
        <v>2</v>
      </c>
      <c r="AH290" s="16" t="s">
        <v>167</v>
      </c>
      <c r="AI290" s="18">
        <f>+AG290*20</f>
        <v>40</v>
      </c>
      <c r="AK290" s="16"/>
      <c r="AL290" s="16"/>
      <c r="AN290" s="16" t="s">
        <v>167</v>
      </c>
      <c r="AO290" s="18">
        <f>+AM290*20</f>
        <v>0</v>
      </c>
    </row>
    <row r="291" spans="1:41" x14ac:dyDescent="0.25">
      <c r="A291" s="143">
        <v>7</v>
      </c>
      <c r="B291" s="92">
        <v>45261</v>
      </c>
      <c r="C291" s="23">
        <v>0.23611111111111113</v>
      </c>
      <c r="D291" s="31" t="s">
        <v>3124</v>
      </c>
      <c r="E291" s="32">
        <v>5531411320</v>
      </c>
      <c r="F291" s="32" t="s">
        <v>28</v>
      </c>
      <c r="G291" s="32" t="s">
        <v>3127</v>
      </c>
      <c r="H291" s="39" t="s">
        <v>3129</v>
      </c>
      <c r="I291" s="122">
        <v>100</v>
      </c>
      <c r="J291" s="42">
        <v>68</v>
      </c>
      <c r="K291" s="20">
        <v>10</v>
      </c>
      <c r="L291" s="21"/>
      <c r="M291" s="21">
        <f t="shared" si="45"/>
        <v>78</v>
      </c>
      <c r="N291" s="21">
        <f t="shared" si="46"/>
        <v>22</v>
      </c>
      <c r="O291" s="21"/>
      <c r="P291" s="21"/>
      <c r="Q291" s="5"/>
      <c r="R291" s="16"/>
      <c r="S291" s="16"/>
      <c r="T291" s="21">
        <f t="shared" si="47"/>
        <v>0</v>
      </c>
      <c r="U291" s="16"/>
      <c r="V291" s="78">
        <f t="shared" si="48"/>
        <v>0</v>
      </c>
      <c r="W291" s="140"/>
      <c r="X291" s="334"/>
      <c r="Y291" s="5"/>
      <c r="AD291" s="16" t="s">
        <v>171</v>
      </c>
      <c r="AE291" s="18">
        <f>+AC291*500</f>
        <v>0</v>
      </c>
      <c r="AH291" s="16" t="s">
        <v>171</v>
      </c>
      <c r="AI291" s="18">
        <f>+AG291*500</f>
        <v>0</v>
      </c>
      <c r="AK291" s="16"/>
      <c r="AL291" s="16"/>
      <c r="AN291" s="16" t="s">
        <v>171</v>
      </c>
      <c r="AO291" s="18">
        <f>+AM291*500</f>
        <v>0</v>
      </c>
    </row>
    <row r="292" spans="1:41" x14ac:dyDescent="0.25">
      <c r="A292" s="143">
        <v>8</v>
      </c>
      <c r="B292" s="92">
        <v>45261</v>
      </c>
      <c r="C292" s="23">
        <v>0.25694444444444448</v>
      </c>
      <c r="D292" s="31" t="s">
        <v>245</v>
      </c>
      <c r="E292" s="123"/>
      <c r="F292" s="123" t="s">
        <v>3125</v>
      </c>
      <c r="G292" s="123" t="s">
        <v>3130</v>
      </c>
      <c r="H292" s="39" t="s">
        <v>379</v>
      </c>
      <c r="I292" s="122">
        <v>100</v>
      </c>
      <c r="J292" s="32">
        <v>88</v>
      </c>
      <c r="K292" s="20">
        <v>10</v>
      </c>
      <c r="L292" s="21"/>
      <c r="M292" s="21">
        <f t="shared" si="45"/>
        <v>98</v>
      </c>
      <c r="N292" s="21">
        <f t="shared" si="46"/>
        <v>2</v>
      </c>
      <c r="O292" s="21"/>
      <c r="P292" s="21"/>
      <c r="Q292" s="5"/>
      <c r="R292" s="16"/>
      <c r="S292" s="16"/>
      <c r="T292" s="21">
        <f t="shared" si="47"/>
        <v>0</v>
      </c>
      <c r="U292" s="16"/>
      <c r="V292" s="78">
        <f t="shared" si="48"/>
        <v>0</v>
      </c>
      <c r="W292" s="140"/>
      <c r="X292" s="334"/>
      <c r="Y292" s="5"/>
      <c r="AD292" s="16" t="s">
        <v>168</v>
      </c>
      <c r="AE292" s="18">
        <f>+AC292*1000</f>
        <v>0</v>
      </c>
      <c r="AH292" s="16" t="s">
        <v>168</v>
      </c>
      <c r="AI292" s="18">
        <f>+AG292*1000</f>
        <v>0</v>
      </c>
      <c r="AK292" s="16"/>
      <c r="AL292" s="16"/>
      <c r="AN292" s="16" t="s">
        <v>168</v>
      </c>
      <c r="AO292" s="18">
        <f>+AM292*1000</f>
        <v>0</v>
      </c>
    </row>
    <row r="293" spans="1:41" x14ac:dyDescent="0.25">
      <c r="A293" s="143">
        <v>9</v>
      </c>
      <c r="B293" s="92">
        <v>45261</v>
      </c>
      <c r="C293" s="23">
        <v>0.29166666666666669</v>
      </c>
      <c r="D293" s="31" t="s">
        <v>2663</v>
      </c>
      <c r="E293" s="32"/>
      <c r="F293" s="32" t="s">
        <v>3131</v>
      </c>
      <c r="G293" s="32" t="s">
        <v>2975</v>
      </c>
      <c r="H293" s="39" t="s">
        <v>3132</v>
      </c>
      <c r="I293" s="39">
        <v>359</v>
      </c>
      <c r="J293" s="40">
        <v>303</v>
      </c>
      <c r="K293" s="20">
        <v>20</v>
      </c>
      <c r="L293" s="21">
        <v>46</v>
      </c>
      <c r="M293" s="21">
        <f t="shared" si="45"/>
        <v>323</v>
      </c>
      <c r="N293" s="21">
        <f t="shared" si="46"/>
        <v>36</v>
      </c>
      <c r="O293" s="21"/>
      <c r="P293" s="21"/>
      <c r="Q293" s="5"/>
      <c r="R293" s="16"/>
      <c r="S293" s="16"/>
      <c r="T293" s="21">
        <f t="shared" si="47"/>
        <v>0</v>
      </c>
      <c r="U293" s="16"/>
      <c r="V293" s="78">
        <f t="shared" si="48"/>
        <v>0</v>
      </c>
      <c r="W293" s="140"/>
      <c r="X293" s="334"/>
      <c r="Y293" s="5"/>
      <c r="AD293" s="26"/>
      <c r="AE293" s="58"/>
      <c r="AH293" s="26"/>
      <c r="AI293" s="58"/>
      <c r="AK293" s="16"/>
      <c r="AL293" s="16"/>
      <c r="AN293" s="26"/>
      <c r="AO293" s="58"/>
    </row>
    <row r="294" spans="1:41" x14ac:dyDescent="0.25">
      <c r="A294" s="143">
        <v>10</v>
      </c>
      <c r="B294" s="92">
        <v>45261</v>
      </c>
      <c r="C294" s="23">
        <v>0.36736111111111108</v>
      </c>
      <c r="D294" s="31" t="s">
        <v>3133</v>
      </c>
      <c r="E294" s="32"/>
      <c r="F294" s="32" t="s">
        <v>52</v>
      </c>
      <c r="G294" s="32" t="s">
        <v>3134</v>
      </c>
      <c r="H294" s="39" t="s">
        <v>3135</v>
      </c>
      <c r="I294" s="122">
        <v>260</v>
      </c>
      <c r="J294" s="42">
        <v>246</v>
      </c>
      <c r="K294" s="20">
        <v>14</v>
      </c>
      <c r="L294" s="21"/>
      <c r="M294" s="21">
        <f t="shared" si="45"/>
        <v>260</v>
      </c>
      <c r="N294" s="21">
        <f t="shared" si="46"/>
        <v>0</v>
      </c>
      <c r="O294" s="21"/>
      <c r="P294" s="21"/>
      <c r="Q294" s="5"/>
      <c r="R294" s="16"/>
      <c r="S294" s="16"/>
      <c r="T294" s="21">
        <f t="shared" si="47"/>
        <v>0</v>
      </c>
      <c r="U294" s="16"/>
      <c r="V294" s="78">
        <f t="shared" si="48"/>
        <v>0</v>
      </c>
      <c r="W294" s="140"/>
      <c r="X294" s="334"/>
      <c r="Y294" s="5"/>
      <c r="AD294" s="16" t="s">
        <v>169</v>
      </c>
      <c r="AE294" s="18">
        <f>SUM(AE284:AE293)</f>
        <v>370.5</v>
      </c>
      <c r="AH294" s="16" t="s">
        <v>169</v>
      </c>
      <c r="AI294" s="18">
        <f>SUM(AI284:AI293)</f>
        <v>676</v>
      </c>
      <c r="AK294" s="16"/>
      <c r="AL294" s="16"/>
      <c r="AN294" s="16" t="s">
        <v>169</v>
      </c>
      <c r="AO294" s="18"/>
    </row>
    <row r="295" spans="1:41" x14ac:dyDescent="0.25">
      <c r="A295" s="143">
        <v>11</v>
      </c>
      <c r="B295" s="92">
        <v>45261</v>
      </c>
      <c r="C295" s="23">
        <v>0.375</v>
      </c>
      <c r="D295" s="31" t="s">
        <v>105</v>
      </c>
      <c r="E295" s="124"/>
      <c r="F295" s="123"/>
      <c r="G295" s="123" t="s">
        <v>269</v>
      </c>
      <c r="H295" s="39" t="s">
        <v>3136</v>
      </c>
      <c r="I295" s="122">
        <v>100</v>
      </c>
      <c r="J295" s="42">
        <v>69</v>
      </c>
      <c r="K295" s="20">
        <v>10</v>
      </c>
      <c r="L295" s="21">
        <v>19</v>
      </c>
      <c r="M295" s="21">
        <f t="shared" si="45"/>
        <v>79</v>
      </c>
      <c r="N295" s="21">
        <f t="shared" si="46"/>
        <v>21</v>
      </c>
      <c r="O295" s="21"/>
      <c r="P295" s="21"/>
      <c r="Q295" s="5"/>
      <c r="R295" s="16"/>
      <c r="S295" s="16"/>
      <c r="T295" s="21">
        <f t="shared" si="47"/>
        <v>0</v>
      </c>
      <c r="U295" s="16"/>
      <c r="V295" s="78">
        <f t="shared" si="48"/>
        <v>0</v>
      </c>
      <c r="W295" s="140"/>
      <c r="X295" s="334"/>
      <c r="Y295" s="5"/>
      <c r="AE295">
        <v>514.5</v>
      </c>
      <c r="AK295" s="16"/>
      <c r="AL295" s="16"/>
      <c r="AN295" s="16"/>
      <c r="AO295" s="16"/>
    </row>
    <row r="296" spans="1:41" x14ac:dyDescent="0.25">
      <c r="A296" s="143">
        <v>12</v>
      </c>
      <c r="B296" s="92">
        <v>45261</v>
      </c>
      <c r="C296" s="23"/>
      <c r="D296" s="32"/>
      <c r="E296" s="32"/>
      <c r="F296" s="124"/>
      <c r="G296" s="123"/>
      <c r="H296" s="39"/>
      <c r="I296" s="39"/>
      <c r="J296" s="42"/>
      <c r="K296" s="20">
        <v>10</v>
      </c>
      <c r="L296" s="21"/>
      <c r="M296" s="21">
        <f t="shared" si="45"/>
        <v>10</v>
      </c>
      <c r="N296" s="21">
        <f t="shared" si="46"/>
        <v>-10</v>
      </c>
      <c r="O296" s="21"/>
      <c r="P296" s="21"/>
      <c r="Q296" s="5"/>
      <c r="R296" s="45"/>
      <c r="S296" s="44"/>
      <c r="T296" s="21">
        <f t="shared" si="47"/>
        <v>0</v>
      </c>
      <c r="U296" s="45"/>
      <c r="V296" s="78">
        <f t="shared" si="48"/>
        <v>0</v>
      </c>
      <c r="W296" s="140"/>
      <c r="X296" s="334"/>
      <c r="Y296" s="5"/>
      <c r="AK296" s="63" t="s">
        <v>169</v>
      </c>
      <c r="AL296" s="63">
        <f>+SUM(AK285:AK295)-SUM(AL285:AL295)</f>
        <v>0</v>
      </c>
      <c r="AN296" s="63" t="s">
        <v>169</v>
      </c>
      <c r="AO296" s="85">
        <f>+SUM(AN284:AN295)-SUM(AO285:AO295)</f>
        <v>0</v>
      </c>
    </row>
    <row r="297" spans="1:41" x14ac:dyDescent="0.25">
      <c r="A297" s="143">
        <v>13</v>
      </c>
      <c r="B297" s="92">
        <v>45261</v>
      </c>
      <c r="C297" s="23"/>
      <c r="D297" s="31"/>
      <c r="E297" s="32"/>
      <c r="F297" s="32"/>
      <c r="G297" s="32"/>
      <c r="H297" s="39"/>
      <c r="I297" s="39"/>
      <c r="J297" s="42"/>
      <c r="K297" s="108">
        <v>10</v>
      </c>
      <c r="L297" s="21"/>
      <c r="M297" s="21">
        <f t="shared" si="45"/>
        <v>10</v>
      </c>
      <c r="N297" s="21">
        <f t="shared" si="46"/>
        <v>-10</v>
      </c>
      <c r="O297" s="21"/>
      <c r="P297" s="21"/>
      <c r="Q297" s="5"/>
      <c r="R297" s="43"/>
      <c r="S297" s="32"/>
      <c r="T297" s="21">
        <f t="shared" si="47"/>
        <v>0</v>
      </c>
      <c r="U297" s="43"/>
      <c r="V297" s="78">
        <f t="shared" si="48"/>
        <v>0</v>
      </c>
      <c r="W297" s="140"/>
      <c r="X297" s="334"/>
      <c r="Y297" s="5"/>
      <c r="AI297" s="83"/>
    </row>
    <row r="298" spans="1:41" x14ac:dyDescent="0.25">
      <c r="A298" s="143">
        <v>14</v>
      </c>
      <c r="B298" s="92">
        <v>45261</v>
      </c>
      <c r="C298" s="23"/>
      <c r="D298" s="31"/>
      <c r="E298" s="32"/>
      <c r="F298" s="32"/>
      <c r="G298" s="32"/>
      <c r="H298" s="39"/>
      <c r="I298" s="39"/>
      <c r="J298" s="42"/>
      <c r="K298" s="108">
        <v>10</v>
      </c>
      <c r="L298" s="21"/>
      <c r="M298" s="21">
        <f t="shared" si="45"/>
        <v>10</v>
      </c>
      <c r="N298" s="21">
        <f t="shared" si="46"/>
        <v>-10</v>
      </c>
      <c r="O298" s="21"/>
      <c r="P298" s="21"/>
      <c r="Q298" s="5"/>
      <c r="R298" s="43"/>
      <c r="S298" s="43"/>
      <c r="T298" s="21">
        <f t="shared" si="47"/>
        <v>0</v>
      </c>
      <c r="U298" s="43"/>
      <c r="V298" s="78">
        <f t="shared" si="48"/>
        <v>0</v>
      </c>
      <c r="W298" s="140"/>
      <c r="X298" s="334"/>
      <c r="Y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</row>
    <row r="299" spans="1:41" x14ac:dyDescent="0.25">
      <c r="A299" s="143">
        <v>15</v>
      </c>
      <c r="B299" s="92">
        <v>45261</v>
      </c>
      <c r="C299" s="23"/>
      <c r="D299" s="127"/>
      <c r="E299" s="32"/>
      <c r="F299" s="32"/>
      <c r="G299" s="128"/>
      <c r="H299" s="129"/>
      <c r="I299" s="39"/>
      <c r="J299" s="42"/>
      <c r="K299" s="108">
        <v>10</v>
      </c>
      <c r="L299" s="21"/>
      <c r="M299" s="21">
        <f t="shared" si="45"/>
        <v>10</v>
      </c>
      <c r="N299" s="21">
        <f t="shared" si="46"/>
        <v>-10</v>
      </c>
      <c r="O299" s="21"/>
      <c r="P299" s="21"/>
      <c r="Q299" s="5"/>
      <c r="R299" s="43"/>
      <c r="S299" s="43"/>
      <c r="T299" s="21">
        <f t="shared" si="47"/>
        <v>0</v>
      </c>
      <c r="U299" s="43"/>
      <c r="V299" s="78">
        <f t="shared" si="48"/>
        <v>0</v>
      </c>
      <c r="W299" s="140"/>
      <c r="X299" s="334"/>
      <c r="Y299" s="5"/>
      <c r="AD299" s="5"/>
      <c r="AE299" s="134" t="s">
        <v>20</v>
      </c>
      <c r="AF299" s="338"/>
      <c r="AG299" s="341" t="s">
        <v>686</v>
      </c>
      <c r="AH299" s="134" t="s">
        <v>20</v>
      </c>
      <c r="AI299" s="338">
        <v>52</v>
      </c>
      <c r="AJ299" s="341" t="s">
        <v>687</v>
      </c>
      <c r="AK299" s="134" t="s">
        <v>20</v>
      </c>
      <c r="AL299" s="338"/>
      <c r="AM299" s="5"/>
    </row>
    <row r="300" spans="1:41" x14ac:dyDescent="0.25">
      <c r="A300" s="143">
        <v>16</v>
      </c>
      <c r="B300" s="92">
        <v>45261</v>
      </c>
      <c r="C300" s="23"/>
      <c r="D300" s="31"/>
      <c r="E300" s="32"/>
      <c r="F300" s="32"/>
      <c r="G300" s="32"/>
      <c r="H300" s="39"/>
      <c r="I300" s="39"/>
      <c r="J300" s="42"/>
      <c r="K300" s="43">
        <v>10</v>
      </c>
      <c r="L300" s="21"/>
      <c r="M300" s="21">
        <f t="shared" si="45"/>
        <v>10</v>
      </c>
      <c r="N300" s="21">
        <f t="shared" si="46"/>
        <v>-10</v>
      </c>
      <c r="O300" s="21"/>
      <c r="P300" s="21"/>
      <c r="Q300" s="5"/>
      <c r="R300" s="43"/>
      <c r="S300" s="32"/>
      <c r="T300" s="21">
        <f t="shared" si="47"/>
        <v>0</v>
      </c>
      <c r="U300" s="131"/>
      <c r="V300" s="78">
        <f t="shared" si="48"/>
        <v>0</v>
      </c>
      <c r="W300" s="140"/>
      <c r="X300" s="334"/>
      <c r="Y300" s="5"/>
      <c r="AD300" s="5" t="s">
        <v>685</v>
      </c>
      <c r="AE300" s="115" t="s">
        <v>684</v>
      </c>
      <c r="AF300" s="339"/>
      <c r="AG300" s="341"/>
      <c r="AH300" s="115" t="s">
        <v>684</v>
      </c>
      <c r="AI300" s="339"/>
      <c r="AJ300" s="341"/>
      <c r="AK300" s="115" t="s">
        <v>684</v>
      </c>
      <c r="AL300" s="339"/>
      <c r="AM300" s="5"/>
    </row>
    <row r="301" spans="1:41" x14ac:dyDescent="0.25">
      <c r="A301" s="143">
        <v>17</v>
      </c>
      <c r="B301" s="92">
        <v>45261</v>
      </c>
      <c r="C301" s="23"/>
      <c r="D301" s="31"/>
      <c r="E301" s="32"/>
      <c r="F301" s="32"/>
      <c r="G301" s="32"/>
      <c r="H301" s="39"/>
      <c r="I301" s="39"/>
      <c r="J301" s="42"/>
      <c r="K301" s="43">
        <v>10</v>
      </c>
      <c r="L301" s="21"/>
      <c r="M301" s="21">
        <f t="shared" si="45"/>
        <v>10</v>
      </c>
      <c r="N301" s="21">
        <f t="shared" si="46"/>
        <v>-10</v>
      </c>
      <c r="O301" s="21"/>
      <c r="P301" s="21"/>
      <c r="Q301" s="5"/>
      <c r="R301" s="43"/>
      <c r="S301" s="32"/>
      <c r="T301" s="21">
        <f t="shared" si="47"/>
        <v>0</v>
      </c>
      <c r="U301" s="132"/>
      <c r="V301" s="78">
        <f t="shared" si="48"/>
        <v>0</v>
      </c>
      <c r="W301" s="140"/>
      <c r="X301" s="340"/>
      <c r="Y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</row>
    <row r="302" spans="1:41" x14ac:dyDescent="0.25">
      <c r="A302" s="143">
        <v>18</v>
      </c>
      <c r="B302" s="92">
        <v>45261</v>
      </c>
      <c r="C302" s="32"/>
      <c r="D302" s="31"/>
      <c r="E302" s="32"/>
      <c r="F302" s="32"/>
      <c r="G302" s="32"/>
      <c r="H302" s="39"/>
      <c r="I302" s="39"/>
      <c r="J302" s="42"/>
      <c r="K302" s="43">
        <v>10</v>
      </c>
      <c r="L302" s="21"/>
      <c r="M302" s="21">
        <f t="shared" si="45"/>
        <v>10</v>
      </c>
      <c r="N302" s="21">
        <f t="shared" si="46"/>
        <v>-10</v>
      </c>
      <c r="O302" s="21"/>
      <c r="P302" s="21"/>
      <c r="Q302" s="5"/>
      <c r="R302" s="135"/>
      <c r="S302" s="104"/>
      <c r="T302" s="21">
        <f t="shared" si="47"/>
        <v>0</v>
      </c>
      <c r="U302" s="131"/>
      <c r="V302" s="78">
        <f t="shared" si="48"/>
        <v>0</v>
      </c>
      <c r="W302" s="140"/>
      <c r="Y302" s="5"/>
    </row>
    <row r="303" spans="1:41" x14ac:dyDescent="0.25">
      <c r="A303" s="143">
        <v>19</v>
      </c>
      <c r="B303" s="92">
        <v>45261</v>
      </c>
      <c r="C303" s="32"/>
      <c r="D303" s="31"/>
      <c r="E303" s="32"/>
      <c r="F303" s="32"/>
      <c r="G303" s="32"/>
      <c r="H303" s="39"/>
      <c r="I303" s="39"/>
      <c r="J303" s="42"/>
      <c r="K303" s="43">
        <v>10</v>
      </c>
      <c r="L303" s="21"/>
      <c r="M303" s="21">
        <f t="shared" si="45"/>
        <v>10</v>
      </c>
      <c r="N303" s="21">
        <f t="shared" si="46"/>
        <v>-10</v>
      </c>
      <c r="O303" s="21"/>
      <c r="P303" s="21"/>
      <c r="Q303" s="5"/>
      <c r="R303" s="32"/>
      <c r="S303" s="32"/>
      <c r="T303" s="21">
        <f t="shared" si="47"/>
        <v>0</v>
      </c>
      <c r="U303" s="32"/>
      <c r="V303" s="78">
        <f t="shared" si="48"/>
        <v>0</v>
      </c>
      <c r="W303" s="140"/>
      <c r="Y303" s="5"/>
    </row>
    <row r="304" spans="1:4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141"/>
      <c r="X304" s="5"/>
      <c r="Y304" s="5"/>
    </row>
    <row r="305" spans="1:41" x14ac:dyDescent="0.25">
      <c r="I305" t="s">
        <v>3164</v>
      </c>
      <c r="J305">
        <f>SUM(J285:J295)</f>
        <v>1474</v>
      </c>
    </row>
    <row r="308" spans="1:41" x14ac:dyDescent="0.25">
      <c r="I308">
        <v>332</v>
      </c>
      <c r="J308">
        <f>332-500</f>
        <v>-168</v>
      </c>
      <c r="K308">
        <v>322</v>
      </c>
      <c r="L308">
        <f>+K308+J308</f>
        <v>154</v>
      </c>
    </row>
    <row r="309" spans="1:41" x14ac:dyDescent="0.25">
      <c r="J309" s="83">
        <f>+J308+J318</f>
        <v>-113</v>
      </c>
    </row>
    <row r="311" spans="1:41" x14ac:dyDescent="0.25">
      <c r="A311" s="1" t="s">
        <v>0</v>
      </c>
      <c r="B311" s="1"/>
      <c r="C311" s="1"/>
      <c r="D311" s="1"/>
      <c r="E311" s="1"/>
      <c r="F311" s="1"/>
      <c r="G311" s="1"/>
      <c r="H311" s="1"/>
      <c r="I311" s="1"/>
      <c r="J311" s="1" t="s">
        <v>148</v>
      </c>
      <c r="K311" s="1"/>
      <c r="L311" s="1"/>
      <c r="M311" s="1"/>
      <c r="N311" s="1"/>
      <c r="O311" s="1"/>
      <c r="P311" s="1"/>
      <c r="Q311" s="1"/>
      <c r="R311" s="1"/>
      <c r="S311" s="1"/>
      <c r="T311" s="342" t="s">
        <v>1</v>
      </c>
      <c r="U311" s="342"/>
      <c r="V311" s="5"/>
      <c r="W311" s="139"/>
      <c r="X311" s="1"/>
      <c r="Y311" s="5"/>
      <c r="AD311" s="335" t="s">
        <v>160</v>
      </c>
      <c r="AE311" s="336"/>
      <c r="AH311" s="335" t="s">
        <v>170</v>
      </c>
      <c r="AI311" s="336"/>
      <c r="AK311" s="337" t="s">
        <v>172</v>
      </c>
      <c r="AL311" s="337"/>
      <c r="AN311" s="337" t="s">
        <v>681</v>
      </c>
      <c r="AO311" s="337"/>
    </row>
    <row r="312" spans="1:41" ht="90" x14ac:dyDescent="0.25">
      <c r="A312" s="6" t="s">
        <v>2</v>
      </c>
      <c r="B312" s="7" t="s">
        <v>3</v>
      </c>
      <c r="C312" s="245" t="s">
        <v>688</v>
      </c>
      <c r="D312" s="7" t="s">
        <v>4</v>
      </c>
      <c r="E312" s="6" t="s">
        <v>5</v>
      </c>
      <c r="F312" s="6" t="s">
        <v>6</v>
      </c>
      <c r="G312" s="6" t="s">
        <v>7</v>
      </c>
      <c r="H312" s="6" t="s">
        <v>8</v>
      </c>
      <c r="I312" s="8" t="s">
        <v>9</v>
      </c>
      <c r="J312" s="9" t="s">
        <v>10</v>
      </c>
      <c r="K312" s="8" t="s">
        <v>11</v>
      </c>
      <c r="L312" s="10" t="s">
        <v>12</v>
      </c>
      <c r="M312" s="10" t="s">
        <v>13</v>
      </c>
      <c r="N312" s="11" t="s">
        <v>14</v>
      </c>
      <c r="O312" s="10" t="s">
        <v>691</v>
      </c>
      <c r="P312" s="10" t="s">
        <v>28</v>
      </c>
      <c r="Q312" s="5"/>
      <c r="R312" s="10" t="s">
        <v>16</v>
      </c>
      <c r="S312" s="10" t="s">
        <v>17</v>
      </c>
      <c r="T312" s="10" t="s">
        <v>18</v>
      </c>
      <c r="U312" s="10" t="s">
        <v>19</v>
      </c>
      <c r="V312" s="10" t="s">
        <v>20</v>
      </c>
      <c r="W312" s="13"/>
      <c r="X312" s="15" t="s">
        <v>23</v>
      </c>
      <c r="Y312" s="5"/>
      <c r="AA312" s="251" t="s">
        <v>2554</v>
      </c>
      <c r="AD312" s="16" t="s">
        <v>161</v>
      </c>
      <c r="AE312" s="58">
        <f>+AC312*10</f>
        <v>0</v>
      </c>
      <c r="AG312">
        <v>8</v>
      </c>
      <c r="AH312" s="16" t="s">
        <v>161</v>
      </c>
      <c r="AI312" s="58">
        <f>+AG312*10</f>
        <v>80</v>
      </c>
      <c r="AK312" s="61" t="s">
        <v>173</v>
      </c>
      <c r="AL312" s="62" t="s">
        <v>174</v>
      </c>
      <c r="AN312" s="16" t="s">
        <v>161</v>
      </c>
      <c r="AO312" s="58">
        <f>+AM312*10</f>
        <v>0</v>
      </c>
    </row>
    <row r="313" spans="1:41" x14ac:dyDescent="0.25">
      <c r="A313" s="16">
        <v>1</v>
      </c>
      <c r="B313" s="92">
        <v>45262</v>
      </c>
      <c r="C313" s="23">
        <v>0.3888888888888889</v>
      </c>
      <c r="D313" s="31" t="s">
        <v>3104</v>
      </c>
      <c r="E313" s="32"/>
      <c r="F313" s="32" t="s">
        <v>1806</v>
      </c>
      <c r="G313" s="39" t="s">
        <v>3137</v>
      </c>
      <c r="H313" s="39" t="s">
        <v>3138</v>
      </c>
      <c r="I313" s="122">
        <v>200</v>
      </c>
      <c r="J313" s="32">
        <v>147</v>
      </c>
      <c r="K313" s="20">
        <v>14</v>
      </c>
      <c r="L313" s="21"/>
      <c r="M313" s="21">
        <f t="shared" ref="M313:M331" si="49">+J313+K313</f>
        <v>161</v>
      </c>
      <c r="N313" s="21">
        <f t="shared" ref="N313:N331" si="50">+I313-M313</f>
        <v>39</v>
      </c>
      <c r="O313" s="21"/>
      <c r="P313" s="21"/>
      <c r="Q313" s="5"/>
      <c r="R313" s="21"/>
      <c r="S313" s="16"/>
      <c r="T313" s="21">
        <f t="shared" ref="T313:T331" si="51">+R313+S313</f>
        <v>0</v>
      </c>
      <c r="U313" s="21">
        <v>14</v>
      </c>
      <c r="V313" s="78">
        <f>+U313-T313+O313+P313</f>
        <v>14</v>
      </c>
      <c r="W313" s="13"/>
      <c r="X313" s="333"/>
      <c r="Y313" s="5"/>
      <c r="AD313" s="59" t="s">
        <v>162</v>
      </c>
      <c r="AE313" s="18">
        <f>+AC313*1</f>
        <v>0</v>
      </c>
      <c r="AG313">
        <v>125</v>
      </c>
      <c r="AH313" s="59" t="s">
        <v>162</v>
      </c>
      <c r="AI313" s="18">
        <f>+AG313*1</f>
        <v>125</v>
      </c>
      <c r="AK313" s="16"/>
      <c r="AL313" s="16"/>
      <c r="AN313" s="59" t="s">
        <v>162</v>
      </c>
      <c r="AO313" s="18">
        <f>+AM313*1</f>
        <v>0</v>
      </c>
    </row>
    <row r="314" spans="1:41" x14ac:dyDescent="0.25">
      <c r="A314" s="26">
        <v>2</v>
      </c>
      <c r="B314" s="92">
        <v>45262</v>
      </c>
      <c r="C314" s="23">
        <v>0.375</v>
      </c>
      <c r="D314" s="31" t="s">
        <v>3139</v>
      </c>
      <c r="E314" s="32"/>
      <c r="F314" s="32" t="s">
        <v>2854</v>
      </c>
      <c r="G314" s="32" t="s">
        <v>2892</v>
      </c>
      <c r="H314" s="39" t="s">
        <v>2893</v>
      </c>
      <c r="I314" s="122">
        <v>29</v>
      </c>
      <c r="J314" s="32">
        <v>18</v>
      </c>
      <c r="K314" s="20">
        <v>11</v>
      </c>
      <c r="L314" s="21"/>
      <c r="M314" s="21">
        <f t="shared" si="49"/>
        <v>29</v>
      </c>
      <c r="N314" s="21">
        <f t="shared" si="50"/>
        <v>0</v>
      </c>
      <c r="O314" s="21"/>
      <c r="P314" s="21"/>
      <c r="Q314" s="5"/>
      <c r="R314" s="21"/>
      <c r="S314" s="16"/>
      <c r="T314" s="21">
        <f t="shared" si="51"/>
        <v>0</v>
      </c>
      <c r="U314" s="21">
        <v>11</v>
      </c>
      <c r="V314" s="78">
        <f t="shared" ref="V314:V331" si="52">+U314-T314+O314+P314</f>
        <v>11</v>
      </c>
      <c r="W314" s="140"/>
      <c r="X314" s="334"/>
      <c r="Y314" s="5"/>
      <c r="AD314" s="16" t="s">
        <v>163</v>
      </c>
      <c r="AE314" s="60">
        <f>+AC314*5</f>
        <v>0</v>
      </c>
      <c r="AG314">
        <v>30</v>
      </c>
      <c r="AH314" s="16" t="s">
        <v>163</v>
      </c>
      <c r="AI314" s="60">
        <f>+AG314*5</f>
        <v>150</v>
      </c>
      <c r="AK314" s="16"/>
      <c r="AL314" s="16"/>
      <c r="AN314" s="16" t="s">
        <v>163</v>
      </c>
      <c r="AO314" s="60">
        <f>+AM314*5</f>
        <v>0</v>
      </c>
    </row>
    <row r="315" spans="1:41" x14ac:dyDescent="0.25">
      <c r="A315" s="143">
        <v>3</v>
      </c>
      <c r="B315" s="92">
        <v>45262</v>
      </c>
      <c r="C315" s="23">
        <v>6.25E-2</v>
      </c>
      <c r="D315" s="31" t="s">
        <v>203</v>
      </c>
      <c r="E315" s="32">
        <v>5578861024</v>
      </c>
      <c r="F315" s="32" t="s">
        <v>3140</v>
      </c>
      <c r="G315" s="32"/>
      <c r="H315" s="39" t="s">
        <v>3141</v>
      </c>
      <c r="I315" s="122"/>
      <c r="J315" s="32">
        <v>256</v>
      </c>
      <c r="K315" s="20">
        <v>10</v>
      </c>
      <c r="L315" s="21">
        <v>19</v>
      </c>
      <c r="M315" s="21">
        <f t="shared" si="49"/>
        <v>266</v>
      </c>
      <c r="N315" s="21">
        <f t="shared" si="50"/>
        <v>-266</v>
      </c>
      <c r="O315" s="21"/>
      <c r="P315" s="21"/>
      <c r="Q315" s="5"/>
      <c r="R315" s="21">
        <v>300</v>
      </c>
      <c r="S315" s="16"/>
      <c r="T315" s="21">
        <f t="shared" si="51"/>
        <v>300</v>
      </c>
      <c r="U315" s="21">
        <v>329</v>
      </c>
      <c r="V315" s="78">
        <f t="shared" si="52"/>
        <v>29</v>
      </c>
      <c r="W315" s="140"/>
      <c r="X315" s="334"/>
      <c r="Y315" s="5"/>
      <c r="AD315" s="16" t="s">
        <v>164</v>
      </c>
      <c r="AE315" s="18">
        <f>+AC315*200</f>
        <v>0</v>
      </c>
      <c r="AG315">
        <v>1</v>
      </c>
      <c r="AH315" s="16" t="s">
        <v>164</v>
      </c>
      <c r="AI315" s="18">
        <f>+AG315*200</f>
        <v>200</v>
      </c>
      <c r="AK315" s="16"/>
      <c r="AL315" s="16"/>
      <c r="AN315" s="16" t="s">
        <v>164</v>
      </c>
      <c r="AO315" s="18">
        <f>+AM315*200</f>
        <v>0</v>
      </c>
    </row>
    <row r="316" spans="1:41" x14ac:dyDescent="0.25">
      <c r="A316" s="143">
        <v>4</v>
      </c>
      <c r="B316" s="92">
        <v>45262</v>
      </c>
      <c r="C316" s="23">
        <v>0.15277777777777776</v>
      </c>
      <c r="D316" s="31" t="s">
        <v>3142</v>
      </c>
      <c r="E316" s="32"/>
      <c r="F316" s="32" t="s">
        <v>41</v>
      </c>
      <c r="G316" s="32" t="s">
        <v>220</v>
      </c>
      <c r="H316" s="39" t="s">
        <v>3143</v>
      </c>
      <c r="I316" s="122">
        <v>500</v>
      </c>
      <c r="J316" s="32">
        <v>322</v>
      </c>
      <c r="K316" s="20">
        <v>10</v>
      </c>
      <c r="L316" s="21"/>
      <c r="M316" s="21">
        <f t="shared" si="49"/>
        <v>332</v>
      </c>
      <c r="N316" s="21">
        <f t="shared" si="50"/>
        <v>168</v>
      </c>
      <c r="O316" s="21"/>
      <c r="P316" s="21"/>
      <c r="Q316" s="5"/>
      <c r="R316" s="21">
        <v>900</v>
      </c>
      <c r="S316" s="16"/>
      <c r="T316" s="21">
        <f t="shared" si="51"/>
        <v>900</v>
      </c>
      <c r="U316" s="21">
        <f>500+607</f>
        <v>1107</v>
      </c>
      <c r="V316" s="78">
        <f t="shared" si="52"/>
        <v>207</v>
      </c>
      <c r="W316" s="140"/>
      <c r="X316" s="334"/>
      <c r="Y316" s="5"/>
      <c r="AD316" s="16" t="s">
        <v>165</v>
      </c>
      <c r="AE316" s="18">
        <f>+AC316*100</f>
        <v>0</v>
      </c>
      <c r="AG316">
        <v>0</v>
      </c>
      <c r="AH316" s="16" t="s">
        <v>165</v>
      </c>
      <c r="AI316" s="18">
        <f>+AG316*100</f>
        <v>0</v>
      </c>
      <c r="AK316" s="16"/>
      <c r="AL316" s="16"/>
      <c r="AN316" s="16" t="s">
        <v>165</v>
      </c>
      <c r="AO316" s="18">
        <f>+AM316*100</f>
        <v>0</v>
      </c>
    </row>
    <row r="317" spans="1:41" x14ac:dyDescent="0.25">
      <c r="A317" s="143">
        <v>5</v>
      </c>
      <c r="B317" s="92">
        <v>45262</v>
      </c>
      <c r="C317" s="23">
        <v>0.15902777777777777</v>
      </c>
      <c r="D317" s="31" t="s">
        <v>319</v>
      </c>
      <c r="E317" s="32"/>
      <c r="F317" s="32" t="s">
        <v>38</v>
      </c>
      <c r="G317" s="32" t="s">
        <v>61</v>
      </c>
      <c r="H317" s="32" t="s">
        <v>3144</v>
      </c>
      <c r="I317" s="122">
        <v>100</v>
      </c>
      <c r="J317" s="32">
        <v>60</v>
      </c>
      <c r="K317" s="20">
        <v>10</v>
      </c>
      <c r="L317" s="21"/>
      <c r="M317" s="21">
        <f t="shared" si="49"/>
        <v>70</v>
      </c>
      <c r="N317" s="21">
        <f t="shared" si="50"/>
        <v>30</v>
      </c>
      <c r="O317" s="21"/>
      <c r="P317" s="21"/>
      <c r="Q317" s="5"/>
      <c r="R317" s="16"/>
      <c r="S317" s="16"/>
      <c r="T317" s="21">
        <f t="shared" si="51"/>
        <v>0</v>
      </c>
      <c r="U317" s="21">
        <v>225</v>
      </c>
      <c r="V317" s="78">
        <f t="shared" si="52"/>
        <v>225</v>
      </c>
      <c r="W317" s="140"/>
      <c r="X317" s="334"/>
      <c r="Y317" s="5"/>
      <c r="AD317" s="16" t="s">
        <v>166</v>
      </c>
      <c r="AE317" s="18">
        <f>+AC317*50</f>
        <v>0</v>
      </c>
      <c r="AG317">
        <v>1</v>
      </c>
      <c r="AH317" s="16" t="s">
        <v>166</v>
      </c>
      <c r="AI317" s="18">
        <f>+AG317*50</f>
        <v>50</v>
      </c>
      <c r="AK317" s="16"/>
      <c r="AL317" s="16"/>
      <c r="AN317" s="16" t="s">
        <v>166</v>
      </c>
      <c r="AO317" s="18">
        <f>+AM317*50</f>
        <v>0</v>
      </c>
    </row>
    <row r="318" spans="1:41" x14ac:dyDescent="0.25">
      <c r="A318" s="143">
        <v>6</v>
      </c>
      <c r="B318" s="92">
        <v>45262</v>
      </c>
      <c r="C318" s="23">
        <v>4.49</v>
      </c>
      <c r="D318" s="31" t="s">
        <v>2383</v>
      </c>
      <c r="E318" s="32"/>
      <c r="F318" s="32" t="s">
        <v>52</v>
      </c>
      <c r="G318" s="32" t="s">
        <v>3147</v>
      </c>
      <c r="H318" s="39" t="s">
        <v>3145</v>
      </c>
      <c r="I318" s="39"/>
      <c r="J318" s="42">
        <v>55</v>
      </c>
      <c r="K318" s="20">
        <v>10</v>
      </c>
      <c r="L318" s="21"/>
      <c r="M318" s="21">
        <f t="shared" si="49"/>
        <v>65</v>
      </c>
      <c r="N318" s="21">
        <f t="shared" si="50"/>
        <v>-65</v>
      </c>
      <c r="O318" s="21"/>
      <c r="P318" s="21"/>
      <c r="Q318" s="5"/>
      <c r="R318" s="16"/>
      <c r="S318" s="16"/>
      <c r="T318" s="21">
        <f t="shared" si="51"/>
        <v>0</v>
      </c>
      <c r="U318" s="16"/>
      <c r="V318" s="78">
        <f t="shared" si="52"/>
        <v>0</v>
      </c>
      <c r="W318" s="140"/>
      <c r="X318" s="334"/>
      <c r="Y318" s="5"/>
      <c r="AD318" s="16" t="s">
        <v>167</v>
      </c>
      <c r="AE318" s="18">
        <f>+AC318*20</f>
        <v>0</v>
      </c>
      <c r="AH318" s="16" t="s">
        <v>167</v>
      </c>
      <c r="AI318" s="18">
        <f>+AG318*20</f>
        <v>0</v>
      </c>
      <c r="AK318" s="16"/>
      <c r="AL318" s="16"/>
      <c r="AN318" s="16" t="s">
        <v>167</v>
      </c>
      <c r="AO318" s="18">
        <f>+AM318*20</f>
        <v>0</v>
      </c>
    </row>
    <row r="319" spans="1:41" x14ac:dyDescent="0.25">
      <c r="A319" s="143">
        <v>7</v>
      </c>
      <c r="B319" s="92">
        <v>45262</v>
      </c>
      <c r="C319" s="23">
        <v>0.20833333333333334</v>
      </c>
      <c r="D319" s="31" t="s">
        <v>2391</v>
      </c>
      <c r="E319" s="32"/>
      <c r="F319" s="32" t="s">
        <v>41</v>
      </c>
      <c r="G319" s="32" t="s">
        <v>3148</v>
      </c>
      <c r="H319" s="39" t="s">
        <v>3146</v>
      </c>
      <c r="I319" s="122"/>
      <c r="J319" s="42">
        <v>322</v>
      </c>
      <c r="K319" s="20">
        <v>10</v>
      </c>
      <c r="L319" s="21"/>
      <c r="M319" s="21">
        <f t="shared" si="49"/>
        <v>332</v>
      </c>
      <c r="N319" s="21">
        <f t="shared" si="50"/>
        <v>-332</v>
      </c>
      <c r="O319" s="21"/>
      <c r="P319" s="21"/>
      <c r="Q319" s="5"/>
      <c r="R319" s="16"/>
      <c r="S319" s="16"/>
      <c r="T319" s="21">
        <f t="shared" si="51"/>
        <v>0</v>
      </c>
      <c r="U319" s="16"/>
      <c r="V319" s="78">
        <f t="shared" si="52"/>
        <v>0</v>
      </c>
      <c r="W319" s="140"/>
      <c r="X319" s="334"/>
      <c r="Y319" s="5"/>
      <c r="AD319" s="16" t="s">
        <v>171</v>
      </c>
      <c r="AE319" s="18">
        <f>+AC319*500</f>
        <v>0</v>
      </c>
      <c r="AG319">
        <v>1</v>
      </c>
      <c r="AH319" s="16" t="s">
        <v>171</v>
      </c>
      <c r="AI319" s="18">
        <f>+AG319*500</f>
        <v>500</v>
      </c>
      <c r="AK319" s="16"/>
      <c r="AL319" s="16"/>
      <c r="AN319" s="16" t="s">
        <v>171</v>
      </c>
      <c r="AO319" s="18">
        <f>+AM319*500</f>
        <v>0</v>
      </c>
    </row>
    <row r="320" spans="1:41" x14ac:dyDescent="0.25">
      <c r="A320" s="143">
        <v>8</v>
      </c>
      <c r="B320" s="92">
        <v>45262</v>
      </c>
      <c r="C320" s="23">
        <v>5.2</v>
      </c>
      <c r="D320" s="31" t="s">
        <v>319</v>
      </c>
      <c r="E320" s="123"/>
      <c r="F320" s="123" t="s">
        <v>3150</v>
      </c>
      <c r="G320" s="123" t="s">
        <v>319</v>
      </c>
      <c r="H320" s="39" t="s">
        <v>3149</v>
      </c>
      <c r="I320" s="122">
        <v>70</v>
      </c>
      <c r="J320" s="32">
        <v>60</v>
      </c>
      <c r="K320" s="20">
        <v>10</v>
      </c>
      <c r="L320" s="21"/>
      <c r="M320" s="21">
        <f t="shared" si="49"/>
        <v>70</v>
      </c>
      <c r="N320" s="21">
        <f t="shared" si="50"/>
        <v>0</v>
      </c>
      <c r="O320" s="21"/>
      <c r="P320" s="21"/>
      <c r="Q320" s="5"/>
      <c r="R320" s="16"/>
      <c r="S320" s="16"/>
      <c r="T320" s="21">
        <f t="shared" si="51"/>
        <v>0</v>
      </c>
      <c r="U320" s="16"/>
      <c r="V320" s="78">
        <f t="shared" si="52"/>
        <v>0</v>
      </c>
      <c r="W320" s="140"/>
      <c r="X320" s="334"/>
      <c r="Y320" s="5"/>
      <c r="AD320" s="16" t="s">
        <v>168</v>
      </c>
      <c r="AE320" s="18">
        <f>+AC320*1000</f>
        <v>0</v>
      </c>
      <c r="AH320" s="16" t="s">
        <v>168</v>
      </c>
      <c r="AI320" s="18">
        <f>+AG320*1000</f>
        <v>0</v>
      </c>
      <c r="AK320" s="16"/>
      <c r="AL320" s="16"/>
      <c r="AN320" s="16" t="s">
        <v>168</v>
      </c>
      <c r="AO320" s="18">
        <f>+AM320*1000</f>
        <v>0</v>
      </c>
    </row>
    <row r="321" spans="1:41" x14ac:dyDescent="0.25">
      <c r="A321" s="143">
        <v>9</v>
      </c>
      <c r="B321" s="92">
        <v>45262</v>
      </c>
      <c r="C321" s="23" t="s">
        <v>148</v>
      </c>
      <c r="D321" s="31" t="s">
        <v>119</v>
      </c>
      <c r="E321" s="32"/>
      <c r="F321" s="32" t="s">
        <v>145</v>
      </c>
      <c r="G321" s="32" t="s">
        <v>3155</v>
      </c>
      <c r="H321" s="39" t="s">
        <v>3151</v>
      </c>
      <c r="I321" s="39"/>
      <c r="J321" s="40">
        <v>193</v>
      </c>
      <c r="K321" s="20">
        <v>10</v>
      </c>
      <c r="L321" s="21"/>
      <c r="M321" s="21">
        <f t="shared" si="49"/>
        <v>203</v>
      </c>
      <c r="N321" s="21">
        <f t="shared" si="50"/>
        <v>-203</v>
      </c>
      <c r="O321" s="21"/>
      <c r="P321" s="21"/>
      <c r="Q321" s="5"/>
      <c r="R321" s="16"/>
      <c r="S321" s="16"/>
      <c r="T321" s="21">
        <f t="shared" si="51"/>
        <v>0</v>
      </c>
      <c r="U321" s="16"/>
      <c r="V321" s="78">
        <f t="shared" si="52"/>
        <v>0</v>
      </c>
      <c r="W321" s="140"/>
      <c r="X321" s="334"/>
      <c r="Y321" s="5"/>
      <c r="AD321" s="26"/>
      <c r="AE321" s="58"/>
      <c r="AH321" s="26"/>
      <c r="AI321" s="58"/>
      <c r="AK321" s="16"/>
      <c r="AL321" s="16"/>
      <c r="AN321" s="26"/>
      <c r="AO321" s="58"/>
    </row>
    <row r="322" spans="1:41" x14ac:dyDescent="0.25">
      <c r="A322" s="143">
        <v>10</v>
      </c>
      <c r="B322" s="92">
        <v>45262</v>
      </c>
      <c r="C322" s="23"/>
      <c r="D322" s="31"/>
      <c r="E322" s="32"/>
      <c r="F322" s="32" t="s">
        <v>145</v>
      </c>
      <c r="G322" s="32"/>
      <c r="H322" s="39" t="s">
        <v>3152</v>
      </c>
      <c r="I322" s="122"/>
      <c r="J322" s="42">
        <v>31</v>
      </c>
      <c r="K322" s="20">
        <v>10</v>
      </c>
      <c r="L322" s="21"/>
      <c r="M322" s="21">
        <f t="shared" si="49"/>
        <v>41</v>
      </c>
      <c r="N322" s="21">
        <f t="shared" si="50"/>
        <v>-41</v>
      </c>
      <c r="O322" s="21"/>
      <c r="P322" s="21"/>
      <c r="Q322" s="5"/>
      <c r="R322" s="16"/>
      <c r="S322" s="16"/>
      <c r="T322" s="21">
        <f t="shared" si="51"/>
        <v>0</v>
      </c>
      <c r="U322" s="16"/>
      <c r="V322" s="78">
        <f t="shared" si="52"/>
        <v>0</v>
      </c>
      <c r="W322" s="140"/>
      <c r="X322" s="334"/>
      <c r="Y322" s="5"/>
      <c r="AD322" s="16" t="s">
        <v>169</v>
      </c>
      <c r="AE322" s="18">
        <f>SUM(AE312:AE321)</f>
        <v>0</v>
      </c>
      <c r="AH322" s="16" t="s">
        <v>169</v>
      </c>
      <c r="AI322" s="18">
        <f>SUM(AI312:AI321)</f>
        <v>1105</v>
      </c>
      <c r="AK322" s="16"/>
      <c r="AL322" s="16"/>
      <c r="AN322" s="16" t="s">
        <v>169</v>
      </c>
      <c r="AO322" s="18"/>
    </row>
    <row r="323" spans="1:41" x14ac:dyDescent="0.25">
      <c r="A323" s="143">
        <v>11</v>
      </c>
      <c r="B323" s="92">
        <v>45262</v>
      </c>
      <c r="C323" s="23"/>
      <c r="D323" s="31" t="s">
        <v>141</v>
      </c>
      <c r="E323" s="124"/>
      <c r="F323" s="123" t="s">
        <v>145</v>
      </c>
      <c r="G323" s="123" t="s">
        <v>267</v>
      </c>
      <c r="H323" s="39" t="s">
        <v>3153</v>
      </c>
      <c r="I323" s="122"/>
      <c r="J323" s="42">
        <f>42*3</f>
        <v>126</v>
      </c>
      <c r="K323" s="20">
        <v>10</v>
      </c>
      <c r="L323" s="21"/>
      <c r="M323" s="21">
        <f t="shared" si="49"/>
        <v>136</v>
      </c>
      <c r="N323" s="21">
        <f t="shared" si="50"/>
        <v>-136</v>
      </c>
      <c r="O323" s="21"/>
      <c r="P323" s="21"/>
      <c r="Q323" s="5"/>
      <c r="R323" s="16"/>
      <c r="S323" s="16"/>
      <c r="T323" s="21">
        <f t="shared" si="51"/>
        <v>0</v>
      </c>
      <c r="U323" s="16"/>
      <c r="V323" s="78">
        <f t="shared" si="52"/>
        <v>0</v>
      </c>
      <c r="W323" s="140"/>
      <c r="X323" s="334"/>
      <c r="Y323" s="5"/>
      <c r="AE323">
        <v>589.5</v>
      </c>
      <c r="AK323" s="16"/>
      <c r="AL323" s="16"/>
      <c r="AN323" s="16"/>
      <c r="AO323" s="16"/>
    </row>
    <row r="324" spans="1:41" x14ac:dyDescent="0.25">
      <c r="A324" s="143">
        <v>12</v>
      </c>
      <c r="B324" s="92">
        <v>45262</v>
      </c>
      <c r="C324" s="23"/>
      <c r="D324" s="32" t="s">
        <v>2703</v>
      </c>
      <c r="E324" s="32"/>
      <c r="F324" s="124" t="s">
        <v>3156</v>
      </c>
      <c r="G324" s="123">
        <v>111</v>
      </c>
      <c r="H324" s="39" t="s">
        <v>3154</v>
      </c>
      <c r="I324" s="39"/>
      <c r="J324" s="42">
        <v>190</v>
      </c>
      <c r="K324" s="20">
        <v>10</v>
      </c>
      <c r="L324" s="21"/>
      <c r="M324" s="21">
        <f t="shared" si="49"/>
        <v>200</v>
      </c>
      <c r="N324" s="21">
        <f t="shared" si="50"/>
        <v>-200</v>
      </c>
      <c r="O324" s="21"/>
      <c r="P324" s="21"/>
      <c r="Q324" s="5"/>
      <c r="R324" s="45"/>
      <c r="S324" s="44"/>
      <c r="T324" s="21">
        <f t="shared" si="51"/>
        <v>0</v>
      </c>
      <c r="U324" s="45"/>
      <c r="V324" s="78">
        <f t="shared" si="52"/>
        <v>0</v>
      </c>
      <c r="W324" s="140"/>
      <c r="X324" s="334"/>
      <c r="Y324" s="5"/>
      <c r="AK324" s="63" t="s">
        <v>169</v>
      </c>
      <c r="AL324" s="63">
        <f>+SUM(AK313:AK323)-SUM(AL313:AL323)</f>
        <v>0</v>
      </c>
      <c r="AN324" s="63" t="s">
        <v>169</v>
      </c>
      <c r="AO324" s="85">
        <f>+SUM(AN312:AN323)-SUM(AO313:AO323)</f>
        <v>0</v>
      </c>
    </row>
    <row r="325" spans="1:41" x14ac:dyDescent="0.25">
      <c r="A325" s="143">
        <v>13</v>
      </c>
      <c r="B325" s="92">
        <v>45262</v>
      </c>
      <c r="C325" s="23"/>
      <c r="D325" s="31" t="s">
        <v>2281</v>
      </c>
      <c r="E325" s="32"/>
      <c r="F325" s="32" t="s">
        <v>3157</v>
      </c>
      <c r="G325" s="32"/>
      <c r="H325" s="39"/>
      <c r="I325" s="39">
        <v>488</v>
      </c>
      <c r="J325" s="42">
        <v>478</v>
      </c>
      <c r="K325" s="108">
        <v>10</v>
      </c>
      <c r="L325" s="21"/>
      <c r="M325" s="21">
        <f t="shared" si="49"/>
        <v>488</v>
      </c>
      <c r="N325" s="21">
        <f t="shared" si="50"/>
        <v>0</v>
      </c>
      <c r="O325" s="21"/>
      <c r="P325" s="21"/>
      <c r="Q325" s="5"/>
      <c r="R325" s="43"/>
      <c r="S325" s="32"/>
      <c r="T325" s="21">
        <f t="shared" si="51"/>
        <v>0</v>
      </c>
      <c r="U325" s="43"/>
      <c r="V325" s="78">
        <f t="shared" si="52"/>
        <v>0</v>
      </c>
      <c r="W325" s="140"/>
      <c r="X325" s="334"/>
      <c r="Y325" s="5"/>
      <c r="AI325" s="83"/>
    </row>
    <row r="326" spans="1:41" x14ac:dyDescent="0.25">
      <c r="A326" s="64">
        <v>14</v>
      </c>
      <c r="B326" s="92">
        <v>45262</v>
      </c>
      <c r="C326" s="23"/>
      <c r="D326" s="31" t="s">
        <v>245</v>
      </c>
      <c r="E326" s="32"/>
      <c r="F326" s="32" t="s">
        <v>3158</v>
      </c>
      <c r="G326" s="32"/>
      <c r="H326" s="39"/>
      <c r="I326" s="39">
        <v>250</v>
      </c>
      <c r="J326" s="42"/>
      <c r="K326" s="108">
        <v>10</v>
      </c>
      <c r="L326" s="21"/>
      <c r="M326" s="21">
        <f t="shared" si="49"/>
        <v>10</v>
      </c>
      <c r="N326" s="21">
        <f t="shared" si="50"/>
        <v>240</v>
      </c>
      <c r="O326" s="21"/>
      <c r="P326" s="21"/>
      <c r="Q326" s="5"/>
      <c r="R326" s="43"/>
      <c r="S326" s="43"/>
      <c r="T326" s="21">
        <f t="shared" si="51"/>
        <v>0</v>
      </c>
      <c r="U326" s="43"/>
      <c r="V326" s="78">
        <f t="shared" si="52"/>
        <v>0</v>
      </c>
      <c r="W326" s="140"/>
      <c r="X326" s="334"/>
      <c r="Y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</row>
    <row r="327" spans="1:41" x14ac:dyDescent="0.25">
      <c r="A327" s="143">
        <v>15</v>
      </c>
      <c r="B327" s="92">
        <v>45262</v>
      </c>
      <c r="C327" s="23"/>
      <c r="D327" s="127"/>
      <c r="E327" s="32"/>
      <c r="F327" s="32"/>
      <c r="G327" s="128"/>
      <c r="H327" s="129"/>
      <c r="I327" s="39"/>
      <c r="J327" s="42"/>
      <c r="K327" s="108">
        <v>10</v>
      </c>
      <c r="L327" s="21"/>
      <c r="M327" s="21">
        <f t="shared" si="49"/>
        <v>10</v>
      </c>
      <c r="N327" s="21">
        <f t="shared" si="50"/>
        <v>-10</v>
      </c>
      <c r="O327" s="21"/>
      <c r="P327" s="21"/>
      <c r="Q327" s="5"/>
      <c r="R327" s="43"/>
      <c r="S327" s="43"/>
      <c r="T327" s="21">
        <f t="shared" si="51"/>
        <v>0</v>
      </c>
      <c r="U327" s="43"/>
      <c r="V327" s="78">
        <f t="shared" si="52"/>
        <v>0</v>
      </c>
      <c r="W327" s="140"/>
      <c r="X327" s="334"/>
      <c r="Y327" s="5"/>
      <c r="AD327" s="5"/>
      <c r="AE327" s="134" t="s">
        <v>20</v>
      </c>
      <c r="AF327" s="338"/>
      <c r="AG327" s="341" t="s">
        <v>686</v>
      </c>
      <c r="AH327" s="134" t="s">
        <v>20</v>
      </c>
      <c r="AI327" s="338"/>
      <c r="AJ327" s="341" t="s">
        <v>687</v>
      </c>
      <c r="AK327" s="134" t="s">
        <v>20</v>
      </c>
      <c r="AL327" s="338"/>
      <c r="AM327" s="5"/>
    </row>
    <row r="328" spans="1:41" x14ac:dyDescent="0.25">
      <c r="A328" s="143">
        <v>16</v>
      </c>
      <c r="B328" s="92">
        <v>45262</v>
      </c>
      <c r="C328" s="23"/>
      <c r="D328" s="31"/>
      <c r="E328" s="32"/>
      <c r="F328" s="32"/>
      <c r="G328" s="32"/>
      <c r="H328" s="39"/>
      <c r="I328" s="39"/>
      <c r="J328" s="42"/>
      <c r="K328" s="43">
        <v>10</v>
      </c>
      <c r="L328" s="21"/>
      <c r="M328" s="21">
        <f t="shared" si="49"/>
        <v>10</v>
      </c>
      <c r="N328" s="21">
        <f t="shared" si="50"/>
        <v>-10</v>
      </c>
      <c r="O328" s="21"/>
      <c r="P328" s="21"/>
      <c r="Q328" s="5"/>
      <c r="R328" s="43"/>
      <c r="S328" s="32"/>
      <c r="T328" s="21">
        <f t="shared" si="51"/>
        <v>0</v>
      </c>
      <c r="U328" s="131"/>
      <c r="V328" s="78">
        <f t="shared" si="52"/>
        <v>0</v>
      </c>
      <c r="W328" s="140"/>
      <c r="X328" s="334"/>
      <c r="Y328" s="5"/>
      <c r="AD328" s="5" t="s">
        <v>685</v>
      </c>
      <c r="AE328" s="115" t="s">
        <v>684</v>
      </c>
      <c r="AF328" s="339"/>
      <c r="AG328" s="341"/>
      <c r="AH328" s="115" t="s">
        <v>684</v>
      </c>
      <c r="AI328" s="339"/>
      <c r="AJ328" s="341"/>
      <c r="AK328" s="115" t="s">
        <v>684</v>
      </c>
      <c r="AL328" s="339"/>
      <c r="AM328" s="5"/>
    </row>
    <row r="329" spans="1:41" x14ac:dyDescent="0.25">
      <c r="A329" s="143">
        <v>17</v>
      </c>
      <c r="B329" s="92">
        <v>45262</v>
      </c>
      <c r="C329" s="23"/>
      <c r="D329" s="31"/>
      <c r="E329" s="32"/>
      <c r="F329" s="32"/>
      <c r="G329" s="32"/>
      <c r="H329" s="39"/>
      <c r="I329" s="39"/>
      <c r="J329" s="42"/>
      <c r="K329" s="43">
        <v>10</v>
      </c>
      <c r="L329" s="21"/>
      <c r="M329" s="21">
        <f t="shared" si="49"/>
        <v>10</v>
      </c>
      <c r="N329" s="21">
        <f t="shared" si="50"/>
        <v>-10</v>
      </c>
      <c r="O329" s="21"/>
      <c r="P329" s="21"/>
      <c r="Q329" s="5"/>
      <c r="R329" s="43"/>
      <c r="S329" s="32"/>
      <c r="T329" s="21">
        <f t="shared" si="51"/>
        <v>0</v>
      </c>
      <c r="U329" s="132"/>
      <c r="V329" s="78">
        <f t="shared" si="52"/>
        <v>0</v>
      </c>
      <c r="W329" s="140"/>
      <c r="X329" s="340"/>
      <c r="Y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</row>
    <row r="330" spans="1:41" x14ac:dyDescent="0.25">
      <c r="A330" s="143">
        <v>18</v>
      </c>
      <c r="B330" s="92">
        <v>45262</v>
      </c>
      <c r="C330" s="32"/>
      <c r="D330" s="31"/>
      <c r="E330" s="32"/>
      <c r="F330" s="32"/>
      <c r="G330" s="32"/>
      <c r="H330" s="39"/>
      <c r="I330" s="39"/>
      <c r="J330" s="42"/>
      <c r="K330" s="43">
        <v>10</v>
      </c>
      <c r="L330" s="21"/>
      <c r="M330" s="21">
        <f t="shared" si="49"/>
        <v>10</v>
      </c>
      <c r="N330" s="21">
        <f t="shared" si="50"/>
        <v>-10</v>
      </c>
      <c r="O330" s="21"/>
      <c r="P330" s="21"/>
      <c r="Q330" s="5"/>
      <c r="R330" s="135"/>
      <c r="S330" s="104"/>
      <c r="T330" s="21">
        <f t="shared" si="51"/>
        <v>0</v>
      </c>
      <c r="U330" s="131"/>
      <c r="V330" s="78">
        <f t="shared" si="52"/>
        <v>0</v>
      </c>
      <c r="W330" s="140"/>
      <c r="Y330" s="5"/>
    </row>
    <row r="331" spans="1:41" x14ac:dyDescent="0.25">
      <c r="A331" s="143">
        <v>19</v>
      </c>
      <c r="B331" s="92">
        <v>45262</v>
      </c>
      <c r="C331" s="32"/>
      <c r="D331" s="31"/>
      <c r="E331" s="32"/>
      <c r="F331" s="32"/>
      <c r="G331" s="32"/>
      <c r="H331" s="39"/>
      <c r="I331" s="39"/>
      <c r="J331" s="42"/>
      <c r="K331" s="43">
        <v>10</v>
      </c>
      <c r="L331" s="21"/>
      <c r="M331" s="21">
        <f t="shared" si="49"/>
        <v>10</v>
      </c>
      <c r="N331" s="21">
        <f t="shared" si="50"/>
        <v>-10</v>
      </c>
      <c r="O331" s="21"/>
      <c r="P331" s="21"/>
      <c r="Q331" s="5"/>
      <c r="R331" s="32"/>
      <c r="S331" s="32"/>
      <c r="T331" s="21">
        <f t="shared" si="51"/>
        <v>0</v>
      </c>
      <c r="U331" s="32"/>
      <c r="V331" s="78">
        <f t="shared" si="52"/>
        <v>0</v>
      </c>
      <c r="W331" s="140"/>
      <c r="Y331" s="5"/>
    </row>
    <row r="332" spans="1:4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141"/>
      <c r="X332" s="5"/>
      <c r="Y332" s="5"/>
    </row>
    <row r="333" spans="1:41" x14ac:dyDescent="0.25">
      <c r="I333" t="s">
        <v>3164</v>
      </c>
      <c r="J333">
        <f>SUM(J313:J332)</f>
        <v>2258</v>
      </c>
    </row>
    <row r="338" spans="1:41" x14ac:dyDescent="0.25">
      <c r="A338" s="1" t="s">
        <v>0</v>
      </c>
      <c r="B338" s="1"/>
      <c r="C338" s="1"/>
      <c r="D338" s="1"/>
      <c r="E338" s="1"/>
      <c r="F338" s="1"/>
      <c r="G338" s="1"/>
      <c r="H338" s="1"/>
      <c r="I338" s="1"/>
      <c r="J338" s="1" t="s">
        <v>148</v>
      </c>
      <c r="K338" s="1"/>
      <c r="L338" s="1"/>
      <c r="M338" s="1"/>
      <c r="N338" s="1"/>
      <c r="O338" s="1"/>
      <c r="P338" s="1"/>
      <c r="Q338" s="1"/>
      <c r="R338" s="1"/>
      <c r="S338" s="1"/>
      <c r="T338" s="342" t="s">
        <v>1</v>
      </c>
      <c r="U338" s="342"/>
      <c r="V338" s="5"/>
      <c r="W338" s="139"/>
      <c r="X338" s="1"/>
      <c r="Y338" s="5"/>
      <c r="AD338" s="335" t="s">
        <v>160</v>
      </c>
      <c r="AE338" s="336"/>
      <c r="AH338" s="335" t="s">
        <v>170</v>
      </c>
      <c r="AI338" s="336"/>
      <c r="AK338" s="337" t="s">
        <v>172</v>
      </c>
      <c r="AL338" s="337"/>
      <c r="AN338" s="337" t="s">
        <v>681</v>
      </c>
      <c r="AO338" s="337"/>
    </row>
    <row r="339" spans="1:41" ht="90" x14ac:dyDescent="0.25">
      <c r="A339" s="6" t="s">
        <v>2</v>
      </c>
      <c r="B339" s="7" t="s">
        <v>3</v>
      </c>
      <c r="C339" s="245" t="s">
        <v>688</v>
      </c>
      <c r="D339" s="7" t="s">
        <v>4</v>
      </c>
      <c r="E339" s="6" t="s">
        <v>5</v>
      </c>
      <c r="F339" s="6" t="s">
        <v>6</v>
      </c>
      <c r="G339" s="6" t="s">
        <v>7</v>
      </c>
      <c r="H339" s="6" t="s">
        <v>8</v>
      </c>
      <c r="I339" s="8" t="s">
        <v>9</v>
      </c>
      <c r="J339" s="9" t="s">
        <v>10</v>
      </c>
      <c r="K339" s="8" t="s">
        <v>11</v>
      </c>
      <c r="L339" s="10" t="s">
        <v>12</v>
      </c>
      <c r="M339" s="10" t="s">
        <v>13</v>
      </c>
      <c r="N339" s="11" t="s">
        <v>14</v>
      </c>
      <c r="O339" s="10" t="s">
        <v>691</v>
      </c>
      <c r="P339" s="10" t="s">
        <v>28</v>
      </c>
      <c r="Q339" s="5"/>
      <c r="R339" s="10" t="s">
        <v>16</v>
      </c>
      <c r="S339" s="10" t="s">
        <v>17</v>
      </c>
      <c r="T339" s="10" t="s">
        <v>18</v>
      </c>
      <c r="U339" s="10" t="s">
        <v>19</v>
      </c>
      <c r="V339" s="10" t="s">
        <v>20</v>
      </c>
      <c r="W339" s="13"/>
      <c r="X339" s="15" t="s">
        <v>23</v>
      </c>
      <c r="Y339" s="5"/>
      <c r="AA339" s="251" t="s">
        <v>2554</v>
      </c>
      <c r="AC339">
        <v>15</v>
      </c>
      <c r="AD339" s="16" t="s">
        <v>161</v>
      </c>
      <c r="AE339" s="58">
        <f>+AC339*10</f>
        <v>150</v>
      </c>
      <c r="AH339" s="16" t="s">
        <v>161</v>
      </c>
      <c r="AI339" s="58">
        <f>+AG339*10</f>
        <v>0</v>
      </c>
      <c r="AK339" s="61" t="s">
        <v>173</v>
      </c>
      <c r="AL339" s="62" t="s">
        <v>174</v>
      </c>
      <c r="AM339">
        <v>15</v>
      </c>
      <c r="AN339" s="16" t="s">
        <v>161</v>
      </c>
      <c r="AO339" s="58">
        <f>+AM339*10</f>
        <v>150</v>
      </c>
    </row>
    <row r="340" spans="1:41" x14ac:dyDescent="0.25">
      <c r="A340" s="16">
        <v>1</v>
      </c>
      <c r="B340" s="92">
        <v>45263</v>
      </c>
      <c r="C340" s="23"/>
      <c r="D340" s="31" t="s">
        <v>1912</v>
      </c>
      <c r="E340" s="32">
        <v>5573854401</v>
      </c>
      <c r="F340" s="32" t="s">
        <v>3161</v>
      </c>
      <c r="G340" s="39" t="s">
        <v>3162</v>
      </c>
      <c r="H340" s="39" t="s">
        <v>3159</v>
      </c>
      <c r="I340" s="122">
        <v>350</v>
      </c>
      <c r="J340" s="32">
        <v>330</v>
      </c>
      <c r="K340" s="20">
        <v>20</v>
      </c>
      <c r="L340" s="21"/>
      <c r="M340" s="21">
        <f t="shared" ref="M340:M358" si="53">+J340+K340</f>
        <v>350</v>
      </c>
      <c r="N340" s="21">
        <f t="shared" ref="N340:N358" si="54">+I340-M340</f>
        <v>0</v>
      </c>
      <c r="O340" s="21">
        <v>350</v>
      </c>
      <c r="P340" s="21"/>
      <c r="Q340" s="5"/>
      <c r="R340" s="21">
        <v>5</v>
      </c>
      <c r="S340" s="16"/>
      <c r="T340" s="21">
        <f t="shared" ref="T340:T358" si="55">+R340+S340</f>
        <v>5</v>
      </c>
      <c r="U340" s="21"/>
      <c r="V340" s="78">
        <f>+U340-T340+O340+P340</f>
        <v>345</v>
      </c>
      <c r="W340" s="13"/>
      <c r="X340" s="333"/>
      <c r="Y340" s="5"/>
      <c r="AA340" s="83">
        <f>+AE349-AI322</f>
        <v>102.5</v>
      </c>
      <c r="AC340">
        <v>112.5</v>
      </c>
      <c r="AD340" s="59" t="s">
        <v>162</v>
      </c>
      <c r="AE340" s="18">
        <f>+AC340*1</f>
        <v>112.5</v>
      </c>
      <c r="AH340" s="59" t="s">
        <v>162</v>
      </c>
      <c r="AI340" s="18">
        <f>+AG340*1</f>
        <v>0</v>
      </c>
      <c r="AK340" s="16">
        <v>350</v>
      </c>
      <c r="AL340" s="16"/>
      <c r="AM340">
        <v>112.5</v>
      </c>
      <c r="AN340" s="59" t="s">
        <v>162</v>
      </c>
      <c r="AO340" s="18">
        <f>+AM340*1</f>
        <v>112.5</v>
      </c>
    </row>
    <row r="341" spans="1:41" x14ac:dyDescent="0.25">
      <c r="A341" s="26">
        <v>2</v>
      </c>
      <c r="B341" s="92">
        <v>45263</v>
      </c>
      <c r="C341" s="23"/>
      <c r="D341" s="31" t="s">
        <v>3160</v>
      </c>
      <c r="E341" s="32">
        <v>5562236073</v>
      </c>
      <c r="F341" s="32" t="s">
        <v>52</v>
      </c>
      <c r="G341" s="32" t="s">
        <v>26</v>
      </c>
      <c r="H341" s="39" t="s">
        <v>3163</v>
      </c>
      <c r="I341" s="122">
        <v>390</v>
      </c>
      <c r="J341" s="32">
        <v>380</v>
      </c>
      <c r="K341" s="20">
        <v>10</v>
      </c>
      <c r="L341" s="21"/>
      <c r="M341" s="21">
        <f t="shared" si="53"/>
        <v>390</v>
      </c>
      <c r="N341" s="21">
        <f t="shared" si="54"/>
        <v>0</v>
      </c>
      <c r="O341" s="21"/>
      <c r="P341" s="21"/>
      <c r="Q341" s="5"/>
      <c r="R341" s="21"/>
      <c r="S341" s="16"/>
      <c r="T341" s="21">
        <f t="shared" si="55"/>
        <v>0</v>
      </c>
      <c r="U341" s="21"/>
      <c r="V341" s="78">
        <f t="shared" ref="V341:V358" si="56">+U341-T341+O341+P341</f>
        <v>0</v>
      </c>
      <c r="W341" s="140"/>
      <c r="X341" s="334"/>
      <c r="Y341" s="5"/>
      <c r="AC341">
        <v>39</v>
      </c>
      <c r="AD341" s="16" t="s">
        <v>163</v>
      </c>
      <c r="AE341" s="60">
        <f>+AC341*5</f>
        <v>195</v>
      </c>
      <c r="AH341" s="16" t="s">
        <v>163</v>
      </c>
      <c r="AI341" s="60">
        <f>+AG341*5</f>
        <v>0</v>
      </c>
      <c r="AK341" s="16"/>
      <c r="AL341" s="16"/>
      <c r="AM341">
        <v>39</v>
      </c>
      <c r="AN341" s="16" t="s">
        <v>163</v>
      </c>
      <c r="AO341" s="60">
        <f>+AM341*5</f>
        <v>195</v>
      </c>
    </row>
    <row r="342" spans="1:41" x14ac:dyDescent="0.25">
      <c r="A342" s="143">
        <v>3</v>
      </c>
      <c r="B342" s="92">
        <v>45263</v>
      </c>
      <c r="C342" s="23"/>
      <c r="D342" s="31" t="s">
        <v>2900</v>
      </c>
      <c r="E342" s="32"/>
      <c r="F342" s="32" t="s">
        <v>52</v>
      </c>
      <c r="G342" s="32" t="s">
        <v>3165</v>
      </c>
      <c r="H342" s="39" t="s">
        <v>3166</v>
      </c>
      <c r="I342" s="122">
        <v>30</v>
      </c>
      <c r="J342" s="32">
        <v>20</v>
      </c>
      <c r="K342" s="20">
        <v>10</v>
      </c>
      <c r="L342" s="21"/>
      <c r="M342" s="21">
        <f t="shared" si="53"/>
        <v>30</v>
      </c>
      <c r="N342" s="21">
        <f t="shared" si="54"/>
        <v>0</v>
      </c>
      <c r="O342" s="21"/>
      <c r="P342" s="21"/>
      <c r="Q342" s="5"/>
      <c r="R342" s="21"/>
      <c r="S342" s="16"/>
      <c r="T342" s="21">
        <f t="shared" si="55"/>
        <v>0</v>
      </c>
      <c r="U342" s="21"/>
      <c r="V342" s="78">
        <f t="shared" si="56"/>
        <v>0</v>
      </c>
      <c r="W342" s="140"/>
      <c r="X342" s="334"/>
      <c r="Y342" s="5"/>
      <c r="AD342" s="16" t="s">
        <v>164</v>
      </c>
      <c r="AE342" s="18">
        <f>+AC342*200</f>
        <v>0</v>
      </c>
      <c r="AH342" s="16" t="s">
        <v>164</v>
      </c>
      <c r="AI342" s="18">
        <f>+AG342*200</f>
        <v>0</v>
      </c>
      <c r="AK342" s="16"/>
      <c r="AL342" s="16"/>
      <c r="AN342" s="16" t="s">
        <v>164</v>
      </c>
      <c r="AO342" s="18">
        <f>+AM342*200</f>
        <v>0</v>
      </c>
    </row>
    <row r="343" spans="1:41" x14ac:dyDescent="0.25">
      <c r="A343" s="143">
        <v>4</v>
      </c>
      <c r="B343" s="92">
        <v>45263</v>
      </c>
      <c r="C343" s="23"/>
      <c r="D343" s="31" t="s">
        <v>260</v>
      </c>
      <c r="E343" s="32"/>
      <c r="F343" s="32" t="s">
        <v>52</v>
      </c>
      <c r="G343" s="32" t="s">
        <v>3167</v>
      </c>
      <c r="H343" s="39"/>
      <c r="I343" s="122">
        <v>161</v>
      </c>
      <c r="J343" s="32">
        <v>151</v>
      </c>
      <c r="K343" s="20">
        <v>10</v>
      </c>
      <c r="L343" s="21">
        <v>15</v>
      </c>
      <c r="M343" s="21">
        <f t="shared" si="53"/>
        <v>161</v>
      </c>
      <c r="N343" s="21">
        <v>0</v>
      </c>
      <c r="O343" s="21"/>
      <c r="P343" s="21"/>
      <c r="Q343" s="5"/>
      <c r="R343" s="21"/>
      <c r="S343" s="16"/>
      <c r="T343" s="21">
        <f t="shared" si="55"/>
        <v>0</v>
      </c>
      <c r="U343" s="21"/>
      <c r="V343" s="78">
        <f t="shared" si="56"/>
        <v>0</v>
      </c>
      <c r="W343" s="140"/>
      <c r="X343" s="334"/>
      <c r="Y343" s="5"/>
      <c r="AD343" s="16" t="s">
        <v>165</v>
      </c>
      <c r="AE343" s="18">
        <f>+AC343*100</f>
        <v>0</v>
      </c>
      <c r="AH343" s="16" t="s">
        <v>165</v>
      </c>
      <c r="AI343" s="18">
        <f>+AG343*100</f>
        <v>0</v>
      </c>
      <c r="AK343" s="16"/>
      <c r="AL343" s="16"/>
      <c r="AN343" s="16" t="s">
        <v>165</v>
      </c>
      <c r="AO343" s="18">
        <f>+AM343*100</f>
        <v>0</v>
      </c>
    </row>
    <row r="344" spans="1:41" x14ac:dyDescent="0.25">
      <c r="A344" s="143">
        <v>5</v>
      </c>
      <c r="B344" s="92">
        <v>45263</v>
      </c>
      <c r="C344" s="23"/>
      <c r="D344" s="31" t="s">
        <v>2588</v>
      </c>
      <c r="E344" s="32"/>
      <c r="F344" s="32" t="s">
        <v>52</v>
      </c>
      <c r="G344" s="32" t="s">
        <v>3168</v>
      </c>
      <c r="H344" s="32" t="s">
        <v>3169</v>
      </c>
      <c r="I344" s="122">
        <v>80</v>
      </c>
      <c r="J344" s="32">
        <v>55</v>
      </c>
      <c r="K344" s="20">
        <v>10</v>
      </c>
      <c r="L344" s="21"/>
      <c r="M344" s="21">
        <f t="shared" si="53"/>
        <v>65</v>
      </c>
      <c r="N344" s="21">
        <f t="shared" si="54"/>
        <v>15</v>
      </c>
      <c r="O344" s="21"/>
      <c r="P344" s="21"/>
      <c r="Q344" s="5"/>
      <c r="R344" s="16"/>
      <c r="S344" s="16"/>
      <c r="T344" s="21">
        <f t="shared" si="55"/>
        <v>0</v>
      </c>
      <c r="U344" s="21"/>
      <c r="V344" s="78">
        <f t="shared" si="56"/>
        <v>0</v>
      </c>
      <c r="W344" s="140"/>
      <c r="X344" s="334"/>
      <c r="Y344" s="5"/>
      <c r="AC344">
        <v>1</v>
      </c>
      <c r="AD344" s="16" t="s">
        <v>166</v>
      </c>
      <c r="AE344" s="18">
        <f>+AC344*50</f>
        <v>50</v>
      </c>
      <c r="AH344" s="16" t="s">
        <v>166</v>
      </c>
      <c r="AI344" s="18">
        <f>+AG344*50</f>
        <v>0</v>
      </c>
      <c r="AK344" s="16"/>
      <c r="AL344" s="16"/>
      <c r="AM344">
        <v>1</v>
      </c>
      <c r="AN344" s="16" t="s">
        <v>166</v>
      </c>
      <c r="AO344" s="18">
        <f>+AM344*50</f>
        <v>50</v>
      </c>
    </row>
    <row r="345" spans="1:41" x14ac:dyDescent="0.25">
      <c r="A345" s="143">
        <v>6</v>
      </c>
      <c r="B345" s="92">
        <v>45263</v>
      </c>
      <c r="C345" s="23"/>
      <c r="D345" s="31" t="s">
        <v>2650</v>
      </c>
      <c r="E345" s="32"/>
      <c r="F345" s="32" t="s">
        <v>517</v>
      </c>
      <c r="G345" s="32" t="s">
        <v>3171</v>
      </c>
      <c r="H345" s="39" t="s">
        <v>3170</v>
      </c>
      <c r="I345" s="39">
        <v>142</v>
      </c>
      <c r="J345" s="42">
        <v>132</v>
      </c>
      <c r="K345" s="20">
        <v>10</v>
      </c>
      <c r="L345" s="21"/>
      <c r="M345" s="21">
        <f t="shared" si="53"/>
        <v>142</v>
      </c>
      <c r="N345" s="21">
        <f t="shared" si="54"/>
        <v>0</v>
      </c>
      <c r="O345" s="21"/>
      <c r="P345" s="21"/>
      <c r="Q345" s="5"/>
      <c r="R345" s="16">
        <v>500</v>
      </c>
      <c r="S345" s="16"/>
      <c r="T345" s="21">
        <f t="shared" si="55"/>
        <v>500</v>
      </c>
      <c r="U345" s="16"/>
      <c r="V345" s="78">
        <f t="shared" si="56"/>
        <v>-500</v>
      </c>
      <c r="W345" s="140"/>
      <c r="X345" s="334"/>
      <c r="Y345" s="5"/>
      <c r="AC345">
        <v>10</v>
      </c>
      <c r="AD345" s="16" t="s">
        <v>167</v>
      </c>
      <c r="AE345" s="18">
        <f>+AC345*20</f>
        <v>200</v>
      </c>
      <c r="AH345" s="16" t="s">
        <v>167</v>
      </c>
      <c r="AI345" s="18">
        <f>+AG345*20</f>
        <v>0</v>
      </c>
      <c r="AK345" s="16"/>
      <c r="AL345" s="16"/>
      <c r="AM345">
        <v>10</v>
      </c>
      <c r="AN345" s="16" t="s">
        <v>167</v>
      </c>
      <c r="AO345" s="18">
        <f>+AM345*20</f>
        <v>200</v>
      </c>
    </row>
    <row r="346" spans="1:41" x14ac:dyDescent="0.25">
      <c r="A346" s="143">
        <v>7</v>
      </c>
      <c r="B346" s="92">
        <v>45263</v>
      </c>
      <c r="C346" s="23"/>
      <c r="D346" s="31" t="s">
        <v>2101</v>
      </c>
      <c r="E346" s="32"/>
      <c r="F346" s="32" t="s">
        <v>3172</v>
      </c>
      <c r="G346" s="123" t="s">
        <v>625</v>
      </c>
      <c r="H346" s="39"/>
      <c r="I346" s="39">
        <v>123.5</v>
      </c>
      <c r="J346" s="42">
        <v>122.5</v>
      </c>
      <c r="K346" s="20">
        <v>10</v>
      </c>
      <c r="L346" s="21"/>
      <c r="M346" s="21">
        <f t="shared" si="53"/>
        <v>132.5</v>
      </c>
      <c r="N346" s="21">
        <f t="shared" si="54"/>
        <v>-9</v>
      </c>
      <c r="O346" s="21"/>
      <c r="P346" s="21"/>
      <c r="Q346" s="5"/>
      <c r="R346" s="16"/>
      <c r="S346" s="16"/>
      <c r="T346" s="21">
        <f t="shared" si="55"/>
        <v>0</v>
      </c>
      <c r="U346" s="16"/>
      <c r="V346" s="78">
        <f t="shared" si="56"/>
        <v>0</v>
      </c>
      <c r="W346" s="140"/>
      <c r="X346" s="334"/>
      <c r="Y346" s="5"/>
      <c r="AC346">
        <v>1</v>
      </c>
      <c r="AD346" s="16" t="s">
        <v>171</v>
      </c>
      <c r="AE346" s="18">
        <f>+AC346*500</f>
        <v>500</v>
      </c>
      <c r="AH346" s="16" t="s">
        <v>171</v>
      </c>
      <c r="AI346" s="18">
        <f>+AG346*500</f>
        <v>0</v>
      </c>
      <c r="AK346" s="16"/>
      <c r="AL346" s="16"/>
      <c r="AN346" s="16" t="s">
        <v>171</v>
      </c>
      <c r="AO346" s="18">
        <f>+AM346*500</f>
        <v>0</v>
      </c>
    </row>
    <row r="347" spans="1:41" x14ac:dyDescent="0.25">
      <c r="A347" s="143">
        <v>8</v>
      </c>
      <c r="B347" s="92">
        <v>45263</v>
      </c>
      <c r="C347" s="23"/>
      <c r="D347" s="31" t="s">
        <v>3104</v>
      </c>
      <c r="E347" s="123"/>
      <c r="F347" s="123" t="s">
        <v>3173</v>
      </c>
      <c r="H347" s="39"/>
      <c r="I347" s="122"/>
      <c r="J347" s="32">
        <v>35</v>
      </c>
      <c r="K347" s="20">
        <v>10</v>
      </c>
      <c r="L347" s="21"/>
      <c r="M347" s="21">
        <f t="shared" si="53"/>
        <v>45</v>
      </c>
      <c r="N347" s="21">
        <f t="shared" si="54"/>
        <v>-45</v>
      </c>
      <c r="O347" s="21"/>
      <c r="P347" s="21"/>
      <c r="Q347" s="5"/>
      <c r="R347" s="16"/>
      <c r="S347" s="16"/>
      <c r="T347" s="21">
        <f t="shared" si="55"/>
        <v>0</v>
      </c>
      <c r="U347" s="16"/>
      <c r="V347" s="78">
        <f t="shared" si="56"/>
        <v>0</v>
      </c>
      <c r="W347" s="140"/>
      <c r="X347" s="334"/>
      <c r="Y347" s="5"/>
      <c r="AD347" s="16" t="s">
        <v>168</v>
      </c>
      <c r="AE347" s="18">
        <f>+AC347*1000</f>
        <v>0</v>
      </c>
      <c r="AH347" s="16" t="s">
        <v>168</v>
      </c>
      <c r="AI347" s="18">
        <f>+AG347*1000</f>
        <v>0</v>
      </c>
      <c r="AK347" s="16"/>
      <c r="AL347" s="16"/>
      <c r="AN347" s="16" t="s">
        <v>168</v>
      </c>
      <c r="AO347" s="18">
        <f>+AM347*1000</f>
        <v>0</v>
      </c>
    </row>
    <row r="348" spans="1:41" x14ac:dyDescent="0.25">
      <c r="A348" s="143">
        <v>9</v>
      </c>
      <c r="B348" s="92">
        <v>45263</v>
      </c>
      <c r="C348" s="23"/>
      <c r="D348" s="31" t="s">
        <v>1412</v>
      </c>
      <c r="E348" s="32"/>
      <c r="F348" s="32" t="s">
        <v>3174</v>
      </c>
      <c r="G348" s="32"/>
      <c r="H348" s="39"/>
      <c r="I348" s="39"/>
      <c r="J348" s="40">
        <v>80</v>
      </c>
      <c r="K348" s="20">
        <v>10</v>
      </c>
      <c r="L348" s="21"/>
      <c r="M348" s="21">
        <f t="shared" si="53"/>
        <v>90</v>
      </c>
      <c r="N348" s="21">
        <f t="shared" si="54"/>
        <v>-90</v>
      </c>
      <c r="O348" s="21"/>
      <c r="P348" s="21"/>
      <c r="Q348" s="5"/>
      <c r="R348" s="16"/>
      <c r="S348" s="16"/>
      <c r="T348" s="21">
        <f t="shared" si="55"/>
        <v>0</v>
      </c>
      <c r="U348" s="16"/>
      <c r="V348" s="78">
        <f t="shared" si="56"/>
        <v>0</v>
      </c>
      <c r="W348" s="140"/>
      <c r="X348" s="334"/>
      <c r="Y348" s="5"/>
      <c r="AD348" s="26"/>
      <c r="AE348" s="58"/>
      <c r="AF348" s="83"/>
      <c r="AH348" s="26"/>
      <c r="AI348" s="58"/>
      <c r="AK348" s="16"/>
      <c r="AL348" s="16"/>
      <c r="AN348" s="26"/>
      <c r="AO348" s="58"/>
    </row>
    <row r="349" spans="1:41" x14ac:dyDescent="0.25">
      <c r="A349" s="143">
        <v>10</v>
      </c>
      <c r="B349" s="92">
        <v>45263</v>
      </c>
      <c r="C349" s="23"/>
      <c r="D349" s="31"/>
      <c r="E349" s="32"/>
      <c r="F349" s="32"/>
      <c r="G349" s="32"/>
      <c r="H349" s="39"/>
      <c r="I349" s="122"/>
      <c r="J349" s="42"/>
      <c r="K349" s="20">
        <v>10</v>
      </c>
      <c r="L349" s="21"/>
      <c r="M349" s="21">
        <f t="shared" si="53"/>
        <v>10</v>
      </c>
      <c r="N349" s="21">
        <f t="shared" si="54"/>
        <v>-10</v>
      </c>
      <c r="O349" s="21"/>
      <c r="P349" s="21"/>
      <c r="Q349" s="5"/>
      <c r="R349" s="16"/>
      <c r="S349" s="16"/>
      <c r="T349" s="21">
        <f t="shared" si="55"/>
        <v>0</v>
      </c>
      <c r="U349" s="16"/>
      <c r="V349" s="78">
        <f t="shared" si="56"/>
        <v>0</v>
      </c>
      <c r="W349" s="140"/>
      <c r="X349" s="334"/>
      <c r="Y349" s="5"/>
      <c r="AD349" s="16" t="s">
        <v>169</v>
      </c>
      <c r="AE349" s="18">
        <f>SUM(AE339:AE348)</f>
        <v>1207.5</v>
      </c>
      <c r="AH349" s="16" t="s">
        <v>169</v>
      </c>
      <c r="AI349" s="18">
        <f>SUM(AI339:AI348)</f>
        <v>0</v>
      </c>
      <c r="AK349" s="16"/>
      <c r="AL349" s="16"/>
      <c r="AN349" s="16" t="s">
        <v>169</v>
      </c>
      <c r="AO349" s="18"/>
    </row>
    <row r="350" spans="1:41" x14ac:dyDescent="0.25">
      <c r="A350" s="143">
        <v>11</v>
      </c>
      <c r="B350" s="92">
        <v>45263</v>
      </c>
      <c r="C350" s="23"/>
      <c r="D350" s="31"/>
      <c r="E350" s="124"/>
      <c r="F350" s="123"/>
      <c r="G350" s="123"/>
      <c r="H350" s="39"/>
      <c r="I350" s="122"/>
      <c r="J350" s="42"/>
      <c r="K350" s="20">
        <v>10</v>
      </c>
      <c r="L350" s="21"/>
      <c r="M350" s="21">
        <f t="shared" si="53"/>
        <v>10</v>
      </c>
      <c r="N350" s="21">
        <f t="shared" si="54"/>
        <v>-10</v>
      </c>
      <c r="O350" s="21"/>
      <c r="P350" s="21"/>
      <c r="Q350" s="5"/>
      <c r="R350" s="16"/>
      <c r="S350" s="16"/>
      <c r="T350" s="21">
        <f t="shared" si="55"/>
        <v>0</v>
      </c>
      <c r="U350" s="16"/>
      <c r="V350" s="78">
        <f t="shared" si="56"/>
        <v>0</v>
      </c>
      <c r="W350" s="140"/>
      <c r="X350" s="334"/>
      <c r="Y350" s="5"/>
      <c r="AE350">
        <v>1112</v>
      </c>
      <c r="AK350" s="16"/>
      <c r="AL350" s="16"/>
      <c r="AN350" s="16"/>
      <c r="AO350" s="16"/>
    </row>
    <row r="351" spans="1:41" x14ac:dyDescent="0.25">
      <c r="A351" s="143">
        <v>12</v>
      </c>
      <c r="B351" s="92">
        <v>45263</v>
      </c>
      <c r="C351" s="23"/>
      <c r="D351" s="32"/>
      <c r="E351" s="32"/>
      <c r="F351" s="124"/>
      <c r="G351" s="123"/>
      <c r="H351" s="39"/>
      <c r="I351" s="39"/>
      <c r="J351" s="42"/>
      <c r="K351" s="20">
        <v>10</v>
      </c>
      <c r="L351" s="21"/>
      <c r="M351" s="21">
        <f t="shared" si="53"/>
        <v>10</v>
      </c>
      <c r="N351" s="21">
        <f t="shared" si="54"/>
        <v>-10</v>
      </c>
      <c r="O351" s="21"/>
      <c r="P351" s="21"/>
      <c r="Q351" s="5"/>
      <c r="R351" s="45"/>
      <c r="S351" s="44"/>
      <c r="T351" s="21">
        <f t="shared" si="55"/>
        <v>0</v>
      </c>
      <c r="U351" s="45"/>
      <c r="V351" s="78">
        <f t="shared" si="56"/>
        <v>0</v>
      </c>
      <c r="W351" s="140"/>
      <c r="X351" s="334"/>
      <c r="Y351" s="5"/>
      <c r="AD351" t="s">
        <v>3175</v>
      </c>
      <c r="AE351">
        <v>117</v>
      </c>
      <c r="AG351" t="s">
        <v>3176</v>
      </c>
      <c r="AH351" s="83">
        <f>+AE349-500</f>
        <v>707.5</v>
      </c>
      <c r="AK351" s="63" t="s">
        <v>169</v>
      </c>
      <c r="AL351" s="63">
        <f>+SUM(AK340:AK350)-SUM(AL340:AL350)</f>
        <v>350</v>
      </c>
      <c r="AN351" s="63" t="s">
        <v>169</v>
      </c>
      <c r="AO351" s="85">
        <f>+SUM(AO339:AO350)</f>
        <v>707.5</v>
      </c>
    </row>
    <row r="352" spans="1:41" x14ac:dyDescent="0.25">
      <c r="A352" s="143">
        <v>13</v>
      </c>
      <c r="B352" s="92">
        <v>45263</v>
      </c>
      <c r="C352" s="23"/>
      <c r="D352" s="31"/>
      <c r="E352" s="32"/>
      <c r="F352" s="32"/>
      <c r="G352" s="32"/>
      <c r="H352" s="39"/>
      <c r="I352" s="39"/>
      <c r="J352" s="42"/>
      <c r="K352" s="108">
        <v>10</v>
      </c>
      <c r="L352" s="21"/>
      <c r="M352" s="21">
        <f t="shared" si="53"/>
        <v>10</v>
      </c>
      <c r="N352" s="21">
        <f t="shared" si="54"/>
        <v>-10</v>
      </c>
      <c r="O352" s="21"/>
      <c r="P352" s="21"/>
      <c r="Q352" s="5"/>
      <c r="R352" s="43"/>
      <c r="S352" s="32"/>
      <c r="T352" s="21">
        <f t="shared" si="55"/>
        <v>0</v>
      </c>
      <c r="U352" s="43"/>
      <c r="V352" s="78">
        <f t="shared" si="56"/>
        <v>0</v>
      </c>
      <c r="W352" s="140"/>
      <c r="X352" s="334"/>
      <c r="Y352" s="5"/>
      <c r="AD352" t="s">
        <v>564</v>
      </c>
      <c r="AE352" s="83">
        <f>+AE349-AE351</f>
        <v>1090.5</v>
      </c>
      <c r="AI352" s="83"/>
    </row>
    <row r="353" spans="1:39" x14ac:dyDescent="0.25">
      <c r="A353" s="143">
        <v>14</v>
      </c>
      <c r="B353" s="92">
        <v>45263</v>
      </c>
      <c r="C353" s="23"/>
      <c r="D353" s="31"/>
      <c r="E353" s="32"/>
      <c r="F353" s="32"/>
      <c r="G353" s="32"/>
      <c r="H353" s="39"/>
      <c r="I353" s="39"/>
      <c r="J353" s="42"/>
      <c r="K353" s="108">
        <v>10</v>
      </c>
      <c r="L353" s="21"/>
      <c r="M353" s="21">
        <f t="shared" si="53"/>
        <v>10</v>
      </c>
      <c r="N353" s="21">
        <f t="shared" si="54"/>
        <v>-10</v>
      </c>
      <c r="O353" s="21"/>
      <c r="P353" s="21"/>
      <c r="Q353" s="5"/>
      <c r="R353" s="43"/>
      <c r="S353" s="43"/>
      <c r="T353" s="21">
        <f t="shared" si="55"/>
        <v>0</v>
      </c>
      <c r="U353" s="43"/>
      <c r="V353" s="78">
        <f t="shared" si="56"/>
        <v>0</v>
      </c>
      <c r="W353" s="140"/>
      <c r="X353" s="334"/>
      <c r="Y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</row>
    <row r="354" spans="1:39" x14ac:dyDescent="0.25">
      <c r="A354" s="143">
        <v>15</v>
      </c>
      <c r="B354" s="92">
        <v>45263</v>
      </c>
      <c r="C354" s="23"/>
      <c r="D354" s="127"/>
      <c r="E354" s="32"/>
      <c r="F354" s="32"/>
      <c r="G354" s="128"/>
      <c r="H354" s="129"/>
      <c r="I354" s="39"/>
      <c r="J354" s="42"/>
      <c r="K354" s="108">
        <v>10</v>
      </c>
      <c r="L354" s="21"/>
      <c r="M354" s="21">
        <f t="shared" si="53"/>
        <v>10</v>
      </c>
      <c r="N354" s="21">
        <f t="shared" si="54"/>
        <v>-10</v>
      </c>
      <c r="O354" s="21"/>
      <c r="P354" s="21"/>
      <c r="Q354" s="5"/>
      <c r="R354" s="43"/>
      <c r="S354" s="43"/>
      <c r="T354" s="21">
        <f t="shared" si="55"/>
        <v>0</v>
      </c>
      <c r="U354" s="43"/>
      <c r="V354" s="78">
        <f t="shared" si="56"/>
        <v>0</v>
      </c>
      <c r="W354" s="140"/>
      <c r="X354" s="334"/>
      <c r="Y354" s="5"/>
      <c r="AD354" s="5"/>
      <c r="AE354" s="134" t="s">
        <v>20</v>
      </c>
      <c r="AF354" s="338"/>
      <c r="AG354" s="341" t="s">
        <v>686</v>
      </c>
      <c r="AH354" s="134" t="s">
        <v>20</v>
      </c>
      <c r="AI354" s="338">
        <v>90</v>
      </c>
      <c r="AJ354" s="341" t="s">
        <v>687</v>
      </c>
      <c r="AK354" s="134" t="s">
        <v>20</v>
      </c>
      <c r="AL354" s="338"/>
      <c r="AM354" s="5"/>
    </row>
    <row r="355" spans="1:39" x14ac:dyDescent="0.25">
      <c r="A355" s="143">
        <v>16</v>
      </c>
      <c r="B355" s="92">
        <v>45263</v>
      </c>
      <c r="C355" s="23"/>
      <c r="D355" s="31"/>
      <c r="E355" s="32"/>
      <c r="F355" s="32"/>
      <c r="G355" s="32"/>
      <c r="H355" s="39"/>
      <c r="I355" s="39"/>
      <c r="J355" s="42"/>
      <c r="K355" s="43">
        <v>10</v>
      </c>
      <c r="L355" s="21"/>
      <c r="M355" s="21">
        <f t="shared" si="53"/>
        <v>10</v>
      </c>
      <c r="N355" s="21">
        <f t="shared" si="54"/>
        <v>-10</v>
      </c>
      <c r="O355" s="21"/>
      <c r="P355" s="21"/>
      <c r="Q355" s="5"/>
      <c r="R355" s="43"/>
      <c r="S355" s="32"/>
      <c r="T355" s="21">
        <f t="shared" si="55"/>
        <v>0</v>
      </c>
      <c r="U355" s="131"/>
      <c r="V355" s="78">
        <f t="shared" si="56"/>
        <v>0</v>
      </c>
      <c r="W355" s="140"/>
      <c r="X355" s="334"/>
      <c r="Y355" s="5"/>
      <c r="AD355" s="5" t="s">
        <v>685</v>
      </c>
      <c r="AE355" s="115" t="s">
        <v>684</v>
      </c>
      <c r="AF355" s="339"/>
      <c r="AG355" s="341"/>
      <c r="AH355" s="115" t="s">
        <v>684</v>
      </c>
      <c r="AI355" s="339"/>
      <c r="AJ355" s="341"/>
      <c r="AK355" s="115" t="s">
        <v>684</v>
      </c>
      <c r="AL355" s="339"/>
      <c r="AM355" s="5"/>
    </row>
    <row r="356" spans="1:39" x14ac:dyDescent="0.25">
      <c r="A356" s="143">
        <v>17</v>
      </c>
      <c r="B356" s="92">
        <v>45263</v>
      </c>
      <c r="C356" s="23"/>
      <c r="D356" s="31"/>
      <c r="E356" s="32"/>
      <c r="F356" s="32"/>
      <c r="G356" s="32"/>
      <c r="H356" s="39"/>
      <c r="I356" s="39"/>
      <c r="J356" s="42"/>
      <c r="K356" s="43">
        <v>10</v>
      </c>
      <c r="L356" s="21"/>
      <c r="M356" s="21">
        <f t="shared" si="53"/>
        <v>10</v>
      </c>
      <c r="N356" s="21">
        <f t="shared" si="54"/>
        <v>-10</v>
      </c>
      <c r="O356" s="21"/>
      <c r="P356" s="21"/>
      <c r="Q356" s="5"/>
      <c r="R356" s="43"/>
      <c r="S356" s="32"/>
      <c r="T356" s="21">
        <f t="shared" si="55"/>
        <v>0</v>
      </c>
      <c r="U356" s="132"/>
      <c r="V356" s="78">
        <f t="shared" si="56"/>
        <v>0</v>
      </c>
      <c r="W356" s="140"/>
      <c r="X356" s="340"/>
      <c r="Y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</row>
    <row r="357" spans="1:39" x14ac:dyDescent="0.25">
      <c r="A357" s="143">
        <v>18</v>
      </c>
      <c r="B357" s="92">
        <v>45263</v>
      </c>
      <c r="C357" s="32"/>
      <c r="D357" s="31"/>
      <c r="E357" s="32"/>
      <c r="F357" s="32"/>
      <c r="G357" s="32"/>
      <c r="H357" s="39"/>
      <c r="I357" s="39"/>
      <c r="J357" s="42"/>
      <c r="K357" s="43">
        <v>10</v>
      </c>
      <c r="L357" s="21"/>
      <c r="M357" s="21">
        <f t="shared" si="53"/>
        <v>10</v>
      </c>
      <c r="N357" s="21">
        <f t="shared" si="54"/>
        <v>-10</v>
      </c>
      <c r="O357" s="21"/>
      <c r="P357" s="21"/>
      <c r="Q357" s="5"/>
      <c r="R357" s="135"/>
      <c r="S357" s="104"/>
      <c r="T357" s="21">
        <f t="shared" si="55"/>
        <v>0</v>
      </c>
      <c r="U357" s="131"/>
      <c r="V357" s="78">
        <f t="shared" si="56"/>
        <v>0</v>
      </c>
      <c r="W357" s="140"/>
      <c r="Y357" s="5"/>
    </row>
    <row r="358" spans="1:39" x14ac:dyDescent="0.25">
      <c r="A358" s="143">
        <v>19</v>
      </c>
      <c r="B358" s="92">
        <v>45263</v>
      </c>
      <c r="C358" s="32"/>
      <c r="D358" s="31"/>
      <c r="E358" s="32"/>
      <c r="F358" s="32"/>
      <c r="G358" s="32"/>
      <c r="H358" s="39"/>
      <c r="I358" s="39"/>
      <c r="J358" s="42"/>
      <c r="K358" s="43">
        <v>10</v>
      </c>
      <c r="L358" s="21"/>
      <c r="M358" s="21">
        <f t="shared" si="53"/>
        <v>10</v>
      </c>
      <c r="N358" s="21">
        <f t="shared" si="54"/>
        <v>-10</v>
      </c>
      <c r="O358" s="21"/>
      <c r="P358" s="21"/>
      <c r="Q358" s="5"/>
      <c r="R358" s="32"/>
      <c r="S358" s="32"/>
      <c r="T358" s="21">
        <f t="shared" si="55"/>
        <v>0</v>
      </c>
      <c r="U358" s="32"/>
      <c r="V358" s="78">
        <f t="shared" si="56"/>
        <v>0</v>
      </c>
      <c r="W358" s="140"/>
      <c r="Y358" s="5"/>
    </row>
    <row r="359" spans="1:39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141"/>
      <c r="X359" s="5"/>
      <c r="Y359" s="5"/>
    </row>
  </sheetData>
  <mergeCells count="154">
    <mergeCell ref="T338:U338"/>
    <mergeCell ref="AD338:AE338"/>
    <mergeCell ref="AH338:AI338"/>
    <mergeCell ref="AK338:AL338"/>
    <mergeCell ref="AN338:AO338"/>
    <mergeCell ref="X340:X356"/>
    <mergeCell ref="AF354:AF355"/>
    <mergeCell ref="AG354:AG355"/>
    <mergeCell ref="AI354:AI355"/>
    <mergeCell ref="AJ354:AJ355"/>
    <mergeCell ref="AL354:AL355"/>
    <mergeCell ref="AL250:AL251"/>
    <mergeCell ref="X236:X252"/>
    <mergeCell ref="AF250:AF251"/>
    <mergeCell ref="AG250:AG251"/>
    <mergeCell ref="AI250:AI251"/>
    <mergeCell ref="AJ250:AJ251"/>
    <mergeCell ref="T234:U234"/>
    <mergeCell ref="AD234:AE234"/>
    <mergeCell ref="AH234:AI234"/>
    <mergeCell ref="AK234:AL234"/>
    <mergeCell ref="AN234:AO234"/>
    <mergeCell ref="AL224:AL225"/>
    <mergeCell ref="X210:X226"/>
    <mergeCell ref="AF224:AF225"/>
    <mergeCell ref="AG224:AG225"/>
    <mergeCell ref="AI224:AI225"/>
    <mergeCell ref="AJ224:AJ225"/>
    <mergeCell ref="T208:U208"/>
    <mergeCell ref="AD208:AE208"/>
    <mergeCell ref="AH208:AI208"/>
    <mergeCell ref="AK208:AL208"/>
    <mergeCell ref="AN208:AO208"/>
    <mergeCell ref="AL169:AL170"/>
    <mergeCell ref="X155:X171"/>
    <mergeCell ref="AF169:AF170"/>
    <mergeCell ref="AG169:AG170"/>
    <mergeCell ref="AI169:AI170"/>
    <mergeCell ref="AJ169:AJ170"/>
    <mergeCell ref="T153:U153"/>
    <mergeCell ref="AD153:AE153"/>
    <mergeCell ref="AH153:AI153"/>
    <mergeCell ref="AK153:AL153"/>
    <mergeCell ref="AN153:AO153"/>
    <mergeCell ref="AL120:AL121"/>
    <mergeCell ref="X106:X122"/>
    <mergeCell ref="AF120:AF121"/>
    <mergeCell ref="AG120:AG121"/>
    <mergeCell ref="AI120:AI121"/>
    <mergeCell ref="AJ120:AJ121"/>
    <mergeCell ref="T104:U104"/>
    <mergeCell ref="AD104:AE104"/>
    <mergeCell ref="AH104:AI104"/>
    <mergeCell ref="AK104:AL104"/>
    <mergeCell ref="AN104:AO104"/>
    <mergeCell ref="T127:U127"/>
    <mergeCell ref="AD127:AE127"/>
    <mergeCell ref="AH127:AI127"/>
    <mergeCell ref="AK127:AL127"/>
    <mergeCell ref="AN127:AO127"/>
    <mergeCell ref="AL143:AL144"/>
    <mergeCell ref="X129:X145"/>
    <mergeCell ref="AF143:AF144"/>
    <mergeCell ref="AG143:AG144"/>
    <mergeCell ref="AI143:AI144"/>
    <mergeCell ref="AJ143:AJ144"/>
    <mergeCell ref="AN51:AO51"/>
    <mergeCell ref="X53:X69"/>
    <mergeCell ref="AF67:AF68"/>
    <mergeCell ref="AG67:AG68"/>
    <mergeCell ref="AI67:AI68"/>
    <mergeCell ref="AJ67:AJ68"/>
    <mergeCell ref="AL67:AL68"/>
    <mergeCell ref="T3:U3"/>
    <mergeCell ref="AD3:AE3"/>
    <mergeCell ref="AH3:AI3"/>
    <mergeCell ref="AK3:AL3"/>
    <mergeCell ref="T51:U51"/>
    <mergeCell ref="AD51:AE51"/>
    <mergeCell ref="AH51:AI51"/>
    <mergeCell ref="AK51:AL51"/>
    <mergeCell ref="T28:U28"/>
    <mergeCell ref="AD28:AE28"/>
    <mergeCell ref="AH28:AI28"/>
    <mergeCell ref="AK28:AL28"/>
    <mergeCell ref="AN3:AO3"/>
    <mergeCell ref="X5:X21"/>
    <mergeCell ref="AF19:AF20"/>
    <mergeCell ref="AG19:AG20"/>
    <mergeCell ref="AI19:AI20"/>
    <mergeCell ref="AJ19:AJ20"/>
    <mergeCell ref="AL19:AL20"/>
    <mergeCell ref="AN28:AO28"/>
    <mergeCell ref="AL43:AL44"/>
    <mergeCell ref="X30:X45"/>
    <mergeCell ref="AF43:AF44"/>
    <mergeCell ref="AG43:AG44"/>
    <mergeCell ref="AI43:AI44"/>
    <mergeCell ref="AJ43:AJ44"/>
    <mergeCell ref="T79:U79"/>
    <mergeCell ref="AD79:AE79"/>
    <mergeCell ref="AH79:AI79"/>
    <mergeCell ref="AK79:AL79"/>
    <mergeCell ref="AN79:AO79"/>
    <mergeCell ref="AL95:AL96"/>
    <mergeCell ref="X81:X97"/>
    <mergeCell ref="AF95:AF96"/>
    <mergeCell ref="AG95:AG96"/>
    <mergeCell ref="AI95:AI96"/>
    <mergeCell ref="AJ95:AJ96"/>
    <mergeCell ref="T177:U177"/>
    <mergeCell ref="AD177:AE177"/>
    <mergeCell ref="AH177:AI177"/>
    <mergeCell ref="AK177:AL177"/>
    <mergeCell ref="AN177:AO177"/>
    <mergeCell ref="AL193:AL194"/>
    <mergeCell ref="X179:X195"/>
    <mergeCell ref="AF193:AF194"/>
    <mergeCell ref="AG193:AG194"/>
    <mergeCell ref="AI193:AI194"/>
    <mergeCell ref="AJ193:AJ194"/>
    <mergeCell ref="T258:U258"/>
    <mergeCell ref="AD258:AE258"/>
    <mergeCell ref="AH258:AI258"/>
    <mergeCell ref="AK258:AL258"/>
    <mergeCell ref="AN258:AO258"/>
    <mergeCell ref="X260:X276"/>
    <mergeCell ref="AF274:AF275"/>
    <mergeCell ref="AG274:AG275"/>
    <mergeCell ref="AI274:AI275"/>
    <mergeCell ref="AJ274:AJ275"/>
    <mergeCell ref="AL274:AL275"/>
    <mergeCell ref="T283:U283"/>
    <mergeCell ref="AD283:AE283"/>
    <mergeCell ref="AH283:AI283"/>
    <mergeCell ref="AK283:AL283"/>
    <mergeCell ref="AN283:AO283"/>
    <mergeCell ref="X285:X301"/>
    <mergeCell ref="AF299:AF300"/>
    <mergeCell ref="AG299:AG300"/>
    <mergeCell ref="AI299:AI300"/>
    <mergeCell ref="AJ299:AJ300"/>
    <mergeCell ref="AL299:AL300"/>
    <mergeCell ref="T311:U311"/>
    <mergeCell ref="AD311:AE311"/>
    <mergeCell ref="AH311:AI311"/>
    <mergeCell ref="AK311:AL311"/>
    <mergeCell ref="AN311:AO311"/>
    <mergeCell ref="X313:X329"/>
    <mergeCell ref="AF327:AF328"/>
    <mergeCell ref="AG327:AG328"/>
    <mergeCell ref="AI327:AI328"/>
    <mergeCell ref="AJ327:AJ328"/>
    <mergeCell ref="AL327:AL32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79"/>
  <sheetViews>
    <sheetView topLeftCell="A12" workbookViewId="0">
      <selection activeCell="A31" sqref="A31"/>
    </sheetView>
  </sheetViews>
  <sheetFormatPr baseColWidth="10" defaultRowHeight="15" x14ac:dyDescent="0.25"/>
  <cols>
    <col min="3" max="3" width="12.42578125" bestFit="1" customWidth="1"/>
  </cols>
  <sheetData>
    <row r="2" spans="1:41" x14ac:dyDescent="0.25">
      <c r="L2" t="s">
        <v>3191</v>
      </c>
      <c r="O2" s="83"/>
    </row>
    <row r="3" spans="1:41" x14ac:dyDescent="0.25">
      <c r="O3" s="83"/>
    </row>
    <row r="4" spans="1:41" x14ac:dyDescent="0.25">
      <c r="A4" s="1" t="s">
        <v>0</v>
      </c>
      <c r="B4" s="1"/>
      <c r="C4" s="1"/>
      <c r="D4" s="1"/>
      <c r="E4" s="1"/>
      <c r="F4" s="1"/>
      <c r="G4" s="1"/>
      <c r="H4" s="1"/>
      <c r="I4" s="1"/>
      <c r="J4" s="1" t="s">
        <v>148</v>
      </c>
      <c r="K4" s="1"/>
      <c r="L4" s="1"/>
      <c r="M4" s="1"/>
      <c r="N4" s="1"/>
      <c r="O4" s="1"/>
      <c r="P4" s="1"/>
      <c r="Q4" s="1"/>
      <c r="R4" s="1"/>
      <c r="S4" s="1"/>
      <c r="T4" s="342" t="s">
        <v>1</v>
      </c>
      <c r="U4" s="342"/>
      <c r="V4" s="5"/>
      <c r="W4" s="139"/>
      <c r="X4" s="1"/>
      <c r="Y4" s="5"/>
      <c r="AD4" s="335" t="s">
        <v>160</v>
      </c>
      <c r="AE4" s="336"/>
      <c r="AH4" s="335" t="s">
        <v>170</v>
      </c>
      <c r="AI4" s="336"/>
      <c r="AK4" s="337" t="s">
        <v>172</v>
      </c>
      <c r="AL4" s="337"/>
      <c r="AN4" s="337" t="s">
        <v>681</v>
      </c>
      <c r="AO4" s="337"/>
    </row>
    <row r="5" spans="1:41" ht="90" x14ac:dyDescent="0.25">
      <c r="A5" s="6" t="s">
        <v>2</v>
      </c>
      <c r="B5" s="7" t="s">
        <v>3</v>
      </c>
      <c r="C5" s="245" t="s">
        <v>688</v>
      </c>
      <c r="D5" s="7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8" t="s">
        <v>9</v>
      </c>
      <c r="J5" s="9" t="s">
        <v>10</v>
      </c>
      <c r="K5" s="8" t="s">
        <v>11</v>
      </c>
      <c r="L5" s="10" t="s">
        <v>12</v>
      </c>
      <c r="M5" s="10" t="s">
        <v>13</v>
      </c>
      <c r="N5" s="11" t="s">
        <v>14</v>
      </c>
      <c r="O5" s="10" t="s">
        <v>691</v>
      </c>
      <c r="P5" s="10" t="s">
        <v>28</v>
      </c>
      <c r="Q5" s="5"/>
      <c r="R5" s="10" t="s">
        <v>16</v>
      </c>
      <c r="S5" s="10" t="s">
        <v>17</v>
      </c>
      <c r="T5" s="10" t="s">
        <v>18</v>
      </c>
      <c r="U5" s="10" t="s">
        <v>19</v>
      </c>
      <c r="V5" s="10" t="s">
        <v>20</v>
      </c>
      <c r="W5" s="13"/>
      <c r="X5" s="15" t="s">
        <v>23</v>
      </c>
      <c r="Y5" s="5"/>
      <c r="AA5" s="251" t="s">
        <v>2554</v>
      </c>
      <c r="AC5">
        <v>15</v>
      </c>
      <c r="AD5" s="16" t="s">
        <v>161</v>
      </c>
      <c r="AE5" s="58">
        <f>+AC5*10</f>
        <v>150</v>
      </c>
      <c r="AG5">
        <v>9</v>
      </c>
      <c r="AH5" s="16" t="s">
        <v>161</v>
      </c>
      <c r="AI5" s="58">
        <f>+AG5*10</f>
        <v>90</v>
      </c>
      <c r="AK5" s="61" t="s">
        <v>173</v>
      </c>
      <c r="AL5" s="62" t="s">
        <v>174</v>
      </c>
      <c r="AN5" s="16" t="s">
        <v>161</v>
      </c>
      <c r="AO5" s="58">
        <f>+AM5*10</f>
        <v>0</v>
      </c>
    </row>
    <row r="6" spans="1:41" x14ac:dyDescent="0.25">
      <c r="A6" s="16">
        <v>1</v>
      </c>
      <c r="B6" s="92">
        <v>45264</v>
      </c>
      <c r="C6" s="23">
        <v>0.44097222222222227</v>
      </c>
      <c r="D6" s="31" t="s">
        <v>3139</v>
      </c>
      <c r="E6" s="32">
        <v>5615394688</v>
      </c>
      <c r="F6" s="32" t="s">
        <v>1190</v>
      </c>
      <c r="G6" s="39" t="s">
        <v>3179</v>
      </c>
      <c r="H6" s="39" t="s">
        <v>3178</v>
      </c>
      <c r="I6" s="122">
        <v>20</v>
      </c>
      <c r="J6" s="32">
        <v>3</v>
      </c>
      <c r="K6" s="20">
        <v>10</v>
      </c>
      <c r="L6" s="21"/>
      <c r="M6" s="21">
        <f t="shared" ref="M6:M24" si="0">+J6+K6</f>
        <v>13</v>
      </c>
      <c r="N6" s="21">
        <f t="shared" ref="N6:N24" si="1">+I6-M6</f>
        <v>7</v>
      </c>
      <c r="O6" s="21"/>
      <c r="P6" s="21"/>
      <c r="Q6" s="5"/>
      <c r="R6" s="21">
        <v>40</v>
      </c>
      <c r="S6" s="16"/>
      <c r="T6" s="21">
        <f t="shared" ref="T6:T24" si="2">+R6+S6</f>
        <v>40</v>
      </c>
      <c r="U6" s="21">
        <v>50</v>
      </c>
      <c r="V6" s="78">
        <f>+U6-T6+O6+P6</f>
        <v>10</v>
      </c>
      <c r="W6" s="13"/>
      <c r="X6" s="333"/>
      <c r="Y6" s="5"/>
      <c r="Z6" t="s">
        <v>1180</v>
      </c>
      <c r="AA6">
        <v>300</v>
      </c>
      <c r="AC6">
        <v>79</v>
      </c>
      <c r="AD6" s="59" t="s">
        <v>162</v>
      </c>
      <c r="AE6" s="18">
        <f>+AC6*1</f>
        <v>79</v>
      </c>
      <c r="AG6">
        <v>135</v>
      </c>
      <c r="AH6" s="59" t="s">
        <v>162</v>
      </c>
      <c r="AI6" s="18">
        <f>+AG6*1</f>
        <v>135</v>
      </c>
      <c r="AK6" s="16"/>
      <c r="AL6" s="16"/>
      <c r="AN6" s="59" t="s">
        <v>162</v>
      </c>
      <c r="AO6" s="18">
        <f>+AM6*1</f>
        <v>0</v>
      </c>
    </row>
    <row r="7" spans="1:41" x14ac:dyDescent="0.25">
      <c r="A7" s="26">
        <v>2</v>
      </c>
      <c r="B7" s="92">
        <v>45264</v>
      </c>
      <c r="C7" s="23">
        <v>0.45833333333333331</v>
      </c>
      <c r="D7" s="31" t="s">
        <v>1078</v>
      </c>
      <c r="E7" s="32">
        <v>578861024</v>
      </c>
      <c r="F7" s="32" t="s">
        <v>788</v>
      </c>
      <c r="G7" s="32" t="s">
        <v>1350</v>
      </c>
      <c r="H7" s="39" t="s">
        <v>3177</v>
      </c>
      <c r="I7" s="122">
        <v>200</v>
      </c>
      <c r="J7" s="32">
        <f>70+14</f>
        <v>84</v>
      </c>
      <c r="K7" s="20">
        <v>10</v>
      </c>
      <c r="L7" s="21"/>
      <c r="M7" s="21">
        <f t="shared" si="0"/>
        <v>94</v>
      </c>
      <c r="N7" s="21">
        <f t="shared" si="1"/>
        <v>106</v>
      </c>
      <c r="O7" s="21"/>
      <c r="P7" s="21"/>
      <c r="Q7" s="5"/>
      <c r="R7" s="21">
        <v>150</v>
      </c>
      <c r="S7" s="16">
        <v>50</v>
      </c>
      <c r="T7" s="21">
        <f t="shared" si="2"/>
        <v>200</v>
      </c>
      <c r="U7" s="21">
        <v>210</v>
      </c>
      <c r="V7" s="78">
        <f t="shared" ref="V7:V24" si="3">+U7-T7+O7+P7</f>
        <v>10</v>
      </c>
      <c r="W7" s="140"/>
      <c r="X7" s="334"/>
      <c r="Y7" s="5"/>
      <c r="AC7">
        <v>18</v>
      </c>
      <c r="AD7" s="16" t="s">
        <v>163</v>
      </c>
      <c r="AE7" s="60">
        <f>+AC7*5</f>
        <v>90</v>
      </c>
      <c r="AG7">
        <v>26</v>
      </c>
      <c r="AH7" s="16" t="s">
        <v>163</v>
      </c>
      <c r="AI7" s="60">
        <f>+AG7*5</f>
        <v>130</v>
      </c>
      <c r="AK7" s="16"/>
      <c r="AL7" s="16"/>
      <c r="AN7" s="16" t="s">
        <v>163</v>
      </c>
      <c r="AO7" s="60">
        <f>+AM7*5</f>
        <v>0</v>
      </c>
    </row>
    <row r="8" spans="1:41" x14ac:dyDescent="0.25">
      <c r="A8" s="143">
        <v>3</v>
      </c>
      <c r="B8" s="92">
        <v>45264</v>
      </c>
      <c r="C8" s="23"/>
      <c r="D8" s="31" t="s">
        <v>3183</v>
      </c>
      <c r="E8" s="32">
        <v>5513336066</v>
      </c>
      <c r="F8" s="32" t="s">
        <v>3180</v>
      </c>
      <c r="G8" s="32" t="s">
        <v>3181</v>
      </c>
      <c r="H8" s="39" t="s">
        <v>3182</v>
      </c>
      <c r="I8" s="122"/>
      <c r="J8" s="32">
        <f>29+165</f>
        <v>194</v>
      </c>
      <c r="K8" s="20">
        <v>10</v>
      </c>
      <c r="L8" s="21"/>
      <c r="M8" s="21">
        <f t="shared" si="0"/>
        <v>204</v>
      </c>
      <c r="N8" s="21">
        <f t="shared" si="1"/>
        <v>-204</v>
      </c>
      <c r="O8" s="21"/>
      <c r="P8" s="21"/>
      <c r="Q8" s="5"/>
      <c r="R8" s="21">
        <v>300</v>
      </c>
      <c r="S8" s="16"/>
      <c r="T8" s="21">
        <f t="shared" si="2"/>
        <v>300</v>
      </c>
      <c r="U8" s="21">
        <v>310</v>
      </c>
      <c r="V8" s="78">
        <f t="shared" si="3"/>
        <v>10</v>
      </c>
      <c r="W8" s="140"/>
      <c r="X8" s="334"/>
      <c r="Y8" s="5"/>
      <c r="AD8" s="16" t="s">
        <v>164</v>
      </c>
      <c r="AE8" s="18">
        <f>+AC8*200</f>
        <v>0</v>
      </c>
      <c r="AG8">
        <v>1</v>
      </c>
      <c r="AH8" s="16" t="s">
        <v>164</v>
      </c>
      <c r="AI8" s="18">
        <f>+AG8*200</f>
        <v>200</v>
      </c>
      <c r="AK8" s="16"/>
      <c r="AL8" s="16"/>
      <c r="AN8" s="16" t="s">
        <v>164</v>
      </c>
      <c r="AO8" s="18">
        <f>+AM8*200</f>
        <v>0</v>
      </c>
    </row>
    <row r="9" spans="1:41" x14ac:dyDescent="0.25">
      <c r="A9" s="143">
        <v>4</v>
      </c>
      <c r="B9" s="92">
        <v>45264</v>
      </c>
      <c r="C9" s="23"/>
      <c r="D9" s="31" t="s">
        <v>3184</v>
      </c>
      <c r="E9" s="32">
        <v>5510466400</v>
      </c>
      <c r="F9" s="32" t="s">
        <v>3188</v>
      </c>
      <c r="G9" s="32" t="s">
        <v>3190</v>
      </c>
      <c r="H9" s="39" t="s">
        <v>3186</v>
      </c>
      <c r="I9" s="122"/>
      <c r="J9" s="32">
        <f>154+84</f>
        <v>238</v>
      </c>
      <c r="K9" s="20">
        <v>10</v>
      </c>
      <c r="L9" s="21"/>
      <c r="M9" s="21">
        <f t="shared" si="0"/>
        <v>248</v>
      </c>
      <c r="N9" s="21">
        <f t="shared" si="1"/>
        <v>-248</v>
      </c>
      <c r="O9" s="21"/>
      <c r="P9" s="21"/>
      <c r="Q9" s="5"/>
      <c r="R9" s="21">
        <v>500</v>
      </c>
      <c r="S9" s="16"/>
      <c r="T9" s="21">
        <f t="shared" si="2"/>
        <v>500</v>
      </c>
      <c r="U9" s="21">
        <v>510</v>
      </c>
      <c r="V9" s="78">
        <f t="shared" si="3"/>
        <v>10</v>
      </c>
      <c r="W9" s="140"/>
      <c r="X9" s="334"/>
      <c r="Y9" s="5"/>
      <c r="AC9">
        <v>1</v>
      </c>
      <c r="AD9" s="16" t="s">
        <v>165</v>
      </c>
      <c r="AE9" s="18">
        <f>+AC9*100</f>
        <v>100</v>
      </c>
      <c r="AG9">
        <v>1</v>
      </c>
      <c r="AH9" s="16" t="s">
        <v>165</v>
      </c>
      <c r="AI9" s="18">
        <f>+AG9*100</f>
        <v>100</v>
      </c>
      <c r="AK9" s="16"/>
      <c r="AL9" s="16"/>
      <c r="AN9" s="16" t="s">
        <v>165</v>
      </c>
      <c r="AO9" s="18">
        <f>+AM9*100</f>
        <v>0</v>
      </c>
    </row>
    <row r="10" spans="1:41" x14ac:dyDescent="0.25">
      <c r="A10" s="143">
        <v>5</v>
      </c>
      <c r="B10" s="92">
        <v>45264</v>
      </c>
      <c r="C10" s="23"/>
      <c r="D10" s="32" t="s">
        <v>3187</v>
      </c>
      <c r="E10" s="32">
        <v>5615589545</v>
      </c>
      <c r="F10" s="32" t="s">
        <v>106</v>
      </c>
      <c r="G10" s="32" t="s">
        <v>3189</v>
      </c>
      <c r="H10" s="32" t="s">
        <v>3185</v>
      </c>
      <c r="I10" s="122"/>
      <c r="J10" s="32">
        <v>120</v>
      </c>
      <c r="K10" s="20">
        <v>10</v>
      </c>
      <c r="L10" s="21"/>
      <c r="M10" s="21">
        <f t="shared" si="0"/>
        <v>130</v>
      </c>
      <c r="N10" s="21">
        <f t="shared" si="1"/>
        <v>-130</v>
      </c>
      <c r="O10" s="21"/>
      <c r="P10" s="21"/>
      <c r="Q10" s="5"/>
      <c r="R10" s="16"/>
      <c r="S10" s="16"/>
      <c r="T10" s="21">
        <f t="shared" si="2"/>
        <v>0</v>
      </c>
      <c r="U10" s="21">
        <v>10</v>
      </c>
      <c r="V10" s="78">
        <f t="shared" si="3"/>
        <v>10</v>
      </c>
      <c r="W10" s="140"/>
      <c r="X10" s="334"/>
      <c r="Y10" s="5"/>
      <c r="AC10">
        <v>1</v>
      </c>
      <c r="AD10" s="16" t="s">
        <v>166</v>
      </c>
      <c r="AE10" s="18">
        <f>+AC10*50</f>
        <v>50</v>
      </c>
      <c r="AG10">
        <v>2</v>
      </c>
      <c r="AH10" s="16" t="s">
        <v>166</v>
      </c>
      <c r="AI10" s="18">
        <f>+AG10*50</f>
        <v>100</v>
      </c>
      <c r="AK10" s="16"/>
      <c r="AL10" s="16"/>
      <c r="AN10" s="16" t="s">
        <v>166</v>
      </c>
      <c r="AO10" s="18">
        <f>+AM10*50</f>
        <v>0</v>
      </c>
    </row>
    <row r="11" spans="1:41" x14ac:dyDescent="0.25">
      <c r="A11" s="143">
        <v>6</v>
      </c>
      <c r="B11" s="92">
        <v>45264</v>
      </c>
      <c r="C11" s="23"/>
      <c r="D11" s="31" t="s">
        <v>3184</v>
      </c>
      <c r="E11" s="32">
        <v>5510466400</v>
      </c>
      <c r="F11" s="32" t="s">
        <v>106</v>
      </c>
      <c r="G11" s="32" t="s">
        <v>3190</v>
      </c>
      <c r="H11" s="32" t="s">
        <v>3185</v>
      </c>
      <c r="I11" s="122"/>
      <c r="J11" s="32">
        <v>70</v>
      </c>
      <c r="K11" s="20">
        <v>10</v>
      </c>
      <c r="L11" s="21"/>
      <c r="M11" s="21">
        <f t="shared" si="0"/>
        <v>80</v>
      </c>
      <c r="N11" s="21">
        <f t="shared" si="1"/>
        <v>-80</v>
      </c>
      <c r="O11" s="21"/>
      <c r="P11" s="21"/>
      <c r="Q11" s="5"/>
      <c r="R11" s="16"/>
      <c r="S11" s="16"/>
      <c r="T11" s="21">
        <f t="shared" si="2"/>
        <v>0</v>
      </c>
      <c r="U11" s="16">
        <v>10</v>
      </c>
      <c r="V11" s="78">
        <f t="shared" si="3"/>
        <v>10</v>
      </c>
      <c r="W11" s="140"/>
      <c r="X11" s="334"/>
      <c r="Y11" s="5"/>
      <c r="AC11">
        <v>4</v>
      </c>
      <c r="AD11" s="16" t="s">
        <v>167</v>
      </c>
      <c r="AE11" s="18">
        <f>+AC11*20</f>
        <v>80</v>
      </c>
      <c r="AG11">
        <v>2</v>
      </c>
      <c r="AH11" s="16" t="s">
        <v>167</v>
      </c>
      <c r="AI11" s="18">
        <f>+AG11*20</f>
        <v>40</v>
      </c>
      <c r="AK11" s="16"/>
      <c r="AL11" s="16"/>
      <c r="AN11" s="16" t="s">
        <v>167</v>
      </c>
      <c r="AO11" s="18">
        <f>+AM11*20</f>
        <v>0</v>
      </c>
    </row>
    <row r="12" spans="1:41" x14ac:dyDescent="0.25">
      <c r="A12" s="143">
        <v>7</v>
      </c>
      <c r="B12" s="92">
        <v>45264</v>
      </c>
      <c r="C12" s="23"/>
      <c r="D12" s="31" t="s">
        <v>3192</v>
      </c>
      <c r="E12" s="32">
        <v>5562185282</v>
      </c>
      <c r="F12" s="32" t="s">
        <v>902</v>
      </c>
      <c r="G12" s="32" t="s">
        <v>2968</v>
      </c>
      <c r="H12" s="39" t="s">
        <v>2969</v>
      </c>
      <c r="I12" s="122"/>
      <c r="J12" s="42">
        <v>22</v>
      </c>
      <c r="K12" s="20">
        <v>10</v>
      </c>
      <c r="L12" s="21"/>
      <c r="M12" s="21">
        <f t="shared" si="0"/>
        <v>32</v>
      </c>
      <c r="N12" s="21">
        <f t="shared" si="1"/>
        <v>-32</v>
      </c>
      <c r="O12" s="21"/>
      <c r="P12" s="21"/>
      <c r="Q12" s="5"/>
      <c r="R12" s="16"/>
      <c r="S12" s="16"/>
      <c r="T12" s="21">
        <f t="shared" si="2"/>
        <v>0</v>
      </c>
      <c r="U12" s="16"/>
      <c r="V12" s="78">
        <f t="shared" si="3"/>
        <v>0</v>
      </c>
      <c r="W12" s="140"/>
      <c r="X12" s="334"/>
      <c r="Y12" s="5"/>
      <c r="AD12" s="16" t="s">
        <v>171</v>
      </c>
      <c r="AE12" s="18">
        <f>+AC12*500</f>
        <v>0</v>
      </c>
      <c r="AH12" s="16" t="s">
        <v>171</v>
      </c>
      <c r="AI12" s="18">
        <f>+AG12*500</f>
        <v>0</v>
      </c>
      <c r="AK12" s="16"/>
      <c r="AL12" s="16"/>
      <c r="AN12" s="16" t="s">
        <v>171</v>
      </c>
      <c r="AO12" s="18">
        <f>+AM12*500</f>
        <v>0</v>
      </c>
    </row>
    <row r="13" spans="1:41" x14ac:dyDescent="0.25">
      <c r="A13" s="143">
        <v>8</v>
      </c>
      <c r="B13" s="92">
        <v>45264</v>
      </c>
      <c r="C13" s="23"/>
      <c r="D13" s="31" t="s">
        <v>3193</v>
      </c>
      <c r="E13" s="123">
        <v>5535831305</v>
      </c>
      <c r="F13" s="123"/>
      <c r="G13" s="123" t="s">
        <v>3194</v>
      </c>
      <c r="H13" s="39"/>
      <c r="I13" s="122"/>
      <c r="J13" s="32"/>
      <c r="K13" s="20">
        <v>10</v>
      </c>
      <c r="L13" s="21"/>
      <c r="M13" s="21">
        <f t="shared" si="0"/>
        <v>10</v>
      </c>
      <c r="N13" s="21">
        <f t="shared" si="1"/>
        <v>-10</v>
      </c>
      <c r="O13" s="21"/>
      <c r="P13" s="21"/>
      <c r="Q13" s="5"/>
      <c r="R13" s="16"/>
      <c r="S13" s="16"/>
      <c r="T13" s="21">
        <f t="shared" si="2"/>
        <v>0</v>
      </c>
      <c r="U13" s="16"/>
      <c r="V13" s="78">
        <f t="shared" si="3"/>
        <v>0</v>
      </c>
      <c r="W13" s="140"/>
      <c r="X13" s="334"/>
      <c r="Y13" s="5"/>
      <c r="AD13" s="16" t="s">
        <v>168</v>
      </c>
      <c r="AE13" s="18">
        <f>+AC13*1000</f>
        <v>0</v>
      </c>
      <c r="AH13" s="16" t="s">
        <v>168</v>
      </c>
      <c r="AI13" s="18">
        <f>+AG13*1000</f>
        <v>0</v>
      </c>
      <c r="AK13" s="16"/>
      <c r="AL13" s="16"/>
      <c r="AN13" s="16" t="s">
        <v>168</v>
      </c>
      <c r="AO13" s="18">
        <f>+AM13*1000</f>
        <v>0</v>
      </c>
    </row>
    <row r="14" spans="1:41" x14ac:dyDescent="0.25">
      <c r="A14" s="143">
        <v>9</v>
      </c>
      <c r="B14" s="92">
        <v>45264</v>
      </c>
      <c r="C14" s="23"/>
      <c r="D14" s="31" t="s">
        <v>3195</v>
      </c>
      <c r="E14" s="32">
        <v>7029645125</v>
      </c>
      <c r="F14" s="32" t="s">
        <v>106</v>
      </c>
      <c r="G14" s="32" t="s">
        <v>3196</v>
      </c>
      <c r="H14" s="39" t="s">
        <v>3198</v>
      </c>
      <c r="I14" s="39">
        <v>200</v>
      </c>
      <c r="J14" s="40"/>
      <c r="K14" s="20">
        <v>10</v>
      </c>
      <c r="L14" s="21"/>
      <c r="M14" s="21">
        <f t="shared" si="0"/>
        <v>10</v>
      </c>
      <c r="N14" s="21">
        <f t="shared" si="1"/>
        <v>190</v>
      </c>
      <c r="O14" s="21"/>
      <c r="P14" s="21"/>
      <c r="Q14" s="5"/>
      <c r="R14" s="16"/>
      <c r="S14" s="16"/>
      <c r="T14" s="21">
        <f t="shared" si="2"/>
        <v>0</v>
      </c>
      <c r="U14" s="16"/>
      <c r="V14" s="78">
        <f t="shared" si="3"/>
        <v>0</v>
      </c>
      <c r="W14" s="140"/>
      <c r="X14" s="334"/>
      <c r="Y14" s="5"/>
      <c r="AD14" s="26"/>
      <c r="AE14" s="58"/>
      <c r="AH14" s="26"/>
      <c r="AI14" s="58"/>
      <c r="AK14" s="16"/>
      <c r="AL14" s="16"/>
      <c r="AN14" s="26"/>
      <c r="AO14" s="58"/>
    </row>
    <row r="15" spans="1:41" x14ac:dyDescent="0.25">
      <c r="A15" s="143">
        <v>10</v>
      </c>
      <c r="B15" s="92">
        <v>45264</v>
      </c>
      <c r="C15" s="23"/>
      <c r="D15" s="31" t="s">
        <v>2281</v>
      </c>
      <c r="E15" s="32">
        <v>5532536647</v>
      </c>
      <c r="F15" s="32" t="s">
        <v>3197</v>
      </c>
      <c r="G15" s="32" t="s">
        <v>2411</v>
      </c>
      <c r="H15" s="39" t="s">
        <v>3199</v>
      </c>
      <c r="I15" s="122">
        <v>119</v>
      </c>
      <c r="J15" s="42">
        <v>109</v>
      </c>
      <c r="K15" s="20">
        <v>10</v>
      </c>
      <c r="L15" s="21"/>
      <c r="M15" s="21">
        <f t="shared" si="0"/>
        <v>119</v>
      </c>
      <c r="N15" s="21">
        <f t="shared" si="1"/>
        <v>0</v>
      </c>
      <c r="O15" s="21"/>
      <c r="P15" s="21"/>
      <c r="Q15" s="5"/>
      <c r="R15" s="16"/>
      <c r="S15" s="16"/>
      <c r="T15" s="21">
        <f t="shared" si="2"/>
        <v>0</v>
      </c>
      <c r="U15" s="16"/>
      <c r="V15" s="78">
        <f t="shared" si="3"/>
        <v>0</v>
      </c>
      <c r="W15" s="140"/>
      <c r="X15" s="334"/>
      <c r="Y15" s="5"/>
      <c r="AD15" s="16" t="s">
        <v>169</v>
      </c>
      <c r="AE15" s="18">
        <f>SUM(AE5:AE14)</f>
        <v>549</v>
      </c>
      <c r="AH15" s="16" t="s">
        <v>169</v>
      </c>
      <c r="AI15" s="18">
        <f>SUM(AI5:AI14)</f>
        <v>795</v>
      </c>
      <c r="AK15" s="16"/>
      <c r="AL15" s="16"/>
      <c r="AN15" s="16" t="s">
        <v>169</v>
      </c>
      <c r="AO15" s="18"/>
    </row>
    <row r="16" spans="1:41" x14ac:dyDescent="0.25">
      <c r="A16" s="143">
        <v>11</v>
      </c>
      <c r="B16" s="92">
        <v>45264</v>
      </c>
      <c r="C16" s="23"/>
      <c r="D16" s="31" t="s">
        <v>3200</v>
      </c>
      <c r="E16" s="124">
        <v>56</v>
      </c>
      <c r="F16" s="123" t="s">
        <v>106</v>
      </c>
      <c r="G16" s="123" t="s">
        <v>3200</v>
      </c>
      <c r="H16" s="39" t="s">
        <v>3201</v>
      </c>
      <c r="I16" s="122">
        <v>170</v>
      </c>
      <c r="J16" s="42">
        <v>140</v>
      </c>
      <c r="K16" s="20">
        <v>10</v>
      </c>
      <c r="L16" s="21">
        <v>20</v>
      </c>
      <c r="M16" s="21">
        <f t="shared" si="0"/>
        <v>150</v>
      </c>
      <c r="N16" s="21">
        <f t="shared" si="1"/>
        <v>20</v>
      </c>
      <c r="O16" s="21"/>
      <c r="P16" s="21"/>
      <c r="Q16" s="5"/>
      <c r="R16" s="16"/>
      <c r="S16" s="16"/>
      <c r="T16" s="21">
        <f t="shared" si="2"/>
        <v>0</v>
      </c>
      <c r="U16" s="16"/>
      <c r="V16" s="78">
        <f t="shared" si="3"/>
        <v>0</v>
      </c>
      <c r="W16" s="140"/>
      <c r="X16" s="334"/>
      <c r="Y16" s="5"/>
      <c r="AE16">
        <v>549</v>
      </c>
      <c r="AK16" s="16"/>
      <c r="AL16" s="16"/>
      <c r="AN16" s="16"/>
      <c r="AO16" s="16"/>
    </row>
    <row r="17" spans="1:41" x14ac:dyDescent="0.25">
      <c r="A17" s="143">
        <v>12</v>
      </c>
      <c r="B17" s="92">
        <v>45264</v>
      </c>
      <c r="C17" s="23"/>
      <c r="D17" s="32"/>
      <c r="E17" s="32"/>
      <c r="F17" s="124"/>
      <c r="G17" s="123"/>
      <c r="H17" s="39"/>
      <c r="I17" s="39"/>
      <c r="J17" s="42"/>
      <c r="K17" s="20">
        <v>10</v>
      </c>
      <c r="L17" s="21"/>
      <c r="M17" s="21">
        <f t="shared" si="0"/>
        <v>10</v>
      </c>
      <c r="N17" s="21">
        <f t="shared" si="1"/>
        <v>-10</v>
      </c>
      <c r="O17" s="21"/>
      <c r="P17" s="21"/>
      <c r="Q17" s="5"/>
      <c r="R17" s="45"/>
      <c r="S17" s="44"/>
      <c r="T17" s="21">
        <f t="shared" si="2"/>
        <v>0</v>
      </c>
      <c r="U17" s="45"/>
      <c r="V17" s="78">
        <f t="shared" si="3"/>
        <v>0</v>
      </c>
      <c r="W17" s="140"/>
      <c r="X17" s="334"/>
      <c r="Y17" s="5"/>
      <c r="AK17" s="63" t="s">
        <v>169</v>
      </c>
      <c r="AL17" s="63">
        <f>+SUM(AK6:AK16)-SUM(AL6:AL16)</f>
        <v>0</v>
      </c>
      <c r="AN17" s="63" t="s">
        <v>169</v>
      </c>
      <c r="AO17" s="85">
        <f>+SUM(AN5:AN16)-SUM(AO6:AO16)</f>
        <v>0</v>
      </c>
    </row>
    <row r="18" spans="1:41" x14ac:dyDescent="0.25">
      <c r="A18" s="143">
        <v>13</v>
      </c>
      <c r="B18" s="92">
        <v>45264</v>
      </c>
      <c r="C18" s="23"/>
      <c r="D18" s="31"/>
      <c r="E18" s="32"/>
      <c r="F18" s="32"/>
      <c r="G18" s="32"/>
      <c r="H18" s="39"/>
      <c r="I18" s="39"/>
      <c r="J18" s="42"/>
      <c r="K18" s="108">
        <v>10</v>
      </c>
      <c r="L18" s="21"/>
      <c r="M18" s="21">
        <f t="shared" si="0"/>
        <v>10</v>
      </c>
      <c r="N18" s="21">
        <f t="shared" si="1"/>
        <v>-10</v>
      </c>
      <c r="O18" s="21"/>
      <c r="P18" s="21"/>
      <c r="Q18" s="5"/>
      <c r="R18" s="43"/>
      <c r="S18" s="32"/>
      <c r="T18" s="21">
        <f t="shared" si="2"/>
        <v>0</v>
      </c>
      <c r="U18" s="43"/>
      <c r="V18" s="78">
        <f t="shared" si="3"/>
        <v>0</v>
      </c>
      <c r="W18" s="140"/>
      <c r="X18" s="334"/>
      <c r="Y18" s="5"/>
      <c r="AI18" s="83"/>
    </row>
    <row r="19" spans="1:41" x14ac:dyDescent="0.25">
      <c r="A19" s="143">
        <v>14</v>
      </c>
      <c r="B19" s="92">
        <v>45264</v>
      </c>
      <c r="C19" s="23"/>
      <c r="D19" s="31"/>
      <c r="E19" s="32"/>
      <c r="F19" s="32"/>
      <c r="G19" s="32"/>
      <c r="H19" s="39"/>
      <c r="I19" s="39"/>
      <c r="J19" s="42"/>
      <c r="K19" s="108">
        <v>10</v>
      </c>
      <c r="L19" s="21"/>
      <c r="M19" s="21">
        <f t="shared" si="0"/>
        <v>10</v>
      </c>
      <c r="N19" s="21">
        <f t="shared" si="1"/>
        <v>-10</v>
      </c>
      <c r="O19" s="21"/>
      <c r="P19" s="21"/>
      <c r="Q19" s="5"/>
      <c r="R19" s="43"/>
      <c r="S19" s="43"/>
      <c r="T19" s="21">
        <f t="shared" si="2"/>
        <v>0</v>
      </c>
      <c r="U19" s="43"/>
      <c r="V19" s="78">
        <f t="shared" si="3"/>
        <v>0</v>
      </c>
      <c r="W19" s="140"/>
      <c r="X19" s="334"/>
      <c r="Y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41" x14ac:dyDescent="0.25">
      <c r="A20" s="143">
        <v>15</v>
      </c>
      <c r="B20" s="92">
        <v>45264</v>
      </c>
      <c r="C20" s="23"/>
      <c r="D20" s="127"/>
      <c r="E20" s="32"/>
      <c r="F20" s="32"/>
      <c r="G20" s="128"/>
      <c r="H20" s="129"/>
      <c r="I20" s="39"/>
      <c r="J20" s="42"/>
      <c r="K20" s="108">
        <v>10</v>
      </c>
      <c r="L20" s="21"/>
      <c r="M20" s="21">
        <f t="shared" si="0"/>
        <v>10</v>
      </c>
      <c r="N20" s="21">
        <f t="shared" si="1"/>
        <v>-10</v>
      </c>
      <c r="O20" s="21"/>
      <c r="P20" s="21"/>
      <c r="Q20" s="5"/>
      <c r="R20" s="43"/>
      <c r="S20" s="43"/>
      <c r="T20" s="21">
        <f t="shared" si="2"/>
        <v>0</v>
      </c>
      <c r="U20" s="43"/>
      <c r="V20" s="78">
        <f t="shared" si="3"/>
        <v>0</v>
      </c>
      <c r="W20" s="140"/>
      <c r="X20" s="334"/>
      <c r="Y20" s="5"/>
      <c r="AD20" s="5"/>
      <c r="AE20" s="134" t="s">
        <v>20</v>
      </c>
      <c r="AF20" s="338"/>
      <c r="AG20" s="341" t="s">
        <v>686</v>
      </c>
      <c r="AH20" s="134" t="s">
        <v>20</v>
      </c>
      <c r="AI20" s="338"/>
      <c r="AJ20" s="341" t="s">
        <v>687</v>
      </c>
      <c r="AK20" s="134" t="s">
        <v>20</v>
      </c>
      <c r="AL20" s="338"/>
      <c r="AM20" s="5"/>
    </row>
    <row r="21" spans="1:41" x14ac:dyDescent="0.25">
      <c r="A21" s="143">
        <v>16</v>
      </c>
      <c r="B21" s="92">
        <v>45264</v>
      </c>
      <c r="C21" s="23"/>
      <c r="D21" s="31"/>
      <c r="E21" s="32"/>
      <c r="F21" s="32"/>
      <c r="G21" s="32"/>
      <c r="H21" s="39"/>
      <c r="I21" s="39"/>
      <c r="J21" s="42"/>
      <c r="K21" s="43">
        <v>10</v>
      </c>
      <c r="L21" s="21"/>
      <c r="M21" s="21">
        <f t="shared" si="0"/>
        <v>10</v>
      </c>
      <c r="N21" s="21">
        <f t="shared" si="1"/>
        <v>-10</v>
      </c>
      <c r="O21" s="21"/>
      <c r="P21" s="21"/>
      <c r="Q21" s="5"/>
      <c r="R21" s="43"/>
      <c r="S21" s="32"/>
      <c r="T21" s="21">
        <f t="shared" si="2"/>
        <v>0</v>
      </c>
      <c r="U21" s="131"/>
      <c r="V21" s="78">
        <f t="shared" si="3"/>
        <v>0</v>
      </c>
      <c r="W21" s="140"/>
      <c r="X21" s="334"/>
      <c r="Y21" s="5"/>
      <c r="AD21" s="5" t="s">
        <v>685</v>
      </c>
      <c r="AE21" s="115" t="s">
        <v>684</v>
      </c>
      <c r="AF21" s="339"/>
      <c r="AG21" s="341"/>
      <c r="AH21" s="115" t="s">
        <v>684</v>
      </c>
      <c r="AI21" s="339"/>
      <c r="AJ21" s="341"/>
      <c r="AK21" s="115" t="s">
        <v>684</v>
      </c>
      <c r="AL21" s="339"/>
      <c r="AM21" s="5"/>
    </row>
    <row r="22" spans="1:41" x14ac:dyDescent="0.25">
      <c r="A22" s="143">
        <v>17</v>
      </c>
      <c r="B22" s="92">
        <v>45264</v>
      </c>
      <c r="C22" s="23"/>
      <c r="D22" s="31"/>
      <c r="E22" s="32"/>
      <c r="F22" s="32"/>
      <c r="G22" s="32"/>
      <c r="H22" s="39"/>
      <c r="I22" s="39"/>
      <c r="J22" s="42"/>
      <c r="K22" s="43">
        <v>10</v>
      </c>
      <c r="L22" s="21"/>
      <c r="M22" s="21">
        <f t="shared" si="0"/>
        <v>10</v>
      </c>
      <c r="N22" s="21">
        <f t="shared" si="1"/>
        <v>-10</v>
      </c>
      <c r="O22" s="21"/>
      <c r="P22" s="21"/>
      <c r="Q22" s="5"/>
      <c r="R22" s="43"/>
      <c r="S22" s="32"/>
      <c r="T22" s="21">
        <f t="shared" si="2"/>
        <v>0</v>
      </c>
      <c r="U22" s="132"/>
      <c r="V22" s="78">
        <f t="shared" si="3"/>
        <v>0</v>
      </c>
      <c r="W22" s="140"/>
      <c r="X22" s="340"/>
      <c r="Y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41" x14ac:dyDescent="0.25">
      <c r="A23" s="143">
        <v>18</v>
      </c>
      <c r="B23" s="92">
        <v>45264</v>
      </c>
      <c r="C23" s="32"/>
      <c r="D23" s="31"/>
      <c r="E23" s="32"/>
      <c r="F23" s="32"/>
      <c r="G23" s="32"/>
      <c r="H23" s="39"/>
      <c r="I23" s="39"/>
      <c r="J23" s="42"/>
      <c r="K23" s="43">
        <v>10</v>
      </c>
      <c r="L23" s="21"/>
      <c r="M23" s="21">
        <f t="shared" si="0"/>
        <v>10</v>
      </c>
      <c r="N23" s="21">
        <f t="shared" si="1"/>
        <v>-10</v>
      </c>
      <c r="O23" s="21"/>
      <c r="P23" s="21"/>
      <c r="Q23" s="5"/>
      <c r="R23" s="135"/>
      <c r="S23" s="104"/>
      <c r="T23" s="21">
        <f t="shared" si="2"/>
        <v>0</v>
      </c>
      <c r="U23" s="131"/>
      <c r="V23" s="78">
        <f t="shared" si="3"/>
        <v>0</v>
      </c>
      <c r="W23" s="140"/>
      <c r="Y23" s="5"/>
    </row>
    <row r="24" spans="1:41" x14ac:dyDescent="0.25">
      <c r="A24" s="143">
        <v>19</v>
      </c>
      <c r="B24" s="92">
        <v>45264</v>
      </c>
      <c r="C24" s="32"/>
      <c r="D24" s="31"/>
      <c r="E24" s="32"/>
      <c r="F24" s="32"/>
      <c r="G24" s="32"/>
      <c r="H24" s="39"/>
      <c r="I24" s="39"/>
      <c r="J24" s="42"/>
      <c r="K24" s="43">
        <v>10</v>
      </c>
      <c r="L24" s="21"/>
      <c r="M24" s="21">
        <f t="shared" si="0"/>
        <v>10</v>
      </c>
      <c r="N24" s="21">
        <f t="shared" si="1"/>
        <v>-10</v>
      </c>
      <c r="O24" s="21"/>
      <c r="P24" s="21"/>
      <c r="Q24" s="5"/>
      <c r="R24" s="32"/>
      <c r="S24" s="32"/>
      <c r="T24" s="21">
        <f t="shared" si="2"/>
        <v>0</v>
      </c>
      <c r="U24" s="32"/>
      <c r="V24" s="78">
        <f t="shared" si="3"/>
        <v>0</v>
      </c>
      <c r="W24" s="140"/>
      <c r="Y24" s="5"/>
    </row>
    <row r="25" spans="1:4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141"/>
      <c r="X25" s="5"/>
      <c r="Y25" s="5"/>
    </row>
    <row r="30" spans="1:41" x14ac:dyDescent="0.25">
      <c r="A30" s="1" t="s">
        <v>0</v>
      </c>
      <c r="B30" s="1"/>
      <c r="C30" s="1"/>
      <c r="D30" s="1"/>
      <c r="E30" s="1"/>
      <c r="F30" s="1"/>
      <c r="G30" s="1"/>
      <c r="H30" s="1"/>
      <c r="I30" s="1"/>
      <c r="J30" s="1" t="s">
        <v>148</v>
      </c>
      <c r="K30" s="1"/>
      <c r="L30" s="1"/>
      <c r="M30" s="1"/>
      <c r="N30" s="1"/>
      <c r="O30" s="1"/>
      <c r="P30" s="1"/>
      <c r="Q30" s="1"/>
      <c r="R30" s="1"/>
      <c r="S30" s="1"/>
      <c r="T30" s="342" t="s">
        <v>1</v>
      </c>
      <c r="U30" s="342"/>
      <c r="V30" s="5"/>
      <c r="W30" s="139"/>
      <c r="X30" s="1"/>
      <c r="Y30" s="5"/>
      <c r="AD30" s="335" t="s">
        <v>160</v>
      </c>
      <c r="AE30" s="336"/>
      <c r="AH30" s="335" t="s">
        <v>170</v>
      </c>
      <c r="AI30" s="336"/>
      <c r="AK30" s="337" t="s">
        <v>172</v>
      </c>
      <c r="AL30" s="337"/>
      <c r="AN30" s="337" t="s">
        <v>681</v>
      </c>
      <c r="AO30" s="337"/>
    </row>
    <row r="31" spans="1:41" ht="90" x14ac:dyDescent="0.25">
      <c r="A31" s="6" t="s">
        <v>2</v>
      </c>
      <c r="B31" s="7" t="s">
        <v>3</v>
      </c>
      <c r="C31" s="245" t="s">
        <v>688</v>
      </c>
      <c r="D31" s="7" t="s">
        <v>4</v>
      </c>
      <c r="E31" s="6" t="s">
        <v>5</v>
      </c>
      <c r="F31" s="6" t="s">
        <v>6</v>
      </c>
      <c r="G31" s="6" t="s">
        <v>7</v>
      </c>
      <c r="H31" s="6" t="s">
        <v>8</v>
      </c>
      <c r="I31" s="8" t="s">
        <v>9</v>
      </c>
      <c r="J31" s="9" t="s">
        <v>10</v>
      </c>
      <c r="K31" s="8" t="s">
        <v>11</v>
      </c>
      <c r="L31" s="10" t="s">
        <v>12</v>
      </c>
      <c r="M31" s="10" t="s">
        <v>13</v>
      </c>
      <c r="N31" s="11" t="s">
        <v>14</v>
      </c>
      <c r="O31" s="10" t="s">
        <v>691</v>
      </c>
      <c r="P31" s="10" t="s">
        <v>28</v>
      </c>
      <c r="Q31" s="5"/>
      <c r="R31" s="10" t="s">
        <v>16</v>
      </c>
      <c r="S31" s="10" t="s">
        <v>17</v>
      </c>
      <c r="T31" s="10" t="s">
        <v>18</v>
      </c>
      <c r="U31" s="10" t="s">
        <v>19</v>
      </c>
      <c r="V31" s="10" t="s">
        <v>20</v>
      </c>
      <c r="W31" s="13"/>
      <c r="X31" s="15" t="s">
        <v>23</v>
      </c>
      <c r="Y31" s="5"/>
      <c r="AA31" s="251" t="s">
        <v>2554</v>
      </c>
      <c r="AC31">
        <v>2</v>
      </c>
      <c r="AD31" s="16" t="s">
        <v>161</v>
      </c>
      <c r="AE31" s="58">
        <f>+AC31*10</f>
        <v>20</v>
      </c>
      <c r="AG31">
        <v>0</v>
      </c>
      <c r="AH31" s="16" t="s">
        <v>161</v>
      </c>
      <c r="AI31" s="58">
        <f>+AG31*10</f>
        <v>0</v>
      </c>
      <c r="AK31" s="61" t="s">
        <v>173</v>
      </c>
      <c r="AL31" s="62" t="s">
        <v>174</v>
      </c>
      <c r="AN31" s="16" t="s">
        <v>161</v>
      </c>
      <c r="AO31" s="58">
        <f>+AM31*10</f>
        <v>0</v>
      </c>
    </row>
    <row r="32" spans="1:41" x14ac:dyDescent="0.25">
      <c r="A32" s="16">
        <v>1</v>
      </c>
      <c r="B32" s="92">
        <v>45265</v>
      </c>
      <c r="C32" s="23"/>
      <c r="D32" s="31" t="s">
        <v>3202</v>
      </c>
      <c r="E32" s="32"/>
      <c r="F32" s="32" t="s">
        <v>394</v>
      </c>
      <c r="G32" s="39"/>
      <c r="H32" s="39" t="s">
        <v>3203</v>
      </c>
      <c r="I32" s="122"/>
      <c r="J32" s="32">
        <f>624+150+70+37+21</f>
        <v>902</v>
      </c>
      <c r="K32" s="20">
        <v>10</v>
      </c>
      <c r="L32" s="21">
        <v>103</v>
      </c>
      <c r="M32" s="21">
        <f t="shared" ref="M32:M50" si="4">+J32+K32</f>
        <v>912</v>
      </c>
      <c r="N32" s="21">
        <f t="shared" ref="N32:N50" si="5">+I32-M32</f>
        <v>-912</v>
      </c>
      <c r="O32" s="21"/>
      <c r="P32" s="21"/>
      <c r="Q32" s="5"/>
      <c r="R32" s="21">
        <v>550</v>
      </c>
      <c r="S32" s="16"/>
      <c r="T32" s="21">
        <f t="shared" ref="T32:T50" si="6">+R32+S32</f>
        <v>550</v>
      </c>
      <c r="U32" s="21">
        <f>550+96</f>
        <v>646</v>
      </c>
      <c r="V32" s="78">
        <f>+U32-T32+O32+P32</f>
        <v>96</v>
      </c>
      <c r="W32" s="13"/>
      <c r="X32" s="333"/>
      <c r="Y32" s="5"/>
      <c r="AC32">
        <v>102</v>
      </c>
      <c r="AD32" s="59" t="s">
        <v>162</v>
      </c>
      <c r="AE32" s="18">
        <f>+AC32*1</f>
        <v>102</v>
      </c>
      <c r="AG32">
        <v>165</v>
      </c>
      <c r="AH32" s="59" t="s">
        <v>162</v>
      </c>
      <c r="AI32" s="18">
        <f>+AG32*1</f>
        <v>165</v>
      </c>
      <c r="AK32" s="16"/>
      <c r="AL32" s="16"/>
      <c r="AN32" s="59" t="s">
        <v>162</v>
      </c>
      <c r="AO32" s="18">
        <f>+AM32*1</f>
        <v>0</v>
      </c>
    </row>
    <row r="33" spans="1:41" x14ac:dyDescent="0.25">
      <c r="A33" s="26">
        <v>2</v>
      </c>
      <c r="B33" s="92">
        <v>45265</v>
      </c>
      <c r="C33" s="23"/>
      <c r="D33" s="31" t="s">
        <v>2045</v>
      </c>
      <c r="E33" s="32">
        <v>5529573104</v>
      </c>
      <c r="F33" s="32" t="s">
        <v>28</v>
      </c>
      <c r="G33" s="32" t="s">
        <v>126</v>
      </c>
      <c r="H33" s="39" t="s">
        <v>3204</v>
      </c>
      <c r="I33" s="122"/>
      <c r="J33" s="32">
        <v>85</v>
      </c>
      <c r="K33" s="20">
        <v>10</v>
      </c>
      <c r="L33" s="21">
        <v>5</v>
      </c>
      <c r="M33" s="21">
        <f t="shared" si="4"/>
        <v>95</v>
      </c>
      <c r="N33" s="21">
        <f t="shared" si="5"/>
        <v>-95</v>
      </c>
      <c r="O33" s="21"/>
      <c r="P33" s="21"/>
      <c r="Q33" s="5"/>
      <c r="R33" s="21">
        <v>200</v>
      </c>
      <c r="S33" s="16"/>
      <c r="T33" s="21">
        <f t="shared" si="6"/>
        <v>200</v>
      </c>
      <c r="U33" s="21">
        <v>215</v>
      </c>
      <c r="V33" s="78">
        <f t="shared" ref="V33:V50" si="7">+U33-T33+O33+P33</f>
        <v>15</v>
      </c>
      <c r="W33" s="140"/>
      <c r="X33" s="334"/>
      <c r="Y33" s="5"/>
      <c r="AC33">
        <v>25</v>
      </c>
      <c r="AD33" s="16" t="s">
        <v>163</v>
      </c>
      <c r="AE33" s="60">
        <f>+AC33*5</f>
        <v>125</v>
      </c>
      <c r="AG33">
        <v>25</v>
      </c>
      <c r="AH33" s="16" t="s">
        <v>163</v>
      </c>
      <c r="AI33" s="60">
        <f>+AG33*5</f>
        <v>125</v>
      </c>
      <c r="AK33" s="16"/>
      <c r="AL33" s="16"/>
      <c r="AN33" s="16" t="s">
        <v>163</v>
      </c>
      <c r="AO33" s="60">
        <f>+AM33*5</f>
        <v>0</v>
      </c>
    </row>
    <row r="34" spans="1:41" x14ac:dyDescent="0.25">
      <c r="A34" s="143">
        <v>3</v>
      </c>
      <c r="B34" s="92">
        <v>45265</v>
      </c>
      <c r="C34" s="23"/>
      <c r="D34" s="31" t="s">
        <v>3205</v>
      </c>
      <c r="E34" s="32">
        <v>5521837478</v>
      </c>
      <c r="F34" s="32" t="s">
        <v>788</v>
      </c>
      <c r="G34" s="32">
        <v>111</v>
      </c>
      <c r="H34" s="39" t="s">
        <v>3206</v>
      </c>
      <c r="I34" s="122">
        <v>188</v>
      </c>
      <c r="J34" s="32">
        <v>168</v>
      </c>
      <c r="K34" s="20">
        <v>10</v>
      </c>
      <c r="L34" s="21">
        <v>10</v>
      </c>
      <c r="M34" s="21">
        <f t="shared" si="4"/>
        <v>178</v>
      </c>
      <c r="N34" s="21">
        <f t="shared" si="5"/>
        <v>10</v>
      </c>
      <c r="O34" s="21"/>
      <c r="P34" s="21"/>
      <c r="Q34" s="5"/>
      <c r="R34" s="21">
        <v>500</v>
      </c>
      <c r="S34" s="16"/>
      <c r="T34" s="21">
        <f t="shared" si="6"/>
        <v>500</v>
      </c>
      <c r="U34" s="21"/>
      <c r="V34" s="78">
        <f t="shared" si="7"/>
        <v>-500</v>
      </c>
      <c r="W34" s="140"/>
      <c r="X34" s="334"/>
      <c r="Y34" s="5"/>
      <c r="AC34">
        <v>2</v>
      </c>
      <c r="AD34" s="16" t="s">
        <v>164</v>
      </c>
      <c r="AE34" s="18">
        <f>+AC34*200</f>
        <v>400</v>
      </c>
      <c r="AG34">
        <v>1</v>
      </c>
      <c r="AH34" s="16" t="s">
        <v>164</v>
      </c>
      <c r="AI34" s="18">
        <f>+AG34*200</f>
        <v>200</v>
      </c>
      <c r="AK34" s="16"/>
      <c r="AL34" s="16"/>
      <c r="AN34" s="16" t="s">
        <v>164</v>
      </c>
      <c r="AO34" s="18">
        <f>+AM34*200</f>
        <v>0</v>
      </c>
    </row>
    <row r="35" spans="1:41" x14ac:dyDescent="0.25">
      <c r="A35" s="143">
        <v>4</v>
      </c>
      <c r="B35" s="92">
        <v>45265</v>
      </c>
      <c r="C35" s="23"/>
      <c r="D35" s="31" t="s">
        <v>3207</v>
      </c>
      <c r="E35" s="32">
        <v>5624838493</v>
      </c>
      <c r="F35" s="32" t="s">
        <v>114</v>
      </c>
      <c r="G35" s="32" t="s">
        <v>3208</v>
      </c>
      <c r="H35" s="39" t="s">
        <v>3209</v>
      </c>
      <c r="I35" s="122">
        <v>77</v>
      </c>
      <c r="J35" s="32">
        <v>67</v>
      </c>
      <c r="K35" s="20">
        <v>10</v>
      </c>
      <c r="L35" s="21"/>
      <c r="M35" s="21">
        <f t="shared" si="4"/>
        <v>77</v>
      </c>
      <c r="N35" s="21">
        <f t="shared" si="5"/>
        <v>0</v>
      </c>
      <c r="O35" s="21"/>
      <c r="P35" s="21"/>
      <c r="Q35" s="5"/>
      <c r="R35" s="21"/>
      <c r="S35" s="16"/>
      <c r="T35" s="21">
        <f t="shared" si="6"/>
        <v>0</v>
      </c>
      <c r="U35" s="21"/>
      <c r="V35" s="78">
        <f t="shared" si="7"/>
        <v>0</v>
      </c>
      <c r="W35" s="140"/>
      <c r="X35" s="334"/>
      <c r="Y35" s="5"/>
      <c r="AD35" s="16" t="s">
        <v>165</v>
      </c>
      <c r="AE35" s="18">
        <f>+AC35*100</f>
        <v>0</v>
      </c>
      <c r="AH35" s="16" t="s">
        <v>165</v>
      </c>
      <c r="AI35" s="18">
        <f>+AG35*100</f>
        <v>0</v>
      </c>
      <c r="AK35" s="16"/>
      <c r="AL35" s="16"/>
      <c r="AN35" s="16" t="s">
        <v>165</v>
      </c>
      <c r="AO35" s="18">
        <f>+AM35*100</f>
        <v>0</v>
      </c>
    </row>
    <row r="36" spans="1:41" x14ac:dyDescent="0.25">
      <c r="A36" s="143">
        <v>5</v>
      </c>
      <c r="B36" s="92">
        <v>45265</v>
      </c>
      <c r="C36" s="23"/>
      <c r="D36" s="31"/>
      <c r="E36" s="32"/>
      <c r="F36" s="32"/>
      <c r="G36" s="32"/>
      <c r="H36" s="32"/>
      <c r="I36" s="122"/>
      <c r="J36" s="32"/>
      <c r="K36" s="20">
        <v>10</v>
      </c>
      <c r="L36" s="21"/>
      <c r="M36" s="21">
        <f t="shared" si="4"/>
        <v>10</v>
      </c>
      <c r="N36" s="21">
        <f t="shared" si="5"/>
        <v>-10</v>
      </c>
      <c r="O36" s="21"/>
      <c r="P36" s="21"/>
      <c r="Q36" s="5"/>
      <c r="R36" s="16"/>
      <c r="S36" s="16"/>
      <c r="T36" s="21">
        <f t="shared" si="6"/>
        <v>0</v>
      </c>
      <c r="U36" s="21"/>
      <c r="V36" s="78">
        <f t="shared" si="7"/>
        <v>0</v>
      </c>
      <c r="W36" s="140"/>
      <c r="X36" s="334"/>
      <c r="Y36" s="5"/>
      <c r="AC36">
        <v>1</v>
      </c>
      <c r="AD36" s="16" t="s">
        <v>166</v>
      </c>
      <c r="AE36" s="18">
        <f>+AC36*50</f>
        <v>50</v>
      </c>
      <c r="AH36" s="16" t="s">
        <v>166</v>
      </c>
      <c r="AI36" s="18">
        <f>+AG36*50</f>
        <v>0</v>
      </c>
      <c r="AK36" s="16"/>
      <c r="AL36" s="16"/>
      <c r="AN36" s="16" t="s">
        <v>166</v>
      </c>
      <c r="AO36" s="18">
        <f>+AM36*50</f>
        <v>0</v>
      </c>
    </row>
    <row r="37" spans="1:41" x14ac:dyDescent="0.25">
      <c r="A37" s="143">
        <v>6</v>
      </c>
      <c r="B37" s="92">
        <v>45265</v>
      </c>
      <c r="C37" s="23"/>
      <c r="D37" s="31"/>
      <c r="E37" s="32"/>
      <c r="F37" s="32"/>
      <c r="G37" s="32"/>
      <c r="H37" s="39"/>
      <c r="I37" s="39"/>
      <c r="J37" s="42"/>
      <c r="K37" s="20">
        <v>10</v>
      </c>
      <c r="L37" s="21"/>
      <c r="M37" s="21">
        <f t="shared" si="4"/>
        <v>10</v>
      </c>
      <c r="N37" s="21">
        <f t="shared" si="5"/>
        <v>-10</v>
      </c>
      <c r="O37" s="21"/>
      <c r="P37" s="21"/>
      <c r="Q37" s="5"/>
      <c r="R37" s="16"/>
      <c r="S37" s="16"/>
      <c r="T37" s="21">
        <f t="shared" si="6"/>
        <v>0</v>
      </c>
      <c r="U37" s="16"/>
      <c r="V37" s="78">
        <f t="shared" si="7"/>
        <v>0</v>
      </c>
      <c r="W37" s="140"/>
      <c r="X37" s="334"/>
      <c r="Y37" s="5"/>
      <c r="AC37">
        <v>3</v>
      </c>
      <c r="AD37" s="16" t="s">
        <v>167</v>
      </c>
      <c r="AE37" s="18">
        <f>+AC37*20</f>
        <v>60</v>
      </c>
      <c r="AG37">
        <v>0</v>
      </c>
      <c r="AH37" s="16" t="s">
        <v>167</v>
      </c>
      <c r="AI37" s="18">
        <f>+AG37*20</f>
        <v>0</v>
      </c>
      <c r="AK37" s="16"/>
      <c r="AL37" s="16"/>
      <c r="AN37" s="16" t="s">
        <v>167</v>
      </c>
      <c r="AO37" s="18">
        <f>+AM37*20</f>
        <v>0</v>
      </c>
    </row>
    <row r="38" spans="1:41" x14ac:dyDescent="0.25">
      <c r="A38" s="143">
        <v>7</v>
      </c>
      <c r="B38" s="92">
        <v>45265</v>
      </c>
      <c r="C38" s="23"/>
      <c r="D38" s="31"/>
      <c r="E38" s="32"/>
      <c r="F38" s="32"/>
      <c r="G38" s="32"/>
      <c r="H38" s="39"/>
      <c r="I38" s="122"/>
      <c r="J38" s="42"/>
      <c r="K38" s="20">
        <v>10</v>
      </c>
      <c r="L38" s="21"/>
      <c r="M38" s="21">
        <f t="shared" si="4"/>
        <v>10</v>
      </c>
      <c r="N38" s="21">
        <f t="shared" si="5"/>
        <v>-10</v>
      </c>
      <c r="O38" s="21"/>
      <c r="P38" s="21"/>
      <c r="Q38" s="5"/>
      <c r="R38" s="16"/>
      <c r="S38" s="16"/>
      <c r="T38" s="21">
        <f t="shared" si="6"/>
        <v>0</v>
      </c>
      <c r="U38" s="16"/>
      <c r="V38" s="78">
        <f t="shared" si="7"/>
        <v>0</v>
      </c>
      <c r="W38" s="140"/>
      <c r="X38" s="334"/>
      <c r="Y38" s="5"/>
      <c r="AD38" s="16" t="s">
        <v>171</v>
      </c>
      <c r="AE38" s="18">
        <f>+AC38*500</f>
        <v>0</v>
      </c>
      <c r="AH38" s="16" t="s">
        <v>171</v>
      </c>
      <c r="AI38" s="18">
        <f>+AG38*500</f>
        <v>0</v>
      </c>
      <c r="AK38" s="16"/>
      <c r="AL38" s="16"/>
      <c r="AN38" s="16" t="s">
        <v>171</v>
      </c>
      <c r="AO38" s="18">
        <f>+AM38*500</f>
        <v>0</v>
      </c>
    </row>
    <row r="39" spans="1:41" x14ac:dyDescent="0.25">
      <c r="A39" s="143">
        <v>8</v>
      </c>
      <c r="B39" s="92">
        <v>45265</v>
      </c>
      <c r="C39" s="23"/>
      <c r="D39" s="31"/>
      <c r="E39" s="123"/>
      <c r="F39" s="123"/>
      <c r="G39" s="123"/>
      <c r="H39" s="39"/>
      <c r="I39" s="122"/>
      <c r="J39" s="32"/>
      <c r="K39" s="20">
        <v>10</v>
      </c>
      <c r="L39" s="21"/>
      <c r="M39" s="21">
        <f t="shared" si="4"/>
        <v>10</v>
      </c>
      <c r="N39" s="21">
        <f t="shared" si="5"/>
        <v>-10</v>
      </c>
      <c r="O39" s="21"/>
      <c r="P39" s="21"/>
      <c r="Q39" s="5"/>
      <c r="R39" s="16"/>
      <c r="S39" s="16"/>
      <c r="T39" s="21">
        <f t="shared" si="6"/>
        <v>0</v>
      </c>
      <c r="U39" s="16"/>
      <c r="V39" s="78">
        <f t="shared" si="7"/>
        <v>0</v>
      </c>
      <c r="W39" s="140"/>
      <c r="X39" s="334"/>
      <c r="Y39" s="5"/>
      <c r="AD39" s="16" t="s">
        <v>168</v>
      </c>
      <c r="AE39" s="18">
        <f>+AC39*1000</f>
        <v>0</v>
      </c>
      <c r="AH39" s="16" t="s">
        <v>168</v>
      </c>
      <c r="AI39" s="18">
        <f>+AG39*1000</f>
        <v>0</v>
      </c>
      <c r="AK39" s="16"/>
      <c r="AL39" s="16"/>
      <c r="AN39" s="16" t="s">
        <v>168</v>
      </c>
      <c r="AO39" s="18">
        <f>+AM39*1000</f>
        <v>0</v>
      </c>
    </row>
    <row r="40" spans="1:41" x14ac:dyDescent="0.25">
      <c r="A40" s="143">
        <v>9</v>
      </c>
      <c r="B40" s="92">
        <v>45265</v>
      </c>
      <c r="C40" s="23"/>
      <c r="D40" s="31"/>
      <c r="E40" s="32"/>
      <c r="F40" s="32"/>
      <c r="G40" s="32"/>
      <c r="H40" s="39"/>
      <c r="I40" s="39"/>
      <c r="J40" s="40"/>
      <c r="K40" s="20">
        <v>10</v>
      </c>
      <c r="L40" s="21"/>
      <c r="M40" s="21">
        <f t="shared" si="4"/>
        <v>10</v>
      </c>
      <c r="N40" s="21">
        <f t="shared" si="5"/>
        <v>-10</v>
      </c>
      <c r="O40" s="21"/>
      <c r="P40" s="21"/>
      <c r="Q40" s="5"/>
      <c r="R40" s="16"/>
      <c r="S40" s="16"/>
      <c r="T40" s="21">
        <f t="shared" si="6"/>
        <v>0</v>
      </c>
      <c r="U40" s="16"/>
      <c r="V40" s="78">
        <f t="shared" si="7"/>
        <v>0</v>
      </c>
      <c r="W40" s="140"/>
      <c r="X40" s="334"/>
      <c r="Y40" s="5"/>
      <c r="AD40" s="26"/>
      <c r="AE40" s="58"/>
      <c r="AH40" s="26"/>
      <c r="AI40" s="58"/>
      <c r="AK40" s="16"/>
      <c r="AL40" s="16"/>
      <c r="AN40" s="26"/>
      <c r="AO40" s="58"/>
    </row>
    <row r="41" spans="1:41" x14ac:dyDescent="0.25">
      <c r="A41" s="143">
        <v>10</v>
      </c>
      <c r="B41" s="92">
        <v>45265</v>
      </c>
      <c r="C41" s="23"/>
      <c r="D41" s="31"/>
      <c r="E41" s="32"/>
      <c r="F41" s="32"/>
      <c r="G41" s="32"/>
      <c r="H41" s="39"/>
      <c r="I41" s="122"/>
      <c r="J41" s="42"/>
      <c r="K41" s="20">
        <v>10</v>
      </c>
      <c r="L41" s="21"/>
      <c r="M41" s="21">
        <f t="shared" si="4"/>
        <v>10</v>
      </c>
      <c r="N41" s="21">
        <f t="shared" si="5"/>
        <v>-10</v>
      </c>
      <c r="O41" s="21"/>
      <c r="P41" s="21"/>
      <c r="Q41" s="5"/>
      <c r="R41" s="16"/>
      <c r="S41" s="16"/>
      <c r="T41" s="21">
        <f t="shared" si="6"/>
        <v>0</v>
      </c>
      <c r="U41" s="16"/>
      <c r="V41" s="78">
        <f t="shared" si="7"/>
        <v>0</v>
      </c>
      <c r="W41" s="140"/>
      <c r="X41" s="334"/>
      <c r="Y41" s="5"/>
      <c r="AD41" s="16" t="s">
        <v>169</v>
      </c>
      <c r="AE41" s="18">
        <f>SUM(AE31:AE40)</f>
        <v>757</v>
      </c>
      <c r="AH41" s="16" t="s">
        <v>169</v>
      </c>
      <c r="AI41" s="18">
        <f>SUM(AI31:AI40)</f>
        <v>490</v>
      </c>
      <c r="AK41" s="16"/>
      <c r="AL41" s="16"/>
      <c r="AN41" s="16" t="s">
        <v>169</v>
      </c>
      <c r="AO41" s="18"/>
    </row>
    <row r="42" spans="1:41" x14ac:dyDescent="0.25">
      <c r="A42" s="143">
        <v>11</v>
      </c>
      <c r="B42" s="92">
        <v>45265</v>
      </c>
      <c r="C42" s="23"/>
      <c r="D42" s="31"/>
      <c r="E42" s="124"/>
      <c r="F42" s="123"/>
      <c r="G42" s="123"/>
      <c r="H42" s="39"/>
      <c r="I42" s="122"/>
      <c r="J42" s="42"/>
      <c r="K42" s="20">
        <v>10</v>
      </c>
      <c r="L42" s="21"/>
      <c r="M42" s="21">
        <f t="shared" si="4"/>
        <v>10</v>
      </c>
      <c r="N42" s="21">
        <f t="shared" si="5"/>
        <v>-10</v>
      </c>
      <c r="O42" s="21"/>
      <c r="P42" s="21"/>
      <c r="Q42" s="5"/>
      <c r="R42" s="16"/>
      <c r="S42" s="16"/>
      <c r="T42" s="21">
        <f t="shared" si="6"/>
        <v>0</v>
      </c>
      <c r="U42" s="16"/>
      <c r="V42" s="78">
        <f t="shared" si="7"/>
        <v>0</v>
      </c>
      <c r="W42" s="140"/>
      <c r="X42" s="334"/>
      <c r="Y42" s="5"/>
      <c r="AK42" s="16"/>
      <c r="AL42" s="16"/>
      <c r="AN42" s="16"/>
      <c r="AO42" s="16"/>
    </row>
    <row r="43" spans="1:41" x14ac:dyDescent="0.25">
      <c r="A43" s="143">
        <v>12</v>
      </c>
      <c r="B43" s="92">
        <v>45265</v>
      </c>
      <c r="C43" s="23"/>
      <c r="D43" s="32"/>
      <c r="E43" s="32"/>
      <c r="F43" s="124"/>
      <c r="G43" s="123"/>
      <c r="H43" s="39"/>
      <c r="I43" s="39"/>
      <c r="J43" s="42"/>
      <c r="K43" s="20">
        <v>10</v>
      </c>
      <c r="L43" s="21"/>
      <c r="M43" s="21">
        <f t="shared" si="4"/>
        <v>10</v>
      </c>
      <c r="N43" s="21">
        <f t="shared" si="5"/>
        <v>-10</v>
      </c>
      <c r="O43" s="21"/>
      <c r="P43" s="21"/>
      <c r="Q43" s="5"/>
      <c r="R43" s="45"/>
      <c r="S43" s="44"/>
      <c r="T43" s="21">
        <f t="shared" si="6"/>
        <v>0</v>
      </c>
      <c r="U43" s="45"/>
      <c r="V43" s="78">
        <f t="shared" si="7"/>
        <v>0</v>
      </c>
      <c r="W43" s="140"/>
      <c r="X43" s="334"/>
      <c r="Y43" s="5"/>
      <c r="AG43" s="83"/>
      <c r="AK43" s="63" t="s">
        <v>169</v>
      </c>
      <c r="AL43" s="63">
        <f>+SUM(AK32:AK42)-SUM(AL32:AL42)</f>
        <v>0</v>
      </c>
      <c r="AN43" s="63" t="s">
        <v>169</v>
      </c>
      <c r="AO43" s="85">
        <f>+SUM(AN31:AN42)-SUM(AO32:AO42)</f>
        <v>0</v>
      </c>
    </row>
    <row r="44" spans="1:41" x14ac:dyDescent="0.25">
      <c r="A44" s="143">
        <v>13</v>
      </c>
      <c r="B44" s="92">
        <v>45265</v>
      </c>
      <c r="C44" s="23"/>
      <c r="D44" s="31"/>
      <c r="E44" s="32"/>
      <c r="F44" s="32"/>
      <c r="G44" s="32"/>
      <c r="H44" s="39"/>
      <c r="I44" s="39"/>
      <c r="J44" s="42"/>
      <c r="K44" s="108">
        <v>10</v>
      </c>
      <c r="L44" s="21"/>
      <c r="M44" s="21">
        <f t="shared" si="4"/>
        <v>10</v>
      </c>
      <c r="N44" s="21">
        <f t="shared" si="5"/>
        <v>-10</v>
      </c>
      <c r="O44" s="21"/>
      <c r="P44" s="21"/>
      <c r="Q44" s="5"/>
      <c r="R44" s="43"/>
      <c r="S44" s="32"/>
      <c r="T44" s="21">
        <f t="shared" si="6"/>
        <v>0</v>
      </c>
      <c r="U44" s="43"/>
      <c r="V44" s="78">
        <f t="shared" si="7"/>
        <v>0</v>
      </c>
      <c r="W44" s="140"/>
      <c r="X44" s="334"/>
      <c r="Y44" s="5"/>
      <c r="AI44" s="83"/>
    </row>
    <row r="45" spans="1:41" x14ac:dyDescent="0.25">
      <c r="A45" s="143">
        <v>14</v>
      </c>
      <c r="B45" s="92">
        <v>45265</v>
      </c>
      <c r="C45" s="23"/>
      <c r="D45" s="31"/>
      <c r="E45" s="32"/>
      <c r="F45" s="32"/>
      <c r="G45" s="32"/>
      <c r="H45" s="39"/>
      <c r="I45" s="39"/>
      <c r="J45" s="42"/>
      <c r="K45" s="108">
        <v>10</v>
      </c>
      <c r="L45" s="21"/>
      <c r="M45" s="21">
        <f t="shared" si="4"/>
        <v>10</v>
      </c>
      <c r="N45" s="21">
        <f t="shared" si="5"/>
        <v>-10</v>
      </c>
      <c r="O45" s="21"/>
      <c r="P45" s="21"/>
      <c r="Q45" s="5"/>
      <c r="R45" s="43"/>
      <c r="S45" s="43"/>
      <c r="T45" s="21">
        <f t="shared" si="6"/>
        <v>0</v>
      </c>
      <c r="U45" s="43"/>
      <c r="V45" s="78">
        <f t="shared" si="7"/>
        <v>0</v>
      </c>
      <c r="W45" s="140"/>
      <c r="X45" s="334"/>
      <c r="Y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41" x14ac:dyDescent="0.25">
      <c r="A46" s="143">
        <v>15</v>
      </c>
      <c r="B46" s="92">
        <v>45265</v>
      </c>
      <c r="C46" s="23"/>
      <c r="D46" s="127"/>
      <c r="E46" s="32"/>
      <c r="F46" s="32"/>
      <c r="G46" s="128"/>
      <c r="H46" s="129"/>
      <c r="I46" s="39"/>
      <c r="J46" s="42"/>
      <c r="K46" s="108">
        <v>10</v>
      </c>
      <c r="L46" s="21"/>
      <c r="M46" s="21">
        <f t="shared" si="4"/>
        <v>10</v>
      </c>
      <c r="N46" s="21">
        <f t="shared" si="5"/>
        <v>-10</v>
      </c>
      <c r="O46" s="21"/>
      <c r="P46" s="21"/>
      <c r="Q46" s="5"/>
      <c r="R46" s="43"/>
      <c r="S46" s="43"/>
      <c r="T46" s="21">
        <f t="shared" si="6"/>
        <v>0</v>
      </c>
      <c r="U46" s="43"/>
      <c r="V46" s="78">
        <f t="shared" si="7"/>
        <v>0</v>
      </c>
      <c r="W46" s="140"/>
      <c r="X46" s="334"/>
      <c r="Y46" s="5"/>
      <c r="AD46" s="5"/>
      <c r="AE46" s="134" t="s">
        <v>20</v>
      </c>
      <c r="AF46" s="338"/>
      <c r="AG46" s="341" t="s">
        <v>686</v>
      </c>
      <c r="AH46" s="134" t="s">
        <v>20</v>
      </c>
      <c r="AI46" s="338">
        <v>95</v>
      </c>
      <c r="AJ46" s="341" t="s">
        <v>687</v>
      </c>
      <c r="AK46" s="134" t="s">
        <v>20</v>
      </c>
      <c r="AL46" s="338"/>
      <c r="AM46" s="5"/>
    </row>
    <row r="47" spans="1:41" x14ac:dyDescent="0.25">
      <c r="A47" s="143">
        <v>16</v>
      </c>
      <c r="B47" s="92">
        <v>45265</v>
      </c>
      <c r="C47" s="23"/>
      <c r="D47" s="31"/>
      <c r="E47" s="32"/>
      <c r="F47" s="32"/>
      <c r="G47" s="32"/>
      <c r="H47" s="39"/>
      <c r="I47" s="39"/>
      <c r="J47" s="42"/>
      <c r="K47" s="43">
        <v>10</v>
      </c>
      <c r="L47" s="21"/>
      <c r="M47" s="21">
        <f t="shared" si="4"/>
        <v>10</v>
      </c>
      <c r="N47" s="21">
        <f t="shared" si="5"/>
        <v>-10</v>
      </c>
      <c r="O47" s="21"/>
      <c r="P47" s="21"/>
      <c r="Q47" s="5"/>
      <c r="R47" s="43"/>
      <c r="S47" s="32"/>
      <c r="T47" s="21">
        <f t="shared" si="6"/>
        <v>0</v>
      </c>
      <c r="U47" s="131"/>
      <c r="V47" s="78">
        <f t="shared" si="7"/>
        <v>0</v>
      </c>
      <c r="W47" s="140"/>
      <c r="X47" s="334"/>
      <c r="Y47" s="5"/>
      <c r="AD47" s="5" t="s">
        <v>685</v>
      </c>
      <c r="AE47" s="115" t="s">
        <v>684</v>
      </c>
      <c r="AF47" s="339"/>
      <c r="AG47" s="341"/>
      <c r="AH47" s="115" t="s">
        <v>684</v>
      </c>
      <c r="AI47" s="339"/>
      <c r="AJ47" s="341"/>
      <c r="AK47" s="115" t="s">
        <v>684</v>
      </c>
      <c r="AL47" s="339"/>
      <c r="AM47" s="5"/>
    </row>
    <row r="48" spans="1:41" x14ac:dyDescent="0.25">
      <c r="A48" s="143">
        <v>17</v>
      </c>
      <c r="B48" s="92">
        <v>45265</v>
      </c>
      <c r="C48" s="23"/>
      <c r="D48" s="31"/>
      <c r="E48" s="32"/>
      <c r="F48" s="32"/>
      <c r="G48" s="32"/>
      <c r="H48" s="39"/>
      <c r="I48" s="39"/>
      <c r="J48" s="42"/>
      <c r="K48" s="43">
        <v>10</v>
      </c>
      <c r="L48" s="21"/>
      <c r="M48" s="21">
        <f t="shared" si="4"/>
        <v>10</v>
      </c>
      <c r="N48" s="21">
        <f t="shared" si="5"/>
        <v>-10</v>
      </c>
      <c r="O48" s="21"/>
      <c r="P48" s="21"/>
      <c r="Q48" s="5"/>
      <c r="R48" s="43"/>
      <c r="S48" s="32"/>
      <c r="T48" s="21">
        <f t="shared" si="6"/>
        <v>0</v>
      </c>
      <c r="U48" s="132"/>
      <c r="V48" s="78">
        <f t="shared" si="7"/>
        <v>0</v>
      </c>
      <c r="W48" s="140"/>
      <c r="X48" s="340"/>
      <c r="Y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41" x14ac:dyDescent="0.25">
      <c r="A49" s="143">
        <v>18</v>
      </c>
      <c r="B49" s="92">
        <v>45265</v>
      </c>
      <c r="C49" s="32"/>
      <c r="D49" s="31"/>
      <c r="E49" s="32"/>
      <c r="F49" s="32"/>
      <c r="G49" s="32"/>
      <c r="H49" s="39"/>
      <c r="I49" s="39"/>
      <c r="J49" s="42"/>
      <c r="K49" s="43">
        <v>10</v>
      </c>
      <c r="L49" s="21"/>
      <c r="M49" s="21">
        <f t="shared" si="4"/>
        <v>10</v>
      </c>
      <c r="N49" s="21">
        <f t="shared" si="5"/>
        <v>-10</v>
      </c>
      <c r="O49" s="21"/>
      <c r="P49" s="21"/>
      <c r="Q49" s="5"/>
      <c r="R49" s="135"/>
      <c r="S49" s="104"/>
      <c r="T49" s="21">
        <f t="shared" si="6"/>
        <v>0</v>
      </c>
      <c r="U49" s="131"/>
      <c r="V49" s="78">
        <f t="shared" si="7"/>
        <v>0</v>
      </c>
      <c r="W49" s="140"/>
      <c r="Y49" s="5"/>
    </row>
    <row r="50" spans="1:41" x14ac:dyDescent="0.25">
      <c r="A50" s="143">
        <v>19</v>
      </c>
      <c r="B50" s="92">
        <v>45265</v>
      </c>
      <c r="C50" s="32"/>
      <c r="D50" s="31"/>
      <c r="E50" s="32"/>
      <c r="F50" s="32"/>
      <c r="G50" s="32"/>
      <c r="H50" s="39"/>
      <c r="I50" s="39"/>
      <c r="J50" s="42"/>
      <c r="K50" s="43">
        <v>10</v>
      </c>
      <c r="L50" s="21"/>
      <c r="M50" s="21">
        <f t="shared" si="4"/>
        <v>10</v>
      </c>
      <c r="N50" s="21">
        <f t="shared" si="5"/>
        <v>-10</v>
      </c>
      <c r="O50" s="21"/>
      <c r="P50" s="21"/>
      <c r="Q50" s="5"/>
      <c r="R50" s="32"/>
      <c r="S50" s="32"/>
      <c r="T50" s="21">
        <f t="shared" si="6"/>
        <v>0</v>
      </c>
      <c r="U50" s="32"/>
      <c r="V50" s="78">
        <f t="shared" si="7"/>
        <v>0</v>
      </c>
      <c r="W50" s="140"/>
      <c r="Y50" s="5"/>
    </row>
    <row r="51" spans="1:4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141"/>
      <c r="X51" s="5"/>
      <c r="Y51" s="5"/>
    </row>
    <row r="52" spans="1:41" x14ac:dyDescent="0.25">
      <c r="V52" s="83">
        <f>+SUM(V60:V63)</f>
        <v>60</v>
      </c>
    </row>
    <row r="53" spans="1:41" x14ac:dyDescent="0.25">
      <c r="A53" s="1" t="s">
        <v>0</v>
      </c>
      <c r="B53" s="1"/>
      <c r="C53" s="1"/>
      <c r="D53" s="1"/>
      <c r="E53" s="1"/>
      <c r="F53" s="1"/>
      <c r="G53" s="1"/>
      <c r="H53" s="1"/>
      <c r="I53" s="1"/>
      <c r="J53" s="1" t="s">
        <v>148</v>
      </c>
      <c r="K53" s="1"/>
      <c r="L53" s="1"/>
      <c r="M53" s="1"/>
      <c r="N53" s="1"/>
      <c r="O53" s="1"/>
      <c r="P53" s="1"/>
      <c r="Q53" s="1"/>
      <c r="R53" s="1"/>
      <c r="S53" s="1"/>
      <c r="T53" s="342" t="s">
        <v>1</v>
      </c>
      <c r="U53" s="342"/>
      <c r="V53" s="5"/>
      <c r="W53" s="139"/>
      <c r="X53" s="1"/>
      <c r="Y53" s="5"/>
      <c r="AD53" s="335" t="s">
        <v>160</v>
      </c>
      <c r="AE53" s="336"/>
      <c r="AH53" s="335" t="s">
        <v>170</v>
      </c>
      <c r="AI53" s="336"/>
      <c r="AK53" s="337" t="s">
        <v>172</v>
      </c>
      <c r="AL53" s="337"/>
      <c r="AN53" s="337" t="s">
        <v>681</v>
      </c>
      <c r="AO53" s="337"/>
    </row>
    <row r="54" spans="1:41" ht="90" x14ac:dyDescent="0.25">
      <c r="A54" s="6" t="s">
        <v>2</v>
      </c>
      <c r="B54" s="7" t="s">
        <v>3</v>
      </c>
      <c r="C54" s="245" t="s">
        <v>688</v>
      </c>
      <c r="D54" s="7" t="s">
        <v>4</v>
      </c>
      <c r="E54" s="6" t="s">
        <v>5</v>
      </c>
      <c r="F54" s="6" t="s">
        <v>6</v>
      </c>
      <c r="G54" s="6" t="s">
        <v>7</v>
      </c>
      <c r="H54" s="6" t="s">
        <v>8</v>
      </c>
      <c r="I54" s="8" t="s">
        <v>9</v>
      </c>
      <c r="J54" s="9" t="s">
        <v>10</v>
      </c>
      <c r="K54" s="8" t="s">
        <v>11</v>
      </c>
      <c r="L54" s="10" t="s">
        <v>12</v>
      </c>
      <c r="M54" s="10" t="s">
        <v>13</v>
      </c>
      <c r="N54" s="11" t="s">
        <v>14</v>
      </c>
      <c r="O54" s="10" t="s">
        <v>691</v>
      </c>
      <c r="P54" s="10" t="s">
        <v>28</v>
      </c>
      <c r="Q54" s="5"/>
      <c r="R54" s="10" t="s">
        <v>16</v>
      </c>
      <c r="S54" s="10" t="s">
        <v>17</v>
      </c>
      <c r="T54" s="10" t="s">
        <v>18</v>
      </c>
      <c r="U54" s="10" t="s">
        <v>19</v>
      </c>
      <c r="V54" s="10" t="s">
        <v>20</v>
      </c>
      <c r="W54" s="13"/>
      <c r="X54" s="15" t="s">
        <v>23</v>
      </c>
      <c r="Y54" s="5"/>
      <c r="AA54" s="251" t="s">
        <v>2554</v>
      </c>
      <c r="AC54">
        <v>1</v>
      </c>
      <c r="AD54" s="16" t="s">
        <v>161</v>
      </c>
      <c r="AE54" s="58">
        <f>+AC54*10</f>
        <v>10</v>
      </c>
      <c r="AG54">
        <v>11</v>
      </c>
      <c r="AH54" s="16" t="s">
        <v>161</v>
      </c>
      <c r="AI54" s="58">
        <f>+AG54*10</f>
        <v>110</v>
      </c>
      <c r="AK54" s="61" t="s">
        <v>173</v>
      </c>
      <c r="AL54" s="62" t="s">
        <v>174</v>
      </c>
      <c r="AN54" s="16" t="s">
        <v>161</v>
      </c>
      <c r="AO54" s="58">
        <f>+AM54*10</f>
        <v>0</v>
      </c>
    </row>
    <row r="55" spans="1:41" x14ac:dyDescent="0.25">
      <c r="A55" s="16">
        <v>1</v>
      </c>
      <c r="B55" s="92">
        <v>45266</v>
      </c>
      <c r="C55" s="23">
        <v>0.40972222222222227</v>
      </c>
      <c r="D55" s="31" t="s">
        <v>37</v>
      </c>
      <c r="E55" s="32">
        <v>5554180418</v>
      </c>
      <c r="F55" s="32" t="s">
        <v>2535</v>
      </c>
      <c r="G55" s="39" t="s">
        <v>1004</v>
      </c>
      <c r="H55" s="39" t="s">
        <v>3210</v>
      </c>
      <c r="I55" s="122">
        <v>500</v>
      </c>
      <c r="J55" s="32">
        <v>120</v>
      </c>
      <c r="K55" s="20">
        <v>20</v>
      </c>
      <c r="L55" s="21">
        <v>15</v>
      </c>
      <c r="M55" s="21">
        <f t="shared" ref="M55:M73" si="8">+J55+K55</f>
        <v>140</v>
      </c>
      <c r="N55" s="21">
        <f t="shared" ref="N55:N73" si="9">+I55-M55</f>
        <v>360</v>
      </c>
      <c r="O55" s="21"/>
      <c r="P55" s="21"/>
      <c r="Q55" s="5"/>
      <c r="R55" s="21">
        <v>200</v>
      </c>
      <c r="S55" s="16"/>
      <c r="T55" s="21">
        <f t="shared" ref="T55:T73" si="10">+R55+S55</f>
        <v>200</v>
      </c>
      <c r="U55" s="21">
        <v>240</v>
      </c>
      <c r="V55" s="78">
        <f>+U55-T55+O55+P55</f>
        <v>40</v>
      </c>
      <c r="W55" s="13"/>
      <c r="X55" s="333"/>
      <c r="Y55" s="5"/>
      <c r="AC55">
        <v>113</v>
      </c>
      <c r="AD55" s="59" t="s">
        <v>162</v>
      </c>
      <c r="AE55" s="18">
        <f>+AC55*1</f>
        <v>113</v>
      </c>
      <c r="AG55">
        <v>144</v>
      </c>
      <c r="AH55" s="59" t="s">
        <v>162</v>
      </c>
      <c r="AI55" s="18">
        <f>+AG55*1</f>
        <v>144</v>
      </c>
      <c r="AK55" s="21">
        <v>120</v>
      </c>
      <c r="AL55" s="16"/>
      <c r="AN55" s="59" t="s">
        <v>162</v>
      </c>
      <c r="AO55" s="18">
        <f>+AM55*1</f>
        <v>0</v>
      </c>
    </row>
    <row r="56" spans="1:41" x14ac:dyDescent="0.25">
      <c r="A56" s="26">
        <v>2</v>
      </c>
      <c r="B56" s="92">
        <v>45266</v>
      </c>
      <c r="C56" s="23">
        <v>0.44375000000000003</v>
      </c>
      <c r="D56" s="31" t="s">
        <v>3211</v>
      </c>
      <c r="E56" s="32">
        <v>5613895664</v>
      </c>
      <c r="F56" s="32" t="s">
        <v>31</v>
      </c>
      <c r="G56" s="32" t="s">
        <v>3212</v>
      </c>
      <c r="H56" s="39" t="s">
        <v>3213</v>
      </c>
      <c r="I56" s="122">
        <v>100</v>
      </c>
      <c r="J56" s="32">
        <v>40</v>
      </c>
      <c r="K56" s="20">
        <v>10</v>
      </c>
      <c r="L56" s="21"/>
      <c r="M56" s="21">
        <f t="shared" si="8"/>
        <v>50</v>
      </c>
      <c r="N56" s="21">
        <f t="shared" si="9"/>
        <v>50</v>
      </c>
      <c r="O56" s="21"/>
      <c r="P56" s="21"/>
      <c r="Q56" s="5"/>
      <c r="R56" s="21">
        <v>250</v>
      </c>
      <c r="S56" s="16"/>
      <c r="T56" s="21">
        <f t="shared" si="10"/>
        <v>250</v>
      </c>
      <c r="U56" s="21">
        <v>260</v>
      </c>
      <c r="V56" s="78">
        <f t="shared" ref="V56:V73" si="11">+U56-T56+O56+P56</f>
        <v>10</v>
      </c>
      <c r="W56" s="140"/>
      <c r="X56" s="334"/>
      <c r="Y56" s="5"/>
      <c r="AC56">
        <v>28</v>
      </c>
      <c r="AD56" s="16" t="s">
        <v>163</v>
      </c>
      <c r="AE56" s="60">
        <f>+AC56*5</f>
        <v>140</v>
      </c>
      <c r="AG56">
        <v>22</v>
      </c>
      <c r="AH56" s="16" t="s">
        <v>163</v>
      </c>
      <c r="AI56" s="60">
        <f>+AG56*5</f>
        <v>110</v>
      </c>
      <c r="AK56" s="21">
        <v>130</v>
      </c>
      <c r="AL56" s="16"/>
      <c r="AN56" s="16" t="s">
        <v>163</v>
      </c>
      <c r="AO56" s="60">
        <f>+AM56*5</f>
        <v>0</v>
      </c>
    </row>
    <row r="57" spans="1:41" x14ac:dyDescent="0.25">
      <c r="A57" s="143">
        <v>3</v>
      </c>
      <c r="B57" s="92">
        <v>45266</v>
      </c>
      <c r="C57" s="23">
        <v>0.47222222222222227</v>
      </c>
      <c r="D57" s="31" t="s">
        <v>2672</v>
      </c>
      <c r="E57" s="32">
        <v>5578861024</v>
      </c>
      <c r="F57" s="32" t="s">
        <v>76</v>
      </c>
      <c r="G57" s="32" t="s">
        <v>3220</v>
      </c>
      <c r="H57" s="39" t="s">
        <v>3214</v>
      </c>
      <c r="I57" s="122"/>
      <c r="J57" s="32">
        <v>43</v>
      </c>
      <c r="K57" s="20">
        <v>10</v>
      </c>
      <c r="L57" s="21">
        <v>17</v>
      </c>
      <c r="M57" s="21">
        <f t="shared" si="8"/>
        <v>53</v>
      </c>
      <c r="N57" s="21">
        <f t="shared" si="9"/>
        <v>-53</v>
      </c>
      <c r="O57" s="21"/>
      <c r="P57" s="21"/>
      <c r="Q57" s="5"/>
      <c r="R57" s="21">
        <v>50</v>
      </c>
      <c r="S57" s="16"/>
      <c r="T57" s="21">
        <f t="shared" si="10"/>
        <v>50</v>
      </c>
      <c r="U57" s="21">
        <v>77</v>
      </c>
      <c r="V57" s="78">
        <f t="shared" si="11"/>
        <v>27</v>
      </c>
      <c r="W57" s="140"/>
      <c r="X57" s="334"/>
      <c r="Y57" s="5"/>
      <c r="AC57">
        <v>1</v>
      </c>
      <c r="AD57" s="16" t="s">
        <v>164</v>
      </c>
      <c r="AE57" s="18">
        <f>+AC57*200</f>
        <v>200</v>
      </c>
      <c r="AH57" s="16" t="s">
        <v>164</v>
      </c>
      <c r="AI57" s="18">
        <f>+AG57*200</f>
        <v>0</v>
      </c>
      <c r="AK57" s="21">
        <v>42</v>
      </c>
      <c r="AL57" s="16"/>
      <c r="AN57" s="16" t="s">
        <v>164</v>
      </c>
      <c r="AO57" s="18">
        <f>+AM57*200</f>
        <v>0</v>
      </c>
    </row>
    <row r="58" spans="1:41" x14ac:dyDescent="0.25">
      <c r="A58" s="143">
        <v>4</v>
      </c>
      <c r="B58" s="92">
        <v>45266</v>
      </c>
      <c r="C58" s="23">
        <v>0.48888888888888887</v>
      </c>
      <c r="D58" s="31" t="s">
        <v>3215</v>
      </c>
      <c r="E58" s="32">
        <v>5546392505</v>
      </c>
      <c r="F58" s="32" t="s">
        <v>242</v>
      </c>
      <c r="G58" s="32">
        <v>844</v>
      </c>
      <c r="H58" s="39" t="s">
        <v>1008</v>
      </c>
      <c r="I58" s="122"/>
      <c r="J58" s="32">
        <v>57</v>
      </c>
      <c r="K58" s="20">
        <v>10</v>
      </c>
      <c r="L58" s="21">
        <v>3</v>
      </c>
      <c r="M58" s="21">
        <f t="shared" si="8"/>
        <v>67</v>
      </c>
      <c r="N58" s="21">
        <f t="shared" si="9"/>
        <v>-67</v>
      </c>
      <c r="O58" s="21">
        <v>70</v>
      </c>
      <c r="P58" s="21"/>
      <c r="Q58" s="5"/>
      <c r="R58" s="21">
        <v>100</v>
      </c>
      <c r="S58" s="16"/>
      <c r="T58" s="21">
        <f t="shared" si="10"/>
        <v>100</v>
      </c>
      <c r="U58" s="21">
        <v>43</v>
      </c>
      <c r="V58" s="78">
        <f t="shared" si="11"/>
        <v>13</v>
      </c>
      <c r="W58" s="140"/>
      <c r="X58" s="334"/>
      <c r="Y58" s="5"/>
      <c r="AC58">
        <v>4</v>
      </c>
      <c r="AD58" s="16" t="s">
        <v>165</v>
      </c>
      <c r="AE58" s="18">
        <f>+AC58*100</f>
        <v>400</v>
      </c>
      <c r="AG58">
        <v>2</v>
      </c>
      <c r="AH58" s="16" t="s">
        <v>165</v>
      </c>
      <c r="AI58" s="18">
        <f>+AG58*100</f>
        <v>200</v>
      </c>
      <c r="AK58" s="21">
        <v>65</v>
      </c>
      <c r="AL58" s="16"/>
      <c r="AN58" s="16" t="s">
        <v>165</v>
      </c>
      <c r="AO58" s="18">
        <f>+AM58*100</f>
        <v>0</v>
      </c>
    </row>
    <row r="59" spans="1:41" x14ac:dyDescent="0.25">
      <c r="A59" s="143">
        <v>5</v>
      </c>
      <c r="B59" s="92">
        <v>45266</v>
      </c>
      <c r="C59" s="23">
        <v>0.49374999999999997</v>
      </c>
      <c r="D59" s="31" t="s">
        <v>1806</v>
      </c>
      <c r="E59" s="32">
        <v>5589529270</v>
      </c>
      <c r="F59" s="32" t="s">
        <v>1997</v>
      </c>
      <c r="G59" s="32" t="s">
        <v>1806</v>
      </c>
      <c r="H59" s="32" t="s">
        <v>3223</v>
      </c>
      <c r="I59" s="122"/>
      <c r="J59" s="32">
        <v>28</v>
      </c>
      <c r="K59" s="20">
        <v>40</v>
      </c>
      <c r="L59" s="21"/>
      <c r="M59" s="21">
        <f t="shared" si="8"/>
        <v>68</v>
      </c>
      <c r="N59" s="21">
        <f t="shared" si="9"/>
        <v>-68</v>
      </c>
      <c r="O59" s="21"/>
      <c r="P59" s="21"/>
      <c r="Q59" s="5"/>
      <c r="R59" s="16">
        <v>500</v>
      </c>
      <c r="S59" s="16"/>
      <c r="T59" s="21">
        <f t="shared" si="10"/>
        <v>500</v>
      </c>
      <c r="U59" s="21">
        <v>40</v>
      </c>
      <c r="V59" s="78">
        <f t="shared" si="11"/>
        <v>-460</v>
      </c>
      <c r="W59" s="140"/>
      <c r="X59" s="334"/>
      <c r="Y59" s="5"/>
      <c r="AD59" s="16" t="s">
        <v>166</v>
      </c>
      <c r="AE59" s="18">
        <f>+AC59*50</f>
        <v>0</v>
      </c>
      <c r="AH59" s="16" t="s">
        <v>166</v>
      </c>
      <c r="AI59" s="18">
        <f>+AG59*50</f>
        <v>0</v>
      </c>
      <c r="AK59" s="16"/>
      <c r="AL59" s="16"/>
      <c r="AN59" s="16" t="s">
        <v>166</v>
      </c>
      <c r="AO59" s="18">
        <f>+AM59*50</f>
        <v>0</v>
      </c>
    </row>
    <row r="60" spans="1:41" x14ac:dyDescent="0.25">
      <c r="A60" s="143">
        <v>6</v>
      </c>
      <c r="B60" s="92">
        <v>45266</v>
      </c>
      <c r="C60" s="23">
        <v>0.52777777777777779</v>
      </c>
      <c r="D60" s="31" t="s">
        <v>2116</v>
      </c>
      <c r="E60" s="32">
        <v>5615589545</v>
      </c>
      <c r="F60" s="32" t="s">
        <v>1371</v>
      </c>
      <c r="G60" s="32" t="s">
        <v>3221</v>
      </c>
      <c r="H60" s="39" t="s">
        <v>3224</v>
      </c>
      <c r="I60" s="39"/>
      <c r="J60" s="42">
        <v>240</v>
      </c>
      <c r="K60" s="20">
        <v>10</v>
      </c>
      <c r="L60" s="21"/>
      <c r="M60" s="21">
        <f t="shared" si="8"/>
        <v>250</v>
      </c>
      <c r="N60" s="21">
        <f t="shared" si="9"/>
        <v>-250</v>
      </c>
      <c r="O60" s="21"/>
      <c r="P60" s="21"/>
      <c r="Q60" s="5"/>
      <c r="R60" s="16"/>
      <c r="S60" s="16"/>
      <c r="T60" s="21">
        <f t="shared" si="10"/>
        <v>0</v>
      </c>
      <c r="U60" s="16">
        <v>10</v>
      </c>
      <c r="V60" s="78">
        <f t="shared" si="11"/>
        <v>10</v>
      </c>
      <c r="W60" s="140"/>
      <c r="X60" s="334"/>
      <c r="Y60" s="5"/>
      <c r="AC60">
        <v>5</v>
      </c>
      <c r="AD60" s="16" t="s">
        <v>167</v>
      </c>
      <c r="AE60" s="18">
        <f>+AC60*20</f>
        <v>100</v>
      </c>
      <c r="AG60">
        <v>8</v>
      </c>
      <c r="AH60" s="16" t="s">
        <v>167</v>
      </c>
      <c r="AI60" s="18">
        <f>+AG60*20</f>
        <v>160</v>
      </c>
      <c r="AK60" s="16"/>
      <c r="AL60" s="16"/>
      <c r="AN60" s="16" t="s">
        <v>167</v>
      </c>
      <c r="AO60" s="18">
        <f>+AM60*20</f>
        <v>0</v>
      </c>
    </row>
    <row r="61" spans="1:41" x14ac:dyDescent="0.25">
      <c r="A61" s="143">
        <v>7</v>
      </c>
      <c r="B61" s="92">
        <v>45266</v>
      </c>
      <c r="C61" s="23">
        <v>0.61597222222222225</v>
      </c>
      <c r="D61" s="31" t="s">
        <v>2391</v>
      </c>
      <c r="E61" s="32">
        <v>5510080515</v>
      </c>
      <c r="F61" s="32" t="s">
        <v>145</v>
      </c>
      <c r="G61" s="32" t="s">
        <v>524</v>
      </c>
      <c r="H61" s="39" t="s">
        <v>3225</v>
      </c>
      <c r="I61" s="122"/>
      <c r="J61" s="42">
        <v>135</v>
      </c>
      <c r="K61" s="20">
        <v>5</v>
      </c>
      <c r="L61" s="21">
        <v>10</v>
      </c>
      <c r="M61" s="21">
        <f t="shared" si="8"/>
        <v>140</v>
      </c>
      <c r="N61" s="21">
        <f t="shared" si="9"/>
        <v>-140</v>
      </c>
      <c r="O61" s="21"/>
      <c r="P61" s="21"/>
      <c r="Q61" s="5"/>
      <c r="R61" s="16">
        <v>400</v>
      </c>
      <c r="S61" s="16"/>
      <c r="T61" s="21">
        <f t="shared" si="10"/>
        <v>400</v>
      </c>
      <c r="U61" s="16">
        <v>410</v>
      </c>
      <c r="V61" s="78">
        <f t="shared" si="11"/>
        <v>10</v>
      </c>
      <c r="W61" s="140"/>
      <c r="X61" s="334"/>
      <c r="Y61" s="5"/>
      <c r="AD61" s="16" t="s">
        <v>171</v>
      </c>
      <c r="AE61" s="18">
        <f>+AC61*500</f>
        <v>0</v>
      </c>
      <c r="AH61" s="16" t="s">
        <v>171</v>
      </c>
      <c r="AI61" s="18">
        <f>+AG61*500</f>
        <v>0</v>
      </c>
      <c r="AK61" s="16"/>
      <c r="AL61" s="16"/>
      <c r="AN61" s="16" t="s">
        <v>171</v>
      </c>
      <c r="AO61" s="18">
        <f>+AM61*500</f>
        <v>0</v>
      </c>
    </row>
    <row r="62" spans="1:41" x14ac:dyDescent="0.25">
      <c r="A62" s="143">
        <v>8</v>
      </c>
      <c r="B62" s="92">
        <v>45266</v>
      </c>
      <c r="C62" s="23">
        <v>0.61805555555555558</v>
      </c>
      <c r="D62" s="31" t="s">
        <v>3216</v>
      </c>
      <c r="E62" s="123">
        <v>5511330620</v>
      </c>
      <c r="F62" s="123" t="s">
        <v>76</v>
      </c>
      <c r="G62" s="123" t="s">
        <v>3222</v>
      </c>
      <c r="H62" s="123" t="s">
        <v>3219</v>
      </c>
      <c r="I62" s="122"/>
      <c r="J62" s="32">
        <v>136</v>
      </c>
      <c r="K62" s="20">
        <v>10</v>
      </c>
      <c r="L62" s="21"/>
      <c r="M62" s="21">
        <f t="shared" si="8"/>
        <v>146</v>
      </c>
      <c r="N62" s="21">
        <f t="shared" si="9"/>
        <v>-146</v>
      </c>
      <c r="O62" s="21"/>
      <c r="P62" s="21"/>
      <c r="Q62" s="5"/>
      <c r="R62" s="16"/>
      <c r="S62" s="16"/>
      <c r="T62" s="21">
        <f t="shared" si="10"/>
        <v>0</v>
      </c>
      <c r="U62" s="16">
        <v>10</v>
      </c>
      <c r="V62" s="78">
        <f t="shared" si="11"/>
        <v>10</v>
      </c>
      <c r="W62" s="140"/>
      <c r="X62" s="334"/>
      <c r="Y62" s="5"/>
      <c r="AD62" s="16" t="s">
        <v>168</v>
      </c>
      <c r="AE62" s="18">
        <f>+AC62*1000</f>
        <v>0</v>
      </c>
      <c r="AH62" s="16" t="s">
        <v>168</v>
      </c>
      <c r="AI62" s="18">
        <f>+AG62*1000</f>
        <v>0</v>
      </c>
      <c r="AK62" s="16"/>
      <c r="AL62" s="16"/>
      <c r="AN62" s="16" t="s">
        <v>168</v>
      </c>
      <c r="AO62" s="18">
        <f>+AM62*1000</f>
        <v>0</v>
      </c>
    </row>
    <row r="63" spans="1:41" x14ac:dyDescent="0.25">
      <c r="A63" s="41">
        <v>9</v>
      </c>
      <c r="B63" s="92">
        <v>45266</v>
      </c>
      <c r="C63" s="23">
        <v>0.625</v>
      </c>
      <c r="D63" s="31" t="s">
        <v>3217</v>
      </c>
      <c r="E63" s="32">
        <v>5553838178</v>
      </c>
      <c r="F63" s="32" t="s">
        <v>1359</v>
      </c>
      <c r="G63" s="32" t="s">
        <v>1056</v>
      </c>
      <c r="H63" s="32" t="s">
        <v>3218</v>
      </c>
      <c r="I63" s="39"/>
      <c r="J63" s="40">
        <v>175</v>
      </c>
      <c r="K63" s="20">
        <v>10</v>
      </c>
      <c r="L63" s="21">
        <v>20</v>
      </c>
      <c r="M63" s="21">
        <f t="shared" si="8"/>
        <v>185</v>
      </c>
      <c r="N63" s="21">
        <f t="shared" si="9"/>
        <v>-185</v>
      </c>
      <c r="O63" s="21"/>
      <c r="P63" s="21"/>
      <c r="Q63" s="5"/>
      <c r="R63" s="16"/>
      <c r="S63" s="16"/>
      <c r="T63" s="21">
        <f t="shared" si="10"/>
        <v>0</v>
      </c>
      <c r="U63" s="16">
        <v>30</v>
      </c>
      <c r="V63" s="78">
        <f t="shared" si="11"/>
        <v>30</v>
      </c>
      <c r="W63" s="140"/>
      <c r="X63" s="334"/>
      <c r="Y63" s="5"/>
      <c r="AD63" s="26"/>
      <c r="AE63" s="58"/>
      <c r="AH63" s="26"/>
      <c r="AI63" s="58"/>
      <c r="AK63" s="16"/>
      <c r="AL63" s="16"/>
      <c r="AN63" s="26"/>
      <c r="AO63" s="58"/>
    </row>
    <row r="64" spans="1:41" x14ac:dyDescent="0.25">
      <c r="A64" s="143">
        <v>10</v>
      </c>
      <c r="B64" s="92">
        <v>45266</v>
      </c>
      <c r="C64" s="23">
        <v>0.29166666666666669</v>
      </c>
      <c r="D64" s="31" t="s">
        <v>627</v>
      </c>
      <c r="E64" s="32"/>
      <c r="F64" s="32" t="s">
        <v>28</v>
      </c>
      <c r="G64" s="32" t="s">
        <v>3227</v>
      </c>
      <c r="H64" s="39" t="s">
        <v>3228</v>
      </c>
      <c r="I64" s="122">
        <v>120</v>
      </c>
      <c r="J64" s="42">
        <v>110</v>
      </c>
      <c r="K64" s="20">
        <v>10</v>
      </c>
      <c r="L64" s="21"/>
      <c r="M64" s="21">
        <f t="shared" si="8"/>
        <v>120</v>
      </c>
      <c r="N64" s="21">
        <f t="shared" si="9"/>
        <v>0</v>
      </c>
      <c r="O64" s="21">
        <v>120</v>
      </c>
      <c r="P64" s="21"/>
      <c r="Q64" s="5"/>
      <c r="R64" s="16">
        <v>200</v>
      </c>
      <c r="S64" s="16"/>
      <c r="T64" s="21">
        <f t="shared" si="10"/>
        <v>200</v>
      </c>
      <c r="U64" s="16">
        <v>210</v>
      </c>
      <c r="V64" s="78">
        <v>10</v>
      </c>
      <c r="W64" s="140"/>
      <c r="X64" s="334"/>
      <c r="Y64" s="5"/>
      <c r="AD64" s="16" t="s">
        <v>169</v>
      </c>
      <c r="AE64" s="18">
        <f>SUM(AE54:AE63)</f>
        <v>963</v>
      </c>
      <c r="AH64" s="16" t="s">
        <v>169</v>
      </c>
      <c r="AI64" s="18">
        <f>SUM(AI54:AI63)</f>
        <v>724</v>
      </c>
      <c r="AK64" s="16"/>
      <c r="AL64" s="16"/>
      <c r="AN64" s="16" t="s">
        <v>169</v>
      </c>
      <c r="AO64" s="18"/>
    </row>
    <row r="65" spans="1:41" x14ac:dyDescent="0.25">
      <c r="A65" s="143">
        <v>11</v>
      </c>
      <c r="B65" s="92">
        <v>45266</v>
      </c>
      <c r="C65" s="23">
        <v>0.3888888888888889</v>
      </c>
      <c r="D65" s="31" t="s">
        <v>48</v>
      </c>
      <c r="E65" s="124"/>
      <c r="F65" s="123" t="s">
        <v>31</v>
      </c>
      <c r="G65" s="123" t="s">
        <v>3229</v>
      </c>
      <c r="H65" s="39" t="s">
        <v>3230</v>
      </c>
      <c r="I65" s="122">
        <v>130</v>
      </c>
      <c r="J65" s="42">
        <v>110</v>
      </c>
      <c r="K65" s="20">
        <v>10</v>
      </c>
      <c r="L65" s="21">
        <v>10</v>
      </c>
      <c r="M65" s="21">
        <f t="shared" si="8"/>
        <v>120</v>
      </c>
      <c r="N65" s="21">
        <f t="shared" si="9"/>
        <v>10</v>
      </c>
      <c r="O65" s="21">
        <v>130</v>
      </c>
      <c r="P65" s="21"/>
      <c r="Q65" s="5"/>
      <c r="R65" s="16">
        <v>150</v>
      </c>
      <c r="S65" s="16"/>
      <c r="T65" s="21">
        <f t="shared" si="10"/>
        <v>150</v>
      </c>
      <c r="U65" s="16">
        <v>142</v>
      </c>
      <c r="V65" s="78">
        <f t="shared" si="11"/>
        <v>122</v>
      </c>
      <c r="W65" s="140"/>
      <c r="X65" s="334"/>
      <c r="Y65" s="5"/>
      <c r="AE65">
        <v>520</v>
      </c>
      <c r="AK65" s="16"/>
      <c r="AL65" s="16"/>
      <c r="AN65" s="16"/>
      <c r="AO65" s="16"/>
    </row>
    <row r="66" spans="1:41" x14ac:dyDescent="0.25">
      <c r="A66" s="143">
        <v>12</v>
      </c>
      <c r="B66" s="92">
        <v>45266</v>
      </c>
      <c r="C66" s="23">
        <v>0.3923611111111111</v>
      </c>
      <c r="D66" s="32" t="s">
        <v>2391</v>
      </c>
      <c r="E66" s="32"/>
      <c r="F66" s="124" t="s">
        <v>52</v>
      </c>
      <c r="G66" s="123" t="s">
        <v>1837</v>
      </c>
      <c r="H66" s="39" t="s">
        <v>3231</v>
      </c>
      <c r="I66" s="39">
        <v>150</v>
      </c>
      <c r="J66" s="42">
        <v>132</v>
      </c>
      <c r="K66" s="20">
        <v>10</v>
      </c>
      <c r="L66" s="21"/>
      <c r="M66" s="21">
        <f t="shared" si="8"/>
        <v>142</v>
      </c>
      <c r="N66" s="21">
        <f t="shared" si="9"/>
        <v>8</v>
      </c>
      <c r="O66" s="21"/>
      <c r="P66" s="21"/>
      <c r="Q66" s="5"/>
      <c r="R66" s="45">
        <v>150</v>
      </c>
      <c r="S66" s="44"/>
      <c r="T66" s="21">
        <f t="shared" si="10"/>
        <v>150</v>
      </c>
      <c r="U66" s="45">
        <v>163</v>
      </c>
      <c r="V66" s="78">
        <f t="shared" si="11"/>
        <v>13</v>
      </c>
      <c r="W66" s="140"/>
      <c r="X66" s="334"/>
      <c r="Y66" s="5"/>
      <c r="AK66" s="63" t="s">
        <v>169</v>
      </c>
      <c r="AL66" s="63">
        <f>+SUM(AK55:AK65)-SUM(AL55:AL65)</f>
        <v>357</v>
      </c>
      <c r="AN66" s="63" t="s">
        <v>169</v>
      </c>
      <c r="AO66" s="85">
        <f>+SUM(AN54:AN65)-SUM(AO55:AO65)</f>
        <v>0</v>
      </c>
    </row>
    <row r="67" spans="1:41" x14ac:dyDescent="0.25">
      <c r="A67" s="143">
        <v>13</v>
      </c>
      <c r="B67" s="92">
        <v>45266</v>
      </c>
      <c r="C67" s="23">
        <v>0.41666666666666669</v>
      </c>
      <c r="D67" s="31" t="s">
        <v>1866</v>
      </c>
      <c r="E67" s="32"/>
      <c r="F67" s="32" t="s">
        <v>52</v>
      </c>
      <c r="G67" s="32" t="s">
        <v>3019</v>
      </c>
      <c r="H67" s="39" t="s">
        <v>3232</v>
      </c>
      <c r="I67" s="39">
        <v>65</v>
      </c>
      <c r="J67" s="42">
        <v>55</v>
      </c>
      <c r="K67" s="108">
        <v>10</v>
      </c>
      <c r="L67" s="21"/>
      <c r="M67" s="21">
        <f t="shared" si="8"/>
        <v>65</v>
      </c>
      <c r="N67" s="21">
        <f t="shared" si="9"/>
        <v>0</v>
      </c>
      <c r="O67" s="21">
        <v>65</v>
      </c>
      <c r="P67" s="21"/>
      <c r="Q67" s="5"/>
      <c r="R67" s="43">
        <v>100</v>
      </c>
      <c r="S67" s="32"/>
      <c r="T67" s="21">
        <f t="shared" si="10"/>
        <v>100</v>
      </c>
      <c r="U67" s="43">
        <v>55</v>
      </c>
      <c r="V67" s="78">
        <f t="shared" si="11"/>
        <v>20</v>
      </c>
      <c r="W67" s="140"/>
      <c r="X67" s="334"/>
      <c r="Y67" s="5"/>
      <c r="AI67" s="83"/>
    </row>
    <row r="68" spans="1:41" x14ac:dyDescent="0.25">
      <c r="A68" s="143">
        <v>14</v>
      </c>
      <c r="B68" s="92">
        <v>45266</v>
      </c>
      <c r="C68" s="23">
        <v>0.4201388888888889</v>
      </c>
      <c r="D68" s="31" t="s">
        <v>447</v>
      </c>
      <c r="E68" s="32"/>
      <c r="F68" s="32" t="s">
        <v>52</v>
      </c>
      <c r="G68" s="32" t="s">
        <v>3233</v>
      </c>
      <c r="H68" s="39" t="s">
        <v>3234</v>
      </c>
      <c r="I68" s="39">
        <v>42</v>
      </c>
      <c r="J68" s="42">
        <v>32</v>
      </c>
      <c r="K68" s="108">
        <v>10</v>
      </c>
      <c r="L68" s="21"/>
      <c r="M68" s="21">
        <f t="shared" si="8"/>
        <v>42</v>
      </c>
      <c r="N68" s="21">
        <f t="shared" si="9"/>
        <v>0</v>
      </c>
      <c r="O68" s="21"/>
      <c r="P68" s="21"/>
      <c r="Q68" s="5"/>
      <c r="R68" s="43">
        <v>100</v>
      </c>
      <c r="S68" s="43"/>
      <c r="T68" s="21">
        <f t="shared" si="10"/>
        <v>100</v>
      </c>
      <c r="U68" s="43">
        <v>110</v>
      </c>
      <c r="V68" s="78">
        <f t="shared" si="11"/>
        <v>10</v>
      </c>
      <c r="W68" s="140"/>
      <c r="X68" s="334"/>
      <c r="Y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1:41" x14ac:dyDescent="0.25">
      <c r="A69" s="143">
        <v>15</v>
      </c>
      <c r="B69" s="92">
        <v>45266</v>
      </c>
      <c r="C69" s="23"/>
      <c r="D69" s="127"/>
      <c r="E69" s="32"/>
      <c r="F69" s="32"/>
      <c r="G69" s="128"/>
      <c r="H69" s="129"/>
      <c r="I69" s="39"/>
      <c r="J69" s="42"/>
      <c r="K69" s="108">
        <v>10</v>
      </c>
      <c r="L69" s="21"/>
      <c r="M69" s="21">
        <f t="shared" si="8"/>
        <v>10</v>
      </c>
      <c r="N69" s="21">
        <f t="shared" si="9"/>
        <v>-10</v>
      </c>
      <c r="O69" s="21"/>
      <c r="P69" s="21"/>
      <c r="Q69" s="5"/>
      <c r="R69" s="43"/>
      <c r="S69" s="43"/>
      <c r="T69" s="21">
        <f t="shared" si="10"/>
        <v>0</v>
      </c>
      <c r="U69" s="43"/>
      <c r="V69" s="78">
        <f t="shared" si="11"/>
        <v>0</v>
      </c>
      <c r="W69" s="140"/>
      <c r="X69" s="334"/>
      <c r="Y69" s="5"/>
      <c r="AD69" s="5"/>
      <c r="AE69" s="134" t="s">
        <v>20</v>
      </c>
      <c r="AF69" s="338"/>
      <c r="AG69" s="341" t="s">
        <v>686</v>
      </c>
      <c r="AH69" s="134" t="s">
        <v>20</v>
      </c>
      <c r="AI69" s="338">
        <v>175</v>
      </c>
      <c r="AJ69" s="341" t="s">
        <v>687</v>
      </c>
      <c r="AK69" s="134" t="s">
        <v>20</v>
      </c>
      <c r="AL69" s="338"/>
      <c r="AM69" s="5"/>
    </row>
    <row r="70" spans="1:41" x14ac:dyDescent="0.25">
      <c r="A70" s="143">
        <v>16</v>
      </c>
      <c r="B70" s="92">
        <v>45266</v>
      </c>
      <c r="C70" s="23"/>
      <c r="D70" s="31"/>
      <c r="E70" s="32"/>
      <c r="F70" s="32"/>
      <c r="G70" s="32"/>
      <c r="H70" s="39"/>
      <c r="I70" s="39"/>
      <c r="J70" s="42"/>
      <c r="K70" s="43">
        <v>10</v>
      </c>
      <c r="L70" s="21"/>
      <c r="M70" s="21">
        <f t="shared" si="8"/>
        <v>10</v>
      </c>
      <c r="N70" s="21">
        <f t="shared" si="9"/>
        <v>-10</v>
      </c>
      <c r="O70" s="21"/>
      <c r="P70" s="21"/>
      <c r="Q70" s="5"/>
      <c r="R70" s="43"/>
      <c r="S70" s="32"/>
      <c r="T70" s="21">
        <f t="shared" si="10"/>
        <v>0</v>
      </c>
      <c r="U70" s="131"/>
      <c r="V70" s="78">
        <f t="shared" si="11"/>
        <v>0</v>
      </c>
      <c r="W70" s="140"/>
      <c r="X70" s="334"/>
      <c r="Y70" s="5"/>
      <c r="AD70" s="5" t="s">
        <v>685</v>
      </c>
      <c r="AE70" s="115" t="s">
        <v>684</v>
      </c>
      <c r="AF70" s="339"/>
      <c r="AG70" s="341"/>
      <c r="AH70" s="115" t="s">
        <v>684</v>
      </c>
      <c r="AI70" s="339"/>
      <c r="AJ70" s="341"/>
      <c r="AK70" s="115" t="s">
        <v>684</v>
      </c>
      <c r="AL70" s="339"/>
      <c r="AM70" s="5"/>
    </row>
    <row r="71" spans="1:41" x14ac:dyDescent="0.25">
      <c r="A71" s="143">
        <v>17</v>
      </c>
      <c r="B71" s="92">
        <v>45266</v>
      </c>
      <c r="C71" s="23"/>
      <c r="D71" s="31"/>
      <c r="E71" s="32"/>
      <c r="F71" s="32"/>
      <c r="G71" s="32"/>
      <c r="H71" s="39"/>
      <c r="I71" s="39"/>
      <c r="J71" s="42"/>
      <c r="K71" s="43">
        <v>10</v>
      </c>
      <c r="L71" s="21"/>
      <c r="M71" s="21">
        <f t="shared" si="8"/>
        <v>10</v>
      </c>
      <c r="N71" s="21">
        <f t="shared" si="9"/>
        <v>-10</v>
      </c>
      <c r="O71" s="21"/>
      <c r="P71" s="21"/>
      <c r="Q71" s="5"/>
      <c r="R71" s="43"/>
      <c r="S71" s="32"/>
      <c r="T71" s="21">
        <f t="shared" si="10"/>
        <v>0</v>
      </c>
      <c r="U71" s="132"/>
      <c r="V71" s="78">
        <f t="shared" si="11"/>
        <v>0</v>
      </c>
      <c r="W71" s="140"/>
      <c r="X71" s="340"/>
      <c r="Y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1:41" x14ac:dyDescent="0.25">
      <c r="A72" s="143">
        <v>18</v>
      </c>
      <c r="B72" s="92">
        <v>45266</v>
      </c>
      <c r="C72" s="32"/>
      <c r="D72" s="31"/>
      <c r="E72" s="32"/>
      <c r="F72" s="32"/>
      <c r="G72" s="32"/>
      <c r="H72" s="39"/>
      <c r="I72" s="39"/>
      <c r="J72" s="42"/>
      <c r="K72" s="43">
        <v>10</v>
      </c>
      <c r="L72" s="21"/>
      <c r="M72" s="21">
        <f t="shared" si="8"/>
        <v>10</v>
      </c>
      <c r="N72" s="21">
        <f t="shared" si="9"/>
        <v>-10</v>
      </c>
      <c r="O72" s="21"/>
      <c r="P72" s="21"/>
      <c r="Q72" s="5"/>
      <c r="R72" s="135"/>
      <c r="S72" s="104"/>
      <c r="T72" s="21">
        <f t="shared" si="10"/>
        <v>0</v>
      </c>
      <c r="U72" s="131"/>
      <c r="V72" s="78">
        <f t="shared" si="11"/>
        <v>0</v>
      </c>
      <c r="W72" s="140"/>
      <c r="Y72" s="5"/>
    </row>
    <row r="73" spans="1:41" x14ac:dyDescent="0.25">
      <c r="A73" s="143">
        <v>19</v>
      </c>
      <c r="B73" s="92">
        <v>45266</v>
      </c>
      <c r="C73" s="32"/>
      <c r="D73" s="31"/>
      <c r="E73" s="32"/>
      <c r="F73" s="32"/>
      <c r="G73" s="32"/>
      <c r="H73" s="39"/>
      <c r="I73" s="39"/>
      <c r="J73" s="42"/>
      <c r="K73" s="43">
        <v>10</v>
      </c>
      <c r="L73" s="21"/>
      <c r="M73" s="21">
        <f t="shared" si="8"/>
        <v>10</v>
      </c>
      <c r="N73" s="21">
        <f t="shared" si="9"/>
        <v>-10</v>
      </c>
      <c r="O73" s="21"/>
      <c r="P73" s="21"/>
      <c r="Q73" s="5"/>
      <c r="R73" s="32"/>
      <c r="S73" s="32"/>
      <c r="T73" s="21">
        <f t="shared" si="10"/>
        <v>0</v>
      </c>
      <c r="U73" s="32"/>
      <c r="V73" s="78">
        <f t="shared" si="11"/>
        <v>0</v>
      </c>
      <c r="W73" s="140"/>
      <c r="Y73" s="5"/>
    </row>
    <row r="74" spans="1:4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141"/>
      <c r="X74" s="5"/>
      <c r="Y74" s="5"/>
    </row>
    <row r="78" spans="1:41" x14ac:dyDescent="0.25">
      <c r="E78">
        <f>+J83+15</f>
        <v>178</v>
      </c>
    </row>
    <row r="79" spans="1:41" x14ac:dyDescent="0.25">
      <c r="A79" s="1" t="s">
        <v>0</v>
      </c>
      <c r="B79" s="1"/>
      <c r="C79" s="1"/>
      <c r="D79" s="1"/>
      <c r="E79" s="1"/>
      <c r="F79" s="1"/>
      <c r="G79" s="1"/>
      <c r="H79" s="1"/>
      <c r="I79" s="1"/>
      <c r="J79" s="1" t="s">
        <v>148</v>
      </c>
      <c r="K79" s="1"/>
      <c r="L79" s="1"/>
      <c r="M79" s="1"/>
      <c r="N79" s="1"/>
      <c r="O79" s="1"/>
      <c r="P79" s="1"/>
      <c r="Q79" s="1"/>
      <c r="R79" s="1"/>
      <c r="S79" s="1"/>
      <c r="T79" s="342" t="s">
        <v>1</v>
      </c>
      <c r="U79" s="342"/>
      <c r="V79" s="5"/>
      <c r="W79" s="139"/>
      <c r="X79" s="1"/>
      <c r="Y79" s="5"/>
      <c r="AD79" s="335" t="s">
        <v>160</v>
      </c>
      <c r="AE79" s="336"/>
      <c r="AH79" s="335" t="s">
        <v>170</v>
      </c>
      <c r="AI79" s="336"/>
      <c r="AK79" s="337" t="s">
        <v>172</v>
      </c>
      <c r="AL79" s="337"/>
      <c r="AN79" s="337" t="s">
        <v>681</v>
      </c>
      <c r="AO79" s="337"/>
    </row>
    <row r="80" spans="1:41" ht="90" x14ac:dyDescent="0.25">
      <c r="A80" s="6" t="s">
        <v>2</v>
      </c>
      <c r="B80" s="7" t="s">
        <v>3</v>
      </c>
      <c r="C80" s="245" t="s">
        <v>688</v>
      </c>
      <c r="D80" s="7" t="s">
        <v>4</v>
      </c>
      <c r="E80" s="6" t="s">
        <v>5</v>
      </c>
      <c r="F80" s="6" t="s">
        <v>6</v>
      </c>
      <c r="G80" s="6" t="s">
        <v>7</v>
      </c>
      <c r="H80" s="6" t="s">
        <v>8</v>
      </c>
      <c r="I80" s="8" t="s">
        <v>9</v>
      </c>
      <c r="J80" s="9" t="s">
        <v>10</v>
      </c>
      <c r="K80" s="8" t="s">
        <v>11</v>
      </c>
      <c r="L80" s="10" t="s">
        <v>12</v>
      </c>
      <c r="M80" s="10" t="s">
        <v>13</v>
      </c>
      <c r="N80" s="11" t="s">
        <v>14</v>
      </c>
      <c r="O80" s="10" t="s">
        <v>691</v>
      </c>
      <c r="P80" s="10" t="s">
        <v>28</v>
      </c>
      <c r="Q80" s="5"/>
      <c r="R80" s="10" t="s">
        <v>16</v>
      </c>
      <c r="S80" s="10" t="s">
        <v>17</v>
      </c>
      <c r="T80" s="10" t="s">
        <v>18</v>
      </c>
      <c r="U80" s="10" t="s">
        <v>19</v>
      </c>
      <c r="V80" s="10" t="s">
        <v>20</v>
      </c>
      <c r="W80" s="13"/>
      <c r="X80" s="15" t="s">
        <v>23</v>
      </c>
      <c r="Y80" s="5"/>
      <c r="AA80" s="251" t="s">
        <v>3257</v>
      </c>
      <c r="AD80" s="16" t="s">
        <v>161</v>
      </c>
      <c r="AE80" s="58">
        <f>+AC80*10</f>
        <v>0</v>
      </c>
      <c r="AG80">
        <v>3</v>
      </c>
      <c r="AH80" s="16" t="s">
        <v>161</v>
      </c>
      <c r="AI80" s="58">
        <f>+AG80*10</f>
        <v>30</v>
      </c>
      <c r="AK80" s="61" t="s">
        <v>173</v>
      </c>
      <c r="AL80" s="62" t="s">
        <v>174</v>
      </c>
      <c r="AN80" s="16" t="s">
        <v>161</v>
      </c>
      <c r="AO80" s="58">
        <f>+AM80*10</f>
        <v>0</v>
      </c>
    </row>
    <row r="81" spans="1:41" x14ac:dyDescent="0.25">
      <c r="A81" s="16">
        <v>1</v>
      </c>
      <c r="B81" s="92">
        <v>45267</v>
      </c>
      <c r="C81" s="23">
        <v>0.45555555555555555</v>
      </c>
      <c r="D81" s="31" t="s">
        <v>3195</v>
      </c>
      <c r="E81" s="32">
        <v>7029645125</v>
      </c>
      <c r="F81" s="32" t="s">
        <v>114</v>
      </c>
      <c r="G81" s="39" t="s">
        <v>1645</v>
      </c>
      <c r="H81" s="39" t="s">
        <v>3235</v>
      </c>
      <c r="I81" s="122">
        <v>200</v>
      </c>
      <c r="J81" s="32">
        <v>114</v>
      </c>
      <c r="K81" s="20">
        <v>10</v>
      </c>
      <c r="L81" s="21"/>
      <c r="M81" s="21">
        <f t="shared" ref="M81:M99" si="12">+J81+K81</f>
        <v>124</v>
      </c>
      <c r="N81" s="21">
        <f t="shared" ref="N81:N99" si="13">+I81-M81</f>
        <v>76</v>
      </c>
      <c r="O81" s="21"/>
      <c r="P81" s="21"/>
      <c r="Q81" s="5"/>
      <c r="R81" s="21">
        <v>200</v>
      </c>
      <c r="S81" s="16"/>
      <c r="T81" s="21">
        <f t="shared" ref="T81:T99" si="14">+R81+S81</f>
        <v>200</v>
      </c>
      <c r="U81" s="21">
        <v>210</v>
      </c>
      <c r="V81" s="78">
        <f>+U81-T81+O81+P81</f>
        <v>10</v>
      </c>
      <c r="W81" s="13"/>
      <c r="X81" s="333"/>
      <c r="Y81" s="5"/>
      <c r="Z81" t="s">
        <v>3258</v>
      </c>
      <c r="AA81" s="83">
        <v>142</v>
      </c>
      <c r="AC81">
        <v>143</v>
      </c>
      <c r="AD81" s="59" t="s">
        <v>162</v>
      </c>
      <c r="AE81" s="18">
        <f>+AC81*1</f>
        <v>143</v>
      </c>
      <c r="AG81">
        <v>54.5</v>
      </c>
      <c r="AH81" s="59" t="s">
        <v>162</v>
      </c>
      <c r="AI81" s="18">
        <f>+AG81*1</f>
        <v>54.5</v>
      </c>
      <c r="AK81" s="16">
        <v>1597</v>
      </c>
      <c r="AL81" s="16"/>
      <c r="AN81" s="59" t="s">
        <v>162</v>
      </c>
      <c r="AO81" s="18">
        <f>+AM81*1</f>
        <v>0</v>
      </c>
    </row>
    <row r="82" spans="1:41" x14ac:dyDescent="0.25">
      <c r="A82" s="26">
        <v>2</v>
      </c>
      <c r="B82" s="92">
        <v>45267</v>
      </c>
      <c r="C82" s="23">
        <v>0.51180555555555551</v>
      </c>
      <c r="D82" s="31" t="s">
        <v>3237</v>
      </c>
      <c r="E82" s="32">
        <v>5624436149</v>
      </c>
      <c r="F82" s="32" t="s">
        <v>2707</v>
      </c>
      <c r="G82" s="32" t="s">
        <v>3088</v>
      </c>
      <c r="H82" s="39" t="s">
        <v>3236</v>
      </c>
      <c r="I82" s="122"/>
      <c r="J82" s="32">
        <v>65</v>
      </c>
      <c r="K82" s="20">
        <v>10</v>
      </c>
      <c r="L82" s="21"/>
      <c r="M82" s="21">
        <f t="shared" si="12"/>
        <v>75</v>
      </c>
      <c r="N82" s="21">
        <f t="shared" si="13"/>
        <v>-75</v>
      </c>
      <c r="O82" s="21"/>
      <c r="P82" s="21"/>
      <c r="Q82" s="5"/>
      <c r="R82" s="21">
        <v>200</v>
      </c>
      <c r="S82" s="16"/>
      <c r="T82" s="21">
        <f t="shared" si="14"/>
        <v>200</v>
      </c>
      <c r="U82" s="21"/>
      <c r="V82" s="78">
        <f t="shared" ref="V82:V99" si="15">+U82-T82+O82+P82</f>
        <v>-200</v>
      </c>
      <c r="W82" s="140"/>
      <c r="X82" s="334"/>
      <c r="Y82" s="5"/>
      <c r="Z82" t="s">
        <v>3259</v>
      </c>
      <c r="AA82">
        <v>142</v>
      </c>
      <c r="AC82">
        <v>43</v>
      </c>
      <c r="AD82" s="16" t="s">
        <v>163</v>
      </c>
      <c r="AE82" s="60">
        <f>+AC82*5</f>
        <v>215</v>
      </c>
      <c r="AG82">
        <v>28</v>
      </c>
      <c r="AH82" s="16" t="s">
        <v>163</v>
      </c>
      <c r="AI82" s="60">
        <f>+AG82*5</f>
        <v>140</v>
      </c>
      <c r="AK82" s="16"/>
      <c r="AL82" s="16"/>
      <c r="AN82" s="16" t="s">
        <v>163</v>
      </c>
      <c r="AO82" s="60">
        <f>+AM82*5</f>
        <v>0</v>
      </c>
    </row>
    <row r="83" spans="1:41" x14ac:dyDescent="0.25">
      <c r="A83" s="143">
        <v>3</v>
      </c>
      <c r="B83" s="92">
        <v>45267</v>
      </c>
      <c r="C83" s="23"/>
      <c r="D83" s="31" t="s">
        <v>2244</v>
      </c>
      <c r="E83" s="32"/>
      <c r="F83" s="32"/>
      <c r="G83" s="32" t="s">
        <v>3238</v>
      </c>
      <c r="H83" s="39" t="s">
        <v>3239</v>
      </c>
      <c r="I83" s="122"/>
      <c r="J83" s="32">
        <v>163</v>
      </c>
      <c r="K83" s="20">
        <v>10</v>
      </c>
      <c r="L83" s="21"/>
      <c r="M83" s="21">
        <f t="shared" si="12"/>
        <v>173</v>
      </c>
      <c r="N83" s="21">
        <f t="shared" si="13"/>
        <v>-173</v>
      </c>
      <c r="O83" s="21"/>
      <c r="P83" s="21"/>
      <c r="Q83" s="5"/>
      <c r="R83" s="21"/>
      <c r="S83" s="16"/>
      <c r="T83" s="21">
        <f t="shared" si="14"/>
        <v>0</v>
      </c>
      <c r="U83" s="21"/>
      <c r="V83" s="78">
        <f t="shared" si="15"/>
        <v>0</v>
      </c>
      <c r="W83" s="140"/>
      <c r="X83" s="334"/>
      <c r="Y83" s="5"/>
      <c r="Z83" t="s">
        <v>3260</v>
      </c>
      <c r="AA83">
        <v>88</v>
      </c>
      <c r="AD83" s="16" t="s">
        <v>164</v>
      </c>
      <c r="AE83" s="18">
        <f>+AC83*200</f>
        <v>0</v>
      </c>
      <c r="AH83" s="16" t="s">
        <v>164</v>
      </c>
      <c r="AI83" s="18">
        <f>+AG83*200</f>
        <v>0</v>
      </c>
      <c r="AK83" s="16"/>
      <c r="AL83" s="16"/>
      <c r="AN83" s="16" t="s">
        <v>164</v>
      </c>
      <c r="AO83" s="18">
        <f>+AM83*200</f>
        <v>0</v>
      </c>
    </row>
    <row r="84" spans="1:41" x14ac:dyDescent="0.25">
      <c r="A84" s="143">
        <v>4</v>
      </c>
      <c r="B84" s="92">
        <v>45267</v>
      </c>
      <c r="C84" s="23">
        <v>8.819444444444445E-2</v>
      </c>
      <c r="D84" s="31" t="s">
        <v>1128</v>
      </c>
      <c r="E84" s="32">
        <v>5537803548</v>
      </c>
      <c r="F84" s="32" t="s">
        <v>3240</v>
      </c>
      <c r="G84" s="32" t="s">
        <v>3241</v>
      </c>
      <c r="H84" s="39" t="s">
        <v>3242</v>
      </c>
      <c r="I84" s="122">
        <v>400</v>
      </c>
      <c r="J84" s="32">
        <v>285</v>
      </c>
      <c r="K84" s="20">
        <v>20</v>
      </c>
      <c r="L84" s="21"/>
      <c r="M84" s="21">
        <f t="shared" si="12"/>
        <v>305</v>
      </c>
      <c r="N84" s="21">
        <f t="shared" si="13"/>
        <v>95</v>
      </c>
      <c r="O84" s="21"/>
      <c r="P84" s="21"/>
      <c r="Q84" s="5"/>
      <c r="R84" s="21"/>
      <c r="S84" s="16"/>
      <c r="T84" s="21">
        <f t="shared" si="14"/>
        <v>0</v>
      </c>
      <c r="U84" s="21"/>
      <c r="V84" s="78">
        <f t="shared" si="15"/>
        <v>0</v>
      </c>
      <c r="W84" s="140"/>
      <c r="X84" s="334"/>
      <c r="Y84" s="5"/>
      <c r="Z84" t="s">
        <v>3261</v>
      </c>
      <c r="AA84">
        <v>46</v>
      </c>
      <c r="AC84">
        <v>2</v>
      </c>
      <c r="AD84" s="16" t="s">
        <v>165</v>
      </c>
      <c r="AE84" s="18">
        <f>+AC84*100</f>
        <v>200</v>
      </c>
      <c r="AH84" s="16" t="s">
        <v>165</v>
      </c>
      <c r="AI84" s="18">
        <f>+AG84*100</f>
        <v>0</v>
      </c>
      <c r="AK84" s="16"/>
      <c r="AL84" s="16"/>
      <c r="AN84" s="16" t="s">
        <v>165</v>
      </c>
      <c r="AO84" s="18">
        <f>+AM84*100</f>
        <v>0</v>
      </c>
    </row>
    <row r="85" spans="1:41" x14ac:dyDescent="0.25">
      <c r="A85" s="143">
        <v>5</v>
      </c>
      <c r="B85" s="92">
        <v>45267</v>
      </c>
      <c r="C85" s="23">
        <v>0.125</v>
      </c>
      <c r="D85" s="31" t="s">
        <v>921</v>
      </c>
      <c r="E85" s="32">
        <v>5625982564</v>
      </c>
      <c r="F85" s="32" t="s">
        <v>28</v>
      </c>
      <c r="G85" s="32" t="s">
        <v>3243</v>
      </c>
      <c r="H85" s="32" t="s">
        <v>3244</v>
      </c>
      <c r="I85" s="122">
        <v>78</v>
      </c>
      <c r="J85" s="32">
        <v>68</v>
      </c>
      <c r="K85" s="20">
        <v>10</v>
      </c>
      <c r="L85" s="21"/>
      <c r="M85" s="21">
        <f t="shared" si="12"/>
        <v>78</v>
      </c>
      <c r="N85" s="21">
        <f t="shared" si="13"/>
        <v>0</v>
      </c>
      <c r="O85" s="21"/>
      <c r="P85" s="21"/>
      <c r="Q85" s="5"/>
      <c r="R85" s="16"/>
      <c r="S85" s="16"/>
      <c r="T85" s="21">
        <f t="shared" si="14"/>
        <v>0</v>
      </c>
      <c r="U85" s="21"/>
      <c r="V85" s="78">
        <f t="shared" si="15"/>
        <v>0</v>
      </c>
      <c r="W85" s="140"/>
      <c r="X85" s="334"/>
      <c r="Y85" s="5"/>
      <c r="Z85" t="s">
        <v>3262</v>
      </c>
      <c r="AA85">
        <v>100</v>
      </c>
      <c r="AD85" s="16" t="s">
        <v>166</v>
      </c>
      <c r="AE85" s="18">
        <f>+AC85*50</f>
        <v>0</v>
      </c>
      <c r="AG85">
        <v>0</v>
      </c>
      <c r="AH85" s="16" t="s">
        <v>166</v>
      </c>
      <c r="AI85" s="18">
        <f>+AG85*50</f>
        <v>0</v>
      </c>
      <c r="AK85" s="16"/>
      <c r="AL85" s="16"/>
      <c r="AN85" s="16" t="s">
        <v>166</v>
      </c>
      <c r="AO85" s="18">
        <f>+AM85*50</f>
        <v>0</v>
      </c>
    </row>
    <row r="86" spans="1:41" x14ac:dyDescent="0.25">
      <c r="A86" s="143">
        <v>6</v>
      </c>
      <c r="B86" s="92">
        <v>45267</v>
      </c>
      <c r="C86" s="23">
        <v>0.11180555555555556</v>
      </c>
      <c r="D86" s="31" t="s">
        <v>1078</v>
      </c>
      <c r="E86" s="32">
        <v>5578861024</v>
      </c>
      <c r="F86" s="32" t="s">
        <v>28</v>
      </c>
      <c r="G86" s="32" t="s">
        <v>3245</v>
      </c>
      <c r="H86" s="39" t="s">
        <v>3246</v>
      </c>
      <c r="I86" s="39">
        <v>54</v>
      </c>
      <c r="J86" s="42">
        <v>59</v>
      </c>
      <c r="K86" s="20">
        <v>10</v>
      </c>
      <c r="L86" s="21">
        <v>15</v>
      </c>
      <c r="M86" s="21">
        <f t="shared" si="12"/>
        <v>69</v>
      </c>
      <c r="N86" s="21">
        <v>0</v>
      </c>
      <c r="O86" s="21"/>
      <c r="P86" s="21"/>
      <c r="Q86" s="5"/>
      <c r="R86" s="16"/>
      <c r="S86" s="16"/>
      <c r="T86" s="21">
        <f t="shared" si="14"/>
        <v>0</v>
      </c>
      <c r="U86" s="16"/>
      <c r="V86" s="78">
        <f t="shared" si="15"/>
        <v>0</v>
      </c>
      <c r="W86" s="140"/>
      <c r="X86" s="334"/>
      <c r="Y86" s="5"/>
      <c r="Z86" t="s">
        <v>3263</v>
      </c>
      <c r="AA86">
        <v>60</v>
      </c>
      <c r="AC86">
        <v>8</v>
      </c>
      <c r="AD86" s="16" t="s">
        <v>167</v>
      </c>
      <c r="AE86" s="18">
        <f>+AC86*20</f>
        <v>160</v>
      </c>
      <c r="AH86" s="16" t="s">
        <v>167</v>
      </c>
      <c r="AI86" s="18">
        <f>+AG86*20</f>
        <v>0</v>
      </c>
      <c r="AK86" s="16"/>
      <c r="AL86" s="16"/>
      <c r="AN86" s="16" t="s">
        <v>167</v>
      </c>
      <c r="AO86" s="18">
        <f>+AM86*20</f>
        <v>0</v>
      </c>
    </row>
    <row r="87" spans="1:41" x14ac:dyDescent="0.25">
      <c r="A87" s="143">
        <v>7</v>
      </c>
      <c r="B87" s="92">
        <v>45267</v>
      </c>
      <c r="C87" s="23">
        <v>8.4027777777777771E-2</v>
      </c>
      <c r="D87" s="31" t="s">
        <v>1324</v>
      </c>
      <c r="E87" s="32">
        <v>5562236073</v>
      </c>
      <c r="F87" s="32" t="s">
        <v>368</v>
      </c>
      <c r="G87" s="32" t="s">
        <v>26</v>
      </c>
      <c r="H87" s="39" t="s">
        <v>3247</v>
      </c>
      <c r="I87" s="122">
        <v>54</v>
      </c>
      <c r="J87" s="42">
        <v>44</v>
      </c>
      <c r="K87" s="20">
        <v>10</v>
      </c>
      <c r="L87" s="21"/>
      <c r="M87" s="21">
        <f t="shared" si="12"/>
        <v>54</v>
      </c>
      <c r="N87" s="21">
        <f t="shared" si="13"/>
        <v>0</v>
      </c>
      <c r="O87" s="21"/>
      <c r="P87" s="21"/>
      <c r="Q87" s="5"/>
      <c r="R87" s="16"/>
      <c r="S87" s="16"/>
      <c r="T87" s="21">
        <f t="shared" si="14"/>
        <v>0</v>
      </c>
      <c r="U87" s="16"/>
      <c r="V87" s="78">
        <f t="shared" si="15"/>
        <v>0</v>
      </c>
      <c r="W87" s="140"/>
      <c r="X87" s="334"/>
      <c r="Y87" s="5"/>
      <c r="AD87" s="16" t="s">
        <v>171</v>
      </c>
      <c r="AE87" s="18">
        <f>+AC87*500</f>
        <v>0</v>
      </c>
      <c r="AH87" s="16" t="s">
        <v>171</v>
      </c>
      <c r="AI87" s="18">
        <f>+AG87*500</f>
        <v>0</v>
      </c>
      <c r="AK87" s="16"/>
      <c r="AL87" s="16"/>
      <c r="AN87" s="16" t="s">
        <v>171</v>
      </c>
      <c r="AO87" s="18">
        <f>+AM87*500</f>
        <v>0</v>
      </c>
    </row>
    <row r="88" spans="1:41" x14ac:dyDescent="0.25">
      <c r="A88" s="143">
        <v>8</v>
      </c>
      <c r="B88" s="92">
        <v>45267</v>
      </c>
      <c r="C88" s="23">
        <v>0.24444444444444446</v>
      </c>
      <c r="D88" s="31" t="s">
        <v>105</v>
      </c>
      <c r="E88" s="123">
        <v>5562234554</v>
      </c>
      <c r="F88" s="123" t="s">
        <v>3248</v>
      </c>
      <c r="G88" s="123" t="s">
        <v>61</v>
      </c>
      <c r="H88" s="39" t="s">
        <v>143</v>
      </c>
      <c r="I88" s="122">
        <v>100</v>
      </c>
      <c r="J88" s="32">
        <v>100</v>
      </c>
      <c r="K88" s="20">
        <v>0</v>
      </c>
      <c r="L88" s="21"/>
      <c r="M88" s="21">
        <f t="shared" si="12"/>
        <v>100</v>
      </c>
      <c r="N88" s="21">
        <f t="shared" si="13"/>
        <v>0</v>
      </c>
      <c r="O88" s="21"/>
      <c r="P88" s="21"/>
      <c r="Q88" s="5"/>
      <c r="R88" s="16"/>
      <c r="S88" s="16"/>
      <c r="T88" s="21">
        <f t="shared" si="14"/>
        <v>0</v>
      </c>
      <c r="U88" s="16"/>
      <c r="V88" s="78">
        <f t="shared" si="15"/>
        <v>0</v>
      </c>
      <c r="W88" s="140"/>
      <c r="X88" s="334"/>
      <c r="Y88" s="5"/>
      <c r="AA88" t="s">
        <v>3264</v>
      </c>
      <c r="AB88" t="s">
        <v>3265</v>
      </c>
      <c r="AD88" s="16" t="s">
        <v>168</v>
      </c>
      <c r="AE88" s="18">
        <f>+AC88*1000</f>
        <v>0</v>
      </c>
      <c r="AH88" s="16" t="s">
        <v>168</v>
      </c>
      <c r="AI88" s="18">
        <f>+AG88*1000</f>
        <v>0</v>
      </c>
      <c r="AK88" s="16"/>
      <c r="AL88" s="16"/>
      <c r="AN88" s="16" t="s">
        <v>168</v>
      </c>
      <c r="AO88" s="18">
        <f>+AM88*1000</f>
        <v>0</v>
      </c>
    </row>
    <row r="89" spans="1:41" x14ac:dyDescent="0.25">
      <c r="A89" s="143">
        <v>9</v>
      </c>
      <c r="B89" s="92">
        <v>45267</v>
      </c>
      <c r="C89" s="23">
        <v>0.34652777777777777</v>
      </c>
      <c r="D89" s="31" t="s">
        <v>1939</v>
      </c>
      <c r="E89" s="32">
        <v>5615394688</v>
      </c>
      <c r="F89" s="32" t="s">
        <v>3249</v>
      </c>
      <c r="G89" s="32" t="s">
        <v>3250</v>
      </c>
      <c r="H89" s="39" t="s">
        <v>3251</v>
      </c>
      <c r="I89" s="39">
        <v>78</v>
      </c>
      <c r="J89" s="40">
        <v>68</v>
      </c>
      <c r="K89" s="20">
        <v>10</v>
      </c>
      <c r="L89" s="21">
        <v>10</v>
      </c>
      <c r="M89" s="21">
        <f t="shared" si="12"/>
        <v>78</v>
      </c>
      <c r="N89" s="21">
        <f t="shared" si="13"/>
        <v>0</v>
      </c>
      <c r="O89" s="21"/>
      <c r="P89" s="21"/>
      <c r="Q89" s="5"/>
      <c r="R89" s="16"/>
      <c r="S89" s="16"/>
      <c r="T89" s="21">
        <f t="shared" si="14"/>
        <v>0</v>
      </c>
      <c r="U89" s="16"/>
      <c r="V89" s="78">
        <f t="shared" si="15"/>
        <v>0</v>
      </c>
      <c r="W89" s="140"/>
      <c r="X89" s="334"/>
      <c r="Y89" s="5"/>
      <c r="AA89" t="s">
        <v>3266</v>
      </c>
      <c r="AB89">
        <v>60</v>
      </c>
      <c r="AD89" s="26"/>
      <c r="AE89" s="58"/>
      <c r="AH89" s="26"/>
      <c r="AI89" s="58"/>
      <c r="AK89" s="16"/>
      <c r="AL89" s="16"/>
      <c r="AN89" s="26"/>
      <c r="AO89" s="58"/>
    </row>
    <row r="90" spans="1:41" x14ac:dyDescent="0.25">
      <c r="A90" s="143">
        <v>10</v>
      </c>
      <c r="B90" s="92">
        <v>45267</v>
      </c>
      <c r="C90" s="23">
        <v>0.34583333333333338</v>
      </c>
      <c r="D90" s="31" t="s">
        <v>758</v>
      </c>
      <c r="E90" s="32">
        <v>5512050452</v>
      </c>
      <c r="F90" s="32" t="s">
        <v>52</v>
      </c>
      <c r="G90" s="32" t="s">
        <v>220</v>
      </c>
      <c r="H90" s="39" t="s">
        <v>3252</v>
      </c>
      <c r="I90" s="122">
        <v>250</v>
      </c>
      <c r="J90" s="42">
        <v>36</v>
      </c>
      <c r="K90" s="20">
        <v>10</v>
      </c>
      <c r="L90" s="21"/>
      <c r="M90" s="21">
        <f t="shared" si="12"/>
        <v>46</v>
      </c>
      <c r="N90" s="21">
        <f t="shared" si="13"/>
        <v>204</v>
      </c>
      <c r="O90" s="21"/>
      <c r="P90" s="21"/>
      <c r="Q90" s="5"/>
      <c r="R90" s="16"/>
      <c r="S90" s="16"/>
      <c r="T90" s="21">
        <f t="shared" si="14"/>
        <v>0</v>
      </c>
      <c r="U90" s="16"/>
      <c r="V90" s="78">
        <f t="shared" si="15"/>
        <v>0</v>
      </c>
      <c r="W90" s="140"/>
      <c r="X90" s="334"/>
      <c r="Y90" s="5"/>
      <c r="AD90" s="16" t="s">
        <v>169</v>
      </c>
      <c r="AE90" s="18">
        <f>SUM(AE80:AE89)</f>
        <v>718</v>
      </c>
      <c r="AH90" s="16" t="s">
        <v>169</v>
      </c>
      <c r="AI90" s="18">
        <f>SUM(AI80:AI89)</f>
        <v>224.5</v>
      </c>
      <c r="AK90" s="16"/>
      <c r="AL90" s="16"/>
      <c r="AN90" s="16" t="s">
        <v>169</v>
      </c>
      <c r="AO90" s="18"/>
    </row>
    <row r="91" spans="1:41" x14ac:dyDescent="0.25">
      <c r="A91" s="143">
        <v>11</v>
      </c>
      <c r="B91" s="92">
        <v>45267</v>
      </c>
      <c r="C91" s="23">
        <v>0.34722222222222227</v>
      </c>
      <c r="D91" s="31" t="s">
        <v>2464</v>
      </c>
      <c r="E91" s="124">
        <v>5566143436</v>
      </c>
      <c r="F91" s="123" t="s">
        <v>52</v>
      </c>
      <c r="G91" s="123" t="s">
        <v>220</v>
      </c>
      <c r="H91" s="39" t="s">
        <v>3253</v>
      </c>
      <c r="I91" s="122">
        <v>250</v>
      </c>
      <c r="J91" s="42">
        <v>132</v>
      </c>
      <c r="K91" s="20">
        <v>10</v>
      </c>
      <c r="L91" s="21"/>
      <c r="M91" s="21">
        <f t="shared" si="12"/>
        <v>142</v>
      </c>
      <c r="N91" s="21">
        <f t="shared" si="13"/>
        <v>108</v>
      </c>
      <c r="O91" s="21"/>
      <c r="P91" s="21"/>
      <c r="Q91" s="5"/>
      <c r="R91" s="16"/>
      <c r="S91" s="16"/>
      <c r="T91" s="21">
        <f t="shared" si="14"/>
        <v>0</v>
      </c>
      <c r="U91" s="16"/>
      <c r="V91" s="78">
        <f t="shared" si="15"/>
        <v>0</v>
      </c>
      <c r="W91" s="140"/>
      <c r="X91" s="334"/>
      <c r="Y91" s="5"/>
      <c r="AE91">
        <v>718</v>
      </c>
      <c r="AK91" s="16"/>
      <c r="AL91" s="16"/>
      <c r="AN91" s="16"/>
      <c r="AO91" s="16"/>
    </row>
    <row r="92" spans="1:41" x14ac:dyDescent="0.25">
      <c r="A92" s="143">
        <v>12</v>
      </c>
      <c r="B92" s="92">
        <v>45267</v>
      </c>
      <c r="C92" s="23"/>
      <c r="D92" s="32" t="s">
        <v>319</v>
      </c>
      <c r="E92" s="32">
        <v>5544332211</v>
      </c>
      <c r="F92" s="124" t="s">
        <v>52</v>
      </c>
      <c r="G92" s="123" t="s">
        <v>3254</v>
      </c>
      <c r="H92" s="39" t="s">
        <v>3255</v>
      </c>
      <c r="I92" s="39">
        <v>260</v>
      </c>
      <c r="J92" s="42">
        <v>269</v>
      </c>
      <c r="K92" s="20">
        <v>10</v>
      </c>
      <c r="L92" s="21">
        <v>10</v>
      </c>
      <c r="M92" s="21">
        <f t="shared" si="12"/>
        <v>279</v>
      </c>
      <c r="N92" s="21">
        <f t="shared" si="13"/>
        <v>-19</v>
      </c>
      <c r="O92" s="21"/>
      <c r="P92" s="21"/>
      <c r="Q92" s="5"/>
      <c r="R92" s="45"/>
      <c r="S92" s="44"/>
      <c r="T92" s="21">
        <f t="shared" si="14"/>
        <v>0</v>
      </c>
      <c r="U92" s="45"/>
      <c r="V92" s="78">
        <f t="shared" si="15"/>
        <v>0</v>
      </c>
      <c r="W92" s="140"/>
      <c r="X92" s="334"/>
      <c r="Y92" s="5"/>
      <c r="AK92" s="63" t="s">
        <v>169</v>
      </c>
      <c r="AL92" s="63">
        <f>+SUM(AK81:AK91)-SUM(AL81:AL91)</f>
        <v>1597</v>
      </c>
      <c r="AN92" s="63" t="s">
        <v>169</v>
      </c>
      <c r="AO92" s="85">
        <f>+SUM(AN80:AN91)-SUM(AO81:AO91)</f>
        <v>0</v>
      </c>
    </row>
    <row r="93" spans="1:41" x14ac:dyDescent="0.25">
      <c r="A93" s="143">
        <v>13</v>
      </c>
      <c r="B93" s="92">
        <v>45267</v>
      </c>
      <c r="C93" s="23"/>
      <c r="D93" s="31" t="s">
        <v>483</v>
      </c>
      <c r="E93" s="32">
        <v>5545383189</v>
      </c>
      <c r="F93" s="32" t="s">
        <v>52</v>
      </c>
      <c r="G93" s="32" t="s">
        <v>220</v>
      </c>
      <c r="H93" s="39" t="s">
        <v>2104</v>
      </c>
      <c r="I93" s="39"/>
      <c r="J93" s="42">
        <v>132</v>
      </c>
      <c r="K93" s="108">
        <v>10</v>
      </c>
      <c r="L93" s="21"/>
      <c r="M93" s="21">
        <f t="shared" si="12"/>
        <v>142</v>
      </c>
      <c r="N93" s="21">
        <f t="shared" si="13"/>
        <v>-142</v>
      </c>
      <c r="O93" s="21"/>
      <c r="P93" s="21"/>
      <c r="Q93" s="5"/>
      <c r="R93" s="43"/>
      <c r="S93" s="32"/>
      <c r="T93" s="21">
        <f t="shared" si="14"/>
        <v>0</v>
      </c>
      <c r="U93" s="43"/>
      <c r="V93" s="78">
        <f t="shared" si="15"/>
        <v>0</v>
      </c>
      <c r="W93" s="140"/>
      <c r="X93" s="334"/>
      <c r="Y93" s="5"/>
      <c r="AI93" s="83"/>
    </row>
    <row r="94" spans="1:41" x14ac:dyDescent="0.25">
      <c r="A94" s="143">
        <v>14</v>
      </c>
      <c r="B94" s="92">
        <v>45267</v>
      </c>
      <c r="C94" s="23"/>
      <c r="D94" s="31" t="s">
        <v>1843</v>
      </c>
      <c r="E94" s="32"/>
      <c r="F94" s="32" t="s">
        <v>52</v>
      </c>
      <c r="G94" s="32" t="s">
        <v>3256</v>
      </c>
      <c r="H94" s="39"/>
      <c r="I94" s="39"/>
      <c r="J94" s="42">
        <v>60</v>
      </c>
      <c r="K94" s="108">
        <v>10</v>
      </c>
      <c r="L94" s="21"/>
      <c r="M94" s="21">
        <f t="shared" si="12"/>
        <v>70</v>
      </c>
      <c r="N94" s="21">
        <f t="shared" si="13"/>
        <v>-70</v>
      </c>
      <c r="O94" s="21"/>
      <c r="P94" s="21"/>
      <c r="Q94" s="5"/>
      <c r="R94" s="43"/>
      <c r="S94" s="43"/>
      <c r="T94" s="21">
        <f t="shared" si="14"/>
        <v>0</v>
      </c>
      <c r="U94" s="43"/>
      <c r="V94" s="78">
        <f t="shared" si="15"/>
        <v>0</v>
      </c>
      <c r="W94" s="140"/>
      <c r="X94" s="334"/>
      <c r="Y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1:41" x14ac:dyDescent="0.25">
      <c r="A95" s="143">
        <v>15</v>
      </c>
      <c r="B95" s="92">
        <v>45267</v>
      </c>
      <c r="C95" s="23"/>
      <c r="D95" s="127"/>
      <c r="E95" s="32"/>
      <c r="F95" s="32"/>
      <c r="G95" s="128"/>
      <c r="H95" s="129"/>
      <c r="I95" s="39"/>
      <c r="J95" s="42"/>
      <c r="K95" s="108">
        <v>10</v>
      </c>
      <c r="L95" s="21"/>
      <c r="M95" s="21">
        <f t="shared" si="12"/>
        <v>10</v>
      </c>
      <c r="N95" s="21">
        <f t="shared" si="13"/>
        <v>-10</v>
      </c>
      <c r="O95" s="21"/>
      <c r="P95" s="21"/>
      <c r="Q95" s="5"/>
      <c r="R95" s="43"/>
      <c r="S95" s="43"/>
      <c r="T95" s="21">
        <f t="shared" si="14"/>
        <v>0</v>
      </c>
      <c r="U95" s="43"/>
      <c r="V95" s="78">
        <f t="shared" si="15"/>
        <v>0</v>
      </c>
      <c r="W95" s="140"/>
      <c r="X95" s="334"/>
      <c r="Y95" s="5"/>
      <c r="AD95" s="5"/>
      <c r="AE95" s="134" t="s">
        <v>20</v>
      </c>
      <c r="AF95" s="338"/>
      <c r="AG95" s="341" t="s">
        <v>686</v>
      </c>
      <c r="AH95" s="134" t="s">
        <v>20</v>
      </c>
      <c r="AI95" s="338"/>
      <c r="AJ95" s="341" t="s">
        <v>687</v>
      </c>
      <c r="AK95" s="134" t="s">
        <v>20</v>
      </c>
      <c r="AL95" s="338"/>
      <c r="AM95" s="5"/>
    </row>
    <row r="96" spans="1:41" x14ac:dyDescent="0.25">
      <c r="A96" s="143">
        <v>16</v>
      </c>
      <c r="B96" s="92">
        <v>45267</v>
      </c>
      <c r="C96" s="23"/>
      <c r="D96" s="31"/>
      <c r="E96" s="32"/>
      <c r="F96" s="32"/>
      <c r="G96" s="32"/>
      <c r="H96" s="39"/>
      <c r="I96" s="39"/>
      <c r="J96" s="42"/>
      <c r="K96" s="43">
        <v>10</v>
      </c>
      <c r="L96" s="21"/>
      <c r="M96" s="21">
        <f t="shared" si="12"/>
        <v>10</v>
      </c>
      <c r="N96" s="21">
        <f t="shared" si="13"/>
        <v>-10</v>
      </c>
      <c r="O96" s="21"/>
      <c r="P96" s="21"/>
      <c r="Q96" s="5"/>
      <c r="R96" s="43"/>
      <c r="S96" s="32"/>
      <c r="T96" s="21">
        <f t="shared" si="14"/>
        <v>0</v>
      </c>
      <c r="U96" s="131"/>
      <c r="V96" s="78">
        <f t="shared" si="15"/>
        <v>0</v>
      </c>
      <c r="W96" s="140"/>
      <c r="X96" s="334"/>
      <c r="Y96" s="5"/>
      <c r="AD96" s="5" t="s">
        <v>685</v>
      </c>
      <c r="AE96" s="115" t="s">
        <v>684</v>
      </c>
      <c r="AF96" s="339"/>
      <c r="AG96" s="341"/>
      <c r="AH96" s="115" t="s">
        <v>684</v>
      </c>
      <c r="AI96" s="339"/>
      <c r="AJ96" s="341"/>
      <c r="AK96" s="115" t="s">
        <v>684</v>
      </c>
      <c r="AL96" s="339"/>
      <c r="AM96" s="5"/>
    </row>
    <row r="97" spans="1:41" x14ac:dyDescent="0.25">
      <c r="A97" s="143">
        <v>17</v>
      </c>
      <c r="B97" s="92">
        <v>45267</v>
      </c>
      <c r="C97" s="23"/>
      <c r="D97" s="31"/>
      <c r="E97" s="32"/>
      <c r="F97" s="32"/>
      <c r="G97" s="32"/>
      <c r="H97" s="39"/>
      <c r="I97" s="39"/>
      <c r="J97" s="42"/>
      <c r="K97" s="43">
        <v>10</v>
      </c>
      <c r="L97" s="21"/>
      <c r="M97" s="21">
        <f t="shared" si="12"/>
        <v>10</v>
      </c>
      <c r="N97" s="21">
        <f t="shared" si="13"/>
        <v>-10</v>
      </c>
      <c r="O97" s="21"/>
      <c r="P97" s="21"/>
      <c r="Q97" s="5"/>
      <c r="R97" s="43"/>
      <c r="S97" s="32"/>
      <c r="T97" s="21">
        <f t="shared" si="14"/>
        <v>0</v>
      </c>
      <c r="U97" s="132"/>
      <c r="V97" s="78">
        <f t="shared" si="15"/>
        <v>0</v>
      </c>
      <c r="W97" s="140"/>
      <c r="X97" s="340"/>
      <c r="Y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1:41" x14ac:dyDescent="0.25">
      <c r="A98" s="143">
        <v>18</v>
      </c>
      <c r="B98" s="92">
        <v>45267</v>
      </c>
      <c r="C98" s="32"/>
      <c r="D98" s="31"/>
      <c r="E98" s="32"/>
      <c r="F98" s="32"/>
      <c r="G98" s="32"/>
      <c r="H98" s="39"/>
      <c r="I98" s="39"/>
      <c r="J98" s="42"/>
      <c r="K98" s="43">
        <v>10</v>
      </c>
      <c r="L98" s="21"/>
      <c r="M98" s="21">
        <f t="shared" si="12"/>
        <v>10</v>
      </c>
      <c r="N98" s="21">
        <f t="shared" si="13"/>
        <v>-10</v>
      </c>
      <c r="O98" s="21"/>
      <c r="P98" s="21"/>
      <c r="Q98" s="5"/>
      <c r="R98" s="135"/>
      <c r="S98" s="104"/>
      <c r="T98" s="21">
        <f t="shared" si="14"/>
        <v>0</v>
      </c>
      <c r="U98" s="131"/>
      <c r="V98" s="78">
        <f t="shared" si="15"/>
        <v>0</v>
      </c>
      <c r="W98" s="140"/>
      <c r="Y98" s="5"/>
    </row>
    <row r="99" spans="1:41" x14ac:dyDescent="0.25">
      <c r="A99" s="143">
        <v>19</v>
      </c>
      <c r="B99" s="92">
        <v>45267</v>
      </c>
      <c r="C99" s="32"/>
      <c r="D99" s="31"/>
      <c r="E99" s="32"/>
      <c r="F99" s="32"/>
      <c r="G99" s="32"/>
      <c r="H99" s="39"/>
      <c r="I99" s="39"/>
      <c r="J99" s="42"/>
      <c r="K99" s="43">
        <v>10</v>
      </c>
      <c r="L99" s="21"/>
      <c r="M99" s="21">
        <f t="shared" si="12"/>
        <v>10</v>
      </c>
      <c r="N99" s="21">
        <f t="shared" si="13"/>
        <v>-10</v>
      </c>
      <c r="O99" s="21"/>
      <c r="P99" s="21"/>
      <c r="Q99" s="5"/>
      <c r="R99" s="32"/>
      <c r="S99" s="32"/>
      <c r="T99" s="21">
        <f t="shared" si="14"/>
        <v>0</v>
      </c>
      <c r="U99" s="32"/>
      <c r="V99" s="78">
        <f t="shared" si="15"/>
        <v>0</v>
      </c>
      <c r="W99" s="140"/>
      <c r="Y99" s="5"/>
    </row>
    <row r="100" spans="1:4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141"/>
      <c r="X100" s="5"/>
      <c r="Y100" s="5"/>
    </row>
    <row r="101" spans="1:41" x14ac:dyDescent="0.25">
      <c r="T101" s="193"/>
      <c r="U101" s="83"/>
    </row>
    <row r="102" spans="1:41" x14ac:dyDescent="0.25">
      <c r="U102" s="83"/>
    </row>
    <row r="103" spans="1:41" x14ac:dyDescent="0.25">
      <c r="A103" s="1" t="s">
        <v>0</v>
      </c>
      <c r="B103" s="1"/>
      <c r="C103" s="1"/>
      <c r="D103" s="1"/>
      <c r="E103" s="1"/>
      <c r="F103" s="1"/>
      <c r="G103" s="1"/>
      <c r="H103" s="1"/>
      <c r="I103" s="1"/>
      <c r="J103" s="1" t="s">
        <v>148</v>
      </c>
      <c r="K103" s="1"/>
      <c r="L103" s="1"/>
      <c r="M103" s="1"/>
      <c r="N103" s="1"/>
      <c r="O103" s="1"/>
      <c r="P103" s="1"/>
      <c r="Q103" s="1"/>
      <c r="R103" s="1"/>
      <c r="S103" s="1"/>
      <c r="T103" s="342" t="s">
        <v>1</v>
      </c>
      <c r="U103" s="342"/>
      <c r="V103" s="5"/>
      <c r="W103" s="139"/>
      <c r="X103" s="1"/>
      <c r="Y103" s="5"/>
      <c r="AD103" s="335" t="s">
        <v>160</v>
      </c>
      <c r="AE103" s="336"/>
      <c r="AH103" s="335" t="s">
        <v>170</v>
      </c>
      <c r="AI103" s="336"/>
      <c r="AK103" s="337" t="s">
        <v>172</v>
      </c>
      <c r="AL103" s="337"/>
      <c r="AN103" s="337" t="s">
        <v>681</v>
      </c>
      <c r="AO103" s="337"/>
    </row>
    <row r="104" spans="1:41" ht="90" x14ac:dyDescent="0.25">
      <c r="A104" s="6" t="s">
        <v>2</v>
      </c>
      <c r="B104" s="7" t="s">
        <v>3</v>
      </c>
      <c r="C104" s="245" t="s">
        <v>688</v>
      </c>
      <c r="D104" s="7" t="s">
        <v>4</v>
      </c>
      <c r="E104" s="6" t="s">
        <v>5</v>
      </c>
      <c r="F104" s="6" t="s">
        <v>6</v>
      </c>
      <c r="G104" s="6" t="s">
        <v>7</v>
      </c>
      <c r="H104" s="6" t="s">
        <v>8</v>
      </c>
      <c r="I104" s="8" t="s">
        <v>9</v>
      </c>
      <c r="J104" s="9" t="s">
        <v>10</v>
      </c>
      <c r="K104" s="8" t="s">
        <v>11</v>
      </c>
      <c r="L104" s="10" t="s">
        <v>12</v>
      </c>
      <c r="M104" s="10" t="s">
        <v>13</v>
      </c>
      <c r="N104" s="11" t="s">
        <v>14</v>
      </c>
      <c r="O104" s="10" t="s">
        <v>691</v>
      </c>
      <c r="P104" s="10" t="s">
        <v>28</v>
      </c>
      <c r="Q104" s="5"/>
      <c r="R104" s="10" t="s">
        <v>16</v>
      </c>
      <c r="S104" s="10" t="s">
        <v>17</v>
      </c>
      <c r="T104" s="10" t="s">
        <v>18</v>
      </c>
      <c r="U104" s="10" t="s">
        <v>19</v>
      </c>
      <c r="V104" s="10" t="s">
        <v>20</v>
      </c>
      <c r="W104" s="13"/>
      <c r="X104" s="15" t="s">
        <v>23</v>
      </c>
      <c r="Y104" s="5"/>
      <c r="AA104" s="251" t="s">
        <v>2554</v>
      </c>
      <c r="AC104">
        <v>4</v>
      </c>
      <c r="AD104" s="16" t="s">
        <v>161</v>
      </c>
      <c r="AE104" s="58">
        <f>+AC104*10</f>
        <v>40</v>
      </c>
      <c r="AG104">
        <v>5</v>
      </c>
      <c r="AH104" s="16" t="s">
        <v>161</v>
      </c>
      <c r="AI104" s="58">
        <f>+AG104*10</f>
        <v>50</v>
      </c>
      <c r="AK104" s="61" t="s">
        <v>173</v>
      </c>
      <c r="AL104" s="62" t="s">
        <v>174</v>
      </c>
      <c r="AN104" s="16" t="s">
        <v>161</v>
      </c>
      <c r="AO104" s="58">
        <f>+AM104*10</f>
        <v>0</v>
      </c>
    </row>
    <row r="105" spans="1:41" x14ac:dyDescent="0.25">
      <c r="A105" s="209">
        <v>1</v>
      </c>
      <c r="B105" s="198">
        <v>45268</v>
      </c>
      <c r="C105" s="255">
        <v>0.56458333333333333</v>
      </c>
      <c r="D105" s="199" t="s">
        <v>255</v>
      </c>
      <c r="E105" s="207">
        <v>5621699116</v>
      </c>
      <c r="F105" s="207" t="s">
        <v>3274</v>
      </c>
      <c r="G105" s="202" t="s">
        <v>1148</v>
      </c>
      <c r="H105" s="203" t="s">
        <v>3272</v>
      </c>
      <c r="I105" s="203"/>
      <c r="J105" s="207">
        <v>175</v>
      </c>
      <c r="K105" s="205">
        <v>10</v>
      </c>
      <c r="L105" s="206"/>
      <c r="M105" s="206">
        <f t="shared" ref="M105:M125" si="16">+J105+K105</f>
        <v>185</v>
      </c>
      <c r="N105" s="206">
        <f t="shared" ref="N105:N125" si="17">+I105-M105</f>
        <v>-185</v>
      </c>
      <c r="O105" s="206"/>
      <c r="P105" s="206"/>
      <c r="Q105" s="208"/>
      <c r="R105" s="206">
        <v>500</v>
      </c>
      <c r="S105" s="209"/>
      <c r="T105" s="206">
        <f t="shared" ref="T105:T125" si="18">+R105+S105</f>
        <v>500</v>
      </c>
      <c r="U105" s="206">
        <v>325</v>
      </c>
      <c r="V105" s="210">
        <f>+U105-T105+O105+P105</f>
        <v>-175</v>
      </c>
      <c r="W105" s="13"/>
      <c r="X105" s="333"/>
      <c r="Y105" s="5"/>
      <c r="AC105">
        <v>69.5</v>
      </c>
      <c r="AD105" s="59" t="s">
        <v>162</v>
      </c>
      <c r="AE105" s="18">
        <f>+AC105*1</f>
        <v>69.5</v>
      </c>
      <c r="AG105">
        <v>80</v>
      </c>
      <c r="AH105" s="59" t="s">
        <v>162</v>
      </c>
      <c r="AI105" s="18">
        <f>+AG105*1</f>
        <v>80</v>
      </c>
      <c r="AK105" s="16"/>
      <c r="AL105" s="16"/>
      <c r="AN105" s="59" t="s">
        <v>162</v>
      </c>
      <c r="AO105" s="18">
        <f>+AM105*1</f>
        <v>0</v>
      </c>
    </row>
    <row r="106" spans="1:41" x14ac:dyDescent="0.25">
      <c r="A106" s="26">
        <v>2</v>
      </c>
      <c r="B106" s="92">
        <v>45268</v>
      </c>
      <c r="C106" s="23">
        <v>0.58333333333333337</v>
      </c>
      <c r="D106" s="31" t="s">
        <v>3271</v>
      </c>
      <c r="E106" s="32">
        <v>5541902669</v>
      </c>
      <c r="F106" s="32" t="s">
        <v>114</v>
      </c>
      <c r="G106" s="39" t="s">
        <v>3271</v>
      </c>
      <c r="H106" s="122" t="s">
        <v>3273</v>
      </c>
      <c r="I106" s="122"/>
      <c r="J106" s="32">
        <f>125+28+18</f>
        <v>171</v>
      </c>
      <c r="K106" s="20">
        <v>10</v>
      </c>
      <c r="L106" s="21">
        <v>7</v>
      </c>
      <c r="M106" s="21"/>
      <c r="N106" s="21"/>
      <c r="O106" s="21"/>
      <c r="P106" s="21"/>
      <c r="Q106" s="5"/>
      <c r="R106" s="21"/>
      <c r="S106" s="16"/>
      <c r="T106" s="21"/>
      <c r="U106" s="21">
        <v>17</v>
      </c>
      <c r="V106" s="78"/>
      <c r="W106" s="13"/>
      <c r="X106" s="334"/>
      <c r="Y106" s="5"/>
      <c r="AC106">
        <v>29</v>
      </c>
      <c r="AD106" s="16" t="s">
        <v>163</v>
      </c>
      <c r="AE106" s="60">
        <f>+AC106*5</f>
        <v>145</v>
      </c>
      <c r="AG106">
        <v>20</v>
      </c>
      <c r="AH106" s="16" t="s">
        <v>163</v>
      </c>
      <c r="AI106" s="60">
        <f>+AG106*5</f>
        <v>100</v>
      </c>
      <c r="AK106" s="16"/>
      <c r="AL106" s="16"/>
      <c r="AN106" s="59"/>
      <c r="AO106" s="60"/>
    </row>
    <row r="107" spans="1:41" x14ac:dyDescent="0.25">
      <c r="A107" s="26">
        <v>3</v>
      </c>
      <c r="B107" s="92">
        <v>45268</v>
      </c>
      <c r="C107" s="23">
        <v>0.59027777777777779</v>
      </c>
      <c r="D107" s="31" t="s">
        <v>2570</v>
      </c>
      <c r="E107" s="32">
        <v>5562185282</v>
      </c>
      <c r="F107" s="32" t="s">
        <v>28</v>
      </c>
      <c r="G107" s="39" t="s">
        <v>2968</v>
      </c>
      <c r="H107" s="39" t="s">
        <v>3267</v>
      </c>
      <c r="I107" s="39"/>
      <c r="J107" s="32">
        <v>38</v>
      </c>
      <c r="K107" s="20">
        <v>10</v>
      </c>
      <c r="L107" s="21">
        <v>10</v>
      </c>
      <c r="M107" s="21"/>
      <c r="N107" s="21"/>
      <c r="O107" s="21"/>
      <c r="P107" s="21"/>
      <c r="Q107" s="5"/>
      <c r="R107" s="21"/>
      <c r="S107" s="16"/>
      <c r="T107" s="21"/>
      <c r="U107" s="21">
        <v>20</v>
      </c>
      <c r="V107" s="78"/>
      <c r="W107" s="13"/>
      <c r="X107" s="334"/>
      <c r="Y107" s="5"/>
      <c r="AA107" t="s">
        <v>1912</v>
      </c>
      <c r="AD107" s="16" t="s">
        <v>164</v>
      </c>
      <c r="AE107" s="18">
        <f>+AC107*200</f>
        <v>0</v>
      </c>
      <c r="AG107">
        <v>1</v>
      </c>
      <c r="AH107" s="16" t="s">
        <v>164</v>
      </c>
      <c r="AI107" s="18">
        <f>+AG107*200</f>
        <v>200</v>
      </c>
      <c r="AK107" s="16"/>
      <c r="AL107" s="16"/>
      <c r="AN107" s="59"/>
      <c r="AO107" s="60"/>
    </row>
    <row r="108" spans="1:41" x14ac:dyDescent="0.25">
      <c r="A108" s="26">
        <v>4</v>
      </c>
      <c r="B108" s="92">
        <v>45268</v>
      </c>
      <c r="C108" s="23">
        <v>0.59513888888888888</v>
      </c>
      <c r="D108" s="31" t="s">
        <v>1194</v>
      </c>
      <c r="E108" s="32">
        <v>5516609716</v>
      </c>
      <c r="F108" s="32" t="s">
        <v>114</v>
      </c>
      <c r="G108" s="32" t="s">
        <v>2518</v>
      </c>
      <c r="H108" s="122" t="s">
        <v>3268</v>
      </c>
      <c r="I108" s="122"/>
      <c r="J108" s="32">
        <v>36</v>
      </c>
      <c r="K108" s="20">
        <v>10</v>
      </c>
      <c r="L108" s="21">
        <v>10</v>
      </c>
      <c r="M108" s="21">
        <f t="shared" si="16"/>
        <v>46</v>
      </c>
      <c r="N108" s="21">
        <f t="shared" si="17"/>
        <v>-46</v>
      </c>
      <c r="O108" s="21"/>
      <c r="P108" s="21"/>
      <c r="Q108" s="5"/>
      <c r="R108" s="21"/>
      <c r="S108" s="16"/>
      <c r="T108" s="21">
        <f t="shared" si="18"/>
        <v>0</v>
      </c>
      <c r="U108" s="21">
        <v>20</v>
      </c>
      <c r="V108" s="78">
        <f t="shared" ref="V108:V125" si="19">+U108-T108+O108+P108</f>
        <v>20</v>
      </c>
      <c r="W108" s="140"/>
      <c r="X108" s="334"/>
      <c r="Y108" s="5"/>
      <c r="AA108" t="s">
        <v>3292</v>
      </c>
      <c r="AD108" s="16" t="s">
        <v>165</v>
      </c>
      <c r="AE108" s="18">
        <f>+AC108*100</f>
        <v>0</v>
      </c>
      <c r="AG108">
        <v>2</v>
      </c>
      <c r="AH108" s="16" t="s">
        <v>165</v>
      </c>
      <c r="AI108" s="18">
        <f>+AG108*100</f>
        <v>200</v>
      </c>
      <c r="AK108" s="16"/>
      <c r="AL108" s="16"/>
      <c r="AN108" s="16" t="s">
        <v>163</v>
      </c>
      <c r="AO108" s="60">
        <f>+AM108*5</f>
        <v>0</v>
      </c>
    </row>
    <row r="109" spans="1:41" x14ac:dyDescent="0.25">
      <c r="A109" s="26">
        <v>5</v>
      </c>
      <c r="B109" s="92">
        <v>45268</v>
      </c>
      <c r="C109" s="23">
        <v>0.10694444444444444</v>
      </c>
      <c r="D109" s="31" t="s">
        <v>2008</v>
      </c>
      <c r="E109" s="32">
        <v>5535975295</v>
      </c>
      <c r="F109" s="32" t="s">
        <v>3274</v>
      </c>
      <c r="G109" s="32" t="s">
        <v>875</v>
      </c>
      <c r="H109" s="122" t="s">
        <v>3269</v>
      </c>
      <c r="I109" s="122"/>
      <c r="J109" s="32">
        <v>65</v>
      </c>
      <c r="K109" s="20">
        <v>30</v>
      </c>
      <c r="L109" s="21">
        <v>20</v>
      </c>
      <c r="M109" s="21">
        <f t="shared" si="16"/>
        <v>95</v>
      </c>
      <c r="N109" s="21">
        <f t="shared" si="17"/>
        <v>-95</v>
      </c>
      <c r="O109" s="21"/>
      <c r="P109" s="21"/>
      <c r="Q109" s="5"/>
      <c r="R109" s="21"/>
      <c r="S109" s="16"/>
      <c r="T109" s="21">
        <f t="shared" si="18"/>
        <v>0</v>
      </c>
      <c r="U109" s="21">
        <v>50</v>
      </c>
      <c r="V109" s="78">
        <f t="shared" si="19"/>
        <v>50</v>
      </c>
      <c r="W109" s="140"/>
      <c r="X109" s="334"/>
      <c r="Y109" s="5"/>
      <c r="AA109">
        <v>232</v>
      </c>
      <c r="AC109">
        <v>4</v>
      </c>
      <c r="AD109" s="16" t="s">
        <v>166</v>
      </c>
      <c r="AE109" s="18">
        <f>+AC109*50</f>
        <v>200</v>
      </c>
      <c r="AG109">
        <v>1</v>
      </c>
      <c r="AH109" s="16" t="s">
        <v>166</v>
      </c>
      <c r="AI109" s="18">
        <f>+AG109*50</f>
        <v>50</v>
      </c>
      <c r="AK109" s="16"/>
      <c r="AL109" s="16"/>
      <c r="AN109" s="16" t="s">
        <v>164</v>
      </c>
      <c r="AO109" s="18">
        <f>+AM109*200</f>
        <v>0</v>
      </c>
    </row>
    <row r="110" spans="1:41" x14ac:dyDescent="0.25">
      <c r="A110" s="26">
        <v>6</v>
      </c>
      <c r="B110" s="92">
        <v>45268</v>
      </c>
      <c r="C110" s="23">
        <v>0.62152777777777779</v>
      </c>
      <c r="D110" s="31" t="s">
        <v>1912</v>
      </c>
      <c r="E110" s="32">
        <v>5510080515</v>
      </c>
      <c r="F110" s="32" t="s">
        <v>28</v>
      </c>
      <c r="G110" s="32" t="s">
        <v>3147</v>
      </c>
      <c r="H110" s="122" t="s">
        <v>3270</v>
      </c>
      <c r="I110" s="122"/>
      <c r="J110" s="32">
        <v>44</v>
      </c>
      <c r="K110" s="20">
        <v>5</v>
      </c>
      <c r="L110" s="21"/>
      <c r="M110" s="21">
        <f t="shared" si="16"/>
        <v>49</v>
      </c>
      <c r="N110" s="21">
        <f t="shared" si="17"/>
        <v>-49</v>
      </c>
      <c r="O110" s="21"/>
      <c r="P110" s="21"/>
      <c r="Q110" s="5"/>
      <c r="R110" s="21"/>
      <c r="S110" s="16"/>
      <c r="T110" s="21">
        <f t="shared" si="18"/>
        <v>0</v>
      </c>
      <c r="U110" s="21">
        <v>5</v>
      </c>
      <c r="V110" s="78">
        <f t="shared" si="19"/>
        <v>5</v>
      </c>
      <c r="W110" s="140"/>
      <c r="X110" s="334"/>
      <c r="Y110" s="5"/>
      <c r="AA110" t="s">
        <v>3294</v>
      </c>
      <c r="AB110">
        <v>30</v>
      </c>
      <c r="AC110">
        <v>3</v>
      </c>
      <c r="AD110" s="16" t="s">
        <v>167</v>
      </c>
      <c r="AE110" s="18">
        <f>+AC110*20</f>
        <v>60</v>
      </c>
      <c r="AH110" s="16" t="s">
        <v>167</v>
      </c>
      <c r="AI110" s="18">
        <f>+AG110*20</f>
        <v>0</v>
      </c>
      <c r="AK110" s="16"/>
      <c r="AL110" s="16"/>
      <c r="AN110" s="16" t="s">
        <v>165</v>
      </c>
      <c r="AO110" s="18">
        <f>+AM110*100</f>
        <v>0</v>
      </c>
    </row>
    <row r="111" spans="1:41" x14ac:dyDescent="0.25">
      <c r="A111" s="26">
        <v>7</v>
      </c>
      <c r="B111" s="92">
        <v>45268</v>
      </c>
      <c r="C111" s="23">
        <v>0.30277777777777776</v>
      </c>
      <c r="D111" s="31" t="s">
        <v>1866</v>
      </c>
      <c r="E111" s="32">
        <v>5620167396</v>
      </c>
      <c r="F111" s="32" t="s">
        <v>3275</v>
      </c>
      <c r="G111" s="32" t="s">
        <v>3276</v>
      </c>
      <c r="H111" s="32" t="s">
        <v>3277</v>
      </c>
      <c r="I111" s="122">
        <v>200</v>
      </c>
      <c r="J111" s="32">
        <v>118</v>
      </c>
      <c r="K111" s="20">
        <v>10</v>
      </c>
      <c r="L111" s="21"/>
      <c r="M111" s="21">
        <f t="shared" si="16"/>
        <v>128</v>
      </c>
      <c r="N111" s="21">
        <f t="shared" si="17"/>
        <v>72</v>
      </c>
      <c r="O111" s="21">
        <v>128</v>
      </c>
      <c r="P111" s="21"/>
      <c r="Q111" s="5"/>
      <c r="R111" s="16"/>
      <c r="S111" s="16"/>
      <c r="T111" s="21">
        <f t="shared" si="18"/>
        <v>0</v>
      </c>
      <c r="U111" s="21"/>
      <c r="V111" s="78">
        <f t="shared" si="19"/>
        <v>128</v>
      </c>
      <c r="W111" s="140"/>
      <c r="X111" s="334"/>
      <c r="Y111" s="5"/>
      <c r="AA111" t="s">
        <v>3264</v>
      </c>
      <c r="AB111" t="s">
        <v>3293</v>
      </c>
      <c r="AD111" s="16" t="s">
        <v>171</v>
      </c>
      <c r="AE111" s="18">
        <f>+AC111*500</f>
        <v>0</v>
      </c>
      <c r="AG111">
        <v>1</v>
      </c>
      <c r="AH111" s="16" t="s">
        <v>171</v>
      </c>
      <c r="AI111" s="18">
        <f>+AG111*500</f>
        <v>500</v>
      </c>
      <c r="AK111" s="16"/>
      <c r="AL111" s="16"/>
      <c r="AN111" s="16" t="s">
        <v>166</v>
      </c>
      <c r="AO111" s="18">
        <f>+AM111*50</f>
        <v>0</v>
      </c>
    </row>
    <row r="112" spans="1:41" x14ac:dyDescent="0.25">
      <c r="A112" s="26">
        <v>8</v>
      </c>
      <c r="B112" s="92">
        <v>45268</v>
      </c>
      <c r="C112" s="23">
        <v>0.31388888888888888</v>
      </c>
      <c r="D112" s="31" t="s">
        <v>37</v>
      </c>
      <c r="E112" s="32">
        <v>5554180418</v>
      </c>
      <c r="F112" s="32" t="s">
        <v>3280</v>
      </c>
      <c r="G112" s="32" t="s">
        <v>3279</v>
      </c>
      <c r="H112" s="39" t="s">
        <v>3278</v>
      </c>
      <c r="I112" s="39">
        <v>270</v>
      </c>
      <c r="J112" s="42">
        <v>250</v>
      </c>
      <c r="K112" s="20">
        <v>20</v>
      </c>
      <c r="L112" s="21"/>
      <c r="M112" s="21">
        <f t="shared" si="16"/>
        <v>270</v>
      </c>
      <c r="N112" s="21">
        <f t="shared" si="17"/>
        <v>0</v>
      </c>
      <c r="O112" s="21"/>
      <c r="P112" s="21"/>
      <c r="Q112" s="5"/>
      <c r="R112" s="16"/>
      <c r="S112" s="16"/>
      <c r="T112" s="21">
        <f t="shared" si="18"/>
        <v>0</v>
      </c>
      <c r="U112" s="16"/>
      <c r="V112" s="78">
        <f t="shared" si="19"/>
        <v>0</v>
      </c>
      <c r="W112" s="140"/>
      <c r="X112" s="334"/>
      <c r="Y112" s="5"/>
      <c r="AA112">
        <v>80</v>
      </c>
      <c r="AB112">
        <v>48</v>
      </c>
      <c r="AD112" s="16" t="s">
        <v>168</v>
      </c>
      <c r="AE112" s="18">
        <f>+AC112*1000</f>
        <v>0</v>
      </c>
      <c r="AH112" s="16" t="s">
        <v>168</v>
      </c>
      <c r="AI112" s="18">
        <f>+AG112*1000</f>
        <v>0</v>
      </c>
      <c r="AK112" s="16"/>
      <c r="AL112" s="16"/>
      <c r="AN112" s="16" t="s">
        <v>167</v>
      </c>
      <c r="AO112" s="18">
        <f>+AM112*20</f>
        <v>0</v>
      </c>
    </row>
    <row r="113" spans="1:41" x14ac:dyDescent="0.25">
      <c r="A113" s="26">
        <v>9</v>
      </c>
      <c r="B113" s="92">
        <v>45268</v>
      </c>
      <c r="C113" s="23">
        <v>0.33333333333333331</v>
      </c>
      <c r="D113" s="31" t="s">
        <v>3283</v>
      </c>
      <c r="E113" s="32"/>
      <c r="F113" s="32" t="s">
        <v>52</v>
      </c>
      <c r="G113" s="32" t="s">
        <v>3281</v>
      </c>
      <c r="H113" s="39" t="s">
        <v>3282</v>
      </c>
      <c r="I113" s="122">
        <v>261</v>
      </c>
      <c r="J113" s="42">
        <v>241</v>
      </c>
      <c r="K113" s="20">
        <v>20</v>
      </c>
      <c r="L113" s="21"/>
      <c r="M113" s="21">
        <f t="shared" si="16"/>
        <v>261</v>
      </c>
      <c r="N113" s="21">
        <f t="shared" si="17"/>
        <v>0</v>
      </c>
      <c r="O113" s="21"/>
      <c r="P113" s="21"/>
      <c r="Q113" s="5"/>
      <c r="R113" s="16"/>
      <c r="S113" s="16"/>
      <c r="T113" s="21">
        <f t="shared" si="18"/>
        <v>0</v>
      </c>
      <c r="U113" s="16"/>
      <c r="V113" s="78">
        <f t="shared" si="19"/>
        <v>0</v>
      </c>
      <c r="W113" s="140"/>
      <c r="X113" s="334"/>
      <c r="Y113" s="5"/>
      <c r="AD113" s="26"/>
      <c r="AE113" s="58"/>
      <c r="AH113" s="26"/>
      <c r="AI113" s="58"/>
      <c r="AK113" s="16"/>
      <c r="AL113" s="16"/>
      <c r="AN113" s="16" t="s">
        <v>171</v>
      </c>
      <c r="AO113" s="18">
        <f>+AM113*500</f>
        <v>0</v>
      </c>
    </row>
    <row r="114" spans="1:41" x14ac:dyDescent="0.25">
      <c r="A114" s="26">
        <v>10</v>
      </c>
      <c r="B114" s="92">
        <v>45268</v>
      </c>
      <c r="C114" s="23">
        <v>0.33680555555555558</v>
      </c>
      <c r="D114" s="31" t="s">
        <v>1912</v>
      </c>
      <c r="E114" s="123"/>
      <c r="F114" s="123" t="s">
        <v>52</v>
      </c>
      <c r="G114" s="123" t="s">
        <v>1837</v>
      </c>
      <c r="H114" s="39" t="s">
        <v>3284</v>
      </c>
      <c r="I114" s="122"/>
      <c r="J114" s="32"/>
      <c r="K114" s="20">
        <v>10</v>
      </c>
      <c r="L114" s="21"/>
      <c r="M114" s="21">
        <f t="shared" si="16"/>
        <v>10</v>
      </c>
      <c r="N114" s="21">
        <f t="shared" si="17"/>
        <v>-10</v>
      </c>
      <c r="O114" s="21"/>
      <c r="P114" s="21"/>
      <c r="Q114" s="5"/>
      <c r="R114" s="16"/>
      <c r="S114" s="16"/>
      <c r="T114" s="21">
        <f t="shared" si="18"/>
        <v>0</v>
      </c>
      <c r="U114" s="16"/>
      <c r="V114" s="78">
        <f t="shared" si="19"/>
        <v>0</v>
      </c>
      <c r="W114" s="140"/>
      <c r="X114" s="334"/>
      <c r="Y114" s="5"/>
      <c r="AD114" s="16" t="s">
        <v>169</v>
      </c>
      <c r="AE114" s="18">
        <f>SUM(AE104:AE113)</f>
        <v>514.5</v>
      </c>
      <c r="AH114" s="16" t="s">
        <v>169</v>
      </c>
      <c r="AI114" s="18">
        <f>SUM(AI104:AI113)</f>
        <v>1180</v>
      </c>
      <c r="AK114" s="16"/>
      <c r="AL114" s="16"/>
      <c r="AN114" s="16" t="s">
        <v>168</v>
      </c>
      <c r="AO114" s="18">
        <f>+AM114*1000</f>
        <v>0</v>
      </c>
    </row>
    <row r="115" spans="1:41" x14ac:dyDescent="0.25">
      <c r="A115" s="26">
        <v>11</v>
      </c>
      <c r="B115" s="92">
        <v>45268</v>
      </c>
      <c r="C115" s="23">
        <v>0.35416666666666669</v>
      </c>
      <c r="D115" s="31" t="s">
        <v>765</v>
      </c>
      <c r="E115" s="32"/>
      <c r="F115" s="32" t="s">
        <v>28</v>
      </c>
      <c r="G115" s="32" t="s">
        <v>3295</v>
      </c>
      <c r="H115" s="39" t="s">
        <v>3285</v>
      </c>
      <c r="I115" s="39"/>
      <c r="J115" s="40">
        <v>32</v>
      </c>
      <c r="K115" s="20">
        <v>10</v>
      </c>
      <c r="L115" s="21">
        <v>10</v>
      </c>
      <c r="M115" s="21">
        <f t="shared" si="16"/>
        <v>42</v>
      </c>
      <c r="N115" s="21">
        <f t="shared" si="17"/>
        <v>-42</v>
      </c>
      <c r="O115" s="21"/>
      <c r="P115" s="21"/>
      <c r="Q115" s="5"/>
      <c r="R115" s="16"/>
      <c r="S115" s="16"/>
      <c r="T115" s="21">
        <f t="shared" si="18"/>
        <v>0</v>
      </c>
      <c r="U115" s="16"/>
      <c r="V115" s="78">
        <f t="shared" si="19"/>
        <v>0</v>
      </c>
      <c r="W115" s="140"/>
      <c r="X115" s="334"/>
      <c r="Y115" s="5"/>
      <c r="AK115" s="16"/>
      <c r="AL115" s="16"/>
      <c r="AN115" s="26"/>
      <c r="AO115" s="58"/>
    </row>
    <row r="116" spans="1:41" x14ac:dyDescent="0.25">
      <c r="A116" s="26">
        <v>12</v>
      </c>
      <c r="B116" s="92">
        <v>45268</v>
      </c>
      <c r="C116" s="23">
        <v>0.375</v>
      </c>
      <c r="D116" s="31" t="s">
        <v>3286</v>
      </c>
      <c r="E116" s="32"/>
      <c r="F116" s="32" t="s">
        <v>52</v>
      </c>
      <c r="G116" s="32"/>
      <c r="H116" s="122" t="s">
        <v>3287</v>
      </c>
      <c r="I116" s="122">
        <v>67</v>
      </c>
      <c r="J116" s="42">
        <v>57</v>
      </c>
      <c r="K116" s="20">
        <v>10</v>
      </c>
      <c r="L116" s="21">
        <v>10</v>
      </c>
      <c r="M116" s="21">
        <f t="shared" si="16"/>
        <v>67</v>
      </c>
      <c r="N116" s="21">
        <f t="shared" si="17"/>
        <v>0</v>
      </c>
      <c r="O116" s="21"/>
      <c r="P116" s="21"/>
      <c r="Q116" s="5"/>
      <c r="R116" s="16"/>
      <c r="S116" s="16"/>
      <c r="T116" s="21">
        <f t="shared" si="18"/>
        <v>0</v>
      </c>
      <c r="U116" s="16"/>
      <c r="V116" s="78">
        <f t="shared" si="19"/>
        <v>0</v>
      </c>
      <c r="W116" s="140"/>
      <c r="X116" s="334"/>
      <c r="Y116" s="5"/>
      <c r="AK116" s="16"/>
      <c r="AL116" s="16"/>
      <c r="AN116" s="16" t="s">
        <v>169</v>
      </c>
      <c r="AO116" s="18"/>
    </row>
    <row r="117" spans="1:41" x14ac:dyDescent="0.25">
      <c r="A117" s="26">
        <v>13</v>
      </c>
      <c r="B117" s="92">
        <v>45268</v>
      </c>
      <c r="C117" s="23">
        <v>0.39583333333333331</v>
      </c>
      <c r="D117" s="31" t="s">
        <v>3288</v>
      </c>
      <c r="E117" s="124"/>
      <c r="F117" s="123" t="s">
        <v>52</v>
      </c>
      <c r="G117" s="123" t="s">
        <v>3040</v>
      </c>
      <c r="H117" s="39" t="s">
        <v>3289</v>
      </c>
      <c r="I117" s="122"/>
      <c r="J117" s="42"/>
      <c r="K117" s="20">
        <v>10</v>
      </c>
      <c r="L117" s="21"/>
      <c r="M117" s="21">
        <f t="shared" si="16"/>
        <v>10</v>
      </c>
      <c r="N117" s="21">
        <f t="shared" si="17"/>
        <v>-10</v>
      </c>
      <c r="O117" s="21"/>
      <c r="P117" s="21"/>
      <c r="Q117" s="5"/>
      <c r="R117" s="16"/>
      <c r="S117" s="16"/>
      <c r="T117" s="21">
        <f t="shared" si="18"/>
        <v>0</v>
      </c>
      <c r="U117" s="16"/>
      <c r="V117" s="78">
        <f t="shared" si="19"/>
        <v>0</v>
      </c>
      <c r="W117" s="140"/>
      <c r="X117" s="334"/>
      <c r="Y117" s="5"/>
      <c r="AK117" s="16"/>
      <c r="AL117" s="16"/>
      <c r="AN117" s="16"/>
      <c r="AO117" s="16"/>
    </row>
    <row r="118" spans="1:41" x14ac:dyDescent="0.25">
      <c r="A118" s="26">
        <v>14</v>
      </c>
      <c r="B118" s="92">
        <v>45268</v>
      </c>
      <c r="C118" s="23">
        <v>0.19791666666666666</v>
      </c>
      <c r="D118" s="32" t="s">
        <v>230</v>
      </c>
      <c r="E118" s="32"/>
      <c r="F118" s="124" t="s">
        <v>3290</v>
      </c>
      <c r="G118" s="123" t="s">
        <v>3291</v>
      </c>
      <c r="H118" s="39"/>
      <c r="I118" s="39">
        <v>1</v>
      </c>
      <c r="J118" s="42">
        <v>85</v>
      </c>
      <c r="K118" s="20">
        <v>20</v>
      </c>
      <c r="L118" s="21"/>
      <c r="M118" s="21">
        <f t="shared" si="16"/>
        <v>105</v>
      </c>
      <c r="N118" s="21">
        <f t="shared" si="17"/>
        <v>-104</v>
      </c>
      <c r="O118" s="21"/>
      <c r="P118" s="21"/>
      <c r="Q118" s="5"/>
      <c r="R118" s="45"/>
      <c r="S118" s="44"/>
      <c r="T118" s="21">
        <f t="shared" si="18"/>
        <v>0</v>
      </c>
      <c r="U118" s="45"/>
      <c r="V118" s="78">
        <f t="shared" si="19"/>
        <v>0</v>
      </c>
      <c r="W118" s="140"/>
      <c r="X118" s="334"/>
      <c r="Y118" s="5"/>
      <c r="AK118" s="63" t="s">
        <v>169</v>
      </c>
      <c r="AL118" s="63">
        <f>+SUM(AK105:AK117)-SUM(AL105:AL117)</f>
        <v>0</v>
      </c>
      <c r="AN118" s="63" t="s">
        <v>169</v>
      </c>
      <c r="AO118" s="85">
        <f>+SUM(AN104:AN117)-SUM(AO105:AO117)</f>
        <v>0</v>
      </c>
    </row>
    <row r="119" spans="1:41" x14ac:dyDescent="0.25">
      <c r="A119" s="26">
        <v>15</v>
      </c>
      <c r="B119" s="92">
        <v>45268</v>
      </c>
      <c r="C119" s="23"/>
      <c r="D119" s="31"/>
      <c r="E119" s="32"/>
      <c r="F119" s="32"/>
      <c r="G119" s="32"/>
      <c r="H119" s="39"/>
      <c r="I119" s="39"/>
      <c r="J119" s="42"/>
      <c r="K119" s="108">
        <v>10</v>
      </c>
      <c r="L119" s="21"/>
      <c r="M119" s="21">
        <f t="shared" si="16"/>
        <v>10</v>
      </c>
      <c r="N119" s="21">
        <f t="shared" si="17"/>
        <v>-10</v>
      </c>
      <c r="O119" s="21"/>
      <c r="P119" s="21"/>
      <c r="Q119" s="5"/>
      <c r="R119" s="43"/>
      <c r="S119" s="32"/>
      <c r="T119" s="21">
        <f t="shared" si="18"/>
        <v>0</v>
      </c>
      <c r="U119" s="43"/>
      <c r="V119" s="78">
        <f t="shared" si="19"/>
        <v>0</v>
      </c>
      <c r="W119" s="140"/>
      <c r="X119" s="334"/>
      <c r="Y119" s="5"/>
      <c r="AI119" s="83"/>
    </row>
    <row r="120" spans="1:41" x14ac:dyDescent="0.25">
      <c r="A120" s="26">
        <v>16</v>
      </c>
      <c r="B120" s="92">
        <v>45268</v>
      </c>
      <c r="C120" s="23"/>
      <c r="D120" s="31"/>
      <c r="E120" s="32"/>
      <c r="F120" s="32"/>
      <c r="G120" s="32"/>
      <c r="H120" s="39"/>
      <c r="I120" s="39"/>
      <c r="J120" s="42"/>
      <c r="K120" s="108">
        <v>10</v>
      </c>
      <c r="L120" s="21"/>
      <c r="M120" s="21">
        <f t="shared" si="16"/>
        <v>10</v>
      </c>
      <c r="N120" s="21">
        <f t="shared" si="17"/>
        <v>-10</v>
      </c>
      <c r="O120" s="21"/>
      <c r="P120" s="21"/>
      <c r="Q120" s="5"/>
      <c r="R120" s="43"/>
      <c r="S120" s="43"/>
      <c r="T120" s="21">
        <f t="shared" si="18"/>
        <v>0</v>
      </c>
      <c r="U120" s="43"/>
      <c r="V120" s="78">
        <f t="shared" si="19"/>
        <v>0</v>
      </c>
      <c r="W120" s="140"/>
      <c r="X120" s="334"/>
      <c r="Y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</row>
    <row r="121" spans="1:41" x14ac:dyDescent="0.25">
      <c r="A121" s="26">
        <v>17</v>
      </c>
      <c r="B121" s="92">
        <v>45268</v>
      </c>
      <c r="C121" s="23"/>
      <c r="D121" s="127"/>
      <c r="E121" s="32"/>
      <c r="F121" s="32"/>
      <c r="G121" s="128"/>
      <c r="H121" s="129"/>
      <c r="I121" s="39"/>
      <c r="J121" s="42"/>
      <c r="K121" s="108">
        <v>10</v>
      </c>
      <c r="L121" s="21"/>
      <c r="M121" s="21">
        <f t="shared" si="16"/>
        <v>10</v>
      </c>
      <c r="N121" s="21">
        <f t="shared" si="17"/>
        <v>-10</v>
      </c>
      <c r="O121" s="21"/>
      <c r="P121" s="21"/>
      <c r="Q121" s="5"/>
      <c r="R121" s="43"/>
      <c r="S121" s="43"/>
      <c r="T121" s="21">
        <f t="shared" si="18"/>
        <v>0</v>
      </c>
      <c r="U121" s="43"/>
      <c r="V121" s="78">
        <f t="shared" si="19"/>
        <v>0</v>
      </c>
      <c r="W121" s="140"/>
      <c r="X121" s="334"/>
      <c r="Y121" s="5"/>
      <c r="AD121" s="5"/>
      <c r="AE121" s="134" t="s">
        <v>20</v>
      </c>
      <c r="AF121" s="338"/>
      <c r="AG121" s="341" t="s">
        <v>686</v>
      </c>
      <c r="AH121" s="134" t="s">
        <v>20</v>
      </c>
      <c r="AI121" s="338">
        <v>112</v>
      </c>
      <c r="AJ121" s="341" t="s">
        <v>687</v>
      </c>
      <c r="AK121" s="134" t="s">
        <v>20</v>
      </c>
      <c r="AL121" s="338"/>
      <c r="AM121" s="5"/>
    </row>
    <row r="122" spans="1:41" x14ac:dyDescent="0.25">
      <c r="A122" s="26">
        <v>18</v>
      </c>
      <c r="B122" s="92">
        <v>45268</v>
      </c>
      <c r="C122" s="23"/>
      <c r="D122" s="31"/>
      <c r="E122" s="32"/>
      <c r="F122" s="32"/>
      <c r="G122" s="32"/>
      <c r="H122" s="39"/>
      <c r="I122" s="39"/>
      <c r="J122" s="42"/>
      <c r="K122" s="43">
        <v>10</v>
      </c>
      <c r="L122" s="21"/>
      <c r="M122" s="21">
        <f t="shared" si="16"/>
        <v>10</v>
      </c>
      <c r="N122" s="21">
        <f t="shared" si="17"/>
        <v>-10</v>
      </c>
      <c r="O122" s="21"/>
      <c r="P122" s="21"/>
      <c r="Q122" s="5"/>
      <c r="R122" s="43"/>
      <c r="S122" s="32"/>
      <c r="T122" s="21">
        <f t="shared" si="18"/>
        <v>0</v>
      </c>
      <c r="U122" s="131"/>
      <c r="V122" s="78">
        <f t="shared" si="19"/>
        <v>0</v>
      </c>
      <c r="W122" s="140"/>
      <c r="X122" s="334"/>
      <c r="Y122" s="5"/>
      <c r="AD122" s="5" t="s">
        <v>685</v>
      </c>
      <c r="AE122" s="115" t="s">
        <v>684</v>
      </c>
      <c r="AF122" s="339"/>
      <c r="AG122" s="341"/>
      <c r="AH122" s="115" t="s">
        <v>684</v>
      </c>
      <c r="AI122" s="339"/>
      <c r="AJ122" s="341"/>
      <c r="AK122" s="115" t="s">
        <v>684</v>
      </c>
      <c r="AL122" s="339"/>
      <c r="AM122" s="5"/>
    </row>
    <row r="123" spans="1:41" x14ac:dyDescent="0.25">
      <c r="A123" s="26">
        <v>19</v>
      </c>
      <c r="B123" s="92">
        <v>45268</v>
      </c>
      <c r="C123" s="23"/>
      <c r="D123" s="31"/>
      <c r="E123" s="32"/>
      <c r="F123" s="32"/>
      <c r="G123" s="32"/>
      <c r="H123" s="39"/>
      <c r="I123" s="39"/>
      <c r="J123" s="42"/>
      <c r="K123" s="43">
        <v>10</v>
      </c>
      <c r="L123" s="21"/>
      <c r="M123" s="21">
        <f t="shared" si="16"/>
        <v>10</v>
      </c>
      <c r="N123" s="21">
        <f t="shared" si="17"/>
        <v>-10</v>
      </c>
      <c r="O123" s="21"/>
      <c r="P123" s="21"/>
      <c r="Q123" s="5"/>
      <c r="R123" s="43"/>
      <c r="S123" s="32"/>
      <c r="T123" s="21">
        <f t="shared" si="18"/>
        <v>0</v>
      </c>
      <c r="U123" s="132"/>
      <c r="V123" s="78">
        <f t="shared" si="19"/>
        <v>0</v>
      </c>
      <c r="W123" s="140"/>
      <c r="X123" s="340"/>
      <c r="Y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</row>
    <row r="124" spans="1:41" x14ac:dyDescent="0.25">
      <c r="A124" s="26">
        <v>20</v>
      </c>
      <c r="B124" s="92">
        <v>45268</v>
      </c>
      <c r="C124" s="32"/>
      <c r="D124" s="31"/>
      <c r="E124" s="32"/>
      <c r="F124" s="32"/>
      <c r="G124" s="32"/>
      <c r="H124" s="39"/>
      <c r="I124" s="39"/>
      <c r="J124" s="42"/>
      <c r="K124" s="43">
        <v>10</v>
      </c>
      <c r="L124" s="21"/>
      <c r="M124" s="21">
        <f t="shared" si="16"/>
        <v>10</v>
      </c>
      <c r="N124" s="21">
        <f t="shared" si="17"/>
        <v>-10</v>
      </c>
      <c r="O124" s="21"/>
      <c r="P124" s="21"/>
      <c r="Q124" s="5"/>
      <c r="R124" s="135"/>
      <c r="S124" s="104"/>
      <c r="T124" s="21">
        <f t="shared" si="18"/>
        <v>0</v>
      </c>
      <c r="U124" s="131"/>
      <c r="V124" s="78">
        <f t="shared" si="19"/>
        <v>0</v>
      </c>
      <c r="W124" s="140"/>
      <c r="Y124" s="5"/>
    </row>
    <row r="125" spans="1:41" x14ac:dyDescent="0.25">
      <c r="A125" s="26">
        <v>21</v>
      </c>
      <c r="B125" s="92">
        <v>45268</v>
      </c>
      <c r="C125" s="32"/>
      <c r="D125" s="31"/>
      <c r="E125" s="32"/>
      <c r="F125" s="32"/>
      <c r="G125" s="32"/>
      <c r="H125" s="39"/>
      <c r="I125" s="39"/>
      <c r="J125" s="42"/>
      <c r="K125" s="43">
        <v>10</v>
      </c>
      <c r="L125" s="21"/>
      <c r="M125" s="21">
        <f t="shared" si="16"/>
        <v>10</v>
      </c>
      <c r="N125" s="21">
        <f t="shared" si="17"/>
        <v>-10</v>
      </c>
      <c r="O125" s="21"/>
      <c r="P125" s="21"/>
      <c r="Q125" s="5"/>
      <c r="R125" s="32"/>
      <c r="S125" s="32"/>
      <c r="T125" s="21">
        <f t="shared" si="18"/>
        <v>0</v>
      </c>
      <c r="U125" s="32"/>
      <c r="V125" s="78">
        <f t="shared" si="19"/>
        <v>0</v>
      </c>
      <c r="W125" s="140"/>
      <c r="Y125" s="5"/>
    </row>
    <row r="126" spans="1:4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141"/>
      <c r="X126" s="5"/>
      <c r="Y126" s="5"/>
    </row>
    <row r="128" spans="1:41" x14ac:dyDescent="0.25">
      <c r="A128">
        <f>80*4</f>
        <v>320</v>
      </c>
      <c r="C128">
        <f>+A128+A129+A130+100+100</f>
        <v>1067</v>
      </c>
    </row>
    <row r="129" spans="1:41" x14ac:dyDescent="0.25">
      <c r="A129">
        <f>42*6+90+20</f>
        <v>362</v>
      </c>
      <c r="E129">
        <v>210</v>
      </c>
    </row>
    <row r="130" spans="1:41" x14ac:dyDescent="0.25">
      <c r="A130">
        <v>185</v>
      </c>
    </row>
    <row r="131" spans="1:41" x14ac:dyDescent="0.25">
      <c r="A131">
        <v>50</v>
      </c>
    </row>
    <row r="132" spans="1:41" x14ac:dyDescent="0.25">
      <c r="A132" s="1" t="s">
        <v>0</v>
      </c>
      <c r="B132" s="1"/>
      <c r="C132" s="1"/>
      <c r="D132" s="1"/>
      <c r="E132" s="1"/>
      <c r="F132" s="1"/>
      <c r="G132" s="1"/>
      <c r="H132" s="1"/>
      <c r="I132" s="1"/>
      <c r="J132" s="1" t="s">
        <v>148</v>
      </c>
      <c r="K132" s="1"/>
      <c r="L132" s="1"/>
      <c r="M132" s="1"/>
      <c r="N132" s="1"/>
      <c r="O132" s="1"/>
      <c r="P132" s="1"/>
      <c r="Q132" s="1"/>
      <c r="R132" s="1"/>
      <c r="S132" s="1"/>
      <c r="T132" s="342" t="s">
        <v>1</v>
      </c>
      <c r="U132" s="342"/>
      <c r="V132" s="5"/>
      <c r="W132" s="139"/>
      <c r="X132" s="1"/>
      <c r="Y132" s="5"/>
      <c r="AD132" s="335" t="s">
        <v>160</v>
      </c>
      <c r="AE132" s="336"/>
      <c r="AH132" s="335" t="s">
        <v>170</v>
      </c>
      <c r="AI132" s="336"/>
      <c r="AK132" s="337" t="s">
        <v>172</v>
      </c>
      <c r="AL132" s="337"/>
      <c r="AN132" s="337" t="s">
        <v>681</v>
      </c>
      <c r="AO132" s="337"/>
    </row>
    <row r="133" spans="1:41" ht="90" x14ac:dyDescent="0.25">
      <c r="A133" s="6" t="s">
        <v>2</v>
      </c>
      <c r="B133" s="7" t="s">
        <v>3</v>
      </c>
      <c r="C133" s="245" t="s">
        <v>688</v>
      </c>
      <c r="D133" s="7" t="s">
        <v>4</v>
      </c>
      <c r="E133" s="6" t="s">
        <v>5</v>
      </c>
      <c r="F133" s="6" t="s">
        <v>6</v>
      </c>
      <c r="G133" s="6" t="s">
        <v>7</v>
      </c>
      <c r="H133" s="6" t="s">
        <v>8</v>
      </c>
      <c r="I133" s="8" t="s">
        <v>9</v>
      </c>
      <c r="J133" s="9" t="s">
        <v>10</v>
      </c>
      <c r="K133" s="8" t="s">
        <v>11</v>
      </c>
      <c r="L133" s="10" t="s">
        <v>12</v>
      </c>
      <c r="M133" s="10" t="s">
        <v>13</v>
      </c>
      <c r="N133" s="11" t="s">
        <v>14</v>
      </c>
      <c r="O133" s="10" t="s">
        <v>691</v>
      </c>
      <c r="P133" s="10" t="s">
        <v>28</v>
      </c>
      <c r="Q133" s="5"/>
      <c r="R133" s="10" t="s">
        <v>16</v>
      </c>
      <c r="S133" s="10" t="s">
        <v>17</v>
      </c>
      <c r="T133" s="10" t="s">
        <v>18</v>
      </c>
      <c r="U133" s="10" t="s">
        <v>19</v>
      </c>
      <c r="V133" s="10" t="s">
        <v>20</v>
      </c>
      <c r="W133" s="13"/>
      <c r="X133" s="15" t="s">
        <v>23</v>
      </c>
      <c r="Y133" s="5"/>
      <c r="AA133" s="251" t="s">
        <v>2554</v>
      </c>
      <c r="AC133">
        <v>5</v>
      </c>
      <c r="AD133" s="16" t="s">
        <v>161</v>
      </c>
      <c r="AE133" s="58">
        <f>+AC133*10</f>
        <v>50</v>
      </c>
      <c r="AG133">
        <v>1</v>
      </c>
      <c r="AH133" s="16" t="s">
        <v>161</v>
      </c>
      <c r="AI133" s="58">
        <f>+AG133*10</f>
        <v>10</v>
      </c>
      <c r="AK133" s="61" t="s">
        <v>173</v>
      </c>
      <c r="AL133" s="62" t="s">
        <v>174</v>
      </c>
      <c r="AN133" s="16" t="s">
        <v>161</v>
      </c>
      <c r="AO133" s="58">
        <f>+AM133*10</f>
        <v>0</v>
      </c>
    </row>
    <row r="134" spans="1:41" x14ac:dyDescent="0.25">
      <c r="A134" s="16">
        <v>1</v>
      </c>
      <c r="B134" s="92">
        <v>45269</v>
      </c>
      <c r="C134" s="23">
        <v>0.52430555555555558</v>
      </c>
      <c r="D134" s="31" t="s">
        <v>3296</v>
      </c>
      <c r="E134" s="32">
        <v>5568676408</v>
      </c>
      <c r="F134" s="32" t="s">
        <v>3297</v>
      </c>
      <c r="G134" s="39" t="s">
        <v>3298</v>
      </c>
      <c r="H134" s="39" t="s">
        <v>3299</v>
      </c>
      <c r="I134" s="122">
        <v>200</v>
      </c>
      <c r="J134" s="32">
        <v>114</v>
      </c>
      <c r="K134" s="20">
        <v>10</v>
      </c>
      <c r="L134" s="21">
        <v>20</v>
      </c>
      <c r="M134" s="21">
        <f t="shared" ref="M134:M152" si="20">+J134+K134</f>
        <v>124</v>
      </c>
      <c r="N134" s="21">
        <f t="shared" ref="N134:N152" si="21">+I134-M134</f>
        <v>76</v>
      </c>
      <c r="O134" s="21"/>
      <c r="P134" s="21"/>
      <c r="Q134" s="5"/>
      <c r="R134" s="21"/>
      <c r="S134" s="16"/>
      <c r="T134" s="21">
        <f t="shared" ref="T134:T152" si="22">+R134+S134</f>
        <v>0</v>
      </c>
      <c r="U134" s="21"/>
      <c r="V134" s="78">
        <f>+U134-T134+O134+P134</f>
        <v>0</v>
      </c>
      <c r="W134" s="13"/>
      <c r="X134" s="333"/>
      <c r="Y134" s="5"/>
      <c r="AA134" t="s">
        <v>3300</v>
      </c>
      <c r="AC134">
        <v>79</v>
      </c>
      <c r="AD134" s="59" t="s">
        <v>162</v>
      </c>
      <c r="AE134" s="18">
        <f>+AC134*1</f>
        <v>79</v>
      </c>
      <c r="AG134">
        <v>106</v>
      </c>
      <c r="AH134" s="59" t="s">
        <v>162</v>
      </c>
      <c r="AI134" s="18">
        <f>+AG134*1</f>
        <v>106</v>
      </c>
      <c r="AK134" s="16"/>
      <c r="AL134" s="16"/>
      <c r="AN134" s="59" t="s">
        <v>162</v>
      </c>
      <c r="AO134" s="18">
        <f>+AM134*1</f>
        <v>0</v>
      </c>
    </row>
    <row r="135" spans="1:41" x14ac:dyDescent="0.25">
      <c r="A135" s="26">
        <v>2</v>
      </c>
      <c r="B135" s="92">
        <v>45269</v>
      </c>
      <c r="C135" s="23"/>
      <c r="D135" s="31" t="s">
        <v>921</v>
      </c>
      <c r="E135" s="32"/>
      <c r="F135" s="32" t="s">
        <v>28</v>
      </c>
      <c r="G135" s="32" t="s">
        <v>3304</v>
      </c>
      <c r="H135" s="39" t="s">
        <v>3302</v>
      </c>
      <c r="I135" s="122"/>
      <c r="J135" s="32"/>
      <c r="K135" s="20">
        <v>10</v>
      </c>
      <c r="L135" s="21"/>
      <c r="M135" s="21">
        <f t="shared" si="20"/>
        <v>10</v>
      </c>
      <c r="N135" s="21">
        <f t="shared" si="21"/>
        <v>-10</v>
      </c>
      <c r="O135" s="21"/>
      <c r="P135" s="21"/>
      <c r="Q135" s="5"/>
      <c r="R135" s="21"/>
      <c r="S135" s="16"/>
      <c r="T135" s="21">
        <f t="shared" si="22"/>
        <v>0</v>
      </c>
      <c r="U135" s="21"/>
      <c r="V135" s="78">
        <f t="shared" ref="V135:V152" si="23">+U135-T135+O135+P135</f>
        <v>0</v>
      </c>
      <c r="W135" s="140"/>
      <c r="X135" s="334"/>
      <c r="Y135" s="5"/>
      <c r="AA135" t="s">
        <v>3301</v>
      </c>
      <c r="AC135">
        <v>19</v>
      </c>
      <c r="AD135" s="16" t="s">
        <v>163</v>
      </c>
      <c r="AE135" s="60">
        <f>+AC135*5</f>
        <v>95</v>
      </c>
      <c r="AG135">
        <v>31</v>
      </c>
      <c r="AH135" s="16" t="s">
        <v>163</v>
      </c>
      <c r="AI135" s="60">
        <f>+AG135*5</f>
        <v>155</v>
      </c>
      <c r="AK135" s="16"/>
      <c r="AL135" s="16"/>
      <c r="AN135" s="16" t="s">
        <v>163</v>
      </c>
      <c r="AO135" s="60">
        <f>+AM135*5</f>
        <v>0</v>
      </c>
    </row>
    <row r="136" spans="1:41" x14ac:dyDescent="0.25">
      <c r="A136" s="143">
        <v>3</v>
      </c>
      <c r="B136" s="92">
        <v>45269</v>
      </c>
      <c r="C136" s="23"/>
      <c r="D136" s="31" t="s">
        <v>2672</v>
      </c>
      <c r="E136" s="32"/>
      <c r="F136" s="32" t="s">
        <v>3306</v>
      </c>
      <c r="G136" s="32" t="s">
        <v>1148</v>
      </c>
      <c r="H136" s="39" t="s">
        <v>3305</v>
      </c>
      <c r="I136" s="122"/>
      <c r="J136" s="32"/>
      <c r="K136" s="20">
        <v>10</v>
      </c>
      <c r="L136" s="21"/>
      <c r="M136" s="21">
        <f t="shared" si="20"/>
        <v>10</v>
      </c>
      <c r="N136" s="21">
        <f t="shared" si="21"/>
        <v>-10</v>
      </c>
      <c r="O136" s="21"/>
      <c r="P136" s="21"/>
      <c r="Q136" s="5"/>
      <c r="R136" s="21"/>
      <c r="S136" s="16"/>
      <c r="T136" s="21">
        <f t="shared" si="22"/>
        <v>0</v>
      </c>
      <c r="U136" s="21"/>
      <c r="V136" s="78">
        <f t="shared" si="23"/>
        <v>0</v>
      </c>
      <c r="W136" s="140"/>
      <c r="X136" s="334"/>
      <c r="Y136" s="5"/>
      <c r="AD136" s="16" t="s">
        <v>164</v>
      </c>
      <c r="AE136" s="18">
        <f>+AC136*200</f>
        <v>0</v>
      </c>
      <c r="AH136" s="16" t="s">
        <v>164</v>
      </c>
      <c r="AI136" s="18">
        <f>+AG136*200</f>
        <v>0</v>
      </c>
      <c r="AK136" s="16"/>
      <c r="AL136" s="16"/>
      <c r="AN136" s="16" t="s">
        <v>164</v>
      </c>
      <c r="AO136" s="18">
        <f>+AM136*200</f>
        <v>0</v>
      </c>
    </row>
    <row r="137" spans="1:41" x14ac:dyDescent="0.25">
      <c r="A137" s="143">
        <v>4</v>
      </c>
      <c r="B137" s="92">
        <v>45269</v>
      </c>
      <c r="C137" s="23"/>
      <c r="D137" s="31" t="s">
        <v>245</v>
      </c>
      <c r="E137" s="32"/>
      <c r="F137" s="32" t="s">
        <v>76</v>
      </c>
      <c r="G137" s="32" t="s">
        <v>1148</v>
      </c>
      <c r="H137" s="39" t="s">
        <v>3303</v>
      </c>
      <c r="I137" s="122"/>
      <c r="J137" s="32"/>
      <c r="K137" s="20">
        <v>10</v>
      </c>
      <c r="L137" s="21"/>
      <c r="M137" s="21">
        <f t="shared" si="20"/>
        <v>10</v>
      </c>
      <c r="N137" s="21">
        <f t="shared" si="21"/>
        <v>-10</v>
      </c>
      <c r="O137" s="21"/>
      <c r="P137" s="21"/>
      <c r="Q137" s="5"/>
      <c r="R137" s="21"/>
      <c r="S137" s="16"/>
      <c r="T137" s="21">
        <f t="shared" si="22"/>
        <v>0</v>
      </c>
      <c r="U137" s="21"/>
      <c r="V137" s="78">
        <f t="shared" si="23"/>
        <v>0</v>
      </c>
      <c r="W137" s="140"/>
      <c r="X137" s="334"/>
      <c r="Y137" s="5"/>
      <c r="AC137">
        <v>2</v>
      </c>
      <c r="AD137" s="16" t="s">
        <v>165</v>
      </c>
      <c r="AE137" s="18">
        <f>+AC137*100</f>
        <v>200</v>
      </c>
      <c r="AH137" s="16" t="s">
        <v>165</v>
      </c>
      <c r="AI137" s="18">
        <f>+AG137*100</f>
        <v>0</v>
      </c>
      <c r="AK137" s="16"/>
      <c r="AL137" s="16"/>
      <c r="AN137" s="16" t="s">
        <v>165</v>
      </c>
      <c r="AO137" s="18">
        <f>+AM137*100</f>
        <v>0</v>
      </c>
    </row>
    <row r="138" spans="1:41" x14ac:dyDescent="0.25">
      <c r="A138" s="143">
        <v>5</v>
      </c>
      <c r="B138" s="92">
        <v>45269</v>
      </c>
      <c r="C138" s="23"/>
      <c r="D138" s="31" t="s">
        <v>3003</v>
      </c>
      <c r="E138" s="32"/>
      <c r="F138" s="32"/>
      <c r="G138" s="32"/>
      <c r="H138" s="32"/>
      <c r="I138" s="122"/>
      <c r="J138" s="32"/>
      <c r="K138" s="20">
        <v>10</v>
      </c>
      <c r="L138" s="21"/>
      <c r="M138" s="21">
        <f t="shared" si="20"/>
        <v>10</v>
      </c>
      <c r="N138" s="21">
        <f t="shared" si="21"/>
        <v>-10</v>
      </c>
      <c r="O138" s="21"/>
      <c r="P138" s="21"/>
      <c r="Q138" s="5"/>
      <c r="R138" s="16"/>
      <c r="S138" s="16"/>
      <c r="T138" s="21">
        <f t="shared" si="22"/>
        <v>0</v>
      </c>
      <c r="U138" s="21"/>
      <c r="V138" s="78">
        <f t="shared" si="23"/>
        <v>0</v>
      </c>
      <c r="W138" s="140"/>
      <c r="X138" s="334"/>
      <c r="Y138" s="5"/>
      <c r="AC138">
        <v>1</v>
      </c>
      <c r="AD138" s="16" t="s">
        <v>166</v>
      </c>
      <c r="AE138" s="18">
        <f>+AC138*50</f>
        <v>50</v>
      </c>
      <c r="AH138" s="16" t="s">
        <v>166</v>
      </c>
      <c r="AI138" s="18">
        <f>+AG138*50</f>
        <v>0</v>
      </c>
      <c r="AK138" s="16"/>
      <c r="AL138" s="16"/>
      <c r="AN138" s="16" t="s">
        <v>166</v>
      </c>
      <c r="AO138" s="18">
        <f>+AM138*50</f>
        <v>0</v>
      </c>
    </row>
    <row r="139" spans="1:41" x14ac:dyDescent="0.25">
      <c r="A139" s="143">
        <v>6</v>
      </c>
      <c r="B139" s="92">
        <v>45269</v>
      </c>
      <c r="C139" s="23"/>
      <c r="D139" s="31" t="s">
        <v>3307</v>
      </c>
      <c r="E139" s="32"/>
      <c r="F139" s="32" t="s">
        <v>3308</v>
      </c>
      <c r="G139" s="32" t="s">
        <v>3309</v>
      </c>
      <c r="H139" s="39" t="s">
        <v>3310</v>
      </c>
      <c r="I139" s="39">
        <v>134</v>
      </c>
      <c r="J139" s="42">
        <v>124</v>
      </c>
      <c r="K139" s="20">
        <v>10</v>
      </c>
      <c r="L139" s="21"/>
      <c r="M139" s="21">
        <f t="shared" si="20"/>
        <v>134</v>
      </c>
      <c r="N139" s="21">
        <f t="shared" si="21"/>
        <v>0</v>
      </c>
      <c r="O139" s="21"/>
      <c r="P139" s="21"/>
      <c r="Q139" s="5"/>
      <c r="R139" s="16"/>
      <c r="S139" s="16"/>
      <c r="T139" s="21">
        <f t="shared" si="22"/>
        <v>0</v>
      </c>
      <c r="U139" s="16"/>
      <c r="V139" s="78">
        <f t="shared" si="23"/>
        <v>0</v>
      </c>
      <c r="W139" s="140"/>
      <c r="X139" s="334"/>
      <c r="Y139" s="5"/>
      <c r="AC139" t="s">
        <v>148</v>
      </c>
      <c r="AD139" s="16" t="s">
        <v>167</v>
      </c>
      <c r="AE139" s="18" t="e">
        <f>+AC139*20</f>
        <v>#VALUE!</v>
      </c>
      <c r="AH139" s="16" t="s">
        <v>167</v>
      </c>
      <c r="AI139" s="18">
        <f>+AG139*20</f>
        <v>0</v>
      </c>
      <c r="AK139" s="16"/>
      <c r="AL139" s="16"/>
      <c r="AN139" s="16" t="s">
        <v>167</v>
      </c>
      <c r="AO139" s="18">
        <f>+AM139*20</f>
        <v>0</v>
      </c>
    </row>
    <row r="140" spans="1:41" x14ac:dyDescent="0.25">
      <c r="A140" s="143">
        <v>7</v>
      </c>
      <c r="B140" s="92">
        <v>45269</v>
      </c>
      <c r="C140" s="23"/>
      <c r="D140" s="31" t="s">
        <v>921</v>
      </c>
      <c r="E140" s="32"/>
      <c r="F140" s="32" t="s">
        <v>52</v>
      </c>
      <c r="G140" s="32" t="s">
        <v>3315</v>
      </c>
      <c r="H140" s="32" t="s">
        <v>3311</v>
      </c>
      <c r="I140" s="122">
        <v>109</v>
      </c>
      <c r="J140" s="42">
        <v>99</v>
      </c>
      <c r="K140" s="20">
        <v>10</v>
      </c>
      <c r="L140" s="21"/>
      <c r="M140" s="21">
        <f t="shared" si="20"/>
        <v>109</v>
      </c>
      <c r="N140" s="21">
        <f t="shared" si="21"/>
        <v>0</v>
      </c>
      <c r="O140" s="21"/>
      <c r="P140" s="21"/>
      <c r="Q140" s="5"/>
      <c r="R140" s="16"/>
      <c r="S140" s="16"/>
      <c r="T140" s="21">
        <f t="shared" si="22"/>
        <v>0</v>
      </c>
      <c r="U140" s="16"/>
      <c r="V140" s="78">
        <f t="shared" si="23"/>
        <v>0</v>
      </c>
      <c r="W140" s="140"/>
      <c r="X140" s="334"/>
      <c r="Y140" s="5"/>
      <c r="AC140">
        <v>1</v>
      </c>
      <c r="AD140" s="16" t="s">
        <v>171</v>
      </c>
      <c r="AE140" s="18">
        <f>+AC140*500</f>
        <v>500</v>
      </c>
      <c r="AH140" s="16" t="s">
        <v>171</v>
      </c>
      <c r="AI140" s="18">
        <f>+AG140*500</f>
        <v>0</v>
      </c>
      <c r="AK140" s="16"/>
      <c r="AL140" s="16"/>
      <c r="AN140" s="16" t="s">
        <v>171</v>
      </c>
      <c r="AO140" s="18">
        <f>+AM140*500</f>
        <v>0</v>
      </c>
    </row>
    <row r="141" spans="1:41" x14ac:dyDescent="0.25">
      <c r="A141" s="143">
        <v>8</v>
      </c>
      <c r="B141" s="92">
        <v>45269</v>
      </c>
      <c r="C141" s="23"/>
      <c r="D141" s="31" t="s">
        <v>3312</v>
      </c>
      <c r="E141" s="123"/>
      <c r="F141" s="123" t="s">
        <v>52</v>
      </c>
      <c r="G141" s="123" t="s">
        <v>3316</v>
      </c>
      <c r="H141" s="123" t="s">
        <v>3314</v>
      </c>
      <c r="I141" s="122"/>
      <c r="J141" s="32"/>
      <c r="K141" s="20">
        <v>10</v>
      </c>
      <c r="L141" s="21"/>
      <c r="M141" s="21">
        <f t="shared" si="20"/>
        <v>10</v>
      </c>
      <c r="N141" s="21">
        <f t="shared" si="21"/>
        <v>-10</v>
      </c>
      <c r="O141" s="21">
        <v>186</v>
      </c>
      <c r="P141" s="21"/>
      <c r="Q141" s="5"/>
      <c r="R141" s="16"/>
      <c r="S141" s="16"/>
      <c r="T141" s="21">
        <f t="shared" si="22"/>
        <v>0</v>
      </c>
      <c r="U141" s="16"/>
      <c r="V141" s="78">
        <f t="shared" si="23"/>
        <v>186</v>
      </c>
      <c r="W141" s="140"/>
      <c r="X141" s="334"/>
      <c r="Y141" s="5"/>
      <c r="AD141" s="16" t="s">
        <v>168</v>
      </c>
      <c r="AE141" s="18">
        <f>+AC141*1000</f>
        <v>0</v>
      </c>
      <c r="AH141" s="16" t="s">
        <v>168</v>
      </c>
      <c r="AI141" s="18">
        <f>+AG141*1000</f>
        <v>0</v>
      </c>
      <c r="AK141" s="16"/>
      <c r="AL141" s="16"/>
      <c r="AN141" s="16" t="s">
        <v>168</v>
      </c>
      <c r="AO141" s="18">
        <f>+AM141*1000</f>
        <v>0</v>
      </c>
    </row>
    <row r="142" spans="1:41" x14ac:dyDescent="0.25">
      <c r="A142" s="143">
        <v>9</v>
      </c>
      <c r="B142" s="92">
        <v>45269</v>
      </c>
      <c r="C142" s="23"/>
      <c r="D142" s="31" t="s">
        <v>3313</v>
      </c>
      <c r="E142" s="32"/>
      <c r="F142" s="32" t="s">
        <v>52</v>
      </c>
      <c r="G142" s="32" t="s">
        <v>3281</v>
      </c>
      <c r="H142" s="39" t="s">
        <v>3317</v>
      </c>
      <c r="I142" s="39">
        <v>100</v>
      </c>
      <c r="J142" s="40">
        <v>75</v>
      </c>
      <c r="K142" s="20">
        <v>15</v>
      </c>
      <c r="L142" s="21">
        <v>10</v>
      </c>
      <c r="M142" s="21">
        <f t="shared" si="20"/>
        <v>90</v>
      </c>
      <c r="N142" s="21">
        <f t="shared" si="21"/>
        <v>10</v>
      </c>
      <c r="O142" s="21"/>
      <c r="P142" s="21"/>
      <c r="Q142" s="5"/>
      <c r="R142" s="16"/>
      <c r="S142" s="16"/>
      <c r="T142" s="21">
        <f t="shared" si="22"/>
        <v>0</v>
      </c>
      <c r="U142" s="16"/>
      <c r="V142" s="78">
        <f t="shared" si="23"/>
        <v>0</v>
      </c>
      <c r="W142" s="140"/>
      <c r="X142" s="334"/>
      <c r="Y142" s="5"/>
      <c r="AD142" s="26"/>
      <c r="AE142" s="58"/>
      <c r="AH142" s="26"/>
      <c r="AI142" s="58"/>
      <c r="AK142" s="16"/>
      <c r="AL142" s="16"/>
      <c r="AN142" s="26"/>
      <c r="AO142" s="58"/>
    </row>
    <row r="143" spans="1:41" x14ac:dyDescent="0.25">
      <c r="A143" s="143">
        <v>10</v>
      </c>
      <c r="B143" s="92">
        <v>45269</v>
      </c>
      <c r="C143" s="23"/>
      <c r="D143" s="31" t="s">
        <v>1939</v>
      </c>
      <c r="E143" s="32"/>
      <c r="F143" s="32" t="s">
        <v>52</v>
      </c>
      <c r="G143" s="32" t="s">
        <v>2892</v>
      </c>
      <c r="H143" s="39" t="s">
        <v>3318</v>
      </c>
      <c r="I143" s="122">
        <v>154</v>
      </c>
      <c r="J143" s="42">
        <v>144</v>
      </c>
      <c r="K143" s="20">
        <v>10</v>
      </c>
      <c r="L143" s="21"/>
      <c r="M143" s="21">
        <f t="shared" si="20"/>
        <v>154</v>
      </c>
      <c r="N143" s="21">
        <f t="shared" si="21"/>
        <v>0</v>
      </c>
      <c r="O143" s="21"/>
      <c r="P143" s="21"/>
      <c r="Q143" s="5"/>
      <c r="R143" s="16"/>
      <c r="S143" s="16"/>
      <c r="T143" s="21">
        <f t="shared" si="22"/>
        <v>0</v>
      </c>
      <c r="U143" s="16"/>
      <c r="V143" s="78">
        <f t="shared" si="23"/>
        <v>0</v>
      </c>
      <c r="W143" s="140"/>
      <c r="X143" s="334"/>
      <c r="Y143" s="5"/>
      <c r="AD143" s="16" t="s">
        <v>169</v>
      </c>
      <c r="AE143" s="18" t="e">
        <f>SUM(AE133:AE142)</f>
        <v>#VALUE!</v>
      </c>
      <c r="AH143" s="16" t="s">
        <v>169</v>
      </c>
      <c r="AI143" s="18">
        <f>SUM(AI133:AI142)</f>
        <v>271</v>
      </c>
      <c r="AK143" s="16"/>
      <c r="AL143" s="16"/>
      <c r="AN143" s="16" t="s">
        <v>169</v>
      </c>
      <c r="AO143" s="18"/>
    </row>
    <row r="144" spans="1:41" x14ac:dyDescent="0.25">
      <c r="A144" s="143">
        <v>11</v>
      </c>
      <c r="B144" s="92">
        <v>45269</v>
      </c>
      <c r="C144" s="23"/>
      <c r="D144" s="31" t="s">
        <v>3319</v>
      </c>
      <c r="E144" s="124"/>
      <c r="F144" s="123" t="s">
        <v>3320</v>
      </c>
      <c r="G144" s="123" t="s">
        <v>3321</v>
      </c>
      <c r="H144" s="39" t="s">
        <v>3322</v>
      </c>
      <c r="I144" s="122">
        <v>157</v>
      </c>
      <c r="J144" s="42">
        <v>137</v>
      </c>
      <c r="K144" s="20">
        <v>20</v>
      </c>
      <c r="L144" s="21"/>
      <c r="M144" s="21">
        <f t="shared" si="20"/>
        <v>157</v>
      </c>
      <c r="N144" s="21">
        <f t="shared" si="21"/>
        <v>0</v>
      </c>
      <c r="O144" s="21"/>
      <c r="P144" s="21"/>
      <c r="Q144" s="5"/>
      <c r="R144" s="16">
        <v>200</v>
      </c>
      <c r="S144" s="16"/>
      <c r="T144" s="21">
        <f t="shared" si="22"/>
        <v>200</v>
      </c>
      <c r="U144" s="16"/>
      <c r="V144" s="78">
        <f t="shared" si="23"/>
        <v>-200</v>
      </c>
      <c r="W144" s="140"/>
      <c r="X144" s="334"/>
      <c r="Y144" s="5"/>
      <c r="AK144" s="16"/>
      <c r="AL144" s="16"/>
      <c r="AN144" s="16"/>
      <c r="AO144" s="16"/>
    </row>
    <row r="145" spans="1:41" x14ac:dyDescent="0.25">
      <c r="A145" s="143">
        <v>12</v>
      </c>
      <c r="B145" s="92">
        <v>45269</v>
      </c>
      <c r="C145" s="23"/>
      <c r="D145" s="32" t="s">
        <v>274</v>
      </c>
      <c r="E145" s="32"/>
      <c r="F145" s="124"/>
      <c r="G145" s="123"/>
      <c r="H145" s="39"/>
      <c r="I145" s="39"/>
      <c r="J145" s="42"/>
      <c r="K145" s="20">
        <v>10</v>
      </c>
      <c r="L145" s="21"/>
      <c r="M145" s="21">
        <f t="shared" si="20"/>
        <v>10</v>
      </c>
      <c r="N145" s="21">
        <f t="shared" si="21"/>
        <v>-10</v>
      </c>
      <c r="O145" s="21"/>
      <c r="P145" s="21"/>
      <c r="Q145" s="5"/>
      <c r="R145" s="45"/>
      <c r="S145" s="44"/>
      <c r="T145" s="21">
        <f t="shared" si="22"/>
        <v>0</v>
      </c>
      <c r="U145" s="45"/>
      <c r="V145" s="78">
        <f t="shared" si="23"/>
        <v>0</v>
      </c>
      <c r="W145" s="140"/>
      <c r="X145" s="334"/>
      <c r="Y145" s="5"/>
      <c r="AK145" s="63" t="s">
        <v>169</v>
      </c>
      <c r="AL145" s="63">
        <f>+SUM(AK134:AK144)-SUM(AL134:AL144)</f>
        <v>0</v>
      </c>
      <c r="AN145" s="63" t="s">
        <v>169</v>
      </c>
      <c r="AO145" s="85">
        <f>+SUM(AN133:AN144)-SUM(AO134:AO144)</f>
        <v>0</v>
      </c>
    </row>
    <row r="146" spans="1:41" x14ac:dyDescent="0.25">
      <c r="A146" s="143">
        <v>13</v>
      </c>
      <c r="B146" s="92">
        <v>45269</v>
      </c>
      <c r="C146" s="23"/>
      <c r="D146" s="31" t="s">
        <v>31</v>
      </c>
      <c r="E146" s="32"/>
      <c r="F146" s="32"/>
      <c r="G146" s="32"/>
      <c r="H146" s="39" t="s">
        <v>3323</v>
      </c>
      <c r="I146" s="39"/>
      <c r="J146" s="42"/>
      <c r="K146" s="108">
        <v>10</v>
      </c>
      <c r="L146" s="21"/>
      <c r="M146" s="21">
        <f t="shared" si="20"/>
        <v>10</v>
      </c>
      <c r="N146" s="21">
        <f t="shared" si="21"/>
        <v>-10</v>
      </c>
      <c r="O146" s="21"/>
      <c r="P146" s="21"/>
      <c r="Q146" s="5"/>
      <c r="R146" s="43">
        <v>200</v>
      </c>
      <c r="S146" s="32"/>
      <c r="T146" s="21">
        <f t="shared" si="22"/>
        <v>200</v>
      </c>
      <c r="U146" s="43"/>
      <c r="V146" s="78">
        <f t="shared" si="23"/>
        <v>-200</v>
      </c>
      <c r="W146" s="140"/>
      <c r="X146" s="334"/>
      <c r="Y146" s="5"/>
      <c r="AI146" s="83"/>
    </row>
    <row r="147" spans="1:41" x14ac:dyDescent="0.25">
      <c r="A147" s="143">
        <v>14</v>
      </c>
      <c r="B147" s="92">
        <v>45269</v>
      </c>
      <c r="C147" s="23"/>
      <c r="D147" s="31"/>
      <c r="E147" s="32"/>
      <c r="F147" s="32"/>
      <c r="G147" s="32"/>
      <c r="H147" s="39"/>
      <c r="I147" s="39"/>
      <c r="J147" s="42"/>
      <c r="K147" s="108">
        <v>10</v>
      </c>
      <c r="L147" s="21"/>
      <c r="M147" s="21">
        <f t="shared" si="20"/>
        <v>10</v>
      </c>
      <c r="N147" s="21">
        <f t="shared" si="21"/>
        <v>-10</v>
      </c>
      <c r="O147" s="21"/>
      <c r="P147" s="21"/>
      <c r="Q147" s="5"/>
      <c r="R147" s="43"/>
      <c r="S147" s="43"/>
      <c r="T147" s="21">
        <f t="shared" si="22"/>
        <v>0</v>
      </c>
      <c r="U147" s="43"/>
      <c r="V147" s="78">
        <f t="shared" si="23"/>
        <v>0</v>
      </c>
      <c r="W147" s="140"/>
      <c r="X147" s="334"/>
      <c r="Y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</row>
    <row r="148" spans="1:41" x14ac:dyDescent="0.25">
      <c r="A148" s="143">
        <v>15</v>
      </c>
      <c r="B148" s="92">
        <v>45269</v>
      </c>
      <c r="C148" s="23"/>
      <c r="D148" s="127"/>
      <c r="E148" s="32"/>
      <c r="F148" s="32"/>
      <c r="G148" s="128"/>
      <c r="H148" s="129"/>
      <c r="I148" s="39"/>
      <c r="J148" s="42"/>
      <c r="K148" s="108">
        <v>10</v>
      </c>
      <c r="L148" s="21"/>
      <c r="M148" s="21">
        <f t="shared" si="20"/>
        <v>10</v>
      </c>
      <c r="N148" s="21">
        <f t="shared" si="21"/>
        <v>-10</v>
      </c>
      <c r="O148" s="21"/>
      <c r="P148" s="21"/>
      <c r="Q148" s="5"/>
      <c r="R148" s="43"/>
      <c r="S148" s="43"/>
      <c r="T148" s="21">
        <f t="shared" si="22"/>
        <v>0</v>
      </c>
      <c r="U148" s="43"/>
      <c r="V148" s="78">
        <f t="shared" si="23"/>
        <v>0</v>
      </c>
      <c r="W148" s="140"/>
      <c r="X148" s="334"/>
      <c r="Y148" s="5"/>
      <c r="AD148" s="5"/>
      <c r="AE148" s="134" t="s">
        <v>20</v>
      </c>
      <c r="AF148" s="338"/>
      <c r="AG148" s="341" t="s">
        <v>686</v>
      </c>
      <c r="AH148" s="134" t="s">
        <v>20</v>
      </c>
      <c r="AI148" s="338"/>
      <c r="AJ148" s="341" t="s">
        <v>687</v>
      </c>
      <c r="AK148" s="134" t="s">
        <v>20</v>
      </c>
      <c r="AL148" s="338"/>
      <c r="AM148" s="5"/>
    </row>
    <row r="149" spans="1:41" x14ac:dyDescent="0.25">
      <c r="A149" s="143">
        <v>16</v>
      </c>
      <c r="B149" s="92">
        <v>45269</v>
      </c>
      <c r="C149" s="23"/>
      <c r="D149" s="31"/>
      <c r="E149" s="32"/>
      <c r="F149" s="32"/>
      <c r="G149" s="32"/>
      <c r="H149" s="39"/>
      <c r="I149" s="39"/>
      <c r="J149" s="42"/>
      <c r="K149" s="43">
        <v>10</v>
      </c>
      <c r="L149" s="21"/>
      <c r="M149" s="21">
        <f t="shared" si="20"/>
        <v>10</v>
      </c>
      <c r="N149" s="21">
        <f t="shared" si="21"/>
        <v>-10</v>
      </c>
      <c r="O149" s="21"/>
      <c r="P149" s="21"/>
      <c r="Q149" s="5"/>
      <c r="R149" s="43"/>
      <c r="S149" s="32"/>
      <c r="T149" s="21">
        <f t="shared" si="22"/>
        <v>0</v>
      </c>
      <c r="U149" s="131"/>
      <c r="V149" s="78">
        <f t="shared" si="23"/>
        <v>0</v>
      </c>
      <c r="W149" s="140"/>
      <c r="X149" s="334"/>
      <c r="Y149" s="5"/>
      <c r="AD149" s="5" t="s">
        <v>685</v>
      </c>
      <c r="AE149" s="115" t="s">
        <v>684</v>
      </c>
      <c r="AF149" s="339"/>
      <c r="AG149" s="341"/>
      <c r="AH149" s="115" t="s">
        <v>684</v>
      </c>
      <c r="AI149" s="339"/>
      <c r="AJ149" s="341"/>
      <c r="AK149" s="115" t="s">
        <v>684</v>
      </c>
      <c r="AL149" s="339"/>
      <c r="AM149" s="5"/>
    </row>
    <row r="150" spans="1:41" x14ac:dyDescent="0.25">
      <c r="A150" s="143">
        <v>17</v>
      </c>
      <c r="B150" s="92">
        <v>45269</v>
      </c>
      <c r="C150" s="23"/>
      <c r="D150" s="31"/>
      <c r="E150" s="32"/>
      <c r="F150" s="32"/>
      <c r="G150" s="32"/>
      <c r="H150" s="39"/>
      <c r="I150" s="39"/>
      <c r="J150" s="42"/>
      <c r="K150" s="43">
        <v>10</v>
      </c>
      <c r="L150" s="21"/>
      <c r="M150" s="21">
        <f t="shared" si="20"/>
        <v>10</v>
      </c>
      <c r="N150" s="21">
        <f t="shared" si="21"/>
        <v>-10</v>
      </c>
      <c r="O150" s="21"/>
      <c r="P150" s="21"/>
      <c r="Q150" s="5"/>
      <c r="R150" s="43"/>
      <c r="S150" s="32"/>
      <c r="T150" s="21">
        <f t="shared" si="22"/>
        <v>0</v>
      </c>
      <c r="U150" s="132"/>
      <c r="V150" s="78">
        <f t="shared" si="23"/>
        <v>0</v>
      </c>
      <c r="W150" s="140"/>
      <c r="X150" s="340"/>
      <c r="Y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</row>
    <row r="151" spans="1:41" x14ac:dyDescent="0.25">
      <c r="A151" s="143">
        <v>18</v>
      </c>
      <c r="B151" s="92">
        <v>45269</v>
      </c>
      <c r="C151" s="32"/>
      <c r="D151" s="31"/>
      <c r="E151" s="32"/>
      <c r="F151" s="32"/>
      <c r="G151" s="32"/>
      <c r="H151" s="39"/>
      <c r="I151" s="39"/>
      <c r="J151" s="42"/>
      <c r="K151" s="43">
        <v>10</v>
      </c>
      <c r="L151" s="21"/>
      <c r="M151" s="21">
        <f t="shared" si="20"/>
        <v>10</v>
      </c>
      <c r="N151" s="21">
        <f t="shared" si="21"/>
        <v>-10</v>
      </c>
      <c r="O151" s="21"/>
      <c r="P151" s="21"/>
      <c r="Q151" s="5"/>
      <c r="R151" s="135"/>
      <c r="S151" s="104"/>
      <c r="T151" s="21">
        <f t="shared" si="22"/>
        <v>0</v>
      </c>
      <c r="U151" s="131"/>
      <c r="V151" s="78">
        <f t="shared" si="23"/>
        <v>0</v>
      </c>
      <c r="W151" s="140"/>
      <c r="Y151" s="5"/>
    </row>
    <row r="152" spans="1:41" x14ac:dyDescent="0.25">
      <c r="A152" s="143">
        <v>19</v>
      </c>
      <c r="B152" s="92">
        <v>45269</v>
      </c>
      <c r="C152" s="32"/>
      <c r="D152" s="31"/>
      <c r="E152" s="32"/>
      <c r="F152" s="32"/>
      <c r="G152" s="32"/>
      <c r="H152" s="39"/>
      <c r="I152" s="39"/>
      <c r="J152" s="42"/>
      <c r="K152" s="43">
        <v>10</v>
      </c>
      <c r="L152" s="21"/>
      <c r="M152" s="21">
        <f t="shared" si="20"/>
        <v>10</v>
      </c>
      <c r="N152" s="21">
        <f t="shared" si="21"/>
        <v>-10</v>
      </c>
      <c r="O152" s="21"/>
      <c r="P152" s="21"/>
      <c r="Q152" s="5"/>
      <c r="R152" s="32"/>
      <c r="S152" s="32"/>
      <c r="T152" s="21">
        <f t="shared" si="22"/>
        <v>0</v>
      </c>
      <c r="U152" s="32"/>
      <c r="V152" s="78">
        <f t="shared" si="23"/>
        <v>0</v>
      </c>
      <c r="W152" s="140"/>
      <c r="Y152" s="5"/>
    </row>
    <row r="153" spans="1:4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141"/>
      <c r="X153" s="5"/>
      <c r="Y153" s="5"/>
    </row>
    <row r="158" spans="1:41" x14ac:dyDescent="0.25">
      <c r="A158" s="1" t="s">
        <v>0</v>
      </c>
      <c r="B158" s="1"/>
      <c r="C158" s="1"/>
      <c r="D158" s="1"/>
      <c r="E158" s="1"/>
      <c r="F158" s="1"/>
      <c r="G158" s="1"/>
      <c r="H158" s="1"/>
      <c r="I158" s="1"/>
      <c r="J158" s="1" t="s">
        <v>148</v>
      </c>
      <c r="K158" s="1"/>
      <c r="L158" s="1"/>
      <c r="M158" s="1"/>
      <c r="N158" s="1"/>
      <c r="O158" s="1"/>
      <c r="P158" s="1"/>
      <c r="Q158" s="1"/>
      <c r="R158" s="1"/>
      <c r="S158" s="1"/>
      <c r="T158" s="342" t="s">
        <v>1</v>
      </c>
      <c r="U158" s="342"/>
      <c r="V158" s="5"/>
      <c r="W158" s="139"/>
      <c r="X158" s="1"/>
      <c r="Y158" s="5"/>
      <c r="AD158" s="335" t="s">
        <v>160</v>
      </c>
      <c r="AE158" s="336"/>
      <c r="AH158" s="335" t="s">
        <v>170</v>
      </c>
      <c r="AI158" s="336"/>
      <c r="AK158" s="337" t="s">
        <v>172</v>
      </c>
      <c r="AL158" s="337"/>
      <c r="AN158" s="337" t="s">
        <v>681</v>
      </c>
      <c r="AO158" s="337"/>
    </row>
    <row r="159" spans="1:41" ht="90" x14ac:dyDescent="0.25">
      <c r="A159" s="6" t="s">
        <v>2</v>
      </c>
      <c r="B159" s="7" t="s">
        <v>3</v>
      </c>
      <c r="C159" s="245" t="s">
        <v>688</v>
      </c>
      <c r="D159" s="7" t="s">
        <v>4</v>
      </c>
      <c r="E159" s="6" t="s">
        <v>5</v>
      </c>
      <c r="F159" s="6" t="s">
        <v>6</v>
      </c>
      <c r="G159" s="6" t="s">
        <v>7</v>
      </c>
      <c r="H159" s="6" t="s">
        <v>8</v>
      </c>
      <c r="I159" s="8" t="s">
        <v>9</v>
      </c>
      <c r="J159" s="9" t="s">
        <v>10</v>
      </c>
      <c r="K159" s="8" t="s">
        <v>11</v>
      </c>
      <c r="L159" s="10" t="s">
        <v>12</v>
      </c>
      <c r="M159" s="10" t="s">
        <v>13</v>
      </c>
      <c r="N159" s="11" t="s">
        <v>14</v>
      </c>
      <c r="O159" s="10" t="s">
        <v>691</v>
      </c>
      <c r="P159" s="10" t="s">
        <v>28</v>
      </c>
      <c r="Q159" s="5"/>
      <c r="R159" s="10" t="s">
        <v>16</v>
      </c>
      <c r="S159" s="10" t="s">
        <v>17</v>
      </c>
      <c r="T159" s="10" t="s">
        <v>18</v>
      </c>
      <c r="U159" s="10" t="s">
        <v>19</v>
      </c>
      <c r="V159" s="10" t="s">
        <v>20</v>
      </c>
      <c r="W159" s="13"/>
      <c r="X159" s="15" t="s">
        <v>23</v>
      </c>
      <c r="Y159" s="5"/>
      <c r="AA159" s="251" t="s">
        <v>2554</v>
      </c>
      <c r="AC159">
        <v>4</v>
      </c>
      <c r="AD159" s="16" t="s">
        <v>161</v>
      </c>
      <c r="AE159" s="58">
        <f>+AC159*10</f>
        <v>40</v>
      </c>
      <c r="AH159" s="16" t="s">
        <v>161</v>
      </c>
      <c r="AI159" s="58">
        <f>+AG159*10</f>
        <v>0</v>
      </c>
      <c r="AK159" s="61" t="s">
        <v>173</v>
      </c>
      <c r="AL159" s="62" t="s">
        <v>174</v>
      </c>
      <c r="AN159" s="16" t="s">
        <v>161</v>
      </c>
      <c r="AO159" s="58">
        <f>+AM159*10</f>
        <v>0</v>
      </c>
    </row>
    <row r="160" spans="1:41" x14ac:dyDescent="0.25">
      <c r="A160" s="16">
        <v>1</v>
      </c>
      <c r="B160" s="92">
        <v>45270</v>
      </c>
      <c r="C160" s="23"/>
      <c r="D160" s="31" t="s">
        <v>860</v>
      </c>
      <c r="E160" s="32"/>
      <c r="F160" s="32"/>
      <c r="G160" s="39" t="s">
        <v>3324</v>
      </c>
      <c r="H160" s="39" t="s">
        <v>3325</v>
      </c>
      <c r="I160" s="122"/>
      <c r="J160" s="32"/>
      <c r="K160" s="20">
        <v>10</v>
      </c>
      <c r="L160" s="21"/>
      <c r="M160" s="21">
        <f t="shared" ref="M160:M178" si="24">+J160+K160</f>
        <v>10</v>
      </c>
      <c r="N160" s="21">
        <f t="shared" ref="N160:N178" si="25">+I160-M160</f>
        <v>-10</v>
      </c>
      <c r="O160" s="21"/>
      <c r="P160" s="21"/>
      <c r="Q160" s="5"/>
      <c r="R160" s="21">
        <v>200</v>
      </c>
      <c r="S160" s="16"/>
      <c r="T160" s="21">
        <f t="shared" ref="T160:T178" si="26">+R160+S160</f>
        <v>200</v>
      </c>
      <c r="U160" s="21"/>
      <c r="V160" s="78">
        <f>+U160-T160+O160+P160</f>
        <v>-200</v>
      </c>
      <c r="W160" s="13"/>
      <c r="X160" s="333"/>
      <c r="Y160" s="5"/>
      <c r="AC160">
        <v>68</v>
      </c>
      <c r="AD160" s="59" t="s">
        <v>162</v>
      </c>
      <c r="AE160" s="18">
        <f>+AC160*1</f>
        <v>68</v>
      </c>
      <c r="AH160" s="59" t="s">
        <v>162</v>
      </c>
      <c r="AI160" s="18">
        <f>+AG160*1</f>
        <v>0</v>
      </c>
      <c r="AK160" s="16"/>
      <c r="AL160" s="16"/>
      <c r="AN160" s="59" t="s">
        <v>162</v>
      </c>
      <c r="AO160" s="18">
        <f>+AM160*1</f>
        <v>0</v>
      </c>
    </row>
    <row r="161" spans="1:41" x14ac:dyDescent="0.25">
      <c r="A161" s="26">
        <v>2</v>
      </c>
      <c r="B161" s="92">
        <v>10</v>
      </c>
      <c r="C161" s="23"/>
      <c r="D161" s="31" t="s">
        <v>3125</v>
      </c>
      <c r="E161" s="32"/>
      <c r="F161" s="32" t="s">
        <v>2920</v>
      </c>
      <c r="G161" s="32" t="s">
        <v>3327</v>
      </c>
      <c r="H161" s="32" t="s">
        <v>3326</v>
      </c>
      <c r="I161" s="122">
        <v>148</v>
      </c>
      <c r="J161" s="32">
        <v>124</v>
      </c>
      <c r="K161" s="20">
        <v>25</v>
      </c>
      <c r="L161" s="21">
        <v>10</v>
      </c>
      <c r="M161" s="21">
        <f t="shared" si="24"/>
        <v>149</v>
      </c>
      <c r="N161" s="21">
        <f t="shared" si="25"/>
        <v>-1</v>
      </c>
      <c r="O161" s="21"/>
      <c r="P161" s="21"/>
      <c r="Q161" s="5"/>
      <c r="R161" s="21"/>
      <c r="S161" s="16"/>
      <c r="T161" s="21">
        <f t="shared" si="26"/>
        <v>0</v>
      </c>
      <c r="U161" s="21"/>
      <c r="V161" s="78">
        <f t="shared" ref="V161:V178" si="27">+U161-T161+O161+P161</f>
        <v>0</v>
      </c>
      <c r="W161" s="140"/>
      <c r="X161" s="334"/>
      <c r="Y161" s="5"/>
      <c r="AA161" t="s">
        <v>3342</v>
      </c>
      <c r="AC161">
        <v>38</v>
      </c>
      <c r="AD161" s="16" t="s">
        <v>163</v>
      </c>
      <c r="AE161" s="60">
        <f>+AC161*5</f>
        <v>190</v>
      </c>
      <c r="AH161" s="16" t="s">
        <v>163</v>
      </c>
      <c r="AI161" s="60">
        <f>+AG161*5</f>
        <v>0</v>
      </c>
      <c r="AK161" s="16"/>
      <c r="AL161" s="16"/>
      <c r="AN161" s="16" t="s">
        <v>163</v>
      </c>
      <c r="AO161" s="60">
        <f>+AM161*5</f>
        <v>0</v>
      </c>
    </row>
    <row r="162" spans="1:41" x14ac:dyDescent="0.25">
      <c r="A162" s="143">
        <v>3</v>
      </c>
      <c r="B162" s="142">
        <v>45182</v>
      </c>
      <c r="C162" s="23"/>
      <c r="D162" s="31" t="s">
        <v>3328</v>
      </c>
      <c r="E162" s="32"/>
      <c r="F162" s="32" t="s">
        <v>3331</v>
      </c>
      <c r="G162" s="32"/>
      <c r="H162" s="39"/>
      <c r="I162" s="122">
        <v>345</v>
      </c>
      <c r="J162" s="32">
        <v>315</v>
      </c>
      <c r="K162" s="20">
        <v>20</v>
      </c>
      <c r="L162" s="21">
        <v>10</v>
      </c>
      <c r="M162" s="21">
        <f t="shared" si="24"/>
        <v>335</v>
      </c>
      <c r="N162" s="21">
        <f t="shared" si="25"/>
        <v>10</v>
      </c>
      <c r="O162" s="21"/>
      <c r="P162" s="21"/>
      <c r="Q162" s="5"/>
      <c r="R162" s="21"/>
      <c r="S162" s="16"/>
      <c r="T162" s="21">
        <f t="shared" si="26"/>
        <v>0</v>
      </c>
      <c r="U162" s="21"/>
      <c r="V162" s="78">
        <f t="shared" si="27"/>
        <v>0</v>
      </c>
      <c r="W162" s="140"/>
      <c r="X162" s="334"/>
      <c r="Y162" s="5"/>
      <c r="AA162">
        <v>65</v>
      </c>
      <c r="AC162">
        <v>1</v>
      </c>
      <c r="AD162" s="16" t="s">
        <v>164</v>
      </c>
      <c r="AE162" s="18">
        <f>+AC162*200</f>
        <v>200</v>
      </c>
      <c r="AH162" s="16" t="s">
        <v>164</v>
      </c>
      <c r="AI162" s="18">
        <f>+AG162*200</f>
        <v>0</v>
      </c>
      <c r="AK162" s="16"/>
      <c r="AL162" s="16"/>
      <c r="AN162" s="16" t="s">
        <v>164</v>
      </c>
      <c r="AO162" s="18">
        <f>+AM162*200</f>
        <v>0</v>
      </c>
    </row>
    <row r="163" spans="1:41" x14ac:dyDescent="0.25">
      <c r="A163" s="143">
        <v>4</v>
      </c>
      <c r="B163" s="142">
        <v>45182</v>
      </c>
      <c r="C163" s="23"/>
      <c r="D163" s="31" t="s">
        <v>3329</v>
      </c>
      <c r="E163" s="32"/>
      <c r="F163" s="32" t="s">
        <v>52</v>
      </c>
      <c r="G163" s="32"/>
      <c r="H163" s="39" t="s">
        <v>3335</v>
      </c>
      <c r="I163" s="122">
        <v>70</v>
      </c>
      <c r="J163" s="32">
        <v>60</v>
      </c>
      <c r="K163" s="20">
        <v>10</v>
      </c>
      <c r="L163" s="21"/>
      <c r="M163" s="21">
        <f t="shared" si="24"/>
        <v>70</v>
      </c>
      <c r="N163" s="21">
        <f t="shared" si="25"/>
        <v>0</v>
      </c>
      <c r="O163" s="21"/>
      <c r="P163" s="21"/>
      <c r="Q163" s="5"/>
      <c r="R163" s="21"/>
      <c r="S163" s="16"/>
      <c r="T163" s="21">
        <f t="shared" si="26"/>
        <v>0</v>
      </c>
      <c r="U163" s="21"/>
      <c r="V163" s="78">
        <f t="shared" si="27"/>
        <v>0</v>
      </c>
      <c r="W163" s="140"/>
      <c r="X163" s="334"/>
      <c r="Y163" s="5"/>
      <c r="AA163" t="s">
        <v>3343</v>
      </c>
      <c r="AD163" s="16" t="s">
        <v>165</v>
      </c>
      <c r="AE163" s="18">
        <f>+AC163*100</f>
        <v>0</v>
      </c>
      <c r="AH163" s="16" t="s">
        <v>165</v>
      </c>
      <c r="AI163" s="18">
        <f>+AG163*100</f>
        <v>0</v>
      </c>
      <c r="AK163" s="16"/>
      <c r="AL163" s="16"/>
      <c r="AN163" s="16" t="s">
        <v>165</v>
      </c>
      <c r="AO163" s="18">
        <f>+AM163*100</f>
        <v>0</v>
      </c>
    </row>
    <row r="164" spans="1:41" x14ac:dyDescent="0.25">
      <c r="A164" s="143">
        <v>5</v>
      </c>
      <c r="B164" s="142">
        <v>45182</v>
      </c>
      <c r="C164" s="23"/>
      <c r="D164" s="31" t="s">
        <v>2355</v>
      </c>
      <c r="E164" s="32"/>
      <c r="F164" s="32" t="s">
        <v>52</v>
      </c>
      <c r="G164" s="32"/>
      <c r="H164" s="32" t="s">
        <v>3334</v>
      </c>
      <c r="I164" s="122">
        <v>120</v>
      </c>
      <c r="J164" s="32">
        <v>105</v>
      </c>
      <c r="K164" s="20">
        <v>10</v>
      </c>
      <c r="L164" s="21">
        <v>5</v>
      </c>
      <c r="M164" s="21">
        <f t="shared" si="24"/>
        <v>115</v>
      </c>
      <c r="N164" s="21">
        <f t="shared" si="25"/>
        <v>5</v>
      </c>
      <c r="O164" s="21"/>
      <c r="P164" s="21"/>
      <c r="Q164" s="5"/>
      <c r="R164" s="16"/>
      <c r="S164" s="16"/>
      <c r="T164" s="21">
        <f t="shared" si="26"/>
        <v>0</v>
      </c>
      <c r="U164" s="21"/>
      <c r="V164" s="78">
        <f t="shared" si="27"/>
        <v>0</v>
      </c>
      <c r="W164" s="140"/>
      <c r="X164" s="334"/>
      <c r="Y164" s="5"/>
      <c r="AC164">
        <v>2</v>
      </c>
      <c r="AD164" s="16" t="s">
        <v>166</v>
      </c>
      <c r="AE164" s="18">
        <f>+AC164*50</f>
        <v>100</v>
      </c>
      <c r="AH164" s="16" t="s">
        <v>166</v>
      </c>
      <c r="AI164" s="18">
        <f>+AG164*50</f>
        <v>0</v>
      </c>
      <c r="AK164" s="16"/>
      <c r="AL164" s="16"/>
      <c r="AN164" s="16" t="s">
        <v>166</v>
      </c>
      <c r="AO164" s="18">
        <f>+AM164*50</f>
        <v>0</v>
      </c>
    </row>
    <row r="165" spans="1:41" x14ac:dyDescent="0.25">
      <c r="A165" s="143">
        <v>6</v>
      </c>
      <c r="B165" s="142">
        <v>45182</v>
      </c>
      <c r="C165" s="23"/>
      <c r="D165" s="31" t="s">
        <v>2355</v>
      </c>
      <c r="E165" s="32"/>
      <c r="F165" s="32" t="s">
        <v>38</v>
      </c>
      <c r="G165" s="32"/>
      <c r="H165" s="39" t="s">
        <v>3333</v>
      </c>
      <c r="I165" s="39">
        <v>171</v>
      </c>
      <c r="J165" s="42">
        <v>161</v>
      </c>
      <c r="K165" s="20">
        <v>10</v>
      </c>
      <c r="L165" s="21"/>
      <c r="M165" s="21">
        <f t="shared" si="24"/>
        <v>171</v>
      </c>
      <c r="N165" s="21">
        <f t="shared" si="25"/>
        <v>0</v>
      </c>
      <c r="O165" s="21"/>
      <c r="P165" s="21"/>
      <c r="Q165" s="5"/>
      <c r="R165" s="16"/>
      <c r="S165" s="16"/>
      <c r="T165" s="21">
        <f t="shared" si="26"/>
        <v>0</v>
      </c>
      <c r="U165" s="16"/>
      <c r="V165" s="78">
        <f t="shared" si="27"/>
        <v>0</v>
      </c>
      <c r="W165" s="140"/>
      <c r="X165" s="334"/>
      <c r="Y165" s="5"/>
      <c r="AC165">
        <v>1</v>
      </c>
      <c r="AD165" s="16" t="s">
        <v>167</v>
      </c>
      <c r="AE165" s="18">
        <f>+AC165*20</f>
        <v>20</v>
      </c>
      <c r="AH165" s="16" t="s">
        <v>167</v>
      </c>
      <c r="AI165" s="18">
        <f>+AG165*20</f>
        <v>0</v>
      </c>
      <c r="AK165" s="16"/>
      <c r="AL165" s="16"/>
      <c r="AN165" s="16" t="s">
        <v>167</v>
      </c>
      <c r="AO165" s="18">
        <f>+AM165*20</f>
        <v>0</v>
      </c>
    </row>
    <row r="166" spans="1:41" x14ac:dyDescent="0.25">
      <c r="A166" s="143">
        <v>7</v>
      </c>
      <c r="B166" s="142">
        <v>45182</v>
      </c>
      <c r="C166" s="23"/>
      <c r="D166" s="31" t="s">
        <v>3330</v>
      </c>
      <c r="E166" s="32"/>
      <c r="F166" s="32" t="s">
        <v>52</v>
      </c>
      <c r="G166" s="32"/>
      <c r="H166" s="39" t="s">
        <v>3332</v>
      </c>
      <c r="I166" s="122">
        <v>98</v>
      </c>
      <c r="J166" s="42">
        <v>88</v>
      </c>
      <c r="K166" s="20">
        <v>10</v>
      </c>
      <c r="L166" s="21">
        <v>5</v>
      </c>
      <c r="M166" s="21">
        <f t="shared" si="24"/>
        <v>98</v>
      </c>
      <c r="N166" s="21">
        <f t="shared" si="25"/>
        <v>0</v>
      </c>
      <c r="O166" s="21"/>
      <c r="P166" s="21"/>
      <c r="Q166" s="5"/>
      <c r="R166" s="16"/>
      <c r="S166" s="16"/>
      <c r="T166" s="21">
        <f t="shared" si="26"/>
        <v>0</v>
      </c>
      <c r="U166" s="16"/>
      <c r="V166" s="78">
        <f t="shared" si="27"/>
        <v>0</v>
      </c>
      <c r="W166" s="140"/>
      <c r="X166" s="334"/>
      <c r="Y166" s="5"/>
      <c r="AC166">
        <v>1</v>
      </c>
      <c r="AD166" s="16" t="s">
        <v>171</v>
      </c>
      <c r="AE166" s="18">
        <f>+AC166*500</f>
        <v>500</v>
      </c>
      <c r="AH166" s="16" t="s">
        <v>171</v>
      </c>
      <c r="AI166" s="18">
        <f>+AG166*500</f>
        <v>0</v>
      </c>
      <c r="AK166" s="16"/>
      <c r="AL166" s="16"/>
      <c r="AN166" s="16" t="s">
        <v>171</v>
      </c>
      <c r="AO166" s="18">
        <f>+AM166*500</f>
        <v>0</v>
      </c>
    </row>
    <row r="167" spans="1:41" x14ac:dyDescent="0.25">
      <c r="A167" s="143">
        <v>8</v>
      </c>
      <c r="B167" s="142">
        <v>45182</v>
      </c>
      <c r="C167" s="23"/>
      <c r="D167" s="31" t="s">
        <v>82</v>
      </c>
      <c r="E167" s="123"/>
      <c r="F167" s="123" t="s">
        <v>52</v>
      </c>
      <c r="G167" s="123"/>
      <c r="H167" s="39" t="s">
        <v>3337</v>
      </c>
      <c r="I167" s="122">
        <v>103</v>
      </c>
      <c r="J167" s="32">
        <v>93</v>
      </c>
      <c r="K167" s="20">
        <v>10</v>
      </c>
      <c r="L167" s="21"/>
      <c r="M167" s="21">
        <f t="shared" si="24"/>
        <v>103</v>
      </c>
      <c r="N167" s="21">
        <f t="shared" si="25"/>
        <v>0</v>
      </c>
      <c r="O167" s="21"/>
      <c r="P167" s="21"/>
      <c r="Q167" s="5"/>
      <c r="R167" s="16"/>
      <c r="S167" s="16"/>
      <c r="T167" s="21">
        <f t="shared" si="26"/>
        <v>0</v>
      </c>
      <c r="U167" s="16"/>
      <c r="V167" s="78">
        <f t="shared" si="27"/>
        <v>0</v>
      </c>
      <c r="W167" s="140"/>
      <c r="X167" s="334"/>
      <c r="Y167" s="5"/>
      <c r="AD167" s="16" t="s">
        <v>168</v>
      </c>
      <c r="AE167" s="18">
        <f>+AC167*1000</f>
        <v>0</v>
      </c>
      <c r="AH167" s="16" t="s">
        <v>168</v>
      </c>
      <c r="AI167" s="18">
        <f>+AG167*1000</f>
        <v>0</v>
      </c>
      <c r="AK167" s="16"/>
      <c r="AL167" s="16"/>
      <c r="AN167" s="16" t="s">
        <v>168</v>
      </c>
      <c r="AO167" s="18">
        <f>+AM167*1000</f>
        <v>0</v>
      </c>
    </row>
    <row r="168" spans="1:41" x14ac:dyDescent="0.25">
      <c r="A168" s="143">
        <v>9</v>
      </c>
      <c r="B168" s="142">
        <v>45182</v>
      </c>
      <c r="C168" s="23"/>
      <c r="D168" s="31" t="s">
        <v>3328</v>
      </c>
      <c r="E168" s="32"/>
      <c r="F168" s="32" t="s">
        <v>902</v>
      </c>
      <c r="G168" s="32"/>
      <c r="H168" s="39" t="s">
        <v>3336</v>
      </c>
      <c r="I168" s="39">
        <v>38</v>
      </c>
      <c r="J168" s="40">
        <v>22</v>
      </c>
      <c r="K168" s="20">
        <v>10</v>
      </c>
      <c r="L168" s="21">
        <v>6</v>
      </c>
      <c r="M168" s="21">
        <f t="shared" si="24"/>
        <v>32</v>
      </c>
      <c r="N168" s="21">
        <f t="shared" si="25"/>
        <v>6</v>
      </c>
      <c r="O168" s="21"/>
      <c r="P168" s="21"/>
      <c r="Q168" s="5"/>
      <c r="R168" s="16"/>
      <c r="S168" s="16"/>
      <c r="T168" s="21">
        <f t="shared" si="26"/>
        <v>0</v>
      </c>
      <c r="U168" s="16"/>
      <c r="V168" s="78">
        <f t="shared" si="27"/>
        <v>0</v>
      </c>
      <c r="W168" s="140"/>
      <c r="X168" s="334"/>
      <c r="Y168" s="5"/>
      <c r="AD168" s="26"/>
      <c r="AE168" s="58"/>
      <c r="AH168" s="26"/>
      <c r="AI168" s="58"/>
      <c r="AK168" s="16"/>
      <c r="AL168" s="16"/>
      <c r="AN168" s="26"/>
      <c r="AO168" s="58"/>
    </row>
    <row r="169" spans="1:41" x14ac:dyDescent="0.25">
      <c r="A169" s="143">
        <v>10</v>
      </c>
      <c r="B169" s="142">
        <v>45182</v>
      </c>
      <c r="C169" s="23"/>
      <c r="D169" s="31" t="s">
        <v>388</v>
      </c>
      <c r="E169" s="32"/>
      <c r="F169" s="32" t="s">
        <v>28</v>
      </c>
      <c r="G169" s="32" t="s">
        <v>597</v>
      </c>
      <c r="H169" s="39" t="s">
        <v>3338</v>
      </c>
      <c r="I169" s="122">
        <v>152</v>
      </c>
      <c r="J169" s="42">
        <v>142</v>
      </c>
      <c r="K169" s="20">
        <v>10</v>
      </c>
      <c r="L169" s="21"/>
      <c r="M169" s="21">
        <f t="shared" si="24"/>
        <v>152</v>
      </c>
      <c r="N169" s="21">
        <f t="shared" si="25"/>
        <v>0</v>
      </c>
      <c r="O169" s="21"/>
      <c r="P169" s="21"/>
      <c r="Q169" s="5"/>
      <c r="R169" s="16"/>
      <c r="S169" s="16"/>
      <c r="T169" s="21">
        <f t="shared" si="26"/>
        <v>0</v>
      </c>
      <c r="U169" s="16"/>
      <c r="V169" s="78">
        <f t="shared" si="27"/>
        <v>0</v>
      </c>
      <c r="W169" s="140"/>
      <c r="X169" s="334"/>
      <c r="Y169" s="5"/>
      <c r="AD169" s="16" t="s">
        <v>169</v>
      </c>
      <c r="AE169" s="18">
        <f>SUM(AE159:AE168)</f>
        <v>1118</v>
      </c>
      <c r="AH169" s="16" t="s">
        <v>169</v>
      </c>
      <c r="AI169" s="18">
        <f>SUM(AI159:AI168)</f>
        <v>0</v>
      </c>
      <c r="AK169" s="16"/>
      <c r="AL169" s="16"/>
      <c r="AN169" s="16" t="s">
        <v>169</v>
      </c>
      <c r="AO169" s="18"/>
    </row>
    <row r="170" spans="1:41" x14ac:dyDescent="0.25">
      <c r="A170" s="143">
        <v>11</v>
      </c>
      <c r="B170" s="142">
        <v>45182</v>
      </c>
      <c r="C170" s="23"/>
      <c r="D170" s="31" t="s">
        <v>1912</v>
      </c>
      <c r="E170" s="124"/>
      <c r="F170" s="123" t="s">
        <v>2920</v>
      </c>
      <c r="G170" s="123" t="s">
        <v>3339</v>
      </c>
      <c r="H170" s="39" t="s">
        <v>3340</v>
      </c>
      <c r="I170" s="122"/>
      <c r="J170" s="42">
        <v>216</v>
      </c>
      <c r="K170" s="20">
        <v>10</v>
      </c>
      <c r="L170" s="21">
        <v>10</v>
      </c>
      <c r="M170" s="21">
        <f>+J170+K170</f>
        <v>226</v>
      </c>
      <c r="N170" s="21">
        <f t="shared" si="25"/>
        <v>-226</v>
      </c>
      <c r="O170" s="21"/>
      <c r="P170" s="21"/>
      <c r="Q170" s="5"/>
      <c r="R170" s="16">
        <v>500</v>
      </c>
      <c r="S170" s="16"/>
      <c r="T170" s="21">
        <f t="shared" si="26"/>
        <v>500</v>
      </c>
      <c r="U170" s="16">
        <v>521</v>
      </c>
      <c r="V170" s="78">
        <f t="shared" si="27"/>
        <v>21</v>
      </c>
      <c r="W170" s="140"/>
      <c r="X170" s="334"/>
      <c r="Y170" s="5"/>
      <c r="AK170" s="16"/>
      <c r="AL170" s="16"/>
      <c r="AN170" s="16"/>
      <c r="AO170" s="16"/>
    </row>
    <row r="171" spans="1:41" x14ac:dyDescent="0.25">
      <c r="A171" s="143">
        <v>12</v>
      </c>
      <c r="B171" s="142">
        <v>45182</v>
      </c>
      <c r="C171" s="23"/>
      <c r="D171" s="32" t="s">
        <v>2109</v>
      </c>
      <c r="E171" s="32"/>
      <c r="F171" s="124"/>
      <c r="G171" s="123"/>
      <c r="H171" s="39" t="s">
        <v>3341</v>
      </c>
      <c r="I171" s="39"/>
      <c r="J171" s="42">
        <v>25</v>
      </c>
      <c r="K171" s="20">
        <v>20</v>
      </c>
      <c r="L171" s="21">
        <v>5</v>
      </c>
      <c r="M171" s="21">
        <f t="shared" si="24"/>
        <v>45</v>
      </c>
      <c r="N171" s="21">
        <f t="shared" si="25"/>
        <v>-45</v>
      </c>
      <c r="O171" s="21"/>
      <c r="P171" s="21"/>
      <c r="Q171" s="5"/>
      <c r="R171" s="45"/>
      <c r="S171" s="44"/>
      <c r="T171" s="21">
        <f t="shared" si="26"/>
        <v>0</v>
      </c>
      <c r="U171" s="45"/>
      <c r="V171" s="78">
        <f t="shared" si="27"/>
        <v>0</v>
      </c>
      <c r="W171" s="140"/>
      <c r="X171" s="334"/>
      <c r="Y171" s="5"/>
      <c r="AK171" s="63" t="s">
        <v>169</v>
      </c>
      <c r="AL171" s="63">
        <f>+SUM(AK160:AK170)-SUM(AL160:AL170)</f>
        <v>0</v>
      </c>
      <c r="AN171" s="63" t="s">
        <v>169</v>
      </c>
      <c r="AO171" s="85">
        <f>+SUM(AN159:AN170)-SUM(AO160:AO170)</f>
        <v>0</v>
      </c>
    </row>
    <row r="172" spans="1:41" x14ac:dyDescent="0.25">
      <c r="A172" s="143">
        <v>13</v>
      </c>
      <c r="B172" s="142">
        <v>45182</v>
      </c>
      <c r="C172" s="23"/>
      <c r="D172" s="31"/>
      <c r="E172" s="32"/>
      <c r="F172" s="32"/>
      <c r="G172" s="32"/>
      <c r="H172" s="39"/>
      <c r="I172" s="39"/>
      <c r="J172" s="42"/>
      <c r="K172" s="108">
        <v>10</v>
      </c>
      <c r="L172" s="21"/>
      <c r="M172" s="21">
        <f t="shared" si="24"/>
        <v>10</v>
      </c>
      <c r="N172" s="21">
        <f t="shared" si="25"/>
        <v>-10</v>
      </c>
      <c r="O172" s="21"/>
      <c r="P172" s="21"/>
      <c r="Q172" s="5"/>
      <c r="R172" s="43"/>
      <c r="S172" s="32"/>
      <c r="T172" s="21">
        <f t="shared" si="26"/>
        <v>0</v>
      </c>
      <c r="U172" s="43"/>
      <c r="V172" s="78">
        <f t="shared" si="27"/>
        <v>0</v>
      </c>
      <c r="W172" s="140"/>
      <c r="X172" s="334"/>
      <c r="Y172" s="5"/>
      <c r="AI172" s="83"/>
    </row>
    <row r="173" spans="1:41" x14ac:dyDescent="0.25">
      <c r="A173" s="143">
        <v>14</v>
      </c>
      <c r="B173" s="142">
        <v>45182</v>
      </c>
      <c r="C173" s="23"/>
      <c r="D173" s="31"/>
      <c r="E173" s="32"/>
      <c r="F173" s="32"/>
      <c r="G173" s="32"/>
      <c r="H173" s="39"/>
      <c r="I173" s="39"/>
      <c r="J173" s="42"/>
      <c r="K173" s="108">
        <v>10</v>
      </c>
      <c r="L173" s="21"/>
      <c r="M173" s="21">
        <f t="shared" si="24"/>
        <v>10</v>
      </c>
      <c r="N173" s="21">
        <f t="shared" si="25"/>
        <v>-10</v>
      </c>
      <c r="O173" s="21"/>
      <c r="P173" s="21"/>
      <c r="Q173" s="5"/>
      <c r="R173" s="43"/>
      <c r="S173" s="43"/>
      <c r="T173" s="21">
        <f t="shared" si="26"/>
        <v>0</v>
      </c>
      <c r="U173" s="43"/>
      <c r="V173" s="78">
        <f t="shared" si="27"/>
        <v>0</v>
      </c>
      <c r="W173" s="140"/>
      <c r="X173" s="334"/>
      <c r="Y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</row>
    <row r="174" spans="1:41" x14ac:dyDescent="0.25">
      <c r="A174" s="143">
        <v>15</v>
      </c>
      <c r="B174" s="142">
        <v>45182</v>
      </c>
      <c r="C174" s="23"/>
      <c r="D174" s="127"/>
      <c r="E174" s="32"/>
      <c r="F174" s="32"/>
      <c r="G174" s="128"/>
      <c r="H174" s="129"/>
      <c r="I174" s="39"/>
      <c r="J174" s="42"/>
      <c r="K174" s="108">
        <v>10</v>
      </c>
      <c r="L174" s="21"/>
      <c r="M174" s="21">
        <f t="shared" si="24"/>
        <v>10</v>
      </c>
      <c r="N174" s="21">
        <f t="shared" si="25"/>
        <v>-10</v>
      </c>
      <c r="O174" s="21"/>
      <c r="P174" s="21"/>
      <c r="Q174" s="5"/>
      <c r="R174" s="43"/>
      <c r="S174" s="43"/>
      <c r="T174" s="21">
        <f t="shared" si="26"/>
        <v>0</v>
      </c>
      <c r="U174" s="43"/>
      <c r="V174" s="78">
        <f t="shared" si="27"/>
        <v>0</v>
      </c>
      <c r="W174" s="140"/>
      <c r="X174" s="334"/>
      <c r="Y174" s="5"/>
      <c r="AD174" s="5"/>
      <c r="AE174" s="134" t="s">
        <v>20</v>
      </c>
      <c r="AF174" s="338"/>
      <c r="AG174" s="341" t="s">
        <v>686</v>
      </c>
      <c r="AH174" s="134" t="s">
        <v>20</v>
      </c>
      <c r="AI174" s="338"/>
      <c r="AJ174" s="341" t="s">
        <v>687</v>
      </c>
      <c r="AK174" s="134" t="s">
        <v>20</v>
      </c>
      <c r="AL174" s="338"/>
      <c r="AM174" s="5"/>
    </row>
    <row r="175" spans="1:41" x14ac:dyDescent="0.25">
      <c r="A175" s="143">
        <v>16</v>
      </c>
      <c r="B175" s="142">
        <v>45182</v>
      </c>
      <c r="C175" s="23"/>
      <c r="D175" s="31"/>
      <c r="E175" s="32"/>
      <c r="F175" s="32"/>
      <c r="G175" s="32"/>
      <c r="H175" s="39"/>
      <c r="I175" s="39"/>
      <c r="J175" s="42"/>
      <c r="K175" s="43">
        <v>10</v>
      </c>
      <c r="L175" s="21"/>
      <c r="M175" s="21">
        <f t="shared" si="24"/>
        <v>10</v>
      </c>
      <c r="N175" s="21">
        <f t="shared" si="25"/>
        <v>-10</v>
      </c>
      <c r="O175" s="21"/>
      <c r="P175" s="21"/>
      <c r="Q175" s="5"/>
      <c r="R175" s="43"/>
      <c r="S175" s="32"/>
      <c r="T175" s="21">
        <f t="shared" si="26"/>
        <v>0</v>
      </c>
      <c r="U175" s="131"/>
      <c r="V175" s="78">
        <f t="shared" si="27"/>
        <v>0</v>
      </c>
      <c r="W175" s="140"/>
      <c r="X175" s="334"/>
      <c r="Y175" s="5"/>
      <c r="AD175" s="5" t="s">
        <v>685</v>
      </c>
      <c r="AE175" s="115" t="s">
        <v>684</v>
      </c>
      <c r="AF175" s="339"/>
      <c r="AG175" s="341"/>
      <c r="AH175" s="115" t="s">
        <v>684</v>
      </c>
      <c r="AI175" s="339"/>
      <c r="AJ175" s="341"/>
      <c r="AK175" s="115" t="s">
        <v>684</v>
      </c>
      <c r="AL175" s="339"/>
      <c r="AM175" s="5"/>
    </row>
    <row r="176" spans="1:41" x14ac:dyDescent="0.25">
      <c r="A176" s="143">
        <v>17</v>
      </c>
      <c r="B176" s="142">
        <v>45182</v>
      </c>
      <c r="C176" s="23"/>
      <c r="D176" s="31"/>
      <c r="E176" s="32"/>
      <c r="F176" s="32"/>
      <c r="G176" s="32"/>
      <c r="H176" s="39"/>
      <c r="I176" s="39"/>
      <c r="J176" s="42"/>
      <c r="K176" s="43">
        <v>10</v>
      </c>
      <c r="L176" s="21"/>
      <c r="M176" s="21">
        <f t="shared" si="24"/>
        <v>10</v>
      </c>
      <c r="N176" s="21">
        <f t="shared" si="25"/>
        <v>-10</v>
      </c>
      <c r="O176" s="21"/>
      <c r="P176" s="21"/>
      <c r="Q176" s="5"/>
      <c r="R176" s="43"/>
      <c r="S176" s="32"/>
      <c r="T176" s="21">
        <f t="shared" si="26"/>
        <v>0</v>
      </c>
      <c r="U176" s="132"/>
      <c r="V176" s="78">
        <f t="shared" si="27"/>
        <v>0</v>
      </c>
      <c r="W176" s="140"/>
      <c r="X176" s="340"/>
      <c r="Y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</row>
    <row r="177" spans="1:25" x14ac:dyDescent="0.25">
      <c r="A177" s="143">
        <v>18</v>
      </c>
      <c r="B177" s="142">
        <v>45182</v>
      </c>
      <c r="C177" s="32"/>
      <c r="D177" s="31"/>
      <c r="E177" s="32"/>
      <c r="F177" s="32"/>
      <c r="G177" s="32"/>
      <c r="H177" s="39"/>
      <c r="I177" s="39"/>
      <c r="J177" s="42"/>
      <c r="K177" s="43">
        <v>10</v>
      </c>
      <c r="L177" s="21"/>
      <c r="M177" s="21">
        <f t="shared" si="24"/>
        <v>10</v>
      </c>
      <c r="N177" s="21">
        <f t="shared" si="25"/>
        <v>-10</v>
      </c>
      <c r="O177" s="21"/>
      <c r="P177" s="21"/>
      <c r="Q177" s="5"/>
      <c r="R177" s="135"/>
      <c r="S177" s="104"/>
      <c r="T177" s="21">
        <f t="shared" si="26"/>
        <v>0</v>
      </c>
      <c r="U177" s="131"/>
      <c r="V177" s="78">
        <f t="shared" si="27"/>
        <v>0</v>
      </c>
      <c r="W177" s="140"/>
      <c r="Y177" s="5"/>
    </row>
    <row r="178" spans="1:25" x14ac:dyDescent="0.25">
      <c r="A178" s="143">
        <v>19</v>
      </c>
      <c r="B178" s="142">
        <v>45182</v>
      </c>
      <c r="C178" s="32"/>
      <c r="D178" s="31"/>
      <c r="E178" s="32"/>
      <c r="F178" s="32"/>
      <c r="G178" s="32"/>
      <c r="H178" s="39"/>
      <c r="I178" s="39"/>
      <c r="J178" s="42"/>
      <c r="K178" s="43">
        <v>10</v>
      </c>
      <c r="L178" s="21"/>
      <c r="M178" s="21">
        <f t="shared" si="24"/>
        <v>10</v>
      </c>
      <c r="N178" s="21">
        <f t="shared" si="25"/>
        <v>-10</v>
      </c>
      <c r="O178" s="21"/>
      <c r="P178" s="21"/>
      <c r="Q178" s="5"/>
      <c r="R178" s="32"/>
      <c r="S178" s="32"/>
      <c r="T178" s="21">
        <f t="shared" si="26"/>
        <v>0</v>
      </c>
      <c r="U178" s="32"/>
      <c r="V178" s="78">
        <f t="shared" si="27"/>
        <v>0</v>
      </c>
      <c r="W178" s="140"/>
      <c r="Y178" s="5"/>
    </row>
    <row r="179" spans="1:2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141"/>
      <c r="X179" s="5"/>
      <c r="Y179" s="5"/>
    </row>
  </sheetData>
  <mergeCells count="77">
    <mergeCell ref="AL148:AL149"/>
    <mergeCell ref="X134:X150"/>
    <mergeCell ref="AF148:AF149"/>
    <mergeCell ref="AG148:AG149"/>
    <mergeCell ref="AI148:AI149"/>
    <mergeCell ref="AJ148:AJ149"/>
    <mergeCell ref="T132:U132"/>
    <mergeCell ref="AD132:AE132"/>
    <mergeCell ref="AH132:AI132"/>
    <mergeCell ref="AK132:AL132"/>
    <mergeCell ref="AN132:AO132"/>
    <mergeCell ref="AL95:AL96"/>
    <mergeCell ref="X81:X97"/>
    <mergeCell ref="AF95:AF96"/>
    <mergeCell ref="AG95:AG96"/>
    <mergeCell ref="AI95:AI96"/>
    <mergeCell ref="AJ95:AJ96"/>
    <mergeCell ref="T79:U79"/>
    <mergeCell ref="AD79:AE79"/>
    <mergeCell ref="AH79:AI79"/>
    <mergeCell ref="AK79:AL79"/>
    <mergeCell ref="AN79:AO79"/>
    <mergeCell ref="AN30:AO30"/>
    <mergeCell ref="AL46:AL47"/>
    <mergeCell ref="X32:X48"/>
    <mergeCell ref="AF46:AF47"/>
    <mergeCell ref="AG46:AG47"/>
    <mergeCell ref="AI46:AI47"/>
    <mergeCell ref="AJ46:AJ47"/>
    <mergeCell ref="AN4:AO4"/>
    <mergeCell ref="X6:X22"/>
    <mergeCell ref="AF20:AF21"/>
    <mergeCell ref="AG20:AG21"/>
    <mergeCell ref="AI20:AI21"/>
    <mergeCell ref="AJ20:AJ21"/>
    <mergeCell ref="AL20:AL21"/>
    <mergeCell ref="T4:U4"/>
    <mergeCell ref="AD4:AE4"/>
    <mergeCell ref="AH4:AI4"/>
    <mergeCell ref="AK4:AL4"/>
    <mergeCell ref="T53:U53"/>
    <mergeCell ref="AD53:AE53"/>
    <mergeCell ref="AH53:AI53"/>
    <mergeCell ref="AK53:AL53"/>
    <mergeCell ref="T30:U30"/>
    <mergeCell ref="AD30:AE30"/>
    <mergeCell ref="AH30:AI30"/>
    <mergeCell ref="AK30:AL30"/>
    <mergeCell ref="AN53:AO53"/>
    <mergeCell ref="X55:X71"/>
    <mergeCell ref="AF69:AF70"/>
    <mergeCell ref="AG69:AG70"/>
    <mergeCell ref="AI69:AI70"/>
    <mergeCell ref="AJ69:AJ70"/>
    <mergeCell ref="AL69:AL70"/>
    <mergeCell ref="T103:U103"/>
    <mergeCell ref="AD103:AE103"/>
    <mergeCell ref="AH103:AI103"/>
    <mergeCell ref="AK103:AL103"/>
    <mergeCell ref="AN103:AO103"/>
    <mergeCell ref="AL121:AL122"/>
    <mergeCell ref="X105:X123"/>
    <mergeCell ref="AF121:AF122"/>
    <mergeCell ref="AG121:AG122"/>
    <mergeCell ref="AI121:AI122"/>
    <mergeCell ref="AJ121:AJ122"/>
    <mergeCell ref="T158:U158"/>
    <mergeCell ref="AD158:AE158"/>
    <mergeCell ref="AH158:AI158"/>
    <mergeCell ref="AK158:AL158"/>
    <mergeCell ref="AN158:AO158"/>
    <mergeCell ref="AL174:AL175"/>
    <mergeCell ref="X160:X176"/>
    <mergeCell ref="AF174:AF175"/>
    <mergeCell ref="AG174:AG175"/>
    <mergeCell ref="AI174:AI175"/>
    <mergeCell ref="AJ174:AJ175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7"/>
  <sheetViews>
    <sheetView topLeftCell="A58" workbookViewId="0">
      <selection activeCell="C58" sqref="C58"/>
    </sheetView>
  </sheetViews>
  <sheetFormatPr baseColWidth="10" defaultRowHeight="15" x14ac:dyDescent="0.25"/>
  <cols>
    <col min="3" max="3" width="12.42578125" bestFit="1" customWidth="1"/>
    <col min="5" max="5" width="12" bestFit="1" customWidth="1"/>
  </cols>
  <sheetData>
    <row r="1" spans="1:41" x14ac:dyDescent="0.25">
      <c r="D1">
        <v>70</v>
      </c>
      <c r="E1">
        <v>20</v>
      </c>
    </row>
    <row r="2" spans="1:4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 t="s">
        <v>148</v>
      </c>
      <c r="K2" s="1"/>
      <c r="L2" s="1"/>
      <c r="M2" s="1"/>
      <c r="N2" s="1"/>
      <c r="O2" s="1"/>
      <c r="P2" s="1"/>
      <c r="Q2" s="1"/>
      <c r="R2" s="1"/>
      <c r="S2" s="1"/>
      <c r="T2" s="342" t="s">
        <v>1</v>
      </c>
      <c r="U2" s="342"/>
      <c r="V2" s="5"/>
      <c r="W2" s="139"/>
      <c r="X2" s="1"/>
      <c r="Y2" s="5"/>
      <c r="AD2" s="335" t="s">
        <v>160</v>
      </c>
      <c r="AE2" s="336"/>
      <c r="AH2" s="335" t="s">
        <v>170</v>
      </c>
      <c r="AI2" s="336"/>
      <c r="AK2" s="337" t="s">
        <v>172</v>
      </c>
      <c r="AL2" s="337"/>
      <c r="AN2" s="337" t="s">
        <v>681</v>
      </c>
      <c r="AO2" s="337"/>
    </row>
    <row r="3" spans="1:41" ht="90" x14ac:dyDescent="0.25">
      <c r="A3" s="6" t="s">
        <v>2</v>
      </c>
      <c r="B3" s="7" t="s">
        <v>3</v>
      </c>
      <c r="C3" s="245" t="s">
        <v>688</v>
      </c>
      <c r="D3" s="7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8" t="s">
        <v>9</v>
      </c>
      <c r="J3" s="9" t="s">
        <v>10</v>
      </c>
      <c r="K3" s="8" t="s">
        <v>11</v>
      </c>
      <c r="L3" s="10" t="s">
        <v>12</v>
      </c>
      <c r="M3" s="10" t="s">
        <v>13</v>
      </c>
      <c r="N3" s="11" t="s">
        <v>14</v>
      </c>
      <c r="O3" s="10" t="s">
        <v>691</v>
      </c>
      <c r="P3" s="10" t="s">
        <v>28</v>
      </c>
      <c r="Q3" s="5"/>
      <c r="R3" s="10" t="s">
        <v>16</v>
      </c>
      <c r="S3" s="10" t="s">
        <v>17</v>
      </c>
      <c r="T3" s="10" t="s">
        <v>18</v>
      </c>
      <c r="U3" s="10" t="s">
        <v>19</v>
      </c>
      <c r="V3" s="10" t="s">
        <v>20</v>
      </c>
      <c r="W3" s="13"/>
      <c r="X3" s="15" t="s">
        <v>23</v>
      </c>
      <c r="Y3" s="5"/>
      <c r="AA3" s="251" t="s">
        <v>2554</v>
      </c>
      <c r="AC3">
        <v>6</v>
      </c>
      <c r="AD3" s="16" t="s">
        <v>161</v>
      </c>
      <c r="AE3" s="58">
        <f>+AC3*10</f>
        <v>60</v>
      </c>
      <c r="AH3" s="16" t="s">
        <v>161</v>
      </c>
      <c r="AI3" s="58">
        <f>+AG3*10</f>
        <v>0</v>
      </c>
      <c r="AK3" s="61" t="s">
        <v>173</v>
      </c>
      <c r="AL3" s="62" t="s">
        <v>174</v>
      </c>
      <c r="AN3" s="16" t="s">
        <v>161</v>
      </c>
      <c r="AO3" s="58">
        <f>+AM3*10</f>
        <v>0</v>
      </c>
    </row>
    <row r="4" spans="1:41" x14ac:dyDescent="0.25">
      <c r="A4" s="16">
        <v>1</v>
      </c>
      <c r="B4" s="92">
        <v>45271</v>
      </c>
      <c r="C4" s="23">
        <v>0.46736111111111112</v>
      </c>
      <c r="D4" s="31" t="s">
        <v>3344</v>
      </c>
      <c r="E4" s="32">
        <v>5553193486</v>
      </c>
      <c r="F4" s="32" t="s">
        <v>2707</v>
      </c>
      <c r="G4" s="39"/>
      <c r="H4" s="39" t="s">
        <v>3353</v>
      </c>
      <c r="I4" s="122"/>
      <c r="J4" s="32">
        <f>32+40+14</f>
        <v>86</v>
      </c>
      <c r="K4" s="20">
        <v>10</v>
      </c>
      <c r="L4" s="21"/>
      <c r="M4" s="21">
        <f t="shared" ref="M4:M22" si="0">+J4+K4</f>
        <v>96</v>
      </c>
      <c r="N4" s="21">
        <f t="shared" ref="N4:N22" si="1">+I4-M4</f>
        <v>-96</v>
      </c>
      <c r="O4" s="21"/>
      <c r="P4" s="21"/>
      <c r="Q4" s="5"/>
      <c r="R4" s="21">
        <v>200</v>
      </c>
      <c r="S4" s="16"/>
      <c r="T4" s="21">
        <f t="shared" ref="T4:T22" si="2">+R4+S4</f>
        <v>200</v>
      </c>
      <c r="U4" s="21">
        <v>220</v>
      </c>
      <c r="V4" s="78">
        <f>+U4-T4+O4+P4</f>
        <v>20</v>
      </c>
      <c r="W4" s="13"/>
      <c r="X4" s="333"/>
      <c r="Y4" s="5"/>
      <c r="AC4">
        <v>64.599999999999994</v>
      </c>
      <c r="AD4" s="59" t="s">
        <v>162</v>
      </c>
      <c r="AE4" s="18">
        <f>+AC4*1</f>
        <v>64.599999999999994</v>
      </c>
      <c r="AH4" s="59" t="s">
        <v>162</v>
      </c>
      <c r="AI4" s="18">
        <f>+AG4*1</f>
        <v>0</v>
      </c>
      <c r="AK4" s="16"/>
      <c r="AL4" s="16"/>
      <c r="AN4" s="59" t="s">
        <v>162</v>
      </c>
      <c r="AO4" s="18">
        <f>+AM4*1</f>
        <v>0</v>
      </c>
    </row>
    <row r="5" spans="1:41" x14ac:dyDescent="0.25">
      <c r="A5" s="26">
        <v>2</v>
      </c>
      <c r="B5" s="92">
        <v>45271</v>
      </c>
      <c r="C5" s="23">
        <v>0.50138888888888888</v>
      </c>
      <c r="D5" s="31" t="s">
        <v>3281</v>
      </c>
      <c r="E5" s="32">
        <v>5541406158</v>
      </c>
      <c r="F5" s="32" t="s">
        <v>3358</v>
      </c>
      <c r="G5" s="32" t="s">
        <v>3281</v>
      </c>
      <c r="H5" s="39" t="s">
        <v>3354</v>
      </c>
      <c r="I5" s="122"/>
      <c r="J5" s="32">
        <f>150+118+45+30</f>
        <v>343</v>
      </c>
      <c r="K5" s="20">
        <v>10</v>
      </c>
      <c r="L5" s="21"/>
      <c r="M5" s="21">
        <f t="shared" si="0"/>
        <v>353</v>
      </c>
      <c r="N5" s="21">
        <f t="shared" si="1"/>
        <v>-353</v>
      </c>
      <c r="O5" s="21"/>
      <c r="P5" s="21"/>
      <c r="Q5" s="5"/>
      <c r="R5" s="21"/>
      <c r="S5" s="16"/>
      <c r="T5" s="21">
        <f t="shared" si="2"/>
        <v>0</v>
      </c>
      <c r="U5" s="21">
        <v>10</v>
      </c>
      <c r="V5" s="78">
        <f t="shared" ref="V5:V22" si="3">+U5-T5+O5+P5</f>
        <v>10</v>
      </c>
      <c r="W5" s="140"/>
      <c r="X5" s="334"/>
      <c r="Y5" s="5"/>
      <c r="AC5">
        <v>25</v>
      </c>
      <c r="AD5" s="16" t="s">
        <v>163</v>
      </c>
      <c r="AE5" s="60">
        <f>+AC5*5</f>
        <v>125</v>
      </c>
      <c r="AH5" s="16" t="s">
        <v>163</v>
      </c>
      <c r="AI5" s="60">
        <f>+AG5*5</f>
        <v>0</v>
      </c>
      <c r="AK5" s="16"/>
      <c r="AL5" s="16"/>
      <c r="AN5" s="16" t="s">
        <v>163</v>
      </c>
      <c r="AO5" s="60">
        <f>+AM5*5</f>
        <v>0</v>
      </c>
    </row>
    <row r="6" spans="1:41" x14ac:dyDescent="0.25">
      <c r="A6" s="143">
        <v>3</v>
      </c>
      <c r="B6" s="92">
        <v>45271</v>
      </c>
      <c r="C6" s="23">
        <v>0.51111111111111118</v>
      </c>
      <c r="D6" s="31" t="s">
        <v>24</v>
      </c>
      <c r="E6" s="32">
        <v>5562235073</v>
      </c>
      <c r="F6" s="32" t="s">
        <v>1806</v>
      </c>
      <c r="G6" s="32" t="s">
        <v>3346</v>
      </c>
      <c r="H6" s="39" t="s">
        <v>3345</v>
      </c>
      <c r="I6" s="122"/>
      <c r="J6" s="32">
        <v>82</v>
      </c>
      <c r="K6" s="20">
        <v>10</v>
      </c>
      <c r="L6" s="21"/>
      <c r="M6" s="21">
        <f t="shared" si="0"/>
        <v>92</v>
      </c>
      <c r="N6" s="21">
        <f t="shared" si="1"/>
        <v>-92</v>
      </c>
      <c r="O6" s="21"/>
      <c r="P6" s="21"/>
      <c r="Q6" s="5"/>
      <c r="R6" s="21"/>
      <c r="S6" s="16"/>
      <c r="T6" s="21">
        <f t="shared" si="2"/>
        <v>0</v>
      </c>
      <c r="U6" s="21">
        <v>10</v>
      </c>
      <c r="V6" s="78">
        <f t="shared" si="3"/>
        <v>10</v>
      </c>
      <c r="W6" s="140"/>
      <c r="X6" s="334"/>
      <c r="Y6" s="5"/>
      <c r="AD6" s="16" t="s">
        <v>164</v>
      </c>
      <c r="AE6" s="18">
        <f>+AC6*200</f>
        <v>0</v>
      </c>
      <c r="AH6" s="16" t="s">
        <v>164</v>
      </c>
      <c r="AI6" s="18">
        <f>+AG6*200</f>
        <v>0</v>
      </c>
      <c r="AK6" s="16"/>
      <c r="AL6" s="16"/>
      <c r="AN6" s="16" t="s">
        <v>164</v>
      </c>
      <c r="AO6" s="18">
        <f>+AM6*200</f>
        <v>0</v>
      </c>
    </row>
    <row r="7" spans="1:41" x14ac:dyDescent="0.25">
      <c r="A7" s="143">
        <v>4</v>
      </c>
      <c r="B7" s="92">
        <v>45271</v>
      </c>
      <c r="C7" s="23">
        <v>0.52152777777777781</v>
      </c>
      <c r="D7" s="31" t="s">
        <v>1879</v>
      </c>
      <c r="E7" s="32">
        <v>95311286830</v>
      </c>
      <c r="F7" s="32" t="s">
        <v>922</v>
      </c>
      <c r="G7" s="32" t="s">
        <v>3349</v>
      </c>
      <c r="H7" s="39" t="s">
        <v>3347</v>
      </c>
      <c r="I7" s="122"/>
      <c r="J7" s="32">
        <v>78</v>
      </c>
      <c r="K7" s="20">
        <v>10</v>
      </c>
      <c r="L7" s="21"/>
      <c r="M7" s="21">
        <f t="shared" si="0"/>
        <v>88</v>
      </c>
      <c r="N7" s="21">
        <f t="shared" si="1"/>
        <v>-88</v>
      </c>
      <c r="O7" s="21"/>
      <c r="P7" s="21"/>
      <c r="Q7" s="5"/>
      <c r="R7" s="21"/>
      <c r="S7" s="16"/>
      <c r="T7" s="21">
        <f t="shared" si="2"/>
        <v>0</v>
      </c>
      <c r="U7" s="21">
        <v>10</v>
      </c>
      <c r="V7" s="78">
        <f t="shared" si="3"/>
        <v>10</v>
      </c>
      <c r="W7" s="140"/>
      <c r="X7" s="334"/>
      <c r="Y7" s="5"/>
      <c r="AA7" t="s">
        <v>3370</v>
      </c>
      <c r="AD7" s="16" t="s">
        <v>165</v>
      </c>
      <c r="AE7" s="18">
        <f>+AC7*100</f>
        <v>0</v>
      </c>
      <c r="AH7" s="16" t="s">
        <v>165</v>
      </c>
      <c r="AI7" s="18">
        <f>+AG7*100</f>
        <v>0</v>
      </c>
      <c r="AK7" s="16"/>
      <c r="AL7" s="16"/>
      <c r="AN7" s="16" t="s">
        <v>165</v>
      </c>
      <c r="AO7" s="18">
        <f>+AM7*100</f>
        <v>0</v>
      </c>
    </row>
    <row r="8" spans="1:41" x14ac:dyDescent="0.25">
      <c r="A8" s="143">
        <v>5</v>
      </c>
      <c r="B8" s="92">
        <v>45271</v>
      </c>
      <c r="C8" s="23">
        <v>0.52222222222222225</v>
      </c>
      <c r="D8" s="31" t="s">
        <v>2116</v>
      </c>
      <c r="E8" s="32">
        <v>5615589545</v>
      </c>
      <c r="F8" s="32" t="s">
        <v>922</v>
      </c>
      <c r="G8" s="32" t="s">
        <v>1963</v>
      </c>
      <c r="H8" s="32" t="s">
        <v>3350</v>
      </c>
      <c r="I8" s="122"/>
      <c r="J8" s="32">
        <v>103</v>
      </c>
      <c r="K8" s="20">
        <v>10</v>
      </c>
      <c r="L8" s="21"/>
      <c r="M8" s="21">
        <f t="shared" si="0"/>
        <v>113</v>
      </c>
      <c r="N8" s="21">
        <f t="shared" si="1"/>
        <v>-113</v>
      </c>
      <c r="O8" s="21"/>
      <c r="P8" s="21"/>
      <c r="Q8" s="5"/>
      <c r="R8" s="16"/>
      <c r="S8" s="16"/>
      <c r="T8" s="21">
        <f t="shared" si="2"/>
        <v>0</v>
      </c>
      <c r="U8" s="21">
        <v>10</v>
      </c>
      <c r="V8" s="78">
        <f t="shared" si="3"/>
        <v>10</v>
      </c>
      <c r="W8" s="140"/>
      <c r="X8" s="334"/>
      <c r="Y8" s="5"/>
      <c r="AA8" t="s">
        <v>3371</v>
      </c>
      <c r="AB8">
        <v>50</v>
      </c>
      <c r="AC8">
        <v>4</v>
      </c>
      <c r="AD8" s="16" t="s">
        <v>166</v>
      </c>
      <c r="AE8" s="18">
        <f>+AC8*50</f>
        <v>200</v>
      </c>
      <c r="AH8" s="16" t="s">
        <v>166</v>
      </c>
      <c r="AI8" s="18">
        <f>+AG8*50</f>
        <v>0</v>
      </c>
      <c r="AK8" s="16"/>
      <c r="AL8" s="16"/>
      <c r="AN8" s="16" t="s">
        <v>166</v>
      </c>
      <c r="AO8" s="18">
        <f>+AM8*50</f>
        <v>0</v>
      </c>
    </row>
    <row r="9" spans="1:41" x14ac:dyDescent="0.25">
      <c r="A9" s="143">
        <v>6</v>
      </c>
      <c r="B9" s="92">
        <v>45271</v>
      </c>
      <c r="C9" s="23">
        <v>0.52569444444444446</v>
      </c>
      <c r="D9" s="31" t="s">
        <v>3348</v>
      </c>
      <c r="E9" s="32">
        <v>5535831305</v>
      </c>
      <c r="F9" s="32" t="s">
        <v>1962</v>
      </c>
      <c r="G9" s="32" t="s">
        <v>3351</v>
      </c>
      <c r="H9" s="39" t="s">
        <v>3352</v>
      </c>
      <c r="I9" s="39"/>
      <c r="J9" s="42">
        <v>117</v>
      </c>
      <c r="K9" s="20">
        <v>10</v>
      </c>
      <c r="L9" s="21"/>
      <c r="M9" s="21">
        <f t="shared" si="0"/>
        <v>127</v>
      </c>
      <c r="N9" s="21">
        <f t="shared" si="1"/>
        <v>-127</v>
      </c>
      <c r="O9" s="21"/>
      <c r="P9" s="21"/>
      <c r="Q9" s="5"/>
      <c r="R9" s="16"/>
      <c r="S9" s="16"/>
      <c r="T9" s="21">
        <f t="shared" si="2"/>
        <v>0</v>
      </c>
      <c r="U9" s="16">
        <v>10</v>
      </c>
      <c r="V9" s="78">
        <f t="shared" si="3"/>
        <v>10</v>
      </c>
      <c r="W9" s="140"/>
      <c r="X9" s="334"/>
      <c r="Y9" s="5"/>
      <c r="AC9">
        <v>3</v>
      </c>
      <c r="AD9" s="16" t="s">
        <v>167</v>
      </c>
      <c r="AE9" s="18">
        <f>+AC9*20</f>
        <v>60</v>
      </c>
      <c r="AH9" s="16" t="s">
        <v>167</v>
      </c>
      <c r="AI9" s="18">
        <f>+AG9*20</f>
        <v>0</v>
      </c>
      <c r="AK9" s="16"/>
      <c r="AL9" s="16"/>
      <c r="AN9" s="16" t="s">
        <v>167</v>
      </c>
      <c r="AO9" s="18">
        <f>+AM9*20</f>
        <v>0</v>
      </c>
    </row>
    <row r="10" spans="1:41" x14ac:dyDescent="0.25">
      <c r="A10" s="197">
        <v>7</v>
      </c>
      <c r="B10" s="198">
        <v>45271</v>
      </c>
      <c r="C10" s="255">
        <v>0.58333333333333337</v>
      </c>
      <c r="D10" s="199" t="s">
        <v>933</v>
      </c>
      <c r="E10" s="207"/>
      <c r="F10" s="207" t="s">
        <v>1806</v>
      </c>
      <c r="G10" s="207" t="s">
        <v>3147</v>
      </c>
      <c r="H10" s="202" t="s">
        <v>3356</v>
      </c>
      <c r="I10" s="203"/>
      <c r="J10" s="204">
        <v>84</v>
      </c>
      <c r="K10" s="205">
        <v>10</v>
      </c>
      <c r="L10" s="206"/>
      <c r="M10" s="206">
        <f t="shared" si="0"/>
        <v>94</v>
      </c>
      <c r="N10" s="206">
        <f t="shared" si="1"/>
        <v>-94</v>
      </c>
      <c r="O10" s="206"/>
      <c r="P10" s="206"/>
      <c r="Q10" s="208"/>
      <c r="R10" s="209"/>
      <c r="S10" s="209"/>
      <c r="T10" s="206">
        <f t="shared" si="2"/>
        <v>0</v>
      </c>
      <c r="U10" s="209">
        <v>10</v>
      </c>
      <c r="V10" s="210">
        <f t="shared" si="3"/>
        <v>10</v>
      </c>
      <c r="W10" s="140"/>
      <c r="X10" s="334"/>
      <c r="Y10" s="5"/>
      <c r="AC10">
        <v>1</v>
      </c>
      <c r="AD10" s="16" t="s">
        <v>171</v>
      </c>
      <c r="AE10" s="18">
        <f>+AC10*500</f>
        <v>500</v>
      </c>
      <c r="AH10" s="16" t="s">
        <v>171</v>
      </c>
      <c r="AI10" s="18">
        <f>+AG10*500</f>
        <v>0</v>
      </c>
      <c r="AK10" s="16"/>
      <c r="AL10" s="16"/>
      <c r="AN10" s="16" t="s">
        <v>171</v>
      </c>
      <c r="AO10" s="18">
        <f>+AM10*500</f>
        <v>0</v>
      </c>
    </row>
    <row r="11" spans="1:41" x14ac:dyDescent="0.25">
      <c r="A11" s="143">
        <v>8</v>
      </c>
      <c r="B11" s="92">
        <v>45271</v>
      </c>
      <c r="C11" s="23">
        <v>0.58333333333333337</v>
      </c>
      <c r="D11" s="31" t="s">
        <v>230</v>
      </c>
      <c r="E11" s="123">
        <v>5579996920</v>
      </c>
      <c r="F11" s="123" t="s">
        <v>2707</v>
      </c>
      <c r="G11" s="123" t="s">
        <v>922</v>
      </c>
      <c r="H11" s="39" t="s">
        <v>2704</v>
      </c>
      <c r="I11" s="122"/>
      <c r="J11" s="32">
        <v>120</v>
      </c>
      <c r="K11" s="20">
        <v>10</v>
      </c>
      <c r="L11" s="21"/>
      <c r="M11" s="21">
        <f t="shared" si="0"/>
        <v>130</v>
      </c>
      <c r="N11" s="21">
        <f t="shared" si="1"/>
        <v>-130</v>
      </c>
      <c r="O11" s="21"/>
      <c r="P11" s="21"/>
      <c r="Q11" s="5"/>
      <c r="R11" s="16"/>
      <c r="S11" s="16"/>
      <c r="T11" s="21">
        <f t="shared" si="2"/>
        <v>0</v>
      </c>
      <c r="U11" s="16">
        <v>10</v>
      </c>
      <c r="V11" s="78">
        <f t="shared" si="3"/>
        <v>10</v>
      </c>
      <c r="W11" s="140"/>
      <c r="X11" s="334"/>
      <c r="Y11" s="5"/>
      <c r="AD11" s="16" t="s">
        <v>168</v>
      </c>
      <c r="AE11" s="18">
        <f>+AC11*1000</f>
        <v>0</v>
      </c>
      <c r="AH11" s="16" t="s">
        <v>168</v>
      </c>
      <c r="AI11" s="18">
        <f>+AG11*1000</f>
        <v>0</v>
      </c>
      <c r="AK11" s="16"/>
      <c r="AL11" s="16"/>
      <c r="AN11" s="16" t="s">
        <v>168</v>
      </c>
      <c r="AO11" s="18">
        <f>+AM11*1000</f>
        <v>0</v>
      </c>
    </row>
    <row r="12" spans="1:41" x14ac:dyDescent="0.25">
      <c r="A12" s="143">
        <v>9</v>
      </c>
      <c r="B12" s="92">
        <v>45271</v>
      </c>
      <c r="C12" s="23">
        <v>0.1388888888888889</v>
      </c>
      <c r="D12" s="31" t="s">
        <v>255</v>
      </c>
      <c r="E12" s="32">
        <v>5625982564</v>
      </c>
      <c r="F12" s="32" t="s">
        <v>3359</v>
      </c>
      <c r="G12" s="32" t="s">
        <v>3357</v>
      </c>
      <c r="H12" s="39" t="s">
        <v>3355</v>
      </c>
      <c r="I12" s="39"/>
      <c r="J12" s="40">
        <v>93</v>
      </c>
      <c r="K12" s="20">
        <v>11</v>
      </c>
      <c r="L12" s="21"/>
      <c r="M12" s="21">
        <f t="shared" si="0"/>
        <v>104</v>
      </c>
      <c r="N12" s="21">
        <f t="shared" si="1"/>
        <v>-104</v>
      </c>
      <c r="O12" s="21"/>
      <c r="P12" s="21"/>
      <c r="Q12" s="5"/>
      <c r="R12" s="16">
        <v>100</v>
      </c>
      <c r="S12" s="16"/>
      <c r="T12" s="21">
        <f t="shared" si="2"/>
        <v>100</v>
      </c>
      <c r="U12" s="16">
        <v>110</v>
      </c>
      <c r="V12" s="78">
        <f t="shared" si="3"/>
        <v>10</v>
      </c>
      <c r="W12" s="140"/>
      <c r="X12" s="334"/>
      <c r="Y12" s="5"/>
      <c r="AD12" s="26"/>
      <c r="AE12" s="58"/>
      <c r="AH12" s="26"/>
      <c r="AI12" s="58"/>
      <c r="AK12" s="16"/>
      <c r="AL12" s="16"/>
      <c r="AN12" s="26"/>
      <c r="AO12" s="58"/>
    </row>
    <row r="13" spans="1:41" x14ac:dyDescent="0.25">
      <c r="A13" s="143">
        <v>10</v>
      </c>
      <c r="B13" s="92">
        <v>45271</v>
      </c>
      <c r="C13" s="23">
        <v>0.20833333333333334</v>
      </c>
      <c r="D13" s="31" t="s">
        <v>3360</v>
      </c>
      <c r="E13" s="32">
        <v>5621621129</v>
      </c>
      <c r="F13" s="32" t="s">
        <v>3366</v>
      </c>
      <c r="G13" s="32" t="s">
        <v>3363</v>
      </c>
      <c r="H13" s="39" t="s">
        <v>3367</v>
      </c>
      <c r="I13" s="122">
        <v>55</v>
      </c>
      <c r="J13" s="42">
        <v>40</v>
      </c>
      <c r="K13" s="20">
        <v>12</v>
      </c>
      <c r="L13" s="21"/>
      <c r="M13" s="21">
        <f t="shared" si="0"/>
        <v>52</v>
      </c>
      <c r="N13" s="21">
        <f t="shared" si="1"/>
        <v>3</v>
      </c>
      <c r="O13" s="21"/>
      <c r="P13" s="21"/>
      <c r="Q13" s="5"/>
      <c r="R13" s="16"/>
      <c r="S13" s="16"/>
      <c r="T13" s="21">
        <f t="shared" si="2"/>
        <v>0</v>
      </c>
      <c r="U13" s="16"/>
      <c r="V13" s="78">
        <f t="shared" si="3"/>
        <v>0</v>
      </c>
      <c r="W13" s="140"/>
      <c r="X13" s="334"/>
      <c r="Y13" s="5"/>
      <c r="AD13" s="16" t="s">
        <v>169</v>
      </c>
      <c r="AE13" s="18">
        <f>SUM(AE3:AE12)</f>
        <v>1009.6</v>
      </c>
      <c r="AH13" s="16" t="s">
        <v>169</v>
      </c>
      <c r="AI13" s="18">
        <f>SUM(AI3:AI12)</f>
        <v>0</v>
      </c>
      <c r="AK13" s="16"/>
      <c r="AL13" s="16"/>
      <c r="AN13" s="16" t="s">
        <v>169</v>
      </c>
      <c r="AO13" s="18"/>
    </row>
    <row r="14" spans="1:41" x14ac:dyDescent="0.25">
      <c r="A14" s="143">
        <v>11</v>
      </c>
      <c r="B14" s="92">
        <v>45271</v>
      </c>
      <c r="C14" s="23">
        <v>0.24930555555555556</v>
      </c>
      <c r="D14" s="31" t="s">
        <v>3361</v>
      </c>
      <c r="E14" s="124">
        <v>5545383189</v>
      </c>
      <c r="F14" s="123" t="s">
        <v>38</v>
      </c>
      <c r="G14" s="123" t="s">
        <v>3364</v>
      </c>
      <c r="H14" s="39" t="s">
        <v>3368</v>
      </c>
      <c r="I14" s="122">
        <v>50</v>
      </c>
      <c r="J14" s="42">
        <v>34</v>
      </c>
      <c r="K14" s="20">
        <v>14</v>
      </c>
      <c r="L14" s="21">
        <v>7</v>
      </c>
      <c r="M14" s="21">
        <f t="shared" si="0"/>
        <v>48</v>
      </c>
      <c r="N14" s="21">
        <f t="shared" si="1"/>
        <v>2</v>
      </c>
      <c r="O14" s="21"/>
      <c r="P14" s="21"/>
      <c r="Q14" s="5"/>
      <c r="R14" s="16"/>
      <c r="S14" s="16"/>
      <c r="T14" s="21">
        <f t="shared" si="2"/>
        <v>0</v>
      </c>
      <c r="U14" s="16"/>
      <c r="V14" s="78">
        <f t="shared" si="3"/>
        <v>0</v>
      </c>
      <c r="W14" s="140"/>
      <c r="X14" s="334"/>
      <c r="Y14" s="5"/>
      <c r="AE14">
        <v>1038</v>
      </c>
      <c r="AK14" s="16"/>
      <c r="AL14" s="16"/>
      <c r="AN14" s="16"/>
      <c r="AO14" s="16"/>
    </row>
    <row r="15" spans="1:41" x14ac:dyDescent="0.25">
      <c r="A15" s="143">
        <v>12</v>
      </c>
      <c r="B15" s="92">
        <v>45271</v>
      </c>
      <c r="C15" s="23">
        <v>0.29166666666666669</v>
      </c>
      <c r="D15" s="32" t="s">
        <v>3362</v>
      </c>
      <c r="E15" s="32">
        <v>5546768900</v>
      </c>
      <c r="F15" s="124" t="s">
        <v>52</v>
      </c>
      <c r="G15" s="124" t="s">
        <v>3365</v>
      </c>
      <c r="H15" s="39" t="s">
        <v>3369</v>
      </c>
      <c r="I15" s="39">
        <v>1200</v>
      </c>
      <c r="J15" s="42">
        <v>100</v>
      </c>
      <c r="K15" s="20">
        <v>19</v>
      </c>
      <c r="L15" s="21">
        <v>15</v>
      </c>
      <c r="M15" s="21">
        <f t="shared" si="0"/>
        <v>119</v>
      </c>
      <c r="N15" s="21">
        <f t="shared" si="1"/>
        <v>1081</v>
      </c>
      <c r="O15" s="21"/>
      <c r="P15" s="21"/>
      <c r="Q15" s="5"/>
      <c r="R15" s="45"/>
      <c r="S15" s="44"/>
      <c r="T15" s="21">
        <f t="shared" si="2"/>
        <v>0</v>
      </c>
      <c r="U15" s="45"/>
      <c r="V15" s="78">
        <f t="shared" si="3"/>
        <v>0</v>
      </c>
      <c r="W15" s="140"/>
      <c r="X15" s="334"/>
      <c r="Y15" s="5"/>
      <c r="AK15" s="63" t="s">
        <v>169</v>
      </c>
      <c r="AL15" s="63">
        <f>+SUM(AK4:AK14)-SUM(AL4:AL14)</f>
        <v>0</v>
      </c>
      <c r="AN15" s="63" t="s">
        <v>169</v>
      </c>
      <c r="AO15" s="85">
        <f>+SUM(AN3:AN14)-SUM(AO4:AO14)</f>
        <v>0</v>
      </c>
    </row>
    <row r="16" spans="1:41" x14ac:dyDescent="0.25">
      <c r="A16" s="143">
        <v>13</v>
      </c>
      <c r="B16" s="92">
        <v>45271</v>
      </c>
      <c r="C16" s="23">
        <v>0.31944444444444448</v>
      </c>
      <c r="D16" s="31" t="s">
        <v>483</v>
      </c>
      <c r="E16" s="32">
        <v>5567433665</v>
      </c>
      <c r="F16" s="32" t="s">
        <v>38</v>
      </c>
      <c r="G16" s="32" t="s">
        <v>220</v>
      </c>
      <c r="H16" s="39" t="s">
        <v>755</v>
      </c>
      <c r="I16" s="39">
        <v>100</v>
      </c>
      <c r="J16" s="42">
        <v>88</v>
      </c>
      <c r="K16" s="108">
        <v>10</v>
      </c>
      <c r="L16" s="21"/>
      <c r="M16" s="21">
        <f t="shared" si="0"/>
        <v>98</v>
      </c>
      <c r="N16" s="21">
        <f t="shared" si="1"/>
        <v>2</v>
      </c>
      <c r="O16" s="21"/>
      <c r="P16" s="21"/>
      <c r="Q16" s="5"/>
      <c r="R16" s="43"/>
      <c r="S16" s="32"/>
      <c r="T16" s="21">
        <f t="shared" si="2"/>
        <v>0</v>
      </c>
      <c r="U16" s="43"/>
      <c r="V16" s="78">
        <f t="shared" si="3"/>
        <v>0</v>
      </c>
      <c r="W16" s="140"/>
      <c r="X16" s="334"/>
      <c r="Y16" s="5"/>
      <c r="AI16" s="83"/>
    </row>
    <row r="17" spans="1:41" x14ac:dyDescent="0.25">
      <c r="A17" s="143">
        <v>14</v>
      </c>
      <c r="B17" s="92">
        <v>45271</v>
      </c>
      <c r="C17" s="23">
        <v>0.3520833333333333</v>
      </c>
      <c r="D17" s="31" t="s">
        <v>627</v>
      </c>
      <c r="E17" s="32">
        <v>5537803548</v>
      </c>
      <c r="F17" s="32" t="s">
        <v>3373</v>
      </c>
      <c r="G17" s="32" t="s">
        <v>3241</v>
      </c>
      <c r="H17" s="39" t="s">
        <v>3375</v>
      </c>
      <c r="I17" s="39">
        <v>110</v>
      </c>
      <c r="J17" s="42">
        <v>93</v>
      </c>
      <c r="K17" s="108">
        <v>14</v>
      </c>
      <c r="L17" s="21"/>
      <c r="M17" s="21">
        <f t="shared" si="0"/>
        <v>107</v>
      </c>
      <c r="N17" s="21">
        <f t="shared" si="1"/>
        <v>3</v>
      </c>
      <c r="O17" s="21"/>
      <c r="P17" s="21"/>
      <c r="Q17" s="5"/>
      <c r="R17" s="43"/>
      <c r="S17" s="43"/>
      <c r="T17" s="21">
        <f t="shared" si="2"/>
        <v>0</v>
      </c>
      <c r="U17" s="43"/>
      <c r="V17" s="78">
        <f t="shared" si="3"/>
        <v>0</v>
      </c>
      <c r="W17" s="140"/>
      <c r="X17" s="334"/>
      <c r="Y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41" x14ac:dyDescent="0.25">
      <c r="A18" s="143">
        <v>15</v>
      </c>
      <c r="B18" s="92">
        <v>45271</v>
      </c>
      <c r="C18" s="23">
        <v>0.375</v>
      </c>
      <c r="D18" s="127" t="s">
        <v>3372</v>
      </c>
      <c r="E18" s="32">
        <v>5562236073</v>
      </c>
      <c r="F18" s="32" t="s">
        <v>52</v>
      </c>
      <c r="G18" s="128" t="s">
        <v>26</v>
      </c>
      <c r="H18" s="129" t="s">
        <v>3374</v>
      </c>
      <c r="I18" s="39">
        <v>340</v>
      </c>
      <c r="J18" s="42">
        <v>315</v>
      </c>
      <c r="K18" s="108">
        <v>10</v>
      </c>
      <c r="L18" s="21">
        <v>15</v>
      </c>
      <c r="M18" s="21">
        <f t="shared" si="0"/>
        <v>325</v>
      </c>
      <c r="N18" s="21">
        <f t="shared" si="1"/>
        <v>15</v>
      </c>
      <c r="O18" s="21"/>
      <c r="P18" s="21"/>
      <c r="Q18" s="5"/>
      <c r="R18" s="43"/>
      <c r="S18" s="43"/>
      <c r="T18" s="21">
        <f t="shared" si="2"/>
        <v>0</v>
      </c>
      <c r="U18" s="43"/>
      <c r="V18" s="78">
        <f t="shared" si="3"/>
        <v>0</v>
      </c>
      <c r="W18" s="140"/>
      <c r="X18" s="334"/>
      <c r="Y18" s="5"/>
      <c r="AD18" s="5"/>
      <c r="AE18" s="134" t="s">
        <v>20</v>
      </c>
      <c r="AF18" s="338"/>
      <c r="AG18" s="341" t="s">
        <v>686</v>
      </c>
      <c r="AH18" s="134" t="s">
        <v>20</v>
      </c>
      <c r="AI18" s="338">
        <v>80</v>
      </c>
      <c r="AJ18" s="341" t="s">
        <v>687</v>
      </c>
      <c r="AK18" s="134" t="s">
        <v>20</v>
      </c>
      <c r="AL18" s="338"/>
      <c r="AM18" s="5"/>
    </row>
    <row r="19" spans="1:41" x14ac:dyDescent="0.25">
      <c r="A19" s="143">
        <v>16</v>
      </c>
      <c r="B19" s="92">
        <v>45271</v>
      </c>
      <c r="C19" s="23"/>
      <c r="D19" s="31"/>
      <c r="E19" s="32"/>
      <c r="F19" s="32"/>
      <c r="G19" s="32"/>
      <c r="H19" s="39"/>
      <c r="I19" s="39"/>
      <c r="J19" s="42"/>
      <c r="K19" s="43">
        <v>10</v>
      </c>
      <c r="L19" s="21"/>
      <c r="M19" s="21">
        <f t="shared" si="0"/>
        <v>10</v>
      </c>
      <c r="N19" s="21">
        <f t="shared" si="1"/>
        <v>-10</v>
      </c>
      <c r="O19" s="21"/>
      <c r="P19" s="21"/>
      <c r="Q19" s="5"/>
      <c r="R19" s="43"/>
      <c r="S19" s="32"/>
      <c r="T19" s="21">
        <f t="shared" si="2"/>
        <v>0</v>
      </c>
      <c r="U19" s="131"/>
      <c r="V19" s="78">
        <f t="shared" si="3"/>
        <v>0</v>
      </c>
      <c r="W19" s="140"/>
      <c r="X19" s="334"/>
      <c r="Y19" s="5"/>
      <c r="AD19" s="5" t="s">
        <v>685</v>
      </c>
      <c r="AE19" s="115" t="s">
        <v>684</v>
      </c>
      <c r="AF19" s="339"/>
      <c r="AG19" s="341"/>
      <c r="AH19" s="115" t="s">
        <v>684</v>
      </c>
      <c r="AI19" s="339"/>
      <c r="AJ19" s="341"/>
      <c r="AK19" s="115" t="s">
        <v>684</v>
      </c>
      <c r="AL19" s="339"/>
      <c r="AM19" s="5"/>
    </row>
    <row r="20" spans="1:41" x14ac:dyDescent="0.25">
      <c r="A20" s="143">
        <v>17</v>
      </c>
      <c r="B20" s="92">
        <v>45271</v>
      </c>
      <c r="C20" s="23"/>
      <c r="D20" s="31"/>
      <c r="E20" s="32"/>
      <c r="F20" s="32"/>
      <c r="G20" s="32"/>
      <c r="H20" s="39"/>
      <c r="I20" s="39"/>
      <c r="J20" s="42"/>
      <c r="K20" s="43">
        <v>10</v>
      </c>
      <c r="L20" s="21"/>
      <c r="M20" s="21">
        <f t="shared" si="0"/>
        <v>10</v>
      </c>
      <c r="N20" s="21">
        <f t="shared" si="1"/>
        <v>-10</v>
      </c>
      <c r="O20" s="21"/>
      <c r="P20" s="21"/>
      <c r="Q20" s="5"/>
      <c r="R20" s="43"/>
      <c r="S20" s="32"/>
      <c r="T20" s="21">
        <f t="shared" si="2"/>
        <v>0</v>
      </c>
      <c r="U20" s="132"/>
      <c r="V20" s="78">
        <f t="shared" si="3"/>
        <v>0</v>
      </c>
      <c r="W20" s="140"/>
      <c r="X20" s="340"/>
      <c r="Y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41" x14ac:dyDescent="0.25">
      <c r="A21" s="143">
        <v>18</v>
      </c>
      <c r="B21" s="92">
        <v>45271</v>
      </c>
      <c r="C21" s="32"/>
      <c r="D21" s="31"/>
      <c r="E21" s="32"/>
      <c r="F21" s="32"/>
      <c r="G21" s="32"/>
      <c r="H21" s="39"/>
      <c r="I21" s="39"/>
      <c r="J21" s="42"/>
      <c r="K21" s="43">
        <v>10</v>
      </c>
      <c r="L21" s="21"/>
      <c r="M21" s="21">
        <f t="shared" si="0"/>
        <v>10</v>
      </c>
      <c r="N21" s="21">
        <f t="shared" si="1"/>
        <v>-10</v>
      </c>
      <c r="O21" s="21"/>
      <c r="P21" s="21"/>
      <c r="Q21" s="5"/>
      <c r="R21" s="135"/>
      <c r="S21" s="104"/>
      <c r="T21" s="21">
        <f t="shared" si="2"/>
        <v>0</v>
      </c>
      <c r="U21" s="131"/>
      <c r="V21" s="78">
        <f t="shared" si="3"/>
        <v>0</v>
      </c>
      <c r="W21" s="140"/>
      <c r="Y21" s="5"/>
    </row>
    <row r="22" spans="1:41" x14ac:dyDescent="0.25">
      <c r="A22" s="143">
        <v>19</v>
      </c>
      <c r="B22" s="92">
        <v>45271</v>
      </c>
      <c r="C22" s="32"/>
      <c r="D22" s="31"/>
      <c r="E22" s="32"/>
      <c r="F22" s="32"/>
      <c r="G22" s="32"/>
      <c r="H22" s="39"/>
      <c r="I22" s="39"/>
      <c r="J22" s="42"/>
      <c r="K22" s="43">
        <v>10</v>
      </c>
      <c r="L22" s="21"/>
      <c r="M22" s="21">
        <f t="shared" si="0"/>
        <v>10</v>
      </c>
      <c r="N22" s="21">
        <f t="shared" si="1"/>
        <v>-10</v>
      </c>
      <c r="O22" s="21"/>
      <c r="P22" s="21"/>
      <c r="Q22" s="5"/>
      <c r="R22" s="32"/>
      <c r="S22" s="32"/>
      <c r="T22" s="21">
        <f t="shared" si="2"/>
        <v>0</v>
      </c>
      <c r="U22" s="32"/>
      <c r="V22" s="78">
        <f t="shared" si="3"/>
        <v>0</v>
      </c>
      <c r="W22" s="140"/>
      <c r="Y22" s="5"/>
    </row>
    <row r="23" spans="1:4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141"/>
      <c r="X23" s="5"/>
      <c r="Y23" s="5"/>
    </row>
    <row r="28" spans="1:41" x14ac:dyDescent="0.25">
      <c r="A28" s="1" t="s">
        <v>0</v>
      </c>
      <c r="B28" s="1"/>
      <c r="C28" s="1"/>
      <c r="D28" s="1"/>
      <c r="E28" s="1"/>
      <c r="F28" s="1"/>
      <c r="G28" s="1"/>
      <c r="H28" s="1"/>
      <c r="I28" s="1"/>
      <c r="J28" s="1" t="s">
        <v>148</v>
      </c>
      <c r="K28" s="1"/>
      <c r="L28" s="1"/>
      <c r="M28" s="1"/>
      <c r="N28" s="1"/>
      <c r="O28" s="1"/>
      <c r="P28" s="1"/>
      <c r="Q28" s="1"/>
      <c r="R28" s="1"/>
      <c r="S28" s="1"/>
      <c r="T28" s="342" t="s">
        <v>1</v>
      </c>
      <c r="U28" s="342"/>
      <c r="V28" s="5"/>
      <c r="W28" s="139"/>
      <c r="X28" s="1"/>
      <c r="Y28" s="5"/>
      <c r="AD28" s="335" t="s">
        <v>160</v>
      </c>
      <c r="AE28" s="336"/>
      <c r="AH28" s="335" t="s">
        <v>170</v>
      </c>
      <c r="AI28" s="336"/>
      <c r="AK28" s="337" t="s">
        <v>172</v>
      </c>
      <c r="AL28" s="337"/>
      <c r="AN28" s="337" t="s">
        <v>681</v>
      </c>
      <c r="AO28" s="337"/>
    </row>
    <row r="29" spans="1:41" ht="90" x14ac:dyDescent="0.25">
      <c r="A29" s="6" t="s">
        <v>2</v>
      </c>
      <c r="B29" s="7" t="s">
        <v>3</v>
      </c>
      <c r="C29" s="245" t="s">
        <v>688</v>
      </c>
      <c r="D29" s="7" t="s">
        <v>4</v>
      </c>
      <c r="E29" s="6" t="s">
        <v>5</v>
      </c>
      <c r="F29" s="6" t="s">
        <v>6</v>
      </c>
      <c r="G29" s="6" t="s">
        <v>7</v>
      </c>
      <c r="H29" s="6" t="s">
        <v>8</v>
      </c>
      <c r="I29" s="8" t="s">
        <v>9</v>
      </c>
      <c r="J29" s="9" t="s">
        <v>10</v>
      </c>
      <c r="K29" s="8" t="s">
        <v>11</v>
      </c>
      <c r="L29" s="10" t="s">
        <v>12</v>
      </c>
      <c r="M29" s="10" t="s">
        <v>13</v>
      </c>
      <c r="N29" s="11" t="s">
        <v>14</v>
      </c>
      <c r="O29" s="10" t="s">
        <v>691</v>
      </c>
      <c r="P29" s="10" t="s">
        <v>28</v>
      </c>
      <c r="Q29" s="5"/>
      <c r="R29" s="10" t="s">
        <v>16</v>
      </c>
      <c r="S29" s="10" t="s">
        <v>17</v>
      </c>
      <c r="T29" s="10" t="s">
        <v>18</v>
      </c>
      <c r="U29" s="10" t="s">
        <v>19</v>
      </c>
      <c r="V29" s="10" t="s">
        <v>20</v>
      </c>
      <c r="W29" s="13"/>
      <c r="X29" s="15" t="s">
        <v>23</v>
      </c>
      <c r="Y29" s="5"/>
      <c r="AA29" s="251" t="s">
        <v>2554</v>
      </c>
      <c r="AC29">
        <v>8</v>
      </c>
      <c r="AD29" s="16" t="s">
        <v>161</v>
      </c>
      <c r="AE29" s="58">
        <f>+AC29*10</f>
        <v>80</v>
      </c>
      <c r="AG29">
        <v>7</v>
      </c>
      <c r="AH29" s="16" t="s">
        <v>161</v>
      </c>
      <c r="AI29" s="58">
        <f>+AG29*10</f>
        <v>70</v>
      </c>
      <c r="AK29" s="61" t="s">
        <v>173</v>
      </c>
      <c r="AL29" s="62" t="s">
        <v>174</v>
      </c>
      <c r="AN29" s="16" t="s">
        <v>161</v>
      </c>
      <c r="AO29" s="58">
        <f>+AM29*10</f>
        <v>0</v>
      </c>
    </row>
    <row r="30" spans="1:41" x14ac:dyDescent="0.25">
      <c r="A30" s="16">
        <v>1</v>
      </c>
      <c r="B30" s="92">
        <v>45182</v>
      </c>
      <c r="C30" s="23">
        <v>0.57013888888888886</v>
      </c>
      <c r="D30" s="23" t="s">
        <v>3100</v>
      </c>
      <c r="E30" s="32">
        <v>5545383189</v>
      </c>
      <c r="F30" s="32" t="s">
        <v>3393</v>
      </c>
      <c r="G30" s="39" t="s">
        <v>267</v>
      </c>
      <c r="H30" s="39" t="s">
        <v>3394</v>
      </c>
      <c r="I30" s="122"/>
      <c r="J30" s="32">
        <v>260</v>
      </c>
      <c r="K30" s="20">
        <v>40</v>
      </c>
      <c r="L30" s="21"/>
      <c r="M30" s="21">
        <f t="shared" ref="M30:M48" si="4">+J30+K30</f>
        <v>300</v>
      </c>
      <c r="N30" s="21">
        <f t="shared" ref="N30:N48" si="5">+I30-M30</f>
        <v>-300</v>
      </c>
      <c r="O30" s="21"/>
      <c r="P30" s="21"/>
      <c r="Q30" s="5"/>
      <c r="R30" s="21"/>
      <c r="S30" s="16"/>
      <c r="T30" s="21">
        <f t="shared" ref="T30:T48" si="6">+R30+S30</f>
        <v>0</v>
      </c>
      <c r="U30" s="21"/>
      <c r="V30" s="78">
        <f>+U30-T30+O30+P30</f>
        <v>0</v>
      </c>
      <c r="W30" s="13"/>
      <c r="X30" s="333"/>
      <c r="Y30" s="5"/>
      <c r="AC30">
        <v>93.5</v>
      </c>
      <c r="AD30" s="59" t="s">
        <v>162</v>
      </c>
      <c r="AE30" s="18">
        <f>+AC30*1</f>
        <v>93.5</v>
      </c>
      <c r="AG30">
        <v>150</v>
      </c>
      <c r="AH30" s="59" t="s">
        <v>162</v>
      </c>
      <c r="AI30" s="18">
        <f>+AG30*1</f>
        <v>150</v>
      </c>
      <c r="AK30" s="16"/>
      <c r="AL30" s="16"/>
      <c r="AN30" s="59" t="s">
        <v>162</v>
      </c>
      <c r="AO30" s="18">
        <f>+AM30*1</f>
        <v>0</v>
      </c>
    </row>
    <row r="31" spans="1:41" x14ac:dyDescent="0.25">
      <c r="A31" s="26">
        <v>2</v>
      </c>
      <c r="B31" s="92">
        <v>45182</v>
      </c>
      <c r="C31" s="23">
        <v>0.58472222222222225</v>
      </c>
      <c r="D31" s="23" t="s">
        <v>2008</v>
      </c>
      <c r="E31" s="32">
        <v>5535975295</v>
      </c>
      <c r="F31" s="32" t="s">
        <v>145</v>
      </c>
      <c r="G31" s="32" t="s">
        <v>3392</v>
      </c>
      <c r="H31" s="39" t="s">
        <v>3395</v>
      </c>
      <c r="I31" s="122"/>
      <c r="J31" s="32">
        <v>82</v>
      </c>
      <c r="K31" s="20">
        <v>10</v>
      </c>
      <c r="L31" s="21"/>
      <c r="M31" s="21">
        <f t="shared" si="4"/>
        <v>92</v>
      </c>
      <c r="N31" s="21">
        <f t="shared" si="5"/>
        <v>-92</v>
      </c>
      <c r="O31" s="21"/>
      <c r="P31" s="21"/>
      <c r="Q31" s="5"/>
      <c r="R31" s="21"/>
      <c r="S31" s="16"/>
      <c r="T31" s="21">
        <f t="shared" si="6"/>
        <v>0</v>
      </c>
      <c r="U31" s="21"/>
      <c r="V31" s="78">
        <f t="shared" ref="V31:V48" si="7">+U31-T31+O31+P31</f>
        <v>0</v>
      </c>
      <c r="W31" s="140"/>
      <c r="X31" s="334"/>
      <c r="Y31" s="5"/>
      <c r="AC31">
        <v>46</v>
      </c>
      <c r="AD31" s="16" t="s">
        <v>163</v>
      </c>
      <c r="AE31" s="60">
        <f>+AC31*5</f>
        <v>230</v>
      </c>
      <c r="AG31">
        <v>41</v>
      </c>
      <c r="AH31" s="16" t="s">
        <v>163</v>
      </c>
      <c r="AI31" s="60">
        <f>+AG31*5</f>
        <v>205</v>
      </c>
      <c r="AK31" s="16"/>
      <c r="AL31" s="16"/>
      <c r="AN31" s="16" t="s">
        <v>163</v>
      </c>
      <c r="AO31" s="60">
        <f>+AM31*5</f>
        <v>0</v>
      </c>
    </row>
    <row r="32" spans="1:41" x14ac:dyDescent="0.25">
      <c r="A32" s="143">
        <v>3</v>
      </c>
      <c r="B32" s="142">
        <v>45182</v>
      </c>
      <c r="C32" s="23">
        <v>0.61319444444444449</v>
      </c>
      <c r="D32" s="23" t="s">
        <v>3101</v>
      </c>
      <c r="E32" s="32">
        <v>5615394688</v>
      </c>
      <c r="F32" s="32" t="s">
        <v>2707</v>
      </c>
      <c r="G32" s="32" t="s">
        <v>1548</v>
      </c>
      <c r="H32" s="39" t="s">
        <v>3396</v>
      </c>
      <c r="I32" s="122"/>
      <c r="J32" s="32">
        <v>115</v>
      </c>
      <c r="K32" s="20">
        <v>10</v>
      </c>
      <c r="L32" s="21"/>
      <c r="M32" s="21">
        <f t="shared" si="4"/>
        <v>125</v>
      </c>
      <c r="N32" s="21">
        <f t="shared" si="5"/>
        <v>-125</v>
      </c>
      <c r="O32" s="21"/>
      <c r="P32" s="21"/>
      <c r="Q32" s="5"/>
      <c r="R32" s="21"/>
      <c r="S32" s="16"/>
      <c r="T32" s="21">
        <f t="shared" si="6"/>
        <v>0</v>
      </c>
      <c r="U32" s="21"/>
      <c r="V32" s="78">
        <f t="shared" si="7"/>
        <v>0</v>
      </c>
      <c r="W32" s="140"/>
      <c r="X32" s="334"/>
      <c r="Y32" s="5"/>
      <c r="AD32" s="16" t="s">
        <v>164</v>
      </c>
      <c r="AE32" s="18">
        <f>+AC32*200</f>
        <v>0</v>
      </c>
      <c r="AG32">
        <v>1</v>
      </c>
      <c r="AH32" s="16" t="s">
        <v>164</v>
      </c>
      <c r="AI32" s="18">
        <f>+AG32*200</f>
        <v>200</v>
      </c>
      <c r="AK32" s="16"/>
      <c r="AL32" s="16"/>
      <c r="AN32" s="16" t="s">
        <v>164</v>
      </c>
      <c r="AO32" s="18">
        <f>+AM32*200</f>
        <v>0</v>
      </c>
    </row>
    <row r="33" spans="1:41" x14ac:dyDescent="0.25">
      <c r="A33" s="143">
        <v>4</v>
      </c>
      <c r="B33" s="142">
        <v>45182</v>
      </c>
      <c r="C33" s="23">
        <v>0.625</v>
      </c>
      <c r="D33" s="31" t="s">
        <v>2672</v>
      </c>
      <c r="E33" s="32">
        <v>5578861024</v>
      </c>
      <c r="F33" s="32" t="s">
        <v>3398</v>
      </c>
      <c r="G33" s="32" t="s">
        <v>1350</v>
      </c>
      <c r="H33" s="39" t="s">
        <v>3397</v>
      </c>
      <c r="I33" s="122">
        <v>200</v>
      </c>
      <c r="J33" s="32">
        <v>51</v>
      </c>
      <c r="K33" s="20">
        <v>10</v>
      </c>
      <c r="L33" s="21"/>
      <c r="M33" s="21">
        <f t="shared" si="4"/>
        <v>61</v>
      </c>
      <c r="N33" s="21">
        <f t="shared" si="5"/>
        <v>139</v>
      </c>
      <c r="O33" s="21"/>
      <c r="P33" s="21"/>
      <c r="Q33" s="5">
        <v>51</v>
      </c>
      <c r="R33" s="21">
        <v>150</v>
      </c>
      <c r="S33" s="16"/>
      <c r="T33" s="21">
        <f t="shared" si="6"/>
        <v>150</v>
      </c>
      <c r="U33" s="21">
        <v>200</v>
      </c>
      <c r="V33" s="78">
        <f t="shared" si="7"/>
        <v>50</v>
      </c>
      <c r="W33" s="140"/>
      <c r="X33" s="334"/>
      <c r="Y33" s="5"/>
      <c r="AD33" s="16" t="s">
        <v>165</v>
      </c>
      <c r="AE33" s="18">
        <f>+AC33*100</f>
        <v>0</v>
      </c>
      <c r="AG33">
        <v>2</v>
      </c>
      <c r="AH33" s="16" t="s">
        <v>165</v>
      </c>
      <c r="AI33" s="18">
        <f>+AG33*100</f>
        <v>200</v>
      </c>
      <c r="AK33" s="16"/>
      <c r="AL33" s="16"/>
      <c r="AN33" s="16" t="s">
        <v>165</v>
      </c>
      <c r="AO33" s="18">
        <f>+AM33*100</f>
        <v>0</v>
      </c>
    </row>
    <row r="34" spans="1:41" x14ac:dyDescent="0.25">
      <c r="A34" s="275">
        <v>5</v>
      </c>
      <c r="B34" s="142">
        <v>45182</v>
      </c>
      <c r="C34" s="23">
        <v>0.66249999999999998</v>
      </c>
      <c r="D34" s="31" t="s">
        <v>3116</v>
      </c>
      <c r="E34" s="32">
        <v>5563186070</v>
      </c>
      <c r="F34" s="32" t="s">
        <v>114</v>
      </c>
      <c r="G34" s="32" t="s">
        <v>2645</v>
      </c>
      <c r="H34" s="32" t="s">
        <v>3399</v>
      </c>
      <c r="I34" s="122"/>
      <c r="J34" s="32">
        <v>130</v>
      </c>
      <c r="K34" s="20">
        <v>10</v>
      </c>
      <c r="L34" s="21"/>
      <c r="M34" s="21">
        <f t="shared" si="4"/>
        <v>140</v>
      </c>
      <c r="N34" s="21">
        <f t="shared" si="5"/>
        <v>-140</v>
      </c>
      <c r="O34" s="21"/>
      <c r="P34" s="21"/>
      <c r="Q34" s="5"/>
      <c r="R34" s="16"/>
      <c r="S34" s="16"/>
      <c r="T34" s="21">
        <f t="shared" si="6"/>
        <v>0</v>
      </c>
      <c r="U34" s="21"/>
      <c r="V34" s="78">
        <f t="shared" si="7"/>
        <v>0</v>
      </c>
      <c r="W34" s="140"/>
      <c r="X34" s="334"/>
      <c r="Y34" s="5"/>
      <c r="AC34">
        <v>3</v>
      </c>
      <c r="AD34" s="16" t="s">
        <v>166</v>
      </c>
      <c r="AE34" s="18">
        <f>+AC34*50</f>
        <v>150</v>
      </c>
      <c r="AG34">
        <v>1</v>
      </c>
      <c r="AH34" s="16" t="s">
        <v>166</v>
      </c>
      <c r="AI34" s="18">
        <f>+AG34*50</f>
        <v>50</v>
      </c>
      <c r="AK34" s="16"/>
      <c r="AL34" s="16"/>
      <c r="AN34" s="16" t="s">
        <v>166</v>
      </c>
      <c r="AO34" s="18">
        <f>+AM34*50</f>
        <v>0</v>
      </c>
    </row>
    <row r="35" spans="1:41" x14ac:dyDescent="0.25">
      <c r="A35" s="143">
        <v>6</v>
      </c>
      <c r="B35" s="142">
        <v>45182</v>
      </c>
      <c r="C35" s="23">
        <v>0.16666666666666666</v>
      </c>
      <c r="D35" s="31" t="s">
        <v>921</v>
      </c>
      <c r="E35" s="32"/>
      <c r="F35" s="32" t="s">
        <v>38</v>
      </c>
      <c r="G35" s="32" t="s">
        <v>3315</v>
      </c>
      <c r="H35" s="39" t="s">
        <v>3403</v>
      </c>
      <c r="I35" s="39">
        <v>58</v>
      </c>
      <c r="J35" s="42">
        <v>52</v>
      </c>
      <c r="K35" s="20">
        <v>14</v>
      </c>
      <c r="L35" s="21"/>
      <c r="M35" s="21">
        <f t="shared" si="4"/>
        <v>66</v>
      </c>
      <c r="N35" s="21">
        <f t="shared" si="5"/>
        <v>-8</v>
      </c>
      <c r="O35" s="21"/>
      <c r="P35" s="21"/>
      <c r="Q35" s="5"/>
      <c r="R35" s="16">
        <v>200</v>
      </c>
      <c r="S35" s="16"/>
      <c r="T35" s="21">
        <f t="shared" si="6"/>
        <v>200</v>
      </c>
      <c r="U35" s="16"/>
      <c r="V35" s="78">
        <f t="shared" si="7"/>
        <v>-200</v>
      </c>
      <c r="W35" s="140"/>
      <c r="X35" s="334"/>
      <c r="Y35" s="5"/>
      <c r="AC35">
        <v>5</v>
      </c>
      <c r="AD35" s="16" t="s">
        <v>167</v>
      </c>
      <c r="AE35" s="18">
        <f>+AC35*20</f>
        <v>100</v>
      </c>
      <c r="AG35">
        <v>2</v>
      </c>
      <c r="AH35" s="16" t="s">
        <v>167</v>
      </c>
      <c r="AI35" s="18">
        <f>+AG35*20</f>
        <v>40</v>
      </c>
      <c r="AK35" s="16"/>
      <c r="AL35" s="16"/>
      <c r="AN35" s="16" t="s">
        <v>167</v>
      </c>
      <c r="AO35" s="18">
        <f>+AM35*20</f>
        <v>0</v>
      </c>
    </row>
    <row r="36" spans="1:41" x14ac:dyDescent="0.25">
      <c r="A36" s="143">
        <v>7</v>
      </c>
      <c r="B36" s="142">
        <v>45182</v>
      </c>
      <c r="C36" s="23">
        <v>0.17361111111111113</v>
      </c>
      <c r="D36" s="31" t="s">
        <v>627</v>
      </c>
      <c r="E36" s="32"/>
      <c r="F36" s="32" t="s">
        <v>3401</v>
      </c>
      <c r="G36" s="32" t="s">
        <v>2892</v>
      </c>
      <c r="H36" s="39" t="s">
        <v>3396</v>
      </c>
      <c r="I36" s="122">
        <v>125</v>
      </c>
      <c r="J36" s="42">
        <v>101</v>
      </c>
      <c r="K36" s="20">
        <v>14</v>
      </c>
      <c r="L36" s="21">
        <v>10</v>
      </c>
      <c r="M36" s="21">
        <f t="shared" si="4"/>
        <v>115</v>
      </c>
      <c r="N36" s="21">
        <f t="shared" si="5"/>
        <v>10</v>
      </c>
      <c r="O36" s="21"/>
      <c r="P36" s="21"/>
      <c r="Q36" s="5"/>
      <c r="R36" s="16"/>
      <c r="S36" s="16"/>
      <c r="T36" s="21">
        <f t="shared" si="6"/>
        <v>0</v>
      </c>
      <c r="U36" s="16"/>
      <c r="V36" s="78">
        <f t="shared" si="7"/>
        <v>0</v>
      </c>
      <c r="W36" s="140"/>
      <c r="X36" s="334"/>
      <c r="Y36" s="5"/>
      <c r="AC36">
        <v>1</v>
      </c>
      <c r="AD36" s="16" t="s">
        <v>171</v>
      </c>
      <c r="AE36" s="18">
        <f>+AC36*500</f>
        <v>500</v>
      </c>
      <c r="AG36">
        <v>1</v>
      </c>
      <c r="AH36" s="16" t="s">
        <v>171</v>
      </c>
      <c r="AI36" s="18">
        <f>+AG36*500</f>
        <v>500</v>
      </c>
      <c r="AK36" s="16"/>
      <c r="AL36" s="16"/>
      <c r="AN36" s="16" t="s">
        <v>171</v>
      </c>
      <c r="AO36" s="18">
        <f>+AM36*500</f>
        <v>0</v>
      </c>
    </row>
    <row r="37" spans="1:41" x14ac:dyDescent="0.25">
      <c r="A37" s="143">
        <v>8</v>
      </c>
      <c r="B37" s="142">
        <v>45182</v>
      </c>
      <c r="C37" s="23">
        <v>0.20833333333333334</v>
      </c>
      <c r="D37" s="31" t="s">
        <v>3400</v>
      </c>
      <c r="E37" s="123"/>
      <c r="F37" s="123" t="s">
        <v>38</v>
      </c>
      <c r="G37" s="123" t="s">
        <v>3402</v>
      </c>
      <c r="H37" s="39" t="s">
        <v>3404</v>
      </c>
      <c r="I37" s="122">
        <v>62</v>
      </c>
      <c r="J37" s="32">
        <v>52</v>
      </c>
      <c r="K37" s="20">
        <v>10</v>
      </c>
      <c r="L37" s="21"/>
      <c r="M37" s="21">
        <f t="shared" si="4"/>
        <v>62</v>
      </c>
      <c r="N37" s="21">
        <f t="shared" si="5"/>
        <v>0</v>
      </c>
      <c r="O37" s="21"/>
      <c r="P37" s="21"/>
      <c r="Q37" s="5"/>
      <c r="R37" s="16"/>
      <c r="S37" s="16"/>
      <c r="T37" s="21">
        <f t="shared" si="6"/>
        <v>0</v>
      </c>
      <c r="U37" s="16"/>
      <c r="V37" s="78">
        <f t="shared" si="7"/>
        <v>0</v>
      </c>
      <c r="W37" s="140"/>
      <c r="X37" s="334"/>
      <c r="Y37" s="5"/>
      <c r="AD37" s="16" t="s">
        <v>168</v>
      </c>
      <c r="AE37" s="18">
        <f>+AC37*1000</f>
        <v>0</v>
      </c>
      <c r="AH37" s="16" t="s">
        <v>168</v>
      </c>
      <c r="AI37" s="18">
        <f>+AG37*1000</f>
        <v>0</v>
      </c>
      <c r="AK37" s="16"/>
      <c r="AL37" s="16"/>
      <c r="AN37" s="16" t="s">
        <v>168</v>
      </c>
      <c r="AO37" s="18">
        <f>+AM37*1000</f>
        <v>0</v>
      </c>
    </row>
    <row r="38" spans="1:41" x14ac:dyDescent="0.25">
      <c r="A38" s="143">
        <v>9</v>
      </c>
      <c r="B38" s="142">
        <v>45182</v>
      </c>
      <c r="C38" s="23">
        <v>0.24930555555555556</v>
      </c>
      <c r="D38" s="31" t="s">
        <v>3405</v>
      </c>
      <c r="E38" s="32"/>
      <c r="F38" s="32" t="s">
        <v>3406</v>
      </c>
      <c r="G38" s="32" t="s">
        <v>2859</v>
      </c>
      <c r="H38" s="39" t="s">
        <v>3407</v>
      </c>
      <c r="I38" s="39">
        <v>324</v>
      </c>
      <c r="J38" s="40">
        <v>307</v>
      </c>
      <c r="K38" s="20">
        <v>23</v>
      </c>
      <c r="L38" s="21"/>
      <c r="M38" s="21">
        <f t="shared" si="4"/>
        <v>330</v>
      </c>
      <c r="N38" s="21">
        <f t="shared" si="5"/>
        <v>-6</v>
      </c>
      <c r="O38" s="21"/>
      <c r="P38" s="21"/>
      <c r="Q38" s="5"/>
      <c r="R38" s="16"/>
      <c r="S38" s="16"/>
      <c r="T38" s="21">
        <f t="shared" si="6"/>
        <v>0</v>
      </c>
      <c r="U38" s="16"/>
      <c r="V38" s="78">
        <f t="shared" si="7"/>
        <v>0</v>
      </c>
      <c r="W38" s="140"/>
      <c r="X38" s="334"/>
      <c r="Y38" s="5"/>
      <c r="AD38" s="26"/>
      <c r="AE38" s="58"/>
      <c r="AH38" s="26"/>
      <c r="AI38" s="58"/>
      <c r="AK38" s="16"/>
      <c r="AL38" s="16"/>
      <c r="AN38" s="26"/>
      <c r="AO38" s="58"/>
    </row>
    <row r="39" spans="1:41" x14ac:dyDescent="0.25">
      <c r="A39" s="143">
        <v>10</v>
      </c>
      <c r="B39" s="142">
        <v>45182</v>
      </c>
      <c r="C39" s="23">
        <v>0.27083333333333331</v>
      </c>
      <c r="D39" s="31" t="s">
        <v>149</v>
      </c>
      <c r="E39" s="32"/>
      <c r="F39" s="32" t="s">
        <v>52</v>
      </c>
      <c r="G39" s="32" t="s">
        <v>2411</v>
      </c>
      <c r="H39" s="39" t="s">
        <v>3408</v>
      </c>
      <c r="I39" s="122">
        <v>80</v>
      </c>
      <c r="J39" s="42">
        <v>77</v>
      </c>
      <c r="K39" s="20">
        <v>11</v>
      </c>
      <c r="L39" s="21">
        <v>8</v>
      </c>
      <c r="M39" s="21">
        <f t="shared" si="4"/>
        <v>88</v>
      </c>
      <c r="N39" s="21">
        <f t="shared" si="5"/>
        <v>-8</v>
      </c>
      <c r="O39" s="21"/>
      <c r="P39" s="21"/>
      <c r="Q39" s="5"/>
      <c r="R39" s="16"/>
      <c r="S39" s="16"/>
      <c r="T39" s="21">
        <f t="shared" si="6"/>
        <v>0</v>
      </c>
      <c r="U39" s="16"/>
      <c r="V39" s="78">
        <f t="shared" si="7"/>
        <v>0</v>
      </c>
      <c r="W39" s="140"/>
      <c r="X39" s="334"/>
      <c r="Y39" s="5"/>
      <c r="AD39" s="16" t="s">
        <v>169</v>
      </c>
      <c r="AE39" s="18">
        <f>SUM(AE29:AE38)</f>
        <v>1153.5</v>
      </c>
      <c r="AH39" s="16" t="s">
        <v>169</v>
      </c>
      <c r="AI39" s="18">
        <f>SUM(AI29:AI38)</f>
        <v>1415</v>
      </c>
      <c r="AK39" s="16"/>
      <c r="AL39" s="16"/>
      <c r="AN39" s="16" t="s">
        <v>169</v>
      </c>
      <c r="AO39" s="18"/>
    </row>
    <row r="40" spans="1:41" x14ac:dyDescent="0.25">
      <c r="A40" s="143">
        <v>11</v>
      </c>
      <c r="B40" s="142">
        <v>45182</v>
      </c>
      <c r="C40" s="23">
        <v>0.29166666666666669</v>
      </c>
      <c r="D40" s="31" t="s">
        <v>627</v>
      </c>
      <c r="E40" s="124"/>
      <c r="F40" s="123" t="s">
        <v>52</v>
      </c>
      <c r="G40" s="123" t="s">
        <v>3241</v>
      </c>
      <c r="H40" s="39" t="s">
        <v>3409</v>
      </c>
      <c r="I40" s="122">
        <v>500</v>
      </c>
      <c r="J40" s="42">
        <v>268</v>
      </c>
      <c r="K40" s="20">
        <v>12</v>
      </c>
      <c r="L40" s="21">
        <v>15</v>
      </c>
      <c r="M40" s="21">
        <f t="shared" si="4"/>
        <v>280</v>
      </c>
      <c r="N40" s="21">
        <f t="shared" si="5"/>
        <v>220</v>
      </c>
      <c r="O40" s="21"/>
      <c r="P40" s="21"/>
      <c r="Q40" s="5"/>
      <c r="R40" s="16"/>
      <c r="S40" s="16"/>
      <c r="T40" s="21">
        <f t="shared" si="6"/>
        <v>0</v>
      </c>
      <c r="U40" s="16"/>
      <c r="V40" s="78">
        <f t="shared" si="7"/>
        <v>0</v>
      </c>
      <c r="W40" s="140"/>
      <c r="X40" s="334"/>
      <c r="Y40" s="5"/>
      <c r="AK40" s="16"/>
      <c r="AL40" s="16"/>
      <c r="AN40" s="16"/>
      <c r="AO40" s="16"/>
    </row>
    <row r="41" spans="1:41" x14ac:dyDescent="0.25">
      <c r="A41" s="143">
        <v>12</v>
      </c>
      <c r="B41" s="142">
        <v>45182</v>
      </c>
      <c r="C41" s="23">
        <v>0.40625</v>
      </c>
      <c r="D41" s="32" t="s">
        <v>3410</v>
      </c>
      <c r="E41" s="32"/>
      <c r="F41" s="124" t="s">
        <v>52</v>
      </c>
      <c r="G41" s="123" t="s">
        <v>3411</v>
      </c>
      <c r="H41" s="39"/>
      <c r="I41" s="39">
        <v>76</v>
      </c>
      <c r="J41" s="42">
        <v>57</v>
      </c>
      <c r="K41" s="20">
        <v>12</v>
      </c>
      <c r="L41" s="21">
        <v>7</v>
      </c>
      <c r="M41" s="21">
        <f t="shared" si="4"/>
        <v>69</v>
      </c>
      <c r="N41" s="21">
        <f t="shared" si="5"/>
        <v>7</v>
      </c>
      <c r="O41" s="21"/>
      <c r="P41" s="21"/>
      <c r="Q41" s="5"/>
      <c r="R41" s="45"/>
      <c r="S41" s="44"/>
      <c r="T41" s="21">
        <f t="shared" si="6"/>
        <v>0</v>
      </c>
      <c r="U41" s="45"/>
      <c r="V41" s="78">
        <f t="shared" si="7"/>
        <v>0</v>
      </c>
      <c r="W41" s="140"/>
      <c r="X41" s="334"/>
      <c r="Y41" s="5"/>
      <c r="AK41" s="63" t="s">
        <v>169</v>
      </c>
      <c r="AL41" s="63">
        <f>+SUM(AK30:AK40)-SUM(AL30:AL40)</f>
        <v>0</v>
      </c>
      <c r="AN41" s="63" t="s">
        <v>169</v>
      </c>
      <c r="AO41" s="85">
        <f>+SUM(AN29:AN40)-SUM(AO30:AO40)</f>
        <v>0</v>
      </c>
    </row>
    <row r="42" spans="1:41" x14ac:dyDescent="0.25">
      <c r="A42" s="143">
        <v>13</v>
      </c>
      <c r="B42" s="142">
        <v>45182</v>
      </c>
      <c r="C42" s="23"/>
      <c r="D42" s="31"/>
      <c r="E42" s="32"/>
      <c r="F42" s="32"/>
      <c r="G42" s="32"/>
      <c r="H42" s="39"/>
      <c r="I42" s="39"/>
      <c r="J42" s="42"/>
      <c r="K42" s="108">
        <v>10</v>
      </c>
      <c r="L42" s="21"/>
      <c r="M42" s="21">
        <f t="shared" si="4"/>
        <v>10</v>
      </c>
      <c r="N42" s="21">
        <f t="shared" si="5"/>
        <v>-10</v>
      </c>
      <c r="O42" s="21"/>
      <c r="P42" s="21"/>
      <c r="Q42" s="5"/>
      <c r="R42" s="43"/>
      <c r="S42" s="32"/>
      <c r="T42" s="21">
        <f t="shared" si="6"/>
        <v>0</v>
      </c>
      <c r="U42" s="43"/>
      <c r="V42" s="78">
        <f t="shared" si="7"/>
        <v>0</v>
      </c>
      <c r="W42" s="140"/>
      <c r="X42" s="334"/>
      <c r="Y42" s="5"/>
      <c r="AI42" s="83"/>
    </row>
    <row r="43" spans="1:41" x14ac:dyDescent="0.25">
      <c r="A43" s="143">
        <v>14</v>
      </c>
      <c r="B43" s="142">
        <v>45182</v>
      </c>
      <c r="C43" s="23"/>
      <c r="D43" s="31"/>
      <c r="E43" s="32"/>
      <c r="F43" s="32"/>
      <c r="G43" s="32"/>
      <c r="H43" s="39"/>
      <c r="I43" s="39"/>
      <c r="J43" s="42"/>
      <c r="K43" s="108">
        <v>10</v>
      </c>
      <c r="L43" s="21"/>
      <c r="M43" s="21">
        <f t="shared" si="4"/>
        <v>10</v>
      </c>
      <c r="N43" s="21">
        <f t="shared" si="5"/>
        <v>-10</v>
      </c>
      <c r="O43" s="21"/>
      <c r="P43" s="21"/>
      <c r="Q43" s="5"/>
      <c r="R43" s="43"/>
      <c r="S43" s="43"/>
      <c r="T43" s="21">
        <f t="shared" si="6"/>
        <v>0</v>
      </c>
      <c r="U43" s="43"/>
      <c r="V43" s="78">
        <f t="shared" si="7"/>
        <v>0</v>
      </c>
      <c r="W43" s="140"/>
      <c r="X43" s="334"/>
      <c r="Y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41" x14ac:dyDescent="0.25">
      <c r="A44" s="143">
        <v>15</v>
      </c>
      <c r="B44" s="142">
        <v>45182</v>
      </c>
      <c r="C44" s="23"/>
      <c r="D44" s="127"/>
      <c r="E44" s="32"/>
      <c r="F44" s="32"/>
      <c r="G44" s="128"/>
      <c r="H44" s="129"/>
      <c r="I44" s="39"/>
      <c r="J44" s="42"/>
      <c r="K44" s="108">
        <v>10</v>
      </c>
      <c r="L44" s="21"/>
      <c r="M44" s="21">
        <f t="shared" si="4"/>
        <v>10</v>
      </c>
      <c r="N44" s="21">
        <f t="shared" si="5"/>
        <v>-10</v>
      </c>
      <c r="O44" s="21"/>
      <c r="P44" s="21"/>
      <c r="Q44" s="5"/>
      <c r="R44" s="43"/>
      <c r="S44" s="43"/>
      <c r="T44" s="21">
        <f t="shared" si="6"/>
        <v>0</v>
      </c>
      <c r="U44" s="43"/>
      <c r="V44" s="78">
        <f t="shared" si="7"/>
        <v>0</v>
      </c>
      <c r="W44" s="140"/>
      <c r="X44" s="334"/>
      <c r="Y44" s="5"/>
      <c r="AD44" s="5"/>
      <c r="AE44" s="134" t="s">
        <v>20</v>
      </c>
      <c r="AF44" s="338"/>
      <c r="AG44" s="341" t="s">
        <v>686</v>
      </c>
      <c r="AH44" s="134" t="s">
        <v>20</v>
      </c>
      <c r="AI44" s="338"/>
      <c r="AJ44" s="341" t="s">
        <v>687</v>
      </c>
      <c r="AK44" s="134" t="s">
        <v>20</v>
      </c>
      <c r="AL44" s="338"/>
      <c r="AM44" s="5"/>
    </row>
    <row r="45" spans="1:41" x14ac:dyDescent="0.25">
      <c r="A45" s="143">
        <v>16</v>
      </c>
      <c r="B45" s="142">
        <v>45182</v>
      </c>
      <c r="C45" s="23"/>
      <c r="D45" s="31"/>
      <c r="E45" s="32"/>
      <c r="F45" s="32"/>
      <c r="G45" s="32"/>
      <c r="H45" s="39"/>
      <c r="I45" s="39"/>
      <c r="J45" s="42"/>
      <c r="K45" s="43">
        <v>10</v>
      </c>
      <c r="L45" s="21"/>
      <c r="M45" s="21">
        <f t="shared" si="4"/>
        <v>10</v>
      </c>
      <c r="N45" s="21">
        <f t="shared" si="5"/>
        <v>-10</v>
      </c>
      <c r="O45" s="21"/>
      <c r="P45" s="21"/>
      <c r="Q45" s="5"/>
      <c r="R45" s="43"/>
      <c r="S45" s="32"/>
      <c r="T45" s="21">
        <f t="shared" si="6"/>
        <v>0</v>
      </c>
      <c r="U45" s="131"/>
      <c r="V45" s="78">
        <f t="shared" si="7"/>
        <v>0</v>
      </c>
      <c r="W45" s="140"/>
      <c r="X45" s="334"/>
      <c r="Y45" s="5"/>
      <c r="AD45" s="5" t="s">
        <v>685</v>
      </c>
      <c r="AE45" s="115" t="s">
        <v>684</v>
      </c>
      <c r="AF45" s="339"/>
      <c r="AG45" s="341"/>
      <c r="AH45" s="115" t="s">
        <v>684</v>
      </c>
      <c r="AI45" s="339"/>
      <c r="AJ45" s="341"/>
      <c r="AK45" s="115" t="s">
        <v>684</v>
      </c>
      <c r="AL45" s="339"/>
      <c r="AM45" s="5"/>
    </row>
    <row r="46" spans="1:41" x14ac:dyDescent="0.25">
      <c r="A46" s="143">
        <v>17</v>
      </c>
      <c r="B46" s="142">
        <v>45182</v>
      </c>
      <c r="C46" s="23"/>
      <c r="D46" s="31"/>
      <c r="E46" s="32"/>
      <c r="F46" s="32"/>
      <c r="G46" s="32"/>
      <c r="H46" s="39"/>
      <c r="I46" s="39"/>
      <c r="J46" s="42"/>
      <c r="K46" s="43">
        <v>10</v>
      </c>
      <c r="L46" s="21"/>
      <c r="M46" s="21">
        <f t="shared" si="4"/>
        <v>10</v>
      </c>
      <c r="N46" s="21">
        <f t="shared" si="5"/>
        <v>-10</v>
      </c>
      <c r="O46" s="21"/>
      <c r="P46" s="21"/>
      <c r="Q46" s="5"/>
      <c r="R46" s="43"/>
      <c r="S46" s="32"/>
      <c r="T46" s="21">
        <f t="shared" si="6"/>
        <v>0</v>
      </c>
      <c r="U46" s="132"/>
      <c r="V46" s="78">
        <f t="shared" si="7"/>
        <v>0</v>
      </c>
      <c r="W46" s="140"/>
      <c r="X46" s="340"/>
      <c r="Y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41" x14ac:dyDescent="0.25">
      <c r="A47" s="143">
        <v>18</v>
      </c>
      <c r="B47" s="142">
        <v>45182</v>
      </c>
      <c r="C47" s="32"/>
      <c r="D47" s="31"/>
      <c r="E47" s="32"/>
      <c r="F47" s="32"/>
      <c r="G47" s="32"/>
      <c r="H47" s="39"/>
      <c r="I47" s="39"/>
      <c r="J47" s="42"/>
      <c r="K47" s="43">
        <v>10</v>
      </c>
      <c r="L47" s="21"/>
      <c r="M47" s="21">
        <f t="shared" si="4"/>
        <v>10</v>
      </c>
      <c r="N47" s="21">
        <f t="shared" si="5"/>
        <v>-10</v>
      </c>
      <c r="O47" s="21"/>
      <c r="P47" s="21"/>
      <c r="Q47" s="5"/>
      <c r="R47" s="135"/>
      <c r="S47" s="104"/>
      <c r="T47" s="21">
        <f t="shared" si="6"/>
        <v>0</v>
      </c>
      <c r="U47" s="131"/>
      <c r="V47" s="78">
        <f t="shared" si="7"/>
        <v>0</v>
      </c>
      <c r="W47" s="140"/>
      <c r="Y47" s="5"/>
    </row>
    <row r="48" spans="1:41" x14ac:dyDescent="0.25">
      <c r="A48" s="143">
        <v>19</v>
      </c>
      <c r="B48" s="142">
        <v>45182</v>
      </c>
      <c r="C48" s="32"/>
      <c r="D48" s="31"/>
      <c r="E48" s="32"/>
      <c r="F48" s="32"/>
      <c r="G48" s="32"/>
      <c r="H48" s="39"/>
      <c r="I48" s="39"/>
      <c r="J48" s="42"/>
      <c r="K48" s="43">
        <v>10</v>
      </c>
      <c r="L48" s="21"/>
      <c r="M48" s="21">
        <f t="shared" si="4"/>
        <v>10</v>
      </c>
      <c r="N48" s="21">
        <f t="shared" si="5"/>
        <v>-10</v>
      </c>
      <c r="O48" s="21"/>
      <c r="P48" s="21"/>
      <c r="Q48" s="5"/>
      <c r="R48" s="32"/>
      <c r="S48" s="32"/>
      <c r="T48" s="21">
        <f t="shared" si="6"/>
        <v>0</v>
      </c>
      <c r="U48" s="32"/>
      <c r="V48" s="78">
        <f t="shared" si="7"/>
        <v>0</v>
      </c>
      <c r="W48" s="140"/>
      <c r="Y48" s="5"/>
    </row>
    <row r="49" spans="1:4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141"/>
      <c r="X49" s="5"/>
      <c r="Y49" s="5"/>
    </row>
    <row r="53" spans="1:41" x14ac:dyDescent="0.25">
      <c r="A53" t="s">
        <v>3433</v>
      </c>
      <c r="D53">
        <v>98</v>
      </c>
    </row>
    <row r="55" spans="1:41" x14ac:dyDescent="0.25">
      <c r="A55" s="1" t="s">
        <v>0</v>
      </c>
      <c r="B55" s="1"/>
      <c r="C55" s="1"/>
      <c r="D55" s="1"/>
      <c r="E55" s="1"/>
      <c r="F55" s="1"/>
      <c r="G55" s="1"/>
      <c r="H55" s="1"/>
      <c r="I55" s="1"/>
      <c r="J55" s="1" t="s">
        <v>148</v>
      </c>
      <c r="K55" s="1"/>
      <c r="L55" s="1"/>
      <c r="M55" s="1"/>
      <c r="N55" s="1"/>
      <c r="O55" s="1"/>
      <c r="P55" s="1"/>
      <c r="Q55" s="1"/>
      <c r="R55" s="1"/>
      <c r="S55" s="1"/>
      <c r="T55" s="342" t="s">
        <v>1</v>
      </c>
      <c r="U55" s="342"/>
      <c r="V55" s="5"/>
      <c r="W55" s="139"/>
      <c r="X55" s="1"/>
      <c r="Y55" s="5"/>
      <c r="AD55" s="335" t="s">
        <v>160</v>
      </c>
      <c r="AE55" s="336"/>
      <c r="AH55" s="335" t="s">
        <v>170</v>
      </c>
      <c r="AI55" s="336"/>
      <c r="AK55" s="337" t="s">
        <v>172</v>
      </c>
      <c r="AL55" s="337"/>
      <c r="AN55" s="337" t="s">
        <v>681</v>
      </c>
      <c r="AO55" s="337"/>
    </row>
    <row r="56" spans="1:41" ht="90" x14ac:dyDescent="0.25">
      <c r="A56" s="6" t="s">
        <v>2</v>
      </c>
      <c r="B56" s="7" t="s">
        <v>3</v>
      </c>
      <c r="C56" s="245" t="s">
        <v>688</v>
      </c>
      <c r="D56" s="7" t="s">
        <v>4</v>
      </c>
      <c r="E56" s="6" t="s">
        <v>5</v>
      </c>
      <c r="F56" s="6" t="s">
        <v>6</v>
      </c>
      <c r="G56" s="6" t="s">
        <v>7</v>
      </c>
      <c r="H56" s="6" t="s">
        <v>8</v>
      </c>
      <c r="I56" s="8" t="s">
        <v>9</v>
      </c>
      <c r="J56" s="9" t="s">
        <v>10</v>
      </c>
      <c r="K56" s="8" t="s">
        <v>11</v>
      </c>
      <c r="L56" s="10" t="s">
        <v>12</v>
      </c>
      <c r="M56" s="10" t="s">
        <v>13</v>
      </c>
      <c r="N56" s="11" t="s">
        <v>14</v>
      </c>
      <c r="O56" s="10" t="s">
        <v>691</v>
      </c>
      <c r="P56" s="10" t="s">
        <v>28</v>
      </c>
      <c r="Q56" s="5"/>
      <c r="R56" s="10" t="s">
        <v>16</v>
      </c>
      <c r="S56" s="10" t="s">
        <v>17</v>
      </c>
      <c r="T56" s="10" t="s">
        <v>18</v>
      </c>
      <c r="U56" s="10" t="s">
        <v>19</v>
      </c>
      <c r="V56" s="10" t="s">
        <v>20</v>
      </c>
      <c r="W56" s="13"/>
      <c r="X56" s="15" t="s">
        <v>23</v>
      </c>
      <c r="Y56" s="5"/>
      <c r="AA56" s="251" t="s">
        <v>2554</v>
      </c>
      <c r="AC56">
        <v>2</v>
      </c>
      <c r="AD56" s="16" t="s">
        <v>161</v>
      </c>
      <c r="AE56" s="58">
        <f>+AC56*10</f>
        <v>20</v>
      </c>
      <c r="AG56">
        <v>16</v>
      </c>
      <c r="AH56" s="16" t="s">
        <v>161</v>
      </c>
      <c r="AI56" s="58">
        <f>+AG56*10</f>
        <v>160</v>
      </c>
      <c r="AK56" s="61" t="s">
        <v>173</v>
      </c>
      <c r="AL56" s="62" t="s">
        <v>174</v>
      </c>
      <c r="AN56" s="16" t="s">
        <v>161</v>
      </c>
      <c r="AO56" s="58">
        <f>+AM56*10</f>
        <v>0</v>
      </c>
    </row>
    <row r="57" spans="1:41" x14ac:dyDescent="0.25">
      <c r="A57" s="16">
        <v>1</v>
      </c>
      <c r="B57" s="92">
        <v>45273</v>
      </c>
      <c r="C57" s="23">
        <v>0.43124999999999997</v>
      </c>
      <c r="D57" s="31" t="s">
        <v>3412</v>
      </c>
      <c r="E57" s="32">
        <v>5567561157</v>
      </c>
      <c r="F57" s="32" t="s">
        <v>242</v>
      </c>
      <c r="G57" s="39" t="s">
        <v>3413</v>
      </c>
      <c r="H57" s="39" t="s">
        <v>3414</v>
      </c>
      <c r="I57" s="122">
        <v>100</v>
      </c>
      <c r="J57" s="32">
        <v>70</v>
      </c>
      <c r="K57" s="20">
        <v>10</v>
      </c>
      <c r="L57" s="21"/>
      <c r="M57" s="21">
        <f t="shared" ref="M57:M75" si="8">+J57+K57</f>
        <v>80</v>
      </c>
      <c r="N57" s="21">
        <f t="shared" ref="N57:N75" si="9">+I57-M57</f>
        <v>20</v>
      </c>
      <c r="O57" s="21"/>
      <c r="P57" s="21"/>
      <c r="Q57" s="5"/>
      <c r="R57" s="21">
        <v>100</v>
      </c>
      <c r="S57" s="16"/>
      <c r="T57" s="21">
        <f t="shared" ref="T57:T75" si="10">+R57+S57</f>
        <v>100</v>
      </c>
      <c r="U57" s="21">
        <v>110</v>
      </c>
      <c r="V57" s="78">
        <f>+U57-T57+O57+P57</f>
        <v>10</v>
      </c>
      <c r="W57" s="13"/>
      <c r="X57" s="333"/>
      <c r="Y57" s="5"/>
      <c r="AC57">
        <v>113</v>
      </c>
      <c r="AD57" s="59" t="s">
        <v>162</v>
      </c>
      <c r="AE57" s="18">
        <f>+AC57*1</f>
        <v>113</v>
      </c>
      <c r="AG57">
        <v>140</v>
      </c>
      <c r="AH57" s="59" t="s">
        <v>162</v>
      </c>
      <c r="AI57" s="18">
        <f>+AG57*1</f>
        <v>140</v>
      </c>
      <c r="AK57" s="16">
        <v>798</v>
      </c>
      <c r="AL57" s="16"/>
      <c r="AN57" s="59" t="s">
        <v>162</v>
      </c>
      <c r="AO57" s="18">
        <f>+AM57*1</f>
        <v>0</v>
      </c>
    </row>
    <row r="58" spans="1:41" x14ac:dyDescent="0.25">
      <c r="A58" s="26">
        <v>2</v>
      </c>
      <c r="B58" s="92">
        <v>45273</v>
      </c>
      <c r="C58" s="23">
        <v>0.4770833333333333</v>
      </c>
      <c r="D58" s="31" t="s">
        <v>3415</v>
      </c>
      <c r="E58" s="32">
        <v>5546392505</v>
      </c>
      <c r="F58" s="32" t="s">
        <v>1806</v>
      </c>
      <c r="G58" s="32">
        <v>844</v>
      </c>
      <c r="H58" s="39" t="s">
        <v>3299</v>
      </c>
      <c r="I58" s="122">
        <v>134</v>
      </c>
      <c r="J58" s="32">
        <v>114</v>
      </c>
      <c r="K58" s="20">
        <v>10</v>
      </c>
      <c r="L58" s="21">
        <v>10</v>
      </c>
      <c r="M58" s="21">
        <f t="shared" si="8"/>
        <v>124</v>
      </c>
      <c r="N58" s="21">
        <f t="shared" si="9"/>
        <v>10</v>
      </c>
      <c r="O58" s="21">
        <v>134</v>
      </c>
      <c r="P58" s="21"/>
      <c r="Q58" s="5"/>
      <c r="R58" s="21">
        <v>150</v>
      </c>
      <c r="S58" s="16"/>
      <c r="T58" s="21">
        <f t="shared" si="10"/>
        <v>150</v>
      </c>
      <c r="U58" s="21">
        <v>36</v>
      </c>
      <c r="V58" s="78">
        <f t="shared" ref="V58:V75" si="11">+U58-T58+O58+P58</f>
        <v>20</v>
      </c>
      <c r="W58" s="140"/>
      <c r="X58" s="334"/>
      <c r="Y58" s="5"/>
      <c r="AA58" t="s">
        <v>2990</v>
      </c>
      <c r="AC58">
        <v>28</v>
      </c>
      <c r="AD58" s="16" t="s">
        <v>163</v>
      </c>
      <c r="AE58" s="60">
        <f>+AC58*5</f>
        <v>140</v>
      </c>
      <c r="AG58">
        <v>43</v>
      </c>
      <c r="AH58" s="16" t="s">
        <v>163</v>
      </c>
      <c r="AI58" s="60">
        <f>+AG58*5</f>
        <v>215</v>
      </c>
      <c r="AK58" s="16"/>
      <c r="AL58" s="16"/>
      <c r="AN58" s="16" t="s">
        <v>163</v>
      </c>
      <c r="AO58" s="60">
        <f>+AM58*5</f>
        <v>0</v>
      </c>
    </row>
    <row r="59" spans="1:41" x14ac:dyDescent="0.25">
      <c r="A59" s="143">
        <v>3</v>
      </c>
      <c r="B59" s="92">
        <v>45273</v>
      </c>
      <c r="C59" s="23">
        <v>0.49791666666666662</v>
      </c>
      <c r="D59" s="31" t="s">
        <v>24</v>
      </c>
      <c r="E59" s="32">
        <v>5562236073</v>
      </c>
      <c r="F59" s="32" t="s">
        <v>2939</v>
      </c>
      <c r="G59" s="32" t="s">
        <v>3346</v>
      </c>
      <c r="H59" s="39" t="s">
        <v>3416</v>
      </c>
      <c r="I59" s="122">
        <v>100</v>
      </c>
      <c r="J59" s="32">
        <v>78</v>
      </c>
      <c r="K59" s="20">
        <v>10</v>
      </c>
      <c r="L59" s="21"/>
      <c r="M59" s="21">
        <f t="shared" si="8"/>
        <v>88</v>
      </c>
      <c r="N59" s="21">
        <f t="shared" si="9"/>
        <v>12</v>
      </c>
      <c r="O59" s="21"/>
      <c r="P59" s="21"/>
      <c r="Q59" s="5"/>
      <c r="R59" s="21">
        <v>200</v>
      </c>
      <c r="S59" s="16"/>
      <c r="T59" s="21">
        <f t="shared" si="10"/>
        <v>200</v>
      </c>
      <c r="U59" s="21">
        <v>210</v>
      </c>
      <c r="V59" s="78">
        <f t="shared" si="11"/>
        <v>10</v>
      </c>
      <c r="W59" s="140"/>
      <c r="X59" s="334"/>
      <c r="Y59" s="5"/>
      <c r="AC59">
        <v>2</v>
      </c>
      <c r="AD59" s="16" t="s">
        <v>164</v>
      </c>
      <c r="AE59" s="18">
        <f>+AC59*200</f>
        <v>400</v>
      </c>
      <c r="AG59">
        <v>1</v>
      </c>
      <c r="AH59" s="16" t="s">
        <v>164</v>
      </c>
      <c r="AI59" s="18">
        <f>+AG59*200</f>
        <v>200</v>
      </c>
      <c r="AK59" s="16"/>
      <c r="AL59" s="16"/>
      <c r="AN59" s="16" t="s">
        <v>164</v>
      </c>
      <c r="AO59" s="18">
        <f>+AM59*200</f>
        <v>0</v>
      </c>
    </row>
    <row r="60" spans="1:41" x14ac:dyDescent="0.25">
      <c r="A60" s="143">
        <v>4</v>
      </c>
      <c r="B60" s="92">
        <v>45273</v>
      </c>
      <c r="C60" s="23">
        <v>0.52500000000000002</v>
      </c>
      <c r="D60" s="31" t="s">
        <v>3417</v>
      </c>
      <c r="E60" s="32">
        <v>5563186070</v>
      </c>
      <c r="F60" s="32" t="s">
        <v>114</v>
      </c>
      <c r="G60" s="32" t="s">
        <v>3419</v>
      </c>
      <c r="H60" s="39" t="s">
        <v>3420</v>
      </c>
      <c r="I60" s="122"/>
      <c r="J60" s="32">
        <f>71+35+34</f>
        <v>140</v>
      </c>
      <c r="K60" s="20">
        <v>10</v>
      </c>
      <c r="L60" s="21">
        <v>17</v>
      </c>
      <c r="M60" s="21">
        <f t="shared" si="8"/>
        <v>150</v>
      </c>
      <c r="N60" s="21">
        <f t="shared" si="9"/>
        <v>-150</v>
      </c>
      <c r="O60" s="21"/>
      <c r="P60" s="21"/>
      <c r="Q60" s="5"/>
      <c r="R60" s="21"/>
      <c r="S60" s="16"/>
      <c r="T60" s="21"/>
      <c r="U60" s="21">
        <v>27</v>
      </c>
      <c r="V60" s="78">
        <f t="shared" si="11"/>
        <v>27</v>
      </c>
      <c r="W60" s="140"/>
      <c r="X60" s="334"/>
      <c r="Y60" s="5"/>
      <c r="AA60" t="s">
        <v>483</v>
      </c>
      <c r="AB60">
        <v>75</v>
      </c>
      <c r="AC60">
        <v>2</v>
      </c>
      <c r="AD60" s="16" t="s">
        <v>165</v>
      </c>
      <c r="AE60" s="18">
        <f>+AC60*100</f>
        <v>200</v>
      </c>
      <c r="AG60">
        <v>1</v>
      </c>
      <c r="AH60" s="16" t="s">
        <v>165</v>
      </c>
      <c r="AI60" s="18">
        <f>+AG60*100</f>
        <v>100</v>
      </c>
      <c r="AK60" s="16"/>
      <c r="AL60" s="16"/>
      <c r="AN60" s="16" t="s">
        <v>165</v>
      </c>
      <c r="AO60" s="18">
        <f>+AM60*100</f>
        <v>0</v>
      </c>
    </row>
    <row r="61" spans="1:41" x14ac:dyDescent="0.25">
      <c r="A61" s="143">
        <v>5</v>
      </c>
      <c r="B61" s="92">
        <v>45273</v>
      </c>
      <c r="C61" s="23">
        <v>0.53680555555555554</v>
      </c>
      <c r="D61" s="31" t="s">
        <v>913</v>
      </c>
      <c r="E61" s="32">
        <v>5530508709</v>
      </c>
      <c r="F61" s="32" t="s">
        <v>114</v>
      </c>
      <c r="G61" s="32" t="s">
        <v>3422</v>
      </c>
      <c r="H61" s="39" t="s">
        <v>3421</v>
      </c>
      <c r="I61" s="39">
        <v>200</v>
      </c>
      <c r="J61" s="32">
        <v>113</v>
      </c>
      <c r="K61" s="20">
        <v>10</v>
      </c>
      <c r="L61" s="21"/>
      <c r="M61" s="21">
        <f t="shared" si="8"/>
        <v>123</v>
      </c>
      <c r="N61" s="21">
        <f t="shared" si="9"/>
        <v>77</v>
      </c>
      <c r="O61" s="21">
        <v>123</v>
      </c>
      <c r="P61" s="21"/>
      <c r="Q61" s="5"/>
      <c r="R61" s="16">
        <v>200</v>
      </c>
      <c r="S61" s="16"/>
      <c r="T61" s="21">
        <f t="shared" si="10"/>
        <v>200</v>
      </c>
      <c r="U61" s="21">
        <v>87</v>
      </c>
      <c r="V61" s="78">
        <f t="shared" si="11"/>
        <v>10</v>
      </c>
      <c r="W61" s="140"/>
      <c r="X61" s="334"/>
      <c r="Y61" s="5"/>
      <c r="AA61" t="s">
        <v>3443</v>
      </c>
      <c r="AB61">
        <v>50</v>
      </c>
      <c r="AC61">
        <v>1</v>
      </c>
      <c r="AD61" s="16" t="s">
        <v>166</v>
      </c>
      <c r="AE61" s="18">
        <f>+AC61*50</f>
        <v>50</v>
      </c>
      <c r="AH61" s="16" t="s">
        <v>166</v>
      </c>
      <c r="AI61" s="18">
        <f>+AG61*50</f>
        <v>0</v>
      </c>
      <c r="AK61" s="16"/>
      <c r="AL61" s="16"/>
      <c r="AN61" s="16" t="s">
        <v>166</v>
      </c>
      <c r="AO61" s="18">
        <f>+AM61*50</f>
        <v>0</v>
      </c>
    </row>
    <row r="62" spans="1:41" x14ac:dyDescent="0.25">
      <c r="A62" s="143">
        <v>6</v>
      </c>
      <c r="B62" s="92">
        <v>45273</v>
      </c>
      <c r="C62" s="23">
        <v>0.54513888888888895</v>
      </c>
      <c r="D62" s="31" t="s">
        <v>1951</v>
      </c>
      <c r="E62" s="32">
        <v>9531286830</v>
      </c>
      <c r="F62" s="32"/>
      <c r="G62" s="32"/>
      <c r="H62" s="39"/>
      <c r="I62" s="39"/>
      <c r="J62" s="42">
        <v>141</v>
      </c>
      <c r="K62" s="20">
        <v>10</v>
      </c>
      <c r="L62" s="21"/>
      <c r="M62" s="21">
        <f t="shared" si="8"/>
        <v>151</v>
      </c>
      <c r="N62" s="21">
        <f t="shared" si="9"/>
        <v>-151</v>
      </c>
      <c r="O62" s="21"/>
      <c r="P62" s="21"/>
      <c r="Q62" s="5"/>
      <c r="R62" s="16"/>
      <c r="S62" s="16"/>
      <c r="T62" s="21">
        <f t="shared" si="10"/>
        <v>0</v>
      </c>
      <c r="U62" s="16">
        <v>10</v>
      </c>
      <c r="V62" s="78">
        <f t="shared" si="11"/>
        <v>10</v>
      </c>
      <c r="W62" s="140"/>
      <c r="X62" s="334"/>
      <c r="Y62" s="5"/>
      <c r="AA62" t="s">
        <v>3444</v>
      </c>
      <c r="AB62">
        <v>105</v>
      </c>
      <c r="AC62">
        <v>2</v>
      </c>
      <c r="AD62" s="16" t="s">
        <v>167</v>
      </c>
      <c r="AE62" s="18">
        <f>+AC62*20</f>
        <v>40</v>
      </c>
      <c r="AG62">
        <v>2</v>
      </c>
      <c r="AH62" s="16" t="s">
        <v>167</v>
      </c>
      <c r="AI62" s="18">
        <f>+AG62*20</f>
        <v>40</v>
      </c>
      <c r="AK62" s="16"/>
      <c r="AL62" s="16"/>
      <c r="AN62" s="16" t="s">
        <v>167</v>
      </c>
      <c r="AO62" s="18">
        <f>+AM62*20</f>
        <v>0</v>
      </c>
    </row>
    <row r="63" spans="1:41" x14ac:dyDescent="0.25">
      <c r="A63" s="143">
        <v>7</v>
      </c>
      <c r="B63" s="92">
        <v>45273</v>
      </c>
      <c r="C63" s="23"/>
      <c r="D63" s="31" t="s">
        <v>3418</v>
      </c>
      <c r="E63" s="32"/>
      <c r="F63" s="32" t="s">
        <v>114</v>
      </c>
      <c r="G63" s="32" t="s">
        <v>3423</v>
      </c>
      <c r="H63" s="39" t="s">
        <v>3424</v>
      </c>
      <c r="I63" s="122"/>
      <c r="J63" s="42">
        <v>206</v>
      </c>
      <c r="K63" s="20">
        <v>10</v>
      </c>
      <c r="L63" s="21">
        <v>10</v>
      </c>
      <c r="M63" s="21">
        <f t="shared" si="8"/>
        <v>216</v>
      </c>
      <c r="N63" s="21">
        <f t="shared" si="9"/>
        <v>-216</v>
      </c>
      <c r="O63" s="21"/>
      <c r="P63" s="21"/>
      <c r="Q63" s="5"/>
      <c r="R63" s="16"/>
      <c r="S63" s="16"/>
      <c r="T63" s="21">
        <f t="shared" si="10"/>
        <v>0</v>
      </c>
      <c r="U63" s="16">
        <v>10</v>
      </c>
      <c r="V63" s="78">
        <f t="shared" si="11"/>
        <v>10</v>
      </c>
      <c r="W63" s="140"/>
      <c r="X63" s="334"/>
      <c r="Y63" s="5"/>
      <c r="AD63" s="16" t="s">
        <v>171</v>
      </c>
      <c r="AE63" s="18">
        <f>+AC63*500</f>
        <v>0</v>
      </c>
      <c r="AH63" s="16" t="s">
        <v>171</v>
      </c>
      <c r="AI63" s="18">
        <f>+AG63*500</f>
        <v>0</v>
      </c>
      <c r="AK63" s="16"/>
      <c r="AL63" s="16"/>
      <c r="AN63" s="16" t="s">
        <v>171</v>
      </c>
      <c r="AO63" s="18">
        <f>+AM63*500</f>
        <v>0</v>
      </c>
    </row>
    <row r="64" spans="1:41" x14ac:dyDescent="0.25">
      <c r="A64" s="143">
        <v>8</v>
      </c>
      <c r="B64" s="92">
        <v>45273</v>
      </c>
      <c r="C64" s="23">
        <v>0.58680555555555558</v>
      </c>
      <c r="D64" s="31" t="s">
        <v>2644</v>
      </c>
      <c r="E64" s="123">
        <v>5537803548</v>
      </c>
      <c r="F64" s="123" t="s">
        <v>3425</v>
      </c>
      <c r="G64" s="123" t="s">
        <v>207</v>
      </c>
      <c r="H64" s="39" t="s">
        <v>799</v>
      </c>
      <c r="I64" s="122">
        <v>200</v>
      </c>
      <c r="J64" s="32">
        <f>190+16</f>
        <v>206</v>
      </c>
      <c r="K64" s="20">
        <v>20</v>
      </c>
      <c r="L64" s="21">
        <v>10</v>
      </c>
      <c r="M64" s="21">
        <f t="shared" si="8"/>
        <v>226</v>
      </c>
      <c r="N64" s="21">
        <f t="shared" si="9"/>
        <v>-26</v>
      </c>
      <c r="O64" s="21"/>
      <c r="P64" s="21"/>
      <c r="Q64" s="5"/>
      <c r="R64" s="16">
        <v>200</v>
      </c>
      <c r="S64" s="16"/>
      <c r="T64" s="21">
        <f t="shared" si="10"/>
        <v>200</v>
      </c>
      <c r="U64" s="16">
        <v>230</v>
      </c>
      <c r="V64" s="78">
        <f t="shared" si="11"/>
        <v>30</v>
      </c>
      <c r="W64" s="140"/>
      <c r="X64" s="334"/>
      <c r="Y64" s="5"/>
      <c r="AD64" s="16" t="s">
        <v>168</v>
      </c>
      <c r="AE64" s="18">
        <f>+AC64*1000</f>
        <v>0</v>
      </c>
      <c r="AH64" s="16" t="s">
        <v>168</v>
      </c>
      <c r="AI64" s="18">
        <f>+AG64*1000</f>
        <v>0</v>
      </c>
      <c r="AK64" s="16"/>
      <c r="AL64" s="16"/>
      <c r="AN64" s="16" t="s">
        <v>168</v>
      </c>
      <c r="AO64" s="18">
        <f>+AM64*1000</f>
        <v>0</v>
      </c>
    </row>
    <row r="65" spans="1:41" x14ac:dyDescent="0.25">
      <c r="A65" s="143">
        <v>9</v>
      </c>
      <c r="B65" s="92">
        <v>45273</v>
      </c>
      <c r="C65" s="23">
        <v>0.60069444444444442</v>
      </c>
      <c r="D65" s="31" t="s">
        <v>3010</v>
      </c>
      <c r="E65" s="32">
        <v>5541902669</v>
      </c>
      <c r="F65" s="32" t="s">
        <v>3427</v>
      </c>
      <c r="G65" s="32" t="s">
        <v>3010</v>
      </c>
      <c r="H65" s="39" t="s">
        <v>3426</v>
      </c>
      <c r="I65" s="39">
        <v>500</v>
      </c>
      <c r="J65" s="40">
        <f>60+20+239</f>
        <v>319</v>
      </c>
      <c r="K65" s="20">
        <v>10</v>
      </c>
      <c r="L65" s="21">
        <v>14</v>
      </c>
      <c r="M65" s="21">
        <f t="shared" si="8"/>
        <v>329</v>
      </c>
      <c r="N65" s="21">
        <f t="shared" si="9"/>
        <v>171</v>
      </c>
      <c r="O65" s="21"/>
      <c r="P65" s="21"/>
      <c r="Q65" s="5"/>
      <c r="R65" s="16">
        <v>500</v>
      </c>
      <c r="S65" s="16"/>
      <c r="T65" s="21">
        <f t="shared" si="10"/>
        <v>500</v>
      </c>
      <c r="U65" s="16">
        <v>524</v>
      </c>
      <c r="V65" s="78">
        <f t="shared" si="11"/>
        <v>24</v>
      </c>
      <c r="W65" s="140"/>
      <c r="X65" s="334"/>
      <c r="Y65" s="5"/>
      <c r="AD65" s="26"/>
      <c r="AE65" s="58"/>
      <c r="AH65" s="26"/>
      <c r="AI65" s="58"/>
      <c r="AK65" s="16"/>
      <c r="AL65" s="16"/>
      <c r="AN65" s="26"/>
      <c r="AO65" s="58"/>
    </row>
    <row r="66" spans="1:41" x14ac:dyDescent="0.25">
      <c r="A66" s="143">
        <v>10</v>
      </c>
      <c r="B66" s="92">
        <v>45273</v>
      </c>
      <c r="C66" s="23">
        <v>0.60069444444444442</v>
      </c>
      <c r="D66" s="31" t="s">
        <v>3101</v>
      </c>
      <c r="E66" s="32">
        <v>5615394688</v>
      </c>
      <c r="F66" s="32" t="s">
        <v>3430</v>
      </c>
      <c r="G66" s="32" t="s">
        <v>3429</v>
      </c>
      <c r="H66" s="39" t="s">
        <v>3428</v>
      </c>
      <c r="I66" s="122"/>
      <c r="J66" s="42"/>
      <c r="K66" s="20">
        <v>10</v>
      </c>
      <c r="L66" s="21">
        <v>10</v>
      </c>
      <c r="M66" s="21">
        <f t="shared" si="8"/>
        <v>10</v>
      </c>
      <c r="N66" s="21">
        <f t="shared" si="9"/>
        <v>-10</v>
      </c>
      <c r="O66" s="21"/>
      <c r="P66" s="21"/>
      <c r="Q66" s="5"/>
      <c r="R66" s="16"/>
      <c r="S66" s="16"/>
      <c r="T66" s="21">
        <f t="shared" si="10"/>
        <v>0</v>
      </c>
      <c r="U66" s="16">
        <v>20</v>
      </c>
      <c r="V66" s="78">
        <f t="shared" si="11"/>
        <v>20</v>
      </c>
      <c r="W66" s="140"/>
      <c r="X66" s="334"/>
      <c r="Y66" s="5"/>
      <c r="AD66" s="16" t="s">
        <v>169</v>
      </c>
      <c r="AE66" s="18">
        <f>SUM(AE56:AE65)</f>
        <v>963</v>
      </c>
      <c r="AH66" s="16" t="s">
        <v>169</v>
      </c>
      <c r="AI66" s="18">
        <f>SUM(AI56:AI65)</f>
        <v>855</v>
      </c>
      <c r="AK66" s="16"/>
      <c r="AL66" s="16"/>
      <c r="AN66" s="16" t="s">
        <v>169</v>
      </c>
      <c r="AO66" s="18"/>
    </row>
    <row r="67" spans="1:41" x14ac:dyDescent="0.25">
      <c r="A67" s="41">
        <v>11</v>
      </c>
      <c r="B67" s="92">
        <v>45273</v>
      </c>
      <c r="C67" s="23">
        <v>0.63194444444444442</v>
      </c>
      <c r="D67" s="31" t="s">
        <v>3193</v>
      </c>
      <c r="E67" s="124">
        <v>5535831305</v>
      </c>
      <c r="F67" s="123" t="s">
        <v>394</v>
      </c>
      <c r="G67" s="123" t="s">
        <v>3432</v>
      </c>
      <c r="H67" s="39" t="s">
        <v>3431</v>
      </c>
      <c r="I67" s="122"/>
      <c r="J67" s="42">
        <v>131</v>
      </c>
      <c r="K67" s="20">
        <v>10</v>
      </c>
      <c r="L67" s="21">
        <v>16</v>
      </c>
      <c r="M67" s="21">
        <f t="shared" si="8"/>
        <v>141</v>
      </c>
      <c r="N67" s="21">
        <f t="shared" si="9"/>
        <v>-141</v>
      </c>
      <c r="O67" s="21"/>
      <c r="P67" s="21"/>
      <c r="Q67" s="5"/>
      <c r="R67" s="16">
        <v>500</v>
      </c>
      <c r="S67" s="16"/>
      <c r="T67" s="21">
        <f t="shared" si="10"/>
        <v>500</v>
      </c>
      <c r="U67" s="16">
        <v>526</v>
      </c>
      <c r="V67" s="78">
        <f t="shared" si="11"/>
        <v>26</v>
      </c>
      <c r="W67" s="140"/>
      <c r="X67" s="334"/>
      <c r="Y67" s="5"/>
      <c r="AE67">
        <v>1386</v>
      </c>
      <c r="AK67" s="16"/>
      <c r="AL67" s="16"/>
      <c r="AN67" s="16"/>
      <c r="AO67" s="16"/>
    </row>
    <row r="68" spans="1:41" x14ac:dyDescent="0.25">
      <c r="A68" s="143">
        <v>12</v>
      </c>
      <c r="B68" s="92">
        <v>45273</v>
      </c>
      <c r="C68" s="23">
        <v>0.16666666666666666</v>
      </c>
      <c r="D68" s="32" t="s">
        <v>1912</v>
      </c>
      <c r="E68" s="32">
        <v>5546678995</v>
      </c>
      <c r="F68" s="124" t="s">
        <v>38</v>
      </c>
      <c r="G68" s="123" t="s">
        <v>379</v>
      </c>
      <c r="H68" s="39" t="s">
        <v>755</v>
      </c>
      <c r="I68" s="39">
        <v>100</v>
      </c>
      <c r="J68" s="42">
        <v>88</v>
      </c>
      <c r="K68" s="20">
        <v>10</v>
      </c>
      <c r="L68" s="21">
        <v>2</v>
      </c>
      <c r="M68" s="21">
        <f t="shared" si="8"/>
        <v>98</v>
      </c>
      <c r="N68" s="21">
        <v>0</v>
      </c>
      <c r="O68" s="21"/>
      <c r="P68" s="21"/>
      <c r="Q68" s="5"/>
      <c r="R68" s="45">
        <v>200</v>
      </c>
      <c r="S68" s="44"/>
      <c r="T68" s="21">
        <f t="shared" si="10"/>
        <v>200</v>
      </c>
      <c r="U68" s="45">
        <v>212</v>
      </c>
      <c r="V68" s="78">
        <f t="shared" si="11"/>
        <v>12</v>
      </c>
      <c r="W68" s="140"/>
      <c r="X68" s="334"/>
      <c r="Y68" s="5"/>
      <c r="AK68" s="63" t="s">
        <v>169</v>
      </c>
      <c r="AL68" s="63">
        <f>+SUM(AK57:AK67)-SUM(AL57:AL67)</f>
        <v>798</v>
      </c>
      <c r="AN68" s="63" t="s">
        <v>169</v>
      </c>
      <c r="AO68" s="85">
        <f>+SUM(AN56:AN67)-SUM(AO57:AO67)</f>
        <v>0</v>
      </c>
    </row>
    <row r="69" spans="1:41" x14ac:dyDescent="0.25">
      <c r="A69" s="143">
        <v>13</v>
      </c>
      <c r="B69" s="92">
        <v>45273</v>
      </c>
      <c r="C69" s="23">
        <v>0.26527777777777778</v>
      </c>
      <c r="D69" s="31" t="s">
        <v>3434</v>
      </c>
      <c r="E69" s="32">
        <v>5532040003</v>
      </c>
      <c r="F69" s="32" t="s">
        <v>38</v>
      </c>
      <c r="G69" s="32" t="s">
        <v>126</v>
      </c>
      <c r="H69" s="39" t="s">
        <v>3438</v>
      </c>
      <c r="I69" s="39">
        <v>48</v>
      </c>
      <c r="J69" s="42">
        <v>31</v>
      </c>
      <c r="K69" s="108">
        <v>12</v>
      </c>
      <c r="L69" s="21">
        <v>5</v>
      </c>
      <c r="M69" s="21">
        <f t="shared" si="8"/>
        <v>43</v>
      </c>
      <c r="N69" s="21">
        <v>0</v>
      </c>
      <c r="O69" s="21"/>
      <c r="P69" s="21"/>
      <c r="Q69" s="5"/>
      <c r="R69" s="43">
        <v>100</v>
      </c>
      <c r="S69" s="32"/>
      <c r="T69" s="21">
        <f t="shared" si="10"/>
        <v>100</v>
      </c>
      <c r="U69" s="43">
        <v>117</v>
      </c>
      <c r="V69" s="78">
        <f t="shared" si="11"/>
        <v>17</v>
      </c>
      <c r="W69" s="140"/>
      <c r="X69" s="334"/>
      <c r="Y69" s="5"/>
      <c r="AI69" s="83"/>
    </row>
    <row r="70" spans="1:41" x14ac:dyDescent="0.25">
      <c r="A70" s="143">
        <v>14</v>
      </c>
      <c r="B70" s="92">
        <v>45273</v>
      </c>
      <c r="C70" s="23">
        <v>0.27083333333333331</v>
      </c>
      <c r="D70" s="31" t="s">
        <v>2281</v>
      </c>
      <c r="E70" s="32">
        <v>5543534413</v>
      </c>
      <c r="F70" s="32" t="s">
        <v>3435</v>
      </c>
      <c r="G70" s="32" t="s">
        <v>3436</v>
      </c>
      <c r="H70" s="39" t="s">
        <v>3437</v>
      </c>
      <c r="I70" s="39">
        <v>640</v>
      </c>
      <c r="J70" s="42">
        <v>622</v>
      </c>
      <c r="K70" s="108">
        <v>14</v>
      </c>
      <c r="L70" s="21">
        <v>4</v>
      </c>
      <c r="M70" s="21">
        <f t="shared" si="8"/>
        <v>636</v>
      </c>
      <c r="N70" s="21">
        <v>0</v>
      </c>
      <c r="O70" s="21"/>
      <c r="P70" s="21"/>
      <c r="Q70" s="5"/>
      <c r="R70" s="43">
        <v>650</v>
      </c>
      <c r="S70" s="43"/>
      <c r="T70" s="21">
        <f t="shared" si="10"/>
        <v>650</v>
      </c>
      <c r="U70" s="43">
        <v>618</v>
      </c>
      <c r="V70" s="78">
        <v>18</v>
      </c>
      <c r="W70" s="140"/>
      <c r="X70" s="334"/>
      <c r="Y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1:41" x14ac:dyDescent="0.25">
      <c r="A71" s="143">
        <v>15</v>
      </c>
      <c r="B71" s="92">
        <v>45273</v>
      </c>
      <c r="C71" s="23">
        <v>0.375</v>
      </c>
      <c r="D71" s="127" t="s">
        <v>2226</v>
      </c>
      <c r="E71" s="32">
        <v>5543299874</v>
      </c>
      <c r="F71" s="32" t="s">
        <v>38</v>
      </c>
      <c r="G71" s="128" t="s">
        <v>220</v>
      </c>
      <c r="H71" s="129" t="s">
        <v>3439</v>
      </c>
      <c r="I71" s="39">
        <v>173</v>
      </c>
      <c r="J71" s="42">
        <v>163</v>
      </c>
      <c r="K71" s="108">
        <v>10</v>
      </c>
      <c r="L71" s="21"/>
      <c r="M71" s="21">
        <f t="shared" si="8"/>
        <v>173</v>
      </c>
      <c r="N71" s="21">
        <f t="shared" si="9"/>
        <v>0</v>
      </c>
      <c r="O71" s="21"/>
      <c r="P71" s="21"/>
      <c r="Q71" s="5"/>
      <c r="R71" s="43"/>
      <c r="S71" s="43"/>
      <c r="T71" s="21">
        <f t="shared" si="10"/>
        <v>0</v>
      </c>
      <c r="U71" s="43"/>
      <c r="V71" s="78">
        <f t="shared" si="11"/>
        <v>0</v>
      </c>
      <c r="W71" s="140"/>
      <c r="X71" s="334"/>
      <c r="Y71" s="5"/>
      <c r="AD71" s="5"/>
      <c r="AE71" s="134" t="s">
        <v>20</v>
      </c>
      <c r="AF71" s="338"/>
      <c r="AG71" s="341" t="s">
        <v>686</v>
      </c>
      <c r="AH71" s="134" t="s">
        <v>20</v>
      </c>
      <c r="AI71" s="338">
        <v>175</v>
      </c>
      <c r="AJ71" s="341" t="s">
        <v>687</v>
      </c>
      <c r="AK71" s="134" t="s">
        <v>20</v>
      </c>
      <c r="AL71" s="338"/>
      <c r="AM71" s="5"/>
    </row>
    <row r="72" spans="1:41" x14ac:dyDescent="0.25">
      <c r="A72" s="143">
        <v>16</v>
      </c>
      <c r="B72" s="92">
        <v>45273</v>
      </c>
      <c r="C72" s="23">
        <v>0.4201388888888889</v>
      </c>
      <c r="D72" s="31" t="s">
        <v>3440</v>
      </c>
      <c r="E72" s="32">
        <v>5518380748</v>
      </c>
      <c r="F72" s="32" t="s">
        <v>38</v>
      </c>
      <c r="G72" s="32" t="s">
        <v>3441</v>
      </c>
      <c r="H72" s="39" t="s">
        <v>3442</v>
      </c>
      <c r="I72" s="39">
        <v>114</v>
      </c>
      <c r="J72" s="42">
        <v>99</v>
      </c>
      <c r="K72" s="43">
        <v>10</v>
      </c>
      <c r="L72" s="21">
        <v>5</v>
      </c>
      <c r="M72" s="21">
        <f t="shared" si="8"/>
        <v>109</v>
      </c>
      <c r="N72" s="21">
        <f t="shared" si="9"/>
        <v>5</v>
      </c>
      <c r="O72" s="21"/>
      <c r="P72" s="21"/>
      <c r="Q72" s="5"/>
      <c r="R72" s="43"/>
      <c r="S72" s="32"/>
      <c r="T72" s="21">
        <f t="shared" si="10"/>
        <v>0</v>
      </c>
      <c r="U72" s="131"/>
      <c r="V72" s="78">
        <f t="shared" si="11"/>
        <v>0</v>
      </c>
      <c r="W72" s="140"/>
      <c r="X72" s="334"/>
      <c r="Y72" s="5"/>
      <c r="AD72" s="5" t="s">
        <v>685</v>
      </c>
      <c r="AE72" s="115" t="s">
        <v>684</v>
      </c>
      <c r="AF72" s="339"/>
      <c r="AG72" s="341"/>
      <c r="AH72" s="115" t="s">
        <v>684</v>
      </c>
      <c r="AI72" s="339"/>
      <c r="AJ72" s="341"/>
      <c r="AK72" s="115" t="s">
        <v>684</v>
      </c>
      <c r="AL72" s="339"/>
      <c r="AM72" s="5"/>
    </row>
    <row r="73" spans="1:41" x14ac:dyDescent="0.25">
      <c r="A73" s="143">
        <v>17</v>
      </c>
      <c r="B73" s="92">
        <v>45273</v>
      </c>
      <c r="C73" s="23"/>
      <c r="D73" s="31"/>
      <c r="E73" s="32"/>
      <c r="F73" s="32"/>
      <c r="G73" s="32"/>
      <c r="H73" s="39"/>
      <c r="I73" s="39"/>
      <c r="J73" s="42"/>
      <c r="K73" s="43">
        <v>10</v>
      </c>
      <c r="L73" s="21"/>
      <c r="M73" s="21">
        <f t="shared" si="8"/>
        <v>10</v>
      </c>
      <c r="N73" s="21">
        <f t="shared" si="9"/>
        <v>-10</v>
      </c>
      <c r="O73" s="21"/>
      <c r="P73" s="21"/>
      <c r="Q73" s="5"/>
      <c r="R73" s="43"/>
      <c r="S73" s="32"/>
      <c r="T73" s="21">
        <f t="shared" si="10"/>
        <v>0</v>
      </c>
      <c r="U73" s="132"/>
      <c r="V73" s="78">
        <f t="shared" si="11"/>
        <v>0</v>
      </c>
      <c r="W73" s="140"/>
      <c r="X73" s="340"/>
      <c r="Y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1:41" x14ac:dyDescent="0.25">
      <c r="A74" s="143">
        <v>18</v>
      </c>
      <c r="B74" s="92">
        <v>45273</v>
      </c>
      <c r="C74" s="32"/>
      <c r="D74" s="31"/>
      <c r="E74" s="32"/>
      <c r="F74" s="32"/>
      <c r="G74" s="32"/>
      <c r="H74" s="39"/>
      <c r="I74" s="39"/>
      <c r="J74" s="42"/>
      <c r="K74" s="43">
        <v>10</v>
      </c>
      <c r="L74" s="21"/>
      <c r="M74" s="21">
        <f t="shared" si="8"/>
        <v>10</v>
      </c>
      <c r="N74" s="21">
        <f t="shared" si="9"/>
        <v>-10</v>
      </c>
      <c r="O74" s="21"/>
      <c r="P74" s="21"/>
      <c r="Q74" s="5"/>
      <c r="R74" s="135"/>
      <c r="S74" s="104"/>
      <c r="T74" s="21">
        <f t="shared" si="10"/>
        <v>0</v>
      </c>
      <c r="U74" s="131"/>
      <c r="V74" s="78">
        <f t="shared" si="11"/>
        <v>0</v>
      </c>
      <c r="W74" s="140"/>
      <c r="Y74" s="5"/>
    </row>
    <row r="75" spans="1:41" x14ac:dyDescent="0.25">
      <c r="A75" s="143">
        <v>19</v>
      </c>
      <c r="B75" s="92">
        <v>45273</v>
      </c>
      <c r="C75" s="32"/>
      <c r="D75" s="31"/>
      <c r="E75" s="32"/>
      <c r="F75" s="32"/>
      <c r="G75" s="32"/>
      <c r="H75" s="39"/>
      <c r="I75" s="39"/>
      <c r="J75" s="42"/>
      <c r="K75" s="43">
        <v>10</v>
      </c>
      <c r="L75" s="21"/>
      <c r="M75" s="21">
        <f t="shared" si="8"/>
        <v>10</v>
      </c>
      <c r="N75" s="21">
        <f t="shared" si="9"/>
        <v>-10</v>
      </c>
      <c r="O75" s="21"/>
      <c r="P75" s="21"/>
      <c r="Q75" s="5"/>
      <c r="R75" s="32"/>
      <c r="S75" s="32"/>
      <c r="T75" s="21">
        <f t="shared" si="10"/>
        <v>0</v>
      </c>
      <c r="U75" s="32"/>
      <c r="V75" s="78">
        <f t="shared" si="11"/>
        <v>0</v>
      </c>
      <c r="W75" s="140"/>
      <c r="Y75" s="5"/>
    </row>
    <row r="76" spans="1:4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141"/>
      <c r="X76" s="5"/>
      <c r="Y76" s="5"/>
    </row>
    <row r="80" spans="1:41" x14ac:dyDescent="0.25">
      <c r="A80" t="s">
        <v>3457</v>
      </c>
    </row>
    <row r="84" spans="1:41" x14ac:dyDescent="0.25">
      <c r="A84" s="1" t="s">
        <v>0</v>
      </c>
      <c r="B84" s="1"/>
      <c r="C84" s="1"/>
      <c r="D84" s="1"/>
      <c r="E84" s="1"/>
      <c r="F84" s="1"/>
      <c r="G84" s="1"/>
      <c r="H84" s="1"/>
      <c r="I84" s="1"/>
      <c r="J84" s="1" t="s">
        <v>148</v>
      </c>
      <c r="K84" s="1"/>
      <c r="L84" s="1"/>
      <c r="M84" s="1"/>
      <c r="N84" s="1"/>
      <c r="O84" s="1"/>
      <c r="P84" s="1"/>
      <c r="Q84" s="1"/>
      <c r="R84" s="1"/>
      <c r="S84" s="1"/>
      <c r="T84" s="342" t="s">
        <v>1</v>
      </c>
      <c r="U84" s="342"/>
      <c r="V84" s="5"/>
      <c r="W84" s="139"/>
      <c r="X84" s="1"/>
      <c r="Y84" s="5"/>
      <c r="AD84" s="335" t="s">
        <v>160</v>
      </c>
      <c r="AE84" s="336"/>
      <c r="AH84" s="335" t="s">
        <v>170</v>
      </c>
      <c r="AI84" s="336"/>
      <c r="AK84" s="337" t="s">
        <v>172</v>
      </c>
      <c r="AL84" s="337"/>
      <c r="AN84" s="337" t="s">
        <v>681</v>
      </c>
      <c r="AO84" s="337"/>
    </row>
    <row r="85" spans="1:41" ht="90" x14ac:dyDescent="0.25">
      <c r="A85" s="6" t="s">
        <v>2</v>
      </c>
      <c r="B85" s="7" t="s">
        <v>3</v>
      </c>
      <c r="C85" s="245" t="s">
        <v>688</v>
      </c>
      <c r="D85" s="7" t="s">
        <v>4</v>
      </c>
      <c r="E85" s="6" t="s">
        <v>5</v>
      </c>
      <c r="F85" s="6" t="s">
        <v>6</v>
      </c>
      <c r="G85" s="6" t="s">
        <v>7</v>
      </c>
      <c r="H85" s="6" t="s">
        <v>8</v>
      </c>
      <c r="I85" s="8" t="s">
        <v>9</v>
      </c>
      <c r="J85" s="9" t="s">
        <v>10</v>
      </c>
      <c r="K85" s="8" t="s">
        <v>11</v>
      </c>
      <c r="L85" s="10" t="s">
        <v>12</v>
      </c>
      <c r="M85" s="10" t="s">
        <v>13</v>
      </c>
      <c r="N85" s="11" t="s">
        <v>14</v>
      </c>
      <c r="O85" s="10" t="s">
        <v>691</v>
      </c>
      <c r="P85" s="10" t="s">
        <v>28</v>
      </c>
      <c r="Q85" s="5"/>
      <c r="R85" s="10" t="s">
        <v>16</v>
      </c>
      <c r="S85" s="10" t="s">
        <v>17</v>
      </c>
      <c r="T85" s="10" t="s">
        <v>18</v>
      </c>
      <c r="U85" s="10" t="s">
        <v>19</v>
      </c>
      <c r="V85" s="10" t="s">
        <v>20</v>
      </c>
      <c r="W85" s="13"/>
      <c r="X85" s="15" t="s">
        <v>23</v>
      </c>
      <c r="Y85" s="5"/>
      <c r="AA85" s="251" t="s">
        <v>2554</v>
      </c>
      <c r="AC85">
        <v>14</v>
      </c>
      <c r="AD85" s="16" t="s">
        <v>161</v>
      </c>
      <c r="AE85" s="58">
        <f>+AC85*10</f>
        <v>140</v>
      </c>
      <c r="AG85">
        <v>1</v>
      </c>
      <c r="AH85" s="16" t="s">
        <v>161</v>
      </c>
      <c r="AI85" s="58">
        <f>+AG85*10</f>
        <v>10</v>
      </c>
      <c r="AK85" s="61" t="s">
        <v>173</v>
      </c>
      <c r="AL85" s="62" t="s">
        <v>174</v>
      </c>
      <c r="AN85" s="16" t="s">
        <v>161</v>
      </c>
      <c r="AO85" s="58">
        <f>+AM85*10</f>
        <v>0</v>
      </c>
    </row>
    <row r="86" spans="1:41" x14ac:dyDescent="0.25">
      <c r="A86" s="16">
        <v>1</v>
      </c>
      <c r="B86" s="92">
        <v>45274</v>
      </c>
      <c r="C86" s="23">
        <v>0.45277777777777778</v>
      </c>
      <c r="D86" s="31" t="s">
        <v>3445</v>
      </c>
      <c r="E86" s="32"/>
      <c r="F86" s="32" t="s">
        <v>2846</v>
      </c>
      <c r="G86" s="39" t="s">
        <v>1466</v>
      </c>
      <c r="H86" s="39" t="s">
        <v>3446</v>
      </c>
      <c r="I86" s="122"/>
      <c r="J86" s="32">
        <v>60</v>
      </c>
      <c r="K86" s="20">
        <v>10</v>
      </c>
      <c r="L86" s="21"/>
      <c r="M86" s="21">
        <f t="shared" ref="M86:M104" si="12">+J86+K86</f>
        <v>70</v>
      </c>
      <c r="N86" s="21">
        <f t="shared" ref="N86:N104" si="13">+I86-M86</f>
        <v>-70</v>
      </c>
      <c r="O86" s="21"/>
      <c r="P86" s="21"/>
      <c r="Q86" s="5"/>
      <c r="R86" s="21">
        <v>200</v>
      </c>
      <c r="S86" s="16"/>
      <c r="T86" s="21">
        <f t="shared" ref="T86:T104" si="14">+R86+S86</f>
        <v>200</v>
      </c>
      <c r="U86" s="21">
        <v>210</v>
      </c>
      <c r="V86" s="78">
        <f>+U86-T86+O86+P86</f>
        <v>10</v>
      </c>
      <c r="W86" s="13"/>
      <c r="X86" s="333"/>
      <c r="Y86" s="5"/>
      <c r="AC86">
        <v>147</v>
      </c>
      <c r="AD86" s="59" t="s">
        <v>162</v>
      </c>
      <c r="AE86" s="18">
        <f>+AC86*1</f>
        <v>147</v>
      </c>
      <c r="AG86">
        <v>156</v>
      </c>
      <c r="AH86" s="59" t="s">
        <v>162</v>
      </c>
      <c r="AI86" s="18">
        <f>+AG86*1</f>
        <v>156</v>
      </c>
      <c r="AK86" s="16"/>
      <c r="AL86" s="16"/>
      <c r="AN86" s="59" t="s">
        <v>162</v>
      </c>
      <c r="AO86" s="18">
        <f>+AM86*1</f>
        <v>0</v>
      </c>
    </row>
    <row r="87" spans="1:41" x14ac:dyDescent="0.25">
      <c r="A87" s="26">
        <v>2</v>
      </c>
      <c r="B87" s="92">
        <v>45274</v>
      </c>
      <c r="C87" s="23">
        <v>0.53472222222222221</v>
      </c>
      <c r="D87" s="31" t="s">
        <v>2488</v>
      </c>
      <c r="E87" s="32">
        <v>5614683694</v>
      </c>
      <c r="F87" s="32" t="s">
        <v>156</v>
      </c>
      <c r="G87" s="32" t="s">
        <v>3447</v>
      </c>
      <c r="H87" s="39" t="s">
        <v>3448</v>
      </c>
      <c r="I87" s="122">
        <v>31</v>
      </c>
      <c r="J87" s="32">
        <v>21</v>
      </c>
      <c r="K87" s="20">
        <v>10</v>
      </c>
      <c r="L87" s="21"/>
      <c r="M87" s="21">
        <f t="shared" si="12"/>
        <v>31</v>
      </c>
      <c r="N87" s="21">
        <f t="shared" si="13"/>
        <v>0</v>
      </c>
      <c r="O87" s="21"/>
      <c r="P87" s="21"/>
      <c r="Q87" s="5"/>
      <c r="R87" s="21">
        <v>50</v>
      </c>
      <c r="S87" s="16"/>
      <c r="T87" s="21">
        <f t="shared" si="14"/>
        <v>50</v>
      </c>
      <c r="U87" s="21">
        <v>60</v>
      </c>
      <c r="V87" s="78">
        <f t="shared" ref="V87:V104" si="15">+U87-T87+O87+P87</f>
        <v>10</v>
      </c>
      <c r="W87" s="140"/>
      <c r="X87" s="334"/>
      <c r="Y87" s="5"/>
      <c r="AC87">
        <v>46</v>
      </c>
      <c r="AD87" s="16" t="s">
        <v>163</v>
      </c>
      <c r="AE87" s="60">
        <f>+AC87*5</f>
        <v>230</v>
      </c>
      <c r="AG87">
        <v>41</v>
      </c>
      <c r="AH87" s="16" t="s">
        <v>163</v>
      </c>
      <c r="AI87" s="60">
        <f>+AG87*5</f>
        <v>205</v>
      </c>
      <c r="AK87" s="16"/>
      <c r="AL87" s="16"/>
      <c r="AN87" s="16" t="s">
        <v>163</v>
      </c>
      <c r="AO87" s="60">
        <f>+AM87*5</f>
        <v>0</v>
      </c>
    </row>
    <row r="88" spans="1:41" x14ac:dyDescent="0.25">
      <c r="A88" s="143">
        <v>3</v>
      </c>
      <c r="B88" s="92">
        <v>45274</v>
      </c>
      <c r="C88" s="23">
        <v>0.64722222222222225</v>
      </c>
      <c r="D88" s="31" t="s">
        <v>2644</v>
      </c>
      <c r="E88" s="32">
        <v>5537803548</v>
      </c>
      <c r="F88" s="32" t="s">
        <v>3450</v>
      </c>
      <c r="G88" s="32" t="s">
        <v>3451</v>
      </c>
      <c r="H88" s="39" t="s">
        <v>3452</v>
      </c>
      <c r="I88" s="122"/>
      <c r="J88" s="32">
        <v>190</v>
      </c>
      <c r="K88" s="20">
        <v>10</v>
      </c>
      <c r="L88" s="21"/>
      <c r="M88" s="21">
        <f t="shared" si="12"/>
        <v>200</v>
      </c>
      <c r="N88" s="21">
        <f t="shared" si="13"/>
        <v>-200</v>
      </c>
      <c r="O88" s="21"/>
      <c r="P88" s="21"/>
      <c r="Q88" s="5"/>
      <c r="R88" s="21"/>
      <c r="S88" s="16"/>
      <c r="T88" s="21">
        <f t="shared" si="14"/>
        <v>0</v>
      </c>
      <c r="U88" s="21"/>
      <c r="V88" s="78">
        <f t="shared" si="15"/>
        <v>0</v>
      </c>
      <c r="W88" s="140"/>
      <c r="X88" s="334"/>
      <c r="Y88" s="5"/>
      <c r="AD88" s="16" t="s">
        <v>164</v>
      </c>
      <c r="AE88" s="18">
        <f>+AC88*200</f>
        <v>0</v>
      </c>
      <c r="AH88" s="16" t="s">
        <v>164</v>
      </c>
      <c r="AI88" s="18">
        <f>+AG88*200</f>
        <v>0</v>
      </c>
      <c r="AK88" s="16"/>
      <c r="AL88" s="16"/>
      <c r="AN88" s="16" t="s">
        <v>164</v>
      </c>
      <c r="AO88" s="18">
        <f>+AM88*200</f>
        <v>0</v>
      </c>
    </row>
    <row r="89" spans="1:41" x14ac:dyDescent="0.25">
      <c r="A89" s="143">
        <v>4</v>
      </c>
      <c r="B89" s="92">
        <v>45274</v>
      </c>
      <c r="C89" s="23">
        <v>0.65277777777777779</v>
      </c>
      <c r="D89" s="31" t="s">
        <v>3449</v>
      </c>
      <c r="E89" s="32">
        <v>5543534413</v>
      </c>
      <c r="F89" s="32" t="s">
        <v>3453</v>
      </c>
      <c r="G89" s="32" t="s">
        <v>3454</v>
      </c>
      <c r="H89" s="39" t="s">
        <v>3455</v>
      </c>
      <c r="I89" s="122"/>
      <c r="J89" s="32"/>
      <c r="K89" s="20">
        <v>10</v>
      </c>
      <c r="L89" s="21"/>
      <c r="M89" s="21">
        <f t="shared" si="12"/>
        <v>10</v>
      </c>
      <c r="N89" s="21">
        <f t="shared" si="13"/>
        <v>-10</v>
      </c>
      <c r="O89" s="21"/>
      <c r="P89" s="21"/>
      <c r="Q89" s="5"/>
      <c r="R89" s="21"/>
      <c r="S89" s="16"/>
      <c r="T89" s="21">
        <f t="shared" si="14"/>
        <v>0</v>
      </c>
      <c r="U89" s="21"/>
      <c r="V89" s="78">
        <f t="shared" si="15"/>
        <v>0</v>
      </c>
      <c r="W89" s="140"/>
      <c r="X89" s="334"/>
      <c r="Y89" s="5"/>
      <c r="AC89">
        <v>1</v>
      </c>
      <c r="AD89" s="16" t="s">
        <v>165</v>
      </c>
      <c r="AE89" s="18">
        <f>+AC89*100</f>
        <v>100</v>
      </c>
      <c r="AG89">
        <v>2</v>
      </c>
      <c r="AH89" s="16" t="s">
        <v>165</v>
      </c>
      <c r="AI89" s="18">
        <f>+AG89*100</f>
        <v>200</v>
      </c>
      <c r="AK89" s="16"/>
      <c r="AL89" s="16"/>
      <c r="AN89" s="16" t="s">
        <v>165</v>
      </c>
      <c r="AO89" s="18">
        <f>+AM89*100</f>
        <v>0</v>
      </c>
    </row>
    <row r="90" spans="1:41" x14ac:dyDescent="0.25">
      <c r="A90" s="197">
        <v>5</v>
      </c>
      <c r="B90" s="198">
        <v>45274</v>
      </c>
      <c r="C90" s="255"/>
      <c r="D90" s="199" t="s">
        <v>1268</v>
      </c>
      <c r="E90" s="207"/>
      <c r="F90" s="207"/>
      <c r="G90" s="207"/>
      <c r="H90" s="207" t="s">
        <v>3456</v>
      </c>
      <c r="I90" s="202"/>
      <c r="J90" s="204">
        <v>67</v>
      </c>
      <c r="K90" s="205">
        <v>10</v>
      </c>
      <c r="L90" s="206"/>
      <c r="M90" s="206">
        <f t="shared" si="12"/>
        <v>77</v>
      </c>
      <c r="N90" s="206">
        <f t="shared" si="13"/>
        <v>-77</v>
      </c>
      <c r="O90" s="206"/>
      <c r="P90" s="206"/>
      <c r="Q90" s="208"/>
      <c r="R90" s="209"/>
      <c r="S90" s="209"/>
      <c r="T90" s="206">
        <f t="shared" si="14"/>
        <v>0</v>
      </c>
      <c r="U90" s="206"/>
      <c r="V90" s="210">
        <f t="shared" si="15"/>
        <v>0</v>
      </c>
      <c r="W90" s="140"/>
      <c r="X90" s="334"/>
      <c r="Y90" s="5"/>
      <c r="AC90">
        <v>2</v>
      </c>
      <c r="AD90" s="16" t="s">
        <v>166</v>
      </c>
      <c r="AE90" s="18">
        <f>+AC90*50</f>
        <v>100</v>
      </c>
      <c r="AG90">
        <v>3</v>
      </c>
      <c r="AH90" s="16" t="s">
        <v>166</v>
      </c>
      <c r="AI90" s="18">
        <f>+AG90*50</f>
        <v>150</v>
      </c>
      <c r="AK90" s="16"/>
      <c r="AL90" s="16"/>
      <c r="AN90" s="16" t="s">
        <v>166</v>
      </c>
      <c r="AO90" s="18">
        <f>+AM90*50</f>
        <v>0</v>
      </c>
    </row>
    <row r="91" spans="1:41" x14ac:dyDescent="0.25">
      <c r="A91" s="143">
        <v>6</v>
      </c>
      <c r="B91" s="92">
        <v>45274</v>
      </c>
      <c r="C91" s="23">
        <v>0.17361111111111113</v>
      </c>
      <c r="D91" s="31" t="s">
        <v>1518</v>
      </c>
      <c r="E91" s="32"/>
      <c r="F91" s="32" t="s">
        <v>52</v>
      </c>
      <c r="G91" s="32" t="s">
        <v>220</v>
      </c>
      <c r="H91" s="32" t="s">
        <v>3463</v>
      </c>
      <c r="I91" s="39">
        <v>98</v>
      </c>
      <c r="J91" s="42">
        <v>88</v>
      </c>
      <c r="K91" s="20">
        <v>10</v>
      </c>
      <c r="L91" s="21"/>
      <c r="M91" s="21">
        <f t="shared" si="12"/>
        <v>98</v>
      </c>
      <c r="N91" s="21">
        <f t="shared" si="13"/>
        <v>0</v>
      </c>
      <c r="O91" s="21"/>
      <c r="P91" s="21"/>
      <c r="Q91" s="5"/>
      <c r="R91" s="16">
        <v>300</v>
      </c>
      <c r="S91" s="16"/>
      <c r="T91" s="21">
        <f t="shared" si="14"/>
        <v>300</v>
      </c>
      <c r="U91" s="16">
        <v>250</v>
      </c>
      <c r="V91" s="78">
        <f t="shared" si="15"/>
        <v>-50</v>
      </c>
      <c r="W91" s="140"/>
      <c r="X91" s="334"/>
      <c r="Y91" s="5"/>
      <c r="AC91">
        <v>2</v>
      </c>
      <c r="AD91" s="16" t="s">
        <v>167</v>
      </c>
      <c r="AE91" s="18">
        <f>+AC91*20</f>
        <v>40</v>
      </c>
      <c r="AG91">
        <v>5</v>
      </c>
      <c r="AH91" s="16" t="s">
        <v>167</v>
      </c>
      <c r="AI91" s="18">
        <f>+AG91*20</f>
        <v>100</v>
      </c>
      <c r="AK91" s="16"/>
      <c r="AL91" s="16"/>
      <c r="AN91" s="16" t="s">
        <v>167</v>
      </c>
      <c r="AO91" s="18">
        <f>+AM91*20</f>
        <v>0</v>
      </c>
    </row>
    <row r="92" spans="1:41" x14ac:dyDescent="0.25">
      <c r="A92" s="143">
        <v>7</v>
      </c>
      <c r="B92" s="92">
        <v>45274</v>
      </c>
      <c r="C92" s="23">
        <v>0.20833333333333334</v>
      </c>
      <c r="D92" s="31" t="s">
        <v>1341</v>
      </c>
      <c r="E92" s="32">
        <v>555610020620</v>
      </c>
      <c r="F92" s="32" t="s">
        <v>52</v>
      </c>
      <c r="G92" s="32" t="s">
        <v>61</v>
      </c>
      <c r="H92" s="39" t="s">
        <v>3462</v>
      </c>
      <c r="I92" s="122">
        <v>129</v>
      </c>
      <c r="J92" s="42">
        <v>109</v>
      </c>
      <c r="K92" s="20">
        <v>10</v>
      </c>
      <c r="L92" s="21">
        <v>10</v>
      </c>
      <c r="M92" s="21">
        <f t="shared" si="12"/>
        <v>119</v>
      </c>
      <c r="N92" s="21">
        <f t="shared" si="13"/>
        <v>10</v>
      </c>
      <c r="O92" s="21"/>
      <c r="P92" s="21"/>
      <c r="Q92" s="5"/>
      <c r="R92" s="16"/>
      <c r="S92" s="16"/>
      <c r="T92" s="21">
        <f t="shared" si="14"/>
        <v>0</v>
      </c>
      <c r="U92" s="16"/>
      <c r="V92" s="78">
        <f t="shared" si="15"/>
        <v>0</v>
      </c>
      <c r="W92" s="140"/>
      <c r="X92" s="334"/>
      <c r="Y92" s="5"/>
      <c r="AD92" s="16" t="s">
        <v>171</v>
      </c>
      <c r="AE92" s="18">
        <f>+AC92*500</f>
        <v>0</v>
      </c>
      <c r="AH92" s="16" t="s">
        <v>171</v>
      </c>
      <c r="AI92" s="18">
        <f>+AG92*500</f>
        <v>0</v>
      </c>
      <c r="AK92" s="16"/>
      <c r="AL92" s="16"/>
      <c r="AN92" s="16" t="s">
        <v>171</v>
      </c>
      <c r="AO92" s="18">
        <f>+AM92*500</f>
        <v>0</v>
      </c>
    </row>
    <row r="93" spans="1:41" x14ac:dyDescent="0.25">
      <c r="A93" s="143">
        <v>8</v>
      </c>
      <c r="B93" s="92">
        <v>45274</v>
      </c>
      <c r="C93" s="23">
        <v>0.24236111111111111</v>
      </c>
      <c r="D93" s="31" t="s">
        <v>3458</v>
      </c>
      <c r="E93" s="123">
        <v>5629985003</v>
      </c>
      <c r="F93" s="123" t="s">
        <v>38</v>
      </c>
      <c r="G93" s="123" t="s">
        <v>91</v>
      </c>
      <c r="H93" s="39" t="s">
        <v>3461</v>
      </c>
      <c r="I93" s="122">
        <v>35</v>
      </c>
      <c r="J93" s="32">
        <v>17</v>
      </c>
      <c r="K93" s="20">
        <v>10</v>
      </c>
      <c r="L93" s="21">
        <v>8</v>
      </c>
      <c r="M93" s="21">
        <f t="shared" si="12"/>
        <v>27</v>
      </c>
      <c r="N93" s="21">
        <v>0</v>
      </c>
      <c r="O93" s="21"/>
      <c r="P93" s="21"/>
      <c r="Q93" s="5"/>
      <c r="R93" s="16"/>
      <c r="S93" s="16"/>
      <c r="T93" s="21">
        <f t="shared" si="14"/>
        <v>0</v>
      </c>
      <c r="U93" s="16"/>
      <c r="V93" s="78">
        <f t="shared" si="15"/>
        <v>0</v>
      </c>
      <c r="W93" s="140"/>
      <c r="X93" s="334"/>
      <c r="Y93" s="5"/>
      <c r="AD93" s="16" t="s">
        <v>168</v>
      </c>
      <c r="AE93" s="18">
        <f>+AC93*1000</f>
        <v>0</v>
      </c>
      <c r="AH93" s="16" t="s">
        <v>168</v>
      </c>
      <c r="AI93" s="18">
        <f>+AG93*1000</f>
        <v>0</v>
      </c>
      <c r="AK93" s="16"/>
      <c r="AL93" s="16"/>
      <c r="AN93" s="16" t="s">
        <v>168</v>
      </c>
      <c r="AO93" s="18">
        <f>+AM93*1000</f>
        <v>0</v>
      </c>
    </row>
    <row r="94" spans="1:41" x14ac:dyDescent="0.25">
      <c r="A94" s="143">
        <v>9</v>
      </c>
      <c r="B94" s="92">
        <v>45274</v>
      </c>
      <c r="C94" s="23">
        <v>0.29166666666666669</v>
      </c>
      <c r="D94" s="31" t="s">
        <v>3459</v>
      </c>
      <c r="E94" s="32">
        <v>5530508709</v>
      </c>
      <c r="F94" s="32" t="s">
        <v>849</v>
      </c>
      <c r="G94" s="123" t="s">
        <v>3233</v>
      </c>
      <c r="H94" s="39" t="s">
        <v>3460</v>
      </c>
      <c r="I94" s="39">
        <v>32</v>
      </c>
      <c r="J94" s="40">
        <v>22</v>
      </c>
      <c r="K94" s="20">
        <v>10</v>
      </c>
      <c r="L94" s="21"/>
      <c r="M94" s="21">
        <f t="shared" si="12"/>
        <v>32</v>
      </c>
      <c r="N94" s="21">
        <f t="shared" si="13"/>
        <v>0</v>
      </c>
      <c r="O94" s="21"/>
      <c r="P94" s="21"/>
      <c r="Q94" s="5"/>
      <c r="R94" s="16"/>
      <c r="S94" s="16"/>
      <c r="T94" s="21">
        <f t="shared" si="14"/>
        <v>0</v>
      </c>
      <c r="U94" s="16"/>
      <c r="V94" s="78">
        <f t="shared" si="15"/>
        <v>0</v>
      </c>
      <c r="W94" s="140"/>
      <c r="X94" s="334"/>
      <c r="Y94" s="5"/>
      <c r="AD94" s="26"/>
      <c r="AE94" s="58"/>
      <c r="AH94" s="26"/>
      <c r="AI94" s="58"/>
      <c r="AK94" s="16"/>
      <c r="AL94" s="16"/>
      <c r="AN94" s="26"/>
      <c r="AO94" s="58"/>
    </row>
    <row r="95" spans="1:41" x14ac:dyDescent="0.25">
      <c r="A95" s="143">
        <v>10</v>
      </c>
      <c r="B95" s="92">
        <v>45274</v>
      </c>
      <c r="C95" s="23">
        <v>0.40277777777777773</v>
      </c>
      <c r="D95" s="31" t="s">
        <v>447</v>
      </c>
      <c r="E95" s="32">
        <v>5522701719</v>
      </c>
      <c r="F95" s="32" t="s">
        <v>52</v>
      </c>
      <c r="G95" s="32" t="s">
        <v>269</v>
      </c>
      <c r="H95" s="39" t="s">
        <v>3464</v>
      </c>
      <c r="I95" s="122">
        <v>200</v>
      </c>
      <c r="J95" s="42">
        <v>86</v>
      </c>
      <c r="K95" s="20">
        <v>10</v>
      </c>
      <c r="L95" s="21"/>
      <c r="M95" s="21">
        <f t="shared" si="12"/>
        <v>96</v>
      </c>
      <c r="N95" s="21">
        <f t="shared" si="13"/>
        <v>104</v>
      </c>
      <c r="O95" s="21"/>
      <c r="P95" s="21"/>
      <c r="Q95" s="5"/>
      <c r="R95" s="16"/>
      <c r="S95" s="16"/>
      <c r="T95" s="21">
        <f t="shared" si="14"/>
        <v>0</v>
      </c>
      <c r="U95" s="16"/>
      <c r="V95" s="78">
        <f t="shared" si="15"/>
        <v>0</v>
      </c>
      <c r="W95" s="140"/>
      <c r="X95" s="334"/>
      <c r="Y95" s="5"/>
      <c r="AD95" s="16" t="s">
        <v>169</v>
      </c>
      <c r="AE95" s="18">
        <f>SUM(AE85:AE94)</f>
        <v>757</v>
      </c>
      <c r="AH95" s="16" t="s">
        <v>169</v>
      </c>
      <c r="AI95" s="18">
        <f>SUM(AI85:AI94)</f>
        <v>821</v>
      </c>
      <c r="AK95" s="16"/>
      <c r="AL95" s="16"/>
      <c r="AN95" s="16" t="s">
        <v>169</v>
      </c>
      <c r="AO95" s="18"/>
    </row>
    <row r="96" spans="1:41" x14ac:dyDescent="0.25">
      <c r="A96" s="143">
        <v>11</v>
      </c>
      <c r="B96" s="92">
        <v>45274</v>
      </c>
      <c r="C96" s="23"/>
      <c r="D96" s="31"/>
      <c r="E96" s="124"/>
      <c r="F96" s="123"/>
      <c r="G96" s="123"/>
      <c r="H96" s="39"/>
      <c r="I96" s="122"/>
      <c r="J96" s="42"/>
      <c r="K96" s="20">
        <v>10</v>
      </c>
      <c r="L96" s="21"/>
      <c r="M96" s="21">
        <f t="shared" si="12"/>
        <v>10</v>
      </c>
      <c r="N96" s="21">
        <f t="shared" si="13"/>
        <v>-10</v>
      </c>
      <c r="O96" s="21"/>
      <c r="P96" s="21"/>
      <c r="Q96" s="5"/>
      <c r="R96" s="16"/>
      <c r="S96" s="16"/>
      <c r="T96" s="21">
        <f t="shared" si="14"/>
        <v>0</v>
      </c>
      <c r="U96" s="16"/>
      <c r="V96" s="78">
        <f t="shared" si="15"/>
        <v>0</v>
      </c>
      <c r="W96" s="140"/>
      <c r="X96" s="334"/>
      <c r="Y96" s="5"/>
      <c r="AE96">
        <v>96</v>
      </c>
      <c r="AK96" s="16"/>
      <c r="AL96" s="16"/>
      <c r="AN96" s="16"/>
      <c r="AO96" s="16"/>
    </row>
    <row r="97" spans="1:41" x14ac:dyDescent="0.25">
      <c r="A97" s="143">
        <v>12</v>
      </c>
      <c r="B97" s="92">
        <v>45274</v>
      </c>
      <c r="C97" s="23"/>
      <c r="D97" s="32"/>
      <c r="E97" s="32"/>
      <c r="F97" s="124"/>
      <c r="G97" s="123"/>
      <c r="H97" s="39"/>
      <c r="I97" s="39"/>
      <c r="J97" s="42"/>
      <c r="K97" s="20">
        <v>10</v>
      </c>
      <c r="L97" s="21"/>
      <c r="M97" s="21">
        <f t="shared" si="12"/>
        <v>10</v>
      </c>
      <c r="N97" s="21">
        <f t="shared" si="13"/>
        <v>-10</v>
      </c>
      <c r="O97" s="21"/>
      <c r="P97" s="21"/>
      <c r="Q97" s="5"/>
      <c r="R97" s="45"/>
      <c r="S97" s="44"/>
      <c r="T97" s="21">
        <f t="shared" si="14"/>
        <v>0</v>
      </c>
      <c r="U97" s="45"/>
      <c r="V97" s="78">
        <f t="shared" si="15"/>
        <v>0</v>
      </c>
      <c r="W97" s="140"/>
      <c r="X97" s="334"/>
      <c r="Y97" s="5"/>
      <c r="AK97" s="63" t="s">
        <v>169</v>
      </c>
      <c r="AL97" s="63">
        <f>+SUM(AK86:AK96)-SUM(AL86:AL96)</f>
        <v>0</v>
      </c>
      <c r="AN97" s="63" t="s">
        <v>169</v>
      </c>
      <c r="AO97" s="85">
        <f>+SUM(AN85:AN96)-SUM(AO86:AO96)</f>
        <v>0</v>
      </c>
    </row>
    <row r="98" spans="1:41" x14ac:dyDescent="0.25">
      <c r="A98" s="143">
        <v>13</v>
      </c>
      <c r="B98" s="92">
        <v>45274</v>
      </c>
      <c r="C98" s="23"/>
      <c r="D98" s="31"/>
      <c r="E98" s="32"/>
      <c r="F98" s="32"/>
      <c r="G98" s="32"/>
      <c r="H98" s="39"/>
      <c r="I98" s="39"/>
      <c r="J98" s="42"/>
      <c r="K98" s="108">
        <v>10</v>
      </c>
      <c r="L98" s="21"/>
      <c r="M98" s="21">
        <f t="shared" si="12"/>
        <v>10</v>
      </c>
      <c r="N98" s="21">
        <f t="shared" si="13"/>
        <v>-10</v>
      </c>
      <c r="O98" s="21"/>
      <c r="P98" s="21"/>
      <c r="Q98" s="5"/>
      <c r="R98" s="43"/>
      <c r="S98" s="32"/>
      <c r="T98" s="21">
        <f t="shared" si="14"/>
        <v>0</v>
      </c>
      <c r="U98" s="43"/>
      <c r="V98" s="78">
        <f t="shared" si="15"/>
        <v>0</v>
      </c>
      <c r="W98" s="140"/>
      <c r="X98" s="334"/>
      <c r="Y98" s="5"/>
      <c r="AI98" s="83"/>
    </row>
    <row r="99" spans="1:41" x14ac:dyDescent="0.25">
      <c r="A99" s="143">
        <v>14</v>
      </c>
      <c r="B99" s="92">
        <v>45274</v>
      </c>
      <c r="C99" s="23"/>
      <c r="D99" s="31"/>
      <c r="E99" s="32"/>
      <c r="F99" s="32"/>
      <c r="G99" s="32"/>
      <c r="H99" s="39"/>
      <c r="I99" s="39"/>
      <c r="J99" s="42"/>
      <c r="K99" s="108">
        <v>10</v>
      </c>
      <c r="L99" s="21"/>
      <c r="M99" s="21">
        <f t="shared" si="12"/>
        <v>10</v>
      </c>
      <c r="N99" s="21">
        <f t="shared" si="13"/>
        <v>-10</v>
      </c>
      <c r="O99" s="21"/>
      <c r="P99" s="21"/>
      <c r="Q99" s="5"/>
      <c r="R99" s="43"/>
      <c r="S99" s="43"/>
      <c r="T99" s="21">
        <f t="shared" si="14"/>
        <v>0</v>
      </c>
      <c r="U99" s="43"/>
      <c r="V99" s="78">
        <f t="shared" si="15"/>
        <v>0</v>
      </c>
      <c r="W99" s="140"/>
      <c r="X99" s="334"/>
      <c r="Y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1:41" x14ac:dyDescent="0.25">
      <c r="A100" s="143">
        <v>15</v>
      </c>
      <c r="B100" s="92">
        <v>45274</v>
      </c>
      <c r="C100" s="23"/>
      <c r="D100" s="127"/>
      <c r="E100" s="32"/>
      <c r="F100" s="32"/>
      <c r="G100" s="128"/>
      <c r="H100" s="39"/>
      <c r="I100" s="39"/>
      <c r="J100" s="42"/>
      <c r="K100" s="108">
        <v>10</v>
      </c>
      <c r="L100" s="21"/>
      <c r="M100" s="21">
        <f t="shared" si="12"/>
        <v>10</v>
      </c>
      <c r="N100" s="21">
        <f t="shared" si="13"/>
        <v>-10</v>
      </c>
      <c r="O100" s="21"/>
      <c r="P100" s="21"/>
      <c r="Q100" s="5"/>
      <c r="R100" s="43"/>
      <c r="S100" s="43"/>
      <c r="T100" s="21">
        <f t="shared" si="14"/>
        <v>0</v>
      </c>
      <c r="U100" s="43"/>
      <c r="V100" s="78">
        <f t="shared" si="15"/>
        <v>0</v>
      </c>
      <c r="W100" s="140"/>
      <c r="X100" s="334"/>
      <c r="Y100" s="5"/>
      <c r="AD100" s="5"/>
      <c r="AE100" s="134" t="s">
        <v>20</v>
      </c>
      <c r="AF100" s="338"/>
      <c r="AG100" s="341" t="s">
        <v>686</v>
      </c>
      <c r="AH100" s="134" t="s">
        <v>20</v>
      </c>
      <c r="AI100" s="338"/>
      <c r="AJ100" s="341" t="s">
        <v>687</v>
      </c>
      <c r="AK100" s="134" t="s">
        <v>20</v>
      </c>
      <c r="AL100" s="338"/>
      <c r="AM100" s="5"/>
    </row>
    <row r="101" spans="1:41" x14ac:dyDescent="0.25">
      <c r="A101" s="143">
        <v>16</v>
      </c>
      <c r="B101" s="92">
        <v>45274</v>
      </c>
      <c r="C101" s="23"/>
      <c r="D101" s="31"/>
      <c r="E101" s="32"/>
      <c r="F101" s="32"/>
      <c r="G101" s="32"/>
      <c r="H101" s="129"/>
      <c r="I101" s="39"/>
      <c r="J101" s="42"/>
      <c r="K101" s="43">
        <v>10</v>
      </c>
      <c r="L101" s="21"/>
      <c r="M101" s="21">
        <f t="shared" si="12"/>
        <v>10</v>
      </c>
      <c r="N101" s="21">
        <f t="shared" si="13"/>
        <v>-10</v>
      </c>
      <c r="O101" s="21"/>
      <c r="P101" s="21"/>
      <c r="Q101" s="5"/>
      <c r="R101" s="43"/>
      <c r="S101" s="32"/>
      <c r="T101" s="21">
        <f t="shared" si="14"/>
        <v>0</v>
      </c>
      <c r="U101" s="131"/>
      <c r="V101" s="78">
        <f t="shared" si="15"/>
        <v>0</v>
      </c>
      <c r="W101" s="140"/>
      <c r="X101" s="334"/>
      <c r="Y101" s="5"/>
      <c r="AD101" s="5" t="s">
        <v>685</v>
      </c>
      <c r="AE101" s="115" t="s">
        <v>684</v>
      </c>
      <c r="AF101" s="339"/>
      <c r="AG101" s="341"/>
      <c r="AH101" s="115" t="s">
        <v>684</v>
      </c>
      <c r="AI101" s="339"/>
      <c r="AJ101" s="341"/>
      <c r="AK101" s="115" t="s">
        <v>684</v>
      </c>
      <c r="AL101" s="339"/>
      <c r="AM101" s="5"/>
    </row>
    <row r="102" spans="1:41" x14ac:dyDescent="0.25">
      <c r="A102" s="143">
        <v>17</v>
      </c>
      <c r="B102" s="92">
        <v>45274</v>
      </c>
      <c r="C102" s="23"/>
      <c r="D102" s="31"/>
      <c r="E102" s="32"/>
      <c r="F102" s="32"/>
      <c r="G102" s="32"/>
      <c r="H102" s="39"/>
      <c r="I102" s="39"/>
      <c r="J102" s="42"/>
      <c r="K102" s="43">
        <v>10</v>
      </c>
      <c r="L102" s="21"/>
      <c r="M102" s="21">
        <f t="shared" si="12"/>
        <v>10</v>
      </c>
      <c r="N102" s="21">
        <f t="shared" si="13"/>
        <v>-10</v>
      </c>
      <c r="O102" s="21"/>
      <c r="P102" s="21"/>
      <c r="Q102" s="5"/>
      <c r="R102" s="43"/>
      <c r="S102" s="32"/>
      <c r="T102" s="21">
        <f t="shared" si="14"/>
        <v>0</v>
      </c>
      <c r="U102" s="132"/>
      <c r="V102" s="78">
        <f t="shared" si="15"/>
        <v>0</v>
      </c>
      <c r="W102" s="140"/>
      <c r="X102" s="340"/>
      <c r="Y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 spans="1:41" x14ac:dyDescent="0.25">
      <c r="A103" s="143">
        <v>18</v>
      </c>
      <c r="B103" s="92">
        <v>45274</v>
      </c>
      <c r="C103" s="32"/>
      <c r="D103" s="31"/>
      <c r="E103" s="32"/>
      <c r="F103" s="32"/>
      <c r="G103" s="32"/>
      <c r="H103" s="39"/>
      <c r="I103" s="39"/>
      <c r="J103" s="42"/>
      <c r="K103" s="43">
        <v>10</v>
      </c>
      <c r="L103" s="21"/>
      <c r="M103" s="21">
        <f t="shared" si="12"/>
        <v>10</v>
      </c>
      <c r="N103" s="21">
        <f t="shared" si="13"/>
        <v>-10</v>
      </c>
      <c r="O103" s="21"/>
      <c r="P103" s="21"/>
      <c r="Q103" s="5"/>
      <c r="R103" s="135"/>
      <c r="S103" s="104"/>
      <c r="T103" s="21">
        <f t="shared" si="14"/>
        <v>0</v>
      </c>
      <c r="U103" s="131"/>
      <c r="V103" s="78">
        <f t="shared" si="15"/>
        <v>0</v>
      </c>
      <c r="W103" s="140"/>
      <c r="Y103" s="5"/>
    </row>
    <row r="104" spans="1:41" x14ac:dyDescent="0.25">
      <c r="A104" s="143">
        <v>19</v>
      </c>
      <c r="B104" s="92">
        <v>45274</v>
      </c>
      <c r="C104" s="32"/>
      <c r="D104" s="31"/>
      <c r="E104" s="32"/>
      <c r="F104" s="32"/>
      <c r="G104" s="32"/>
      <c r="H104" s="39"/>
      <c r="I104" s="39"/>
      <c r="J104" s="42"/>
      <c r="K104" s="43">
        <v>10</v>
      </c>
      <c r="L104" s="21"/>
      <c r="M104" s="21">
        <f t="shared" si="12"/>
        <v>10</v>
      </c>
      <c r="N104" s="21">
        <f t="shared" si="13"/>
        <v>-10</v>
      </c>
      <c r="O104" s="21"/>
      <c r="P104" s="21"/>
      <c r="Q104" s="5"/>
      <c r="R104" s="32"/>
      <c r="S104" s="32"/>
      <c r="T104" s="21">
        <f t="shared" si="14"/>
        <v>0</v>
      </c>
      <c r="U104" s="32"/>
      <c r="V104" s="78">
        <f t="shared" si="15"/>
        <v>0</v>
      </c>
      <c r="W104" s="140"/>
      <c r="Y104" s="5"/>
    </row>
    <row r="105" spans="1:41" x14ac:dyDescent="0.25">
      <c r="A105" s="5"/>
      <c r="B105" s="5"/>
      <c r="C105" s="5"/>
      <c r="D105" s="5"/>
      <c r="E105" s="5"/>
      <c r="F105" s="5"/>
      <c r="G105" s="5"/>
      <c r="H105" s="39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141"/>
      <c r="X105" s="5"/>
      <c r="Y105" s="5"/>
    </row>
    <row r="106" spans="1:41" x14ac:dyDescent="0.25">
      <c r="H106" s="5"/>
    </row>
    <row r="110" spans="1:41" x14ac:dyDescent="0.25">
      <c r="A110" s="1" t="s">
        <v>0</v>
      </c>
      <c r="B110" s="1"/>
      <c r="C110" s="1"/>
      <c r="D110" s="1"/>
      <c r="E110" s="1"/>
      <c r="F110" s="1"/>
      <c r="G110" s="1"/>
      <c r="H110" s="1"/>
      <c r="I110" s="1"/>
      <c r="J110" s="1" t="s">
        <v>148</v>
      </c>
      <c r="K110" s="1"/>
      <c r="L110" s="1"/>
      <c r="M110" s="1"/>
      <c r="N110" s="1"/>
      <c r="O110" s="1"/>
      <c r="P110" s="1"/>
      <c r="Q110" s="1"/>
      <c r="R110" s="1"/>
      <c r="S110" s="1"/>
      <c r="T110" s="342" t="s">
        <v>1</v>
      </c>
      <c r="U110" s="342"/>
      <c r="V110" s="5"/>
      <c r="W110" s="139"/>
      <c r="X110" s="1"/>
      <c r="Y110" s="5"/>
      <c r="AD110" s="335" t="s">
        <v>160</v>
      </c>
      <c r="AE110" s="336"/>
      <c r="AH110" s="335" t="s">
        <v>170</v>
      </c>
      <c r="AI110" s="336"/>
      <c r="AK110" s="337" t="s">
        <v>172</v>
      </c>
      <c r="AL110" s="337"/>
      <c r="AN110" s="337" t="s">
        <v>681</v>
      </c>
      <c r="AO110" s="337"/>
    </row>
    <row r="111" spans="1:41" ht="90" x14ac:dyDescent="0.25">
      <c r="A111" s="6" t="s">
        <v>2</v>
      </c>
      <c r="B111" s="7" t="s">
        <v>3</v>
      </c>
      <c r="C111" s="245" t="s">
        <v>688</v>
      </c>
      <c r="D111" s="7" t="s">
        <v>4</v>
      </c>
      <c r="E111" s="6" t="s">
        <v>5</v>
      </c>
      <c r="F111" s="6" t="s">
        <v>6</v>
      </c>
      <c r="G111" s="6" t="s">
        <v>7</v>
      </c>
      <c r="H111" s="6" t="s">
        <v>8</v>
      </c>
      <c r="I111" s="8" t="s">
        <v>9</v>
      </c>
      <c r="J111" s="9" t="s">
        <v>10</v>
      </c>
      <c r="K111" s="8" t="s">
        <v>11</v>
      </c>
      <c r="L111" s="10" t="s">
        <v>12</v>
      </c>
      <c r="M111" s="10" t="s">
        <v>13</v>
      </c>
      <c r="N111" s="11" t="s">
        <v>14</v>
      </c>
      <c r="O111" s="10" t="s">
        <v>691</v>
      </c>
      <c r="P111" s="10" t="s">
        <v>28</v>
      </c>
      <c r="Q111" s="5"/>
      <c r="R111" s="10" t="s">
        <v>16</v>
      </c>
      <c r="S111" s="10" t="s">
        <v>17</v>
      </c>
      <c r="T111" s="10" t="s">
        <v>18</v>
      </c>
      <c r="U111" s="10" t="s">
        <v>19</v>
      </c>
      <c r="V111" s="10" t="s">
        <v>20</v>
      </c>
      <c r="W111" s="13"/>
      <c r="X111" s="15" t="s">
        <v>23</v>
      </c>
      <c r="Y111" s="5"/>
      <c r="AA111" s="251" t="s">
        <v>2554</v>
      </c>
      <c r="AC111">
        <v>2</v>
      </c>
      <c r="AD111" s="16" t="s">
        <v>161</v>
      </c>
      <c r="AE111" s="58">
        <f>+AC111*10</f>
        <v>20</v>
      </c>
      <c r="AH111" s="16" t="s">
        <v>161</v>
      </c>
      <c r="AI111" s="58">
        <f>+AG111*10</f>
        <v>0</v>
      </c>
      <c r="AK111" s="61" t="s">
        <v>173</v>
      </c>
      <c r="AL111" s="62" t="s">
        <v>174</v>
      </c>
      <c r="AN111" s="16" t="s">
        <v>161</v>
      </c>
      <c r="AO111" s="58">
        <f>+AM111*10</f>
        <v>0</v>
      </c>
    </row>
    <row r="112" spans="1:41" x14ac:dyDescent="0.25">
      <c r="A112" s="16">
        <v>1</v>
      </c>
      <c r="B112" s="92">
        <v>45182</v>
      </c>
      <c r="C112" s="23">
        <v>0.44791666666666669</v>
      </c>
      <c r="D112" s="31" t="s">
        <v>627</v>
      </c>
      <c r="E112" s="32">
        <v>5537803548</v>
      </c>
      <c r="F112" s="32" t="s">
        <v>114</v>
      </c>
      <c r="G112" s="39" t="s">
        <v>2984</v>
      </c>
      <c r="H112" s="39" t="s">
        <v>3465</v>
      </c>
      <c r="I112" s="122"/>
      <c r="J112" s="32">
        <v>175</v>
      </c>
      <c r="K112" s="20">
        <v>10</v>
      </c>
      <c r="L112" s="21">
        <v>20</v>
      </c>
      <c r="M112" s="21">
        <f t="shared" ref="M112:M130" si="16">+J112+K112</f>
        <v>185</v>
      </c>
      <c r="N112" s="21">
        <f t="shared" ref="N112:N130" si="17">+I112-M112</f>
        <v>-185</v>
      </c>
      <c r="O112" s="21">
        <v>195</v>
      </c>
      <c r="P112" s="21"/>
      <c r="Q112" s="5"/>
      <c r="R112" s="21">
        <v>300</v>
      </c>
      <c r="S112" s="16"/>
      <c r="T112" s="21">
        <f t="shared" ref="T112:T130" si="18">+R112+S112</f>
        <v>300</v>
      </c>
      <c r="U112" s="21">
        <v>135</v>
      </c>
      <c r="V112" s="78">
        <f>+U112-T112+O112+P112</f>
        <v>30</v>
      </c>
      <c r="W112" s="13"/>
      <c r="X112" s="333"/>
      <c r="Y112" s="5"/>
      <c r="AC112">
        <v>53</v>
      </c>
      <c r="AD112" s="59" t="s">
        <v>162</v>
      </c>
      <c r="AE112" s="18">
        <f>+AC112*1</f>
        <v>53</v>
      </c>
      <c r="AG112">
        <v>8</v>
      </c>
      <c r="AH112" s="59" t="s">
        <v>162</v>
      </c>
      <c r="AI112" s="18">
        <f>+AG112*1</f>
        <v>8</v>
      </c>
      <c r="AK112" s="16"/>
      <c r="AL112" s="16"/>
      <c r="AN112" s="59" t="s">
        <v>162</v>
      </c>
      <c r="AO112" s="18">
        <f>+AM112*1</f>
        <v>0</v>
      </c>
    </row>
    <row r="113" spans="1:41" x14ac:dyDescent="0.25">
      <c r="A113" s="26">
        <v>2</v>
      </c>
      <c r="B113" s="92">
        <v>45182</v>
      </c>
      <c r="C113" s="23">
        <v>0.46527777777777773</v>
      </c>
      <c r="D113" s="31" t="s">
        <v>2008</v>
      </c>
      <c r="E113" s="32">
        <v>5535975295</v>
      </c>
      <c r="F113" s="32" t="s">
        <v>3468</v>
      </c>
      <c r="G113" s="32" t="s">
        <v>3467</v>
      </c>
      <c r="H113" s="39" t="s">
        <v>3466</v>
      </c>
      <c r="I113" s="122"/>
      <c r="J113" s="32">
        <v>85</v>
      </c>
      <c r="K113" s="20">
        <v>40</v>
      </c>
      <c r="L113" s="21">
        <v>25</v>
      </c>
      <c r="M113" s="21">
        <f t="shared" si="16"/>
        <v>125</v>
      </c>
      <c r="N113" s="21">
        <f t="shared" si="17"/>
        <v>-125</v>
      </c>
      <c r="O113" s="21"/>
      <c r="P113" s="21"/>
      <c r="Q113" s="5"/>
      <c r="R113" s="21">
        <v>500</v>
      </c>
      <c r="S113" s="16"/>
      <c r="T113" s="21">
        <f t="shared" si="18"/>
        <v>500</v>
      </c>
      <c r="U113" s="21"/>
      <c r="V113" s="78">
        <f t="shared" ref="V113:V130" si="19">+U113-T113+O113+P113</f>
        <v>-500</v>
      </c>
      <c r="W113" s="140"/>
      <c r="X113" s="334"/>
      <c r="Y113" s="5"/>
      <c r="AC113">
        <v>13</v>
      </c>
      <c r="AD113" s="16" t="s">
        <v>163</v>
      </c>
      <c r="AE113" s="60">
        <f>+AC113*5</f>
        <v>65</v>
      </c>
      <c r="AH113" s="16" t="s">
        <v>163</v>
      </c>
      <c r="AI113" s="60">
        <f>+AG113*5</f>
        <v>0</v>
      </c>
      <c r="AK113" s="16"/>
      <c r="AL113" s="16"/>
      <c r="AN113" s="16" t="s">
        <v>163</v>
      </c>
      <c r="AO113" s="60">
        <f>+AM113*5</f>
        <v>0</v>
      </c>
    </row>
    <row r="114" spans="1:41" x14ac:dyDescent="0.25">
      <c r="A114" s="143">
        <v>3</v>
      </c>
      <c r="B114" s="142">
        <v>45182</v>
      </c>
      <c r="C114" s="23">
        <v>0.48125000000000001</v>
      </c>
      <c r="D114" s="31" t="s">
        <v>37</v>
      </c>
      <c r="E114" s="32">
        <v>5554180418</v>
      </c>
      <c r="F114" s="32" t="s">
        <v>114</v>
      </c>
      <c r="G114" s="32" t="s">
        <v>1004</v>
      </c>
      <c r="H114" s="39" t="s">
        <v>3469</v>
      </c>
      <c r="I114" s="122"/>
      <c r="J114" s="32">
        <v>69</v>
      </c>
      <c r="K114" s="20">
        <v>10</v>
      </c>
      <c r="L114" s="21">
        <v>25</v>
      </c>
      <c r="M114" s="21">
        <f t="shared" si="16"/>
        <v>79</v>
      </c>
      <c r="N114" s="21">
        <f t="shared" si="17"/>
        <v>-79</v>
      </c>
      <c r="O114" s="21"/>
      <c r="P114" s="21"/>
      <c r="Q114" s="5"/>
      <c r="R114" s="21"/>
      <c r="S114" s="16"/>
      <c r="T114" s="21">
        <f t="shared" si="18"/>
        <v>0</v>
      </c>
      <c r="U114" s="21"/>
      <c r="V114" s="78">
        <f t="shared" si="19"/>
        <v>0</v>
      </c>
      <c r="W114" s="140"/>
      <c r="X114" s="334"/>
      <c r="Y114" s="5"/>
      <c r="AC114">
        <v>1</v>
      </c>
      <c r="AD114" s="16" t="s">
        <v>164</v>
      </c>
      <c r="AE114" s="18">
        <f>+AC114*200</f>
        <v>200</v>
      </c>
      <c r="AG114">
        <v>2</v>
      </c>
      <c r="AH114" s="16" t="s">
        <v>164</v>
      </c>
      <c r="AI114" s="18">
        <f>+AG114*200</f>
        <v>400</v>
      </c>
      <c r="AK114" s="16"/>
      <c r="AL114" s="16"/>
      <c r="AN114" s="16" t="s">
        <v>164</v>
      </c>
      <c r="AO114" s="18">
        <f>+AM114*200</f>
        <v>0</v>
      </c>
    </row>
    <row r="115" spans="1:41" x14ac:dyDescent="0.25">
      <c r="A115" s="143">
        <v>4</v>
      </c>
      <c r="B115" s="142">
        <v>45182</v>
      </c>
      <c r="C115" s="23">
        <v>0.60138888888888886</v>
      </c>
      <c r="D115" s="31" t="s">
        <v>3281</v>
      </c>
      <c r="E115" s="32">
        <v>5541406158</v>
      </c>
      <c r="F115" s="32" t="s">
        <v>1962</v>
      </c>
      <c r="G115" s="32" t="s">
        <v>3473</v>
      </c>
      <c r="H115" s="39" t="s">
        <v>3472</v>
      </c>
      <c r="I115" s="122"/>
      <c r="J115" s="32">
        <f>21+327+45+158</f>
        <v>551</v>
      </c>
      <c r="K115" s="20">
        <v>10</v>
      </c>
      <c r="L115" s="21"/>
      <c r="M115" s="21">
        <f t="shared" si="16"/>
        <v>561</v>
      </c>
      <c r="N115" s="21">
        <f t="shared" si="17"/>
        <v>-561</v>
      </c>
      <c r="O115" s="21"/>
      <c r="P115" s="21"/>
      <c r="Q115" s="5"/>
      <c r="R115" s="21"/>
      <c r="S115" s="16"/>
      <c r="T115" s="21">
        <f t="shared" si="18"/>
        <v>0</v>
      </c>
      <c r="U115" s="21"/>
      <c r="V115" s="78">
        <f t="shared" si="19"/>
        <v>0</v>
      </c>
      <c r="W115" s="140"/>
      <c r="X115" s="334"/>
      <c r="Y115" s="5"/>
      <c r="AA115" t="s">
        <v>3492</v>
      </c>
      <c r="AB115" t="s">
        <v>3493</v>
      </c>
      <c r="AC115">
        <v>1</v>
      </c>
      <c r="AD115" s="16" t="s">
        <v>165</v>
      </c>
      <c r="AE115" s="18">
        <f>+AC115*100</f>
        <v>100</v>
      </c>
      <c r="AH115" s="16" t="s">
        <v>165</v>
      </c>
      <c r="AI115" s="18">
        <f>+AG115*100</f>
        <v>0</v>
      </c>
      <c r="AK115" s="16"/>
      <c r="AL115" s="16"/>
      <c r="AN115" s="16" t="s">
        <v>165</v>
      </c>
      <c r="AO115" s="18">
        <f>+AM115*100</f>
        <v>0</v>
      </c>
    </row>
    <row r="116" spans="1:41" x14ac:dyDescent="0.25">
      <c r="A116" s="143">
        <v>5</v>
      </c>
      <c r="B116" s="142">
        <v>45182</v>
      </c>
      <c r="C116" s="23">
        <v>0.61319444444444449</v>
      </c>
      <c r="D116" s="31" t="s">
        <v>48</v>
      </c>
      <c r="E116" s="32">
        <v>5567925871</v>
      </c>
      <c r="F116" s="32" t="s">
        <v>114</v>
      </c>
      <c r="G116" s="32" t="s">
        <v>3475</v>
      </c>
      <c r="H116" s="32" t="s">
        <v>3474</v>
      </c>
      <c r="I116" s="122"/>
      <c r="J116" s="32">
        <v>118</v>
      </c>
      <c r="K116" s="20">
        <v>10</v>
      </c>
      <c r="L116" s="21">
        <v>20</v>
      </c>
      <c r="M116" s="21">
        <f t="shared" si="16"/>
        <v>128</v>
      </c>
      <c r="N116" s="21">
        <f t="shared" si="17"/>
        <v>-128</v>
      </c>
      <c r="O116" s="21">
        <v>135</v>
      </c>
      <c r="P116" s="21"/>
      <c r="Q116" s="5"/>
      <c r="R116" s="16">
        <v>200</v>
      </c>
      <c r="S116" s="16"/>
      <c r="T116" s="21">
        <f t="shared" si="18"/>
        <v>200</v>
      </c>
      <c r="U116" s="21">
        <v>85</v>
      </c>
      <c r="V116" s="78">
        <f t="shared" si="19"/>
        <v>20</v>
      </c>
      <c r="W116" s="140"/>
      <c r="X116" s="334"/>
      <c r="Y116" s="5"/>
      <c r="AA116" t="s">
        <v>3494</v>
      </c>
      <c r="AC116">
        <v>1</v>
      </c>
      <c r="AD116" s="16" t="s">
        <v>166</v>
      </c>
      <c r="AE116" s="18">
        <f>+AC116*50</f>
        <v>50</v>
      </c>
      <c r="AH116" s="16" t="s">
        <v>166</v>
      </c>
      <c r="AI116" s="18">
        <f>+AG116*50</f>
        <v>0</v>
      </c>
      <c r="AK116" s="16"/>
      <c r="AL116" s="16"/>
      <c r="AN116" s="16" t="s">
        <v>166</v>
      </c>
      <c r="AO116" s="18">
        <f>+AM116*50</f>
        <v>0</v>
      </c>
    </row>
    <row r="117" spans="1:41" x14ac:dyDescent="0.25">
      <c r="A117" s="143">
        <v>6</v>
      </c>
      <c r="B117" s="142">
        <v>45182</v>
      </c>
      <c r="C117" s="23">
        <v>0.625</v>
      </c>
      <c r="D117" s="31" t="s">
        <v>3476</v>
      </c>
      <c r="E117" s="32">
        <v>5621837478</v>
      </c>
      <c r="F117" s="32" t="s">
        <v>2707</v>
      </c>
      <c r="G117" s="32">
        <v>111</v>
      </c>
      <c r="H117" s="39" t="s">
        <v>3478</v>
      </c>
      <c r="I117" s="39"/>
      <c r="J117" s="42">
        <v>67</v>
      </c>
      <c r="K117" s="20">
        <v>10</v>
      </c>
      <c r="L117" s="21">
        <v>20</v>
      </c>
      <c r="M117" s="21">
        <f t="shared" si="16"/>
        <v>77</v>
      </c>
      <c r="N117" s="21">
        <f t="shared" si="17"/>
        <v>-77</v>
      </c>
      <c r="O117" s="21"/>
      <c r="P117" s="21"/>
      <c r="Q117" s="5"/>
      <c r="R117" s="16"/>
      <c r="S117" s="16"/>
      <c r="T117" s="21">
        <f t="shared" si="18"/>
        <v>0</v>
      </c>
      <c r="U117" s="16">
        <v>30</v>
      </c>
      <c r="V117" s="78">
        <f t="shared" si="19"/>
        <v>30</v>
      </c>
      <c r="W117" s="140"/>
      <c r="X117" s="334"/>
      <c r="Y117" s="5"/>
      <c r="AC117">
        <v>2</v>
      </c>
      <c r="AD117" s="16" t="s">
        <v>167</v>
      </c>
      <c r="AE117" s="18">
        <f>+AC117*20</f>
        <v>40</v>
      </c>
      <c r="AH117" s="16" t="s">
        <v>167</v>
      </c>
      <c r="AI117" s="18">
        <f>+AG117*20</f>
        <v>0</v>
      </c>
      <c r="AK117" s="16"/>
      <c r="AL117" s="16"/>
      <c r="AN117" s="16" t="s">
        <v>167</v>
      </c>
      <c r="AO117" s="18">
        <f>+AM117*20</f>
        <v>0</v>
      </c>
    </row>
    <row r="118" spans="1:41" x14ac:dyDescent="0.25">
      <c r="A118" s="143">
        <v>7</v>
      </c>
      <c r="B118" s="142">
        <v>45182</v>
      </c>
      <c r="C118" s="23">
        <v>0.64374999999999993</v>
      </c>
      <c r="D118" s="31" t="s">
        <v>868</v>
      </c>
      <c r="E118" s="32">
        <v>5572135350</v>
      </c>
      <c r="F118" s="32" t="s">
        <v>28</v>
      </c>
      <c r="G118" s="32" t="s">
        <v>3479</v>
      </c>
      <c r="H118" s="39" t="s">
        <v>3480</v>
      </c>
      <c r="I118" s="122"/>
      <c r="J118" s="42">
        <f>52+13</f>
        <v>65</v>
      </c>
      <c r="K118" s="20">
        <v>10</v>
      </c>
      <c r="L118" s="21">
        <v>20</v>
      </c>
      <c r="M118" s="21">
        <f t="shared" si="16"/>
        <v>75</v>
      </c>
      <c r="N118" s="21">
        <f t="shared" si="17"/>
        <v>-75</v>
      </c>
      <c r="O118" s="21"/>
      <c r="P118" s="21"/>
      <c r="Q118" s="5"/>
      <c r="R118" s="16"/>
      <c r="S118" s="16"/>
      <c r="T118" s="21">
        <f t="shared" si="18"/>
        <v>0</v>
      </c>
      <c r="U118" s="16">
        <v>30</v>
      </c>
      <c r="V118" s="78">
        <f t="shared" si="19"/>
        <v>30</v>
      </c>
      <c r="W118" s="140"/>
      <c r="X118" s="334"/>
      <c r="Y118" s="5"/>
      <c r="AD118" s="16" t="s">
        <v>171</v>
      </c>
      <c r="AE118" s="18">
        <f>+AC118*500</f>
        <v>0</v>
      </c>
      <c r="AH118" s="16" t="s">
        <v>171</v>
      </c>
      <c r="AI118" s="18">
        <f>+AG118*500</f>
        <v>0</v>
      </c>
      <c r="AK118" s="16"/>
      <c r="AL118" s="16"/>
      <c r="AN118" s="16" t="s">
        <v>171</v>
      </c>
      <c r="AO118" s="18">
        <f>+AM118*500</f>
        <v>0</v>
      </c>
    </row>
    <row r="119" spans="1:41" x14ac:dyDescent="0.25">
      <c r="A119" s="143">
        <v>8</v>
      </c>
      <c r="B119" s="142">
        <v>45182</v>
      </c>
      <c r="C119" s="23">
        <v>0.65555555555555556</v>
      </c>
      <c r="D119" s="31" t="s">
        <v>3477</v>
      </c>
      <c r="E119" s="123">
        <v>5614683694</v>
      </c>
      <c r="F119" s="123" t="s">
        <v>145</v>
      </c>
      <c r="G119" s="123" t="s">
        <v>1148</v>
      </c>
      <c r="H119" s="39" t="s">
        <v>3481</v>
      </c>
      <c r="I119" s="122"/>
      <c r="J119" s="32">
        <v>127</v>
      </c>
      <c r="K119" s="20">
        <v>10</v>
      </c>
      <c r="L119" s="21">
        <v>10</v>
      </c>
      <c r="M119" s="21">
        <f t="shared" si="16"/>
        <v>137</v>
      </c>
      <c r="N119" s="21">
        <f t="shared" si="17"/>
        <v>-137</v>
      </c>
      <c r="O119" s="21"/>
      <c r="P119" s="21"/>
      <c r="Q119" s="5"/>
      <c r="R119" s="16"/>
      <c r="S119" s="16"/>
      <c r="T119" s="21">
        <f t="shared" si="18"/>
        <v>0</v>
      </c>
      <c r="U119" s="16">
        <v>20</v>
      </c>
      <c r="V119" s="78">
        <f t="shared" si="19"/>
        <v>20</v>
      </c>
      <c r="W119" s="140"/>
      <c r="X119" s="334"/>
      <c r="Y119" s="5"/>
      <c r="AD119" s="16" t="s">
        <v>168</v>
      </c>
      <c r="AE119" s="18">
        <f>+AC119*1000</f>
        <v>0</v>
      </c>
      <c r="AH119" s="16" t="s">
        <v>168</v>
      </c>
      <c r="AI119" s="18">
        <f>+AG119*1000</f>
        <v>0</v>
      </c>
      <c r="AK119" s="16"/>
      <c r="AL119" s="16"/>
      <c r="AN119" s="16" t="s">
        <v>168</v>
      </c>
      <c r="AO119" s="18">
        <f>+AM119*1000</f>
        <v>0</v>
      </c>
    </row>
    <row r="120" spans="1:41" x14ac:dyDescent="0.25">
      <c r="A120" s="143">
        <v>9</v>
      </c>
      <c r="B120" s="142">
        <v>45182</v>
      </c>
      <c r="C120" s="23">
        <v>0.16666666666666666</v>
      </c>
      <c r="D120" s="31" t="s">
        <v>3477</v>
      </c>
      <c r="E120" s="123">
        <v>5614683694</v>
      </c>
      <c r="F120" s="32" t="s">
        <v>41</v>
      </c>
      <c r="G120" s="123" t="s">
        <v>1148</v>
      </c>
      <c r="H120" s="39" t="s">
        <v>3481</v>
      </c>
      <c r="I120" s="39">
        <v>500</v>
      </c>
      <c r="J120" s="40">
        <v>127</v>
      </c>
      <c r="K120" s="20">
        <v>11</v>
      </c>
      <c r="L120" s="21"/>
      <c r="M120" s="21">
        <f t="shared" si="16"/>
        <v>138</v>
      </c>
      <c r="N120" s="21">
        <f t="shared" si="17"/>
        <v>362</v>
      </c>
      <c r="O120" s="21"/>
      <c r="P120" s="21"/>
      <c r="Q120" s="5"/>
      <c r="R120" s="16"/>
      <c r="S120" s="16"/>
      <c r="T120" s="21">
        <f t="shared" si="18"/>
        <v>0</v>
      </c>
      <c r="U120" s="16"/>
      <c r="V120" s="78">
        <f t="shared" si="19"/>
        <v>0</v>
      </c>
      <c r="W120" s="140"/>
      <c r="X120" s="334"/>
      <c r="Y120" s="5"/>
      <c r="AD120" s="26"/>
      <c r="AE120" s="58"/>
      <c r="AH120" s="26"/>
      <c r="AI120" s="58"/>
      <c r="AK120" s="16"/>
      <c r="AL120" s="16"/>
      <c r="AN120" s="26"/>
      <c r="AO120" s="58"/>
    </row>
    <row r="121" spans="1:41" x14ac:dyDescent="0.25">
      <c r="A121" s="197">
        <v>10</v>
      </c>
      <c r="B121" s="258">
        <v>45182</v>
      </c>
      <c r="C121" s="255">
        <v>0.17361111111111113</v>
      </c>
      <c r="D121" s="199" t="s">
        <v>1912</v>
      </c>
      <c r="E121" s="207">
        <v>5564788989</v>
      </c>
      <c r="F121" s="207" t="s">
        <v>52</v>
      </c>
      <c r="G121" s="207" t="s">
        <v>220</v>
      </c>
      <c r="H121" s="202" t="s">
        <v>3482</v>
      </c>
      <c r="I121" s="203">
        <v>105</v>
      </c>
      <c r="J121" s="204">
        <v>105</v>
      </c>
      <c r="K121" s="205">
        <v>10</v>
      </c>
      <c r="L121" s="206"/>
      <c r="M121" s="206">
        <f t="shared" si="16"/>
        <v>115</v>
      </c>
      <c r="N121" s="206">
        <f t="shared" si="17"/>
        <v>-10</v>
      </c>
      <c r="O121" s="21"/>
      <c r="P121" s="21"/>
      <c r="Q121" s="5"/>
      <c r="R121" s="16"/>
      <c r="S121" s="16"/>
      <c r="T121" s="21">
        <f t="shared" si="18"/>
        <v>0</v>
      </c>
      <c r="U121" s="16"/>
      <c r="V121" s="78">
        <f t="shared" si="19"/>
        <v>0</v>
      </c>
      <c r="W121" s="140"/>
      <c r="X121" s="334"/>
      <c r="Y121" s="5"/>
      <c r="AD121" s="16" t="s">
        <v>169</v>
      </c>
      <c r="AE121" s="18">
        <f>SUM(AE111:AE120)</f>
        <v>528</v>
      </c>
      <c r="AH121" s="16" t="s">
        <v>169</v>
      </c>
      <c r="AI121" s="18">
        <f>SUM(AI111:AI120)</f>
        <v>408</v>
      </c>
      <c r="AK121" s="16"/>
      <c r="AL121" s="16"/>
      <c r="AN121" s="16" t="s">
        <v>169</v>
      </c>
      <c r="AO121" s="18"/>
    </row>
    <row r="122" spans="1:41" x14ac:dyDescent="0.25">
      <c r="A122" s="143">
        <v>11</v>
      </c>
      <c r="B122" s="142">
        <v>45182</v>
      </c>
      <c r="C122" s="23">
        <v>0.30972222222222223</v>
      </c>
      <c r="D122" s="31" t="s">
        <v>2472</v>
      </c>
      <c r="E122" s="124">
        <v>5510466400</v>
      </c>
      <c r="F122" s="123" t="s">
        <v>3483</v>
      </c>
      <c r="G122" s="123" t="s">
        <v>3484</v>
      </c>
      <c r="H122" s="39"/>
      <c r="I122" s="122">
        <v>500</v>
      </c>
      <c r="J122" s="42">
        <v>71</v>
      </c>
      <c r="K122" s="20">
        <v>10</v>
      </c>
      <c r="L122" s="21"/>
      <c r="M122" s="21">
        <f t="shared" si="16"/>
        <v>81</v>
      </c>
      <c r="N122" s="21">
        <f t="shared" si="17"/>
        <v>419</v>
      </c>
      <c r="O122" s="21"/>
      <c r="P122" s="21"/>
      <c r="Q122" s="5"/>
      <c r="R122" s="16"/>
      <c r="S122" s="16"/>
      <c r="T122" s="21">
        <f t="shared" si="18"/>
        <v>0</v>
      </c>
      <c r="U122" s="16"/>
      <c r="V122" s="78">
        <f t="shared" si="19"/>
        <v>0</v>
      </c>
      <c r="W122" s="140"/>
      <c r="X122" s="334"/>
      <c r="Y122" s="5"/>
      <c r="AE122">
        <v>819</v>
      </c>
      <c r="AK122" s="16"/>
      <c r="AL122" s="16"/>
      <c r="AN122" s="16"/>
      <c r="AO122" s="16"/>
    </row>
    <row r="123" spans="1:41" x14ac:dyDescent="0.25">
      <c r="A123" s="143">
        <v>12</v>
      </c>
      <c r="B123" s="142">
        <v>45182</v>
      </c>
      <c r="C123" s="23">
        <v>0.31944444444444448</v>
      </c>
      <c r="D123" s="32" t="s">
        <v>921</v>
      </c>
      <c r="E123" s="32">
        <v>5625982564</v>
      </c>
      <c r="F123" s="124" t="s">
        <v>38</v>
      </c>
      <c r="G123" s="123" t="s">
        <v>3485</v>
      </c>
      <c r="H123" s="123" t="s">
        <v>3486</v>
      </c>
      <c r="I123" s="39">
        <v>500</v>
      </c>
      <c r="J123" s="42">
        <v>45</v>
      </c>
      <c r="K123" s="20">
        <v>10</v>
      </c>
      <c r="L123" s="21">
        <v>5</v>
      </c>
      <c r="M123" s="21">
        <f t="shared" si="16"/>
        <v>55</v>
      </c>
      <c r="N123" s="21">
        <f t="shared" si="17"/>
        <v>445</v>
      </c>
      <c r="O123" s="21"/>
      <c r="P123" s="21"/>
      <c r="Q123" s="5"/>
      <c r="R123" s="45"/>
      <c r="S123" s="44"/>
      <c r="T123" s="21">
        <f t="shared" si="18"/>
        <v>0</v>
      </c>
      <c r="U123" s="45"/>
      <c r="V123" s="78">
        <f t="shared" si="19"/>
        <v>0</v>
      </c>
      <c r="W123" s="140"/>
      <c r="X123" s="334"/>
      <c r="Y123" s="5"/>
      <c r="AK123" s="63" t="s">
        <v>169</v>
      </c>
      <c r="AL123" s="63">
        <f>+SUM(AK112:AK122)-SUM(AL112:AL122)</f>
        <v>0</v>
      </c>
      <c r="AN123" s="63" t="s">
        <v>169</v>
      </c>
      <c r="AO123" s="85">
        <f>+SUM(AN111:AN122)-SUM(AO112:AO122)</f>
        <v>0</v>
      </c>
    </row>
    <row r="124" spans="1:41" x14ac:dyDescent="0.25">
      <c r="A124" s="143">
        <v>13</v>
      </c>
      <c r="B124" s="142">
        <v>45182</v>
      </c>
      <c r="C124" s="23">
        <v>0.33333333333333331</v>
      </c>
      <c r="D124" s="31" t="s">
        <v>3487</v>
      </c>
      <c r="E124" s="32">
        <v>5518380748</v>
      </c>
      <c r="F124" s="32" t="s">
        <v>38</v>
      </c>
      <c r="G124" s="32" t="s">
        <v>2859</v>
      </c>
      <c r="H124" s="39" t="s">
        <v>3504</v>
      </c>
      <c r="I124" s="39">
        <v>150</v>
      </c>
      <c r="J124" s="42">
        <v>135</v>
      </c>
      <c r="K124" s="108">
        <v>10</v>
      </c>
      <c r="L124" s="21">
        <v>5</v>
      </c>
      <c r="M124" s="21">
        <f t="shared" si="16"/>
        <v>145</v>
      </c>
      <c r="N124" s="21">
        <f t="shared" si="17"/>
        <v>5</v>
      </c>
      <c r="O124" s="21"/>
      <c r="P124" s="21"/>
      <c r="Q124" s="5"/>
      <c r="R124" s="43"/>
      <c r="S124" s="32"/>
      <c r="T124" s="21">
        <f t="shared" si="18"/>
        <v>0</v>
      </c>
      <c r="U124" s="43"/>
      <c r="V124" s="78">
        <f t="shared" si="19"/>
        <v>0</v>
      </c>
      <c r="W124" s="140"/>
      <c r="X124" s="334"/>
      <c r="Y124" s="5"/>
      <c r="AI124" s="83"/>
    </row>
    <row r="125" spans="1:41" x14ac:dyDescent="0.25">
      <c r="A125" s="276">
        <v>14</v>
      </c>
      <c r="B125" s="277">
        <v>45182</v>
      </c>
      <c r="C125" s="278">
        <v>0.3576388888888889</v>
      </c>
      <c r="D125" s="279" t="s">
        <v>3488</v>
      </c>
      <c r="E125" s="280"/>
      <c r="F125" s="280" t="s">
        <v>3490</v>
      </c>
      <c r="G125" s="280" t="s">
        <v>3495</v>
      </c>
      <c r="H125" s="281" t="s">
        <v>3496</v>
      </c>
      <c r="I125" s="281">
        <v>500</v>
      </c>
      <c r="J125" s="282">
        <v>163</v>
      </c>
      <c r="K125" s="283">
        <v>10</v>
      </c>
      <c r="L125" s="284"/>
      <c r="M125" s="284">
        <f t="shared" si="16"/>
        <v>173</v>
      </c>
      <c r="N125" s="284">
        <f t="shared" si="17"/>
        <v>327</v>
      </c>
      <c r="O125" s="21"/>
      <c r="P125" s="21"/>
      <c r="Q125" s="5"/>
      <c r="R125" s="43"/>
      <c r="S125" s="43"/>
      <c r="T125" s="21">
        <f t="shared" si="18"/>
        <v>0</v>
      </c>
      <c r="U125" s="43"/>
      <c r="V125" s="78">
        <f t="shared" si="19"/>
        <v>0</v>
      </c>
      <c r="W125" s="140"/>
      <c r="X125" s="334"/>
      <c r="Y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</row>
    <row r="126" spans="1:41" x14ac:dyDescent="0.25">
      <c r="A126" s="143">
        <v>15</v>
      </c>
      <c r="B126" s="142">
        <v>45182</v>
      </c>
      <c r="C126" s="23">
        <v>0.375</v>
      </c>
      <c r="D126" s="127" t="s">
        <v>815</v>
      </c>
      <c r="E126" s="32"/>
      <c r="F126" s="32" t="s">
        <v>52</v>
      </c>
      <c r="G126" s="128" t="s">
        <v>3479</v>
      </c>
      <c r="H126" s="129" t="s">
        <v>3497</v>
      </c>
      <c r="I126" s="39">
        <v>169</v>
      </c>
      <c r="J126" s="42">
        <v>159</v>
      </c>
      <c r="K126" s="108">
        <v>10</v>
      </c>
      <c r="L126" s="21"/>
      <c r="M126" s="21">
        <f t="shared" si="16"/>
        <v>169</v>
      </c>
      <c r="N126" s="21">
        <f t="shared" si="17"/>
        <v>0</v>
      </c>
      <c r="O126" s="21"/>
      <c r="P126" s="21"/>
      <c r="Q126" s="5"/>
      <c r="R126" s="43"/>
      <c r="S126" s="43"/>
      <c r="T126" s="21">
        <f t="shared" si="18"/>
        <v>0</v>
      </c>
      <c r="U126" s="43"/>
      <c r="V126" s="78">
        <f t="shared" si="19"/>
        <v>0</v>
      </c>
      <c r="W126" s="140"/>
      <c r="X126" s="334"/>
      <c r="Y126" s="5"/>
      <c r="AD126" s="5"/>
      <c r="AE126" s="134" t="s">
        <v>20</v>
      </c>
      <c r="AF126" s="338"/>
      <c r="AG126" s="341" t="s">
        <v>686</v>
      </c>
      <c r="AH126" s="134" t="s">
        <v>20</v>
      </c>
      <c r="AI126" s="338">
        <v>205</v>
      </c>
      <c r="AJ126" s="341" t="s">
        <v>687</v>
      </c>
      <c r="AK126" s="134" t="s">
        <v>20</v>
      </c>
      <c r="AL126" s="338"/>
      <c r="AM126" s="5"/>
    </row>
    <row r="127" spans="1:41" x14ac:dyDescent="0.25">
      <c r="A127" s="143">
        <v>16</v>
      </c>
      <c r="B127" s="142">
        <v>45182</v>
      </c>
      <c r="C127" s="23">
        <v>0.39583333333333331</v>
      </c>
      <c r="D127" s="31" t="s">
        <v>48</v>
      </c>
      <c r="E127" s="32"/>
      <c r="F127" s="32" t="s">
        <v>3491</v>
      </c>
      <c r="G127" s="32" t="s">
        <v>3499</v>
      </c>
      <c r="H127" s="39" t="s">
        <v>3498</v>
      </c>
      <c r="I127" s="39">
        <v>530</v>
      </c>
      <c r="J127" s="42">
        <v>528</v>
      </c>
      <c r="K127" s="43">
        <v>22</v>
      </c>
      <c r="L127" s="21">
        <v>10</v>
      </c>
      <c r="M127" s="21">
        <f t="shared" si="16"/>
        <v>550</v>
      </c>
      <c r="N127" s="21">
        <f t="shared" si="17"/>
        <v>-20</v>
      </c>
      <c r="O127" s="21"/>
      <c r="P127" s="21"/>
      <c r="Q127" s="5"/>
      <c r="R127" s="43"/>
      <c r="S127" s="32"/>
      <c r="T127" s="21">
        <f t="shared" si="18"/>
        <v>0</v>
      </c>
      <c r="U127" s="131"/>
      <c r="V127" s="78">
        <f t="shared" si="19"/>
        <v>0</v>
      </c>
      <c r="W127" s="140"/>
      <c r="X127" s="334"/>
      <c r="Y127" s="5"/>
      <c r="AD127" s="5" t="s">
        <v>685</v>
      </c>
      <c r="AE127" s="115" t="s">
        <v>684</v>
      </c>
      <c r="AF127" s="339"/>
      <c r="AG127" s="341"/>
      <c r="AH127" s="115" t="s">
        <v>684</v>
      </c>
      <c r="AI127" s="339"/>
      <c r="AJ127" s="341"/>
      <c r="AK127" s="115" t="s">
        <v>684</v>
      </c>
      <c r="AL127" s="339"/>
      <c r="AM127" s="5"/>
    </row>
    <row r="128" spans="1:41" x14ac:dyDescent="0.25">
      <c r="A128" s="143">
        <v>17</v>
      </c>
      <c r="B128" s="142">
        <v>45182</v>
      </c>
      <c r="C128" s="23">
        <v>0.39930555555555558</v>
      </c>
      <c r="D128" s="31" t="s">
        <v>3489</v>
      </c>
      <c r="E128" s="32"/>
      <c r="F128" s="32" t="s">
        <v>52</v>
      </c>
      <c r="G128" s="32" t="s">
        <v>3500</v>
      </c>
      <c r="H128" s="39" t="s">
        <v>3502</v>
      </c>
      <c r="I128" s="39">
        <v>55</v>
      </c>
      <c r="J128" s="42">
        <v>41</v>
      </c>
      <c r="K128" s="43">
        <v>14</v>
      </c>
      <c r="L128" s="21"/>
      <c r="M128" s="21">
        <f t="shared" si="16"/>
        <v>55</v>
      </c>
      <c r="N128" s="21">
        <f t="shared" si="17"/>
        <v>0</v>
      </c>
      <c r="O128" s="21"/>
      <c r="P128" s="21"/>
      <c r="Q128" s="5"/>
      <c r="R128" s="43"/>
      <c r="S128" s="32"/>
      <c r="T128" s="21">
        <f t="shared" si="18"/>
        <v>0</v>
      </c>
      <c r="U128" s="132"/>
      <c r="V128" s="78">
        <f t="shared" si="19"/>
        <v>0</v>
      </c>
      <c r="W128" s="140"/>
      <c r="X128" s="340"/>
      <c r="Y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</row>
    <row r="129" spans="1:41" x14ac:dyDescent="0.25">
      <c r="A129" s="143">
        <v>18</v>
      </c>
      <c r="B129" s="142">
        <v>45182</v>
      </c>
      <c r="C129" s="257">
        <v>0.41666666666666669</v>
      </c>
      <c r="D129" s="31" t="s">
        <v>3013</v>
      </c>
      <c r="E129" s="32"/>
      <c r="F129" s="32" t="s">
        <v>52</v>
      </c>
      <c r="G129" s="32" t="s">
        <v>3501</v>
      </c>
      <c r="H129" s="39" t="s">
        <v>3503</v>
      </c>
      <c r="I129" s="39">
        <v>86</v>
      </c>
      <c r="J129" s="42">
        <v>71</v>
      </c>
      <c r="K129" s="43">
        <v>15</v>
      </c>
      <c r="L129" s="21">
        <v>10</v>
      </c>
      <c r="M129" s="21">
        <f t="shared" si="16"/>
        <v>86</v>
      </c>
      <c r="N129" s="21">
        <f t="shared" si="17"/>
        <v>0</v>
      </c>
      <c r="O129" s="21"/>
      <c r="P129" s="21"/>
      <c r="Q129" s="5"/>
      <c r="R129" s="135"/>
      <c r="S129" s="104"/>
      <c r="T129" s="21">
        <f t="shared" si="18"/>
        <v>0</v>
      </c>
      <c r="U129" s="131"/>
      <c r="V129" s="78">
        <f t="shared" si="19"/>
        <v>0</v>
      </c>
      <c r="W129" s="140"/>
      <c r="Y129" s="5"/>
    </row>
    <row r="130" spans="1:41" x14ac:dyDescent="0.25">
      <c r="A130" s="143">
        <v>19</v>
      </c>
      <c r="B130" s="142">
        <v>45182</v>
      </c>
      <c r="C130" s="32"/>
      <c r="D130" s="31"/>
      <c r="E130" s="32"/>
      <c r="F130" s="32"/>
      <c r="G130" s="32"/>
      <c r="H130" s="39"/>
      <c r="I130" s="39"/>
      <c r="J130" s="42"/>
      <c r="K130" s="43">
        <v>10</v>
      </c>
      <c r="L130" s="21"/>
      <c r="M130" s="21">
        <f t="shared" si="16"/>
        <v>10</v>
      </c>
      <c r="N130" s="21">
        <f t="shared" si="17"/>
        <v>-10</v>
      </c>
      <c r="O130" s="21"/>
      <c r="P130" s="21"/>
      <c r="Q130" s="5"/>
      <c r="R130" s="32"/>
      <c r="S130" s="32"/>
      <c r="T130" s="21">
        <f t="shared" si="18"/>
        <v>0</v>
      </c>
      <c r="U130" s="32"/>
      <c r="V130" s="78">
        <f t="shared" si="19"/>
        <v>0</v>
      </c>
      <c r="W130" s="140"/>
      <c r="Y130" s="5"/>
    </row>
    <row r="131" spans="1:4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141"/>
      <c r="X131" s="5"/>
      <c r="Y131" s="5"/>
    </row>
    <row r="136" spans="1:41" x14ac:dyDescent="0.25">
      <c r="A136" s="1" t="s">
        <v>0</v>
      </c>
      <c r="B136" s="1"/>
      <c r="C136" s="1"/>
      <c r="D136" s="1"/>
      <c r="E136" s="1"/>
      <c r="F136" s="1"/>
      <c r="G136" s="1"/>
      <c r="H136" s="1"/>
      <c r="I136" s="1"/>
      <c r="J136" s="1" t="s">
        <v>148</v>
      </c>
      <c r="K136" s="1"/>
      <c r="L136" s="1"/>
      <c r="M136" s="1"/>
      <c r="N136" s="1"/>
      <c r="O136" s="1"/>
      <c r="P136" s="1"/>
      <c r="Q136" s="1"/>
      <c r="R136" s="1"/>
      <c r="S136" s="1"/>
      <c r="T136" s="342" t="s">
        <v>1</v>
      </c>
      <c r="U136" s="342"/>
      <c r="V136" s="5"/>
      <c r="W136" s="139"/>
      <c r="X136" s="1"/>
      <c r="Y136" s="5"/>
      <c r="AD136" s="335" t="s">
        <v>160</v>
      </c>
      <c r="AE136" s="336"/>
      <c r="AH136" s="335" t="s">
        <v>170</v>
      </c>
      <c r="AI136" s="336"/>
      <c r="AK136" s="337" t="s">
        <v>172</v>
      </c>
      <c r="AL136" s="337"/>
      <c r="AN136" s="337" t="s">
        <v>681</v>
      </c>
      <c r="AO136" s="337"/>
    </row>
    <row r="137" spans="1:41" ht="90" x14ac:dyDescent="0.25">
      <c r="A137" s="6" t="s">
        <v>2</v>
      </c>
      <c r="B137" s="7" t="s">
        <v>3</v>
      </c>
      <c r="C137" s="245" t="s">
        <v>688</v>
      </c>
      <c r="D137" s="7" t="s">
        <v>4</v>
      </c>
      <c r="E137" s="6" t="s">
        <v>5</v>
      </c>
      <c r="F137" s="6" t="s">
        <v>6</v>
      </c>
      <c r="G137" s="6" t="s">
        <v>7</v>
      </c>
      <c r="H137" s="6" t="s">
        <v>8</v>
      </c>
      <c r="I137" s="8" t="s">
        <v>9</v>
      </c>
      <c r="J137" s="9" t="s">
        <v>10</v>
      </c>
      <c r="K137" s="8" t="s">
        <v>11</v>
      </c>
      <c r="L137" s="10" t="s">
        <v>12</v>
      </c>
      <c r="M137" s="10" t="s">
        <v>13</v>
      </c>
      <c r="N137" s="11" t="s">
        <v>14</v>
      </c>
      <c r="O137" s="10" t="s">
        <v>691</v>
      </c>
      <c r="P137" s="10" t="s">
        <v>28</v>
      </c>
      <c r="Q137" s="5"/>
      <c r="R137" s="10" t="s">
        <v>16</v>
      </c>
      <c r="S137" s="10" t="s">
        <v>17</v>
      </c>
      <c r="T137" s="10" t="s">
        <v>18</v>
      </c>
      <c r="U137" s="10" t="s">
        <v>19</v>
      </c>
      <c r="V137" s="10" t="s">
        <v>20</v>
      </c>
      <c r="W137" s="13"/>
      <c r="X137" s="15" t="s">
        <v>23</v>
      </c>
      <c r="Y137" s="5"/>
      <c r="AA137" s="251" t="s">
        <v>2554</v>
      </c>
      <c r="AD137" s="16" t="s">
        <v>161</v>
      </c>
      <c r="AE137" s="58">
        <f>+AC137*10</f>
        <v>0</v>
      </c>
      <c r="AH137" s="16" t="s">
        <v>161</v>
      </c>
      <c r="AI137" s="58">
        <f>+AG137*10</f>
        <v>0</v>
      </c>
      <c r="AK137" s="61" t="s">
        <v>173</v>
      </c>
      <c r="AL137" s="62" t="s">
        <v>174</v>
      </c>
      <c r="AN137" s="16" t="s">
        <v>161</v>
      </c>
      <c r="AO137" s="58">
        <f>+AM137*10</f>
        <v>0</v>
      </c>
    </row>
    <row r="138" spans="1:41" x14ac:dyDescent="0.25">
      <c r="A138" s="16">
        <v>1</v>
      </c>
      <c r="B138" s="92">
        <v>45276</v>
      </c>
      <c r="C138" s="23">
        <v>0.41666666666666669</v>
      </c>
      <c r="D138" s="31" t="s">
        <v>3505</v>
      </c>
      <c r="E138" s="32">
        <v>5566798984</v>
      </c>
      <c r="F138" s="32" t="s">
        <v>38</v>
      </c>
      <c r="G138" s="39" t="s">
        <v>3508</v>
      </c>
      <c r="H138" s="39" t="s">
        <v>3510</v>
      </c>
      <c r="I138" s="122">
        <v>185</v>
      </c>
      <c r="J138" s="32">
        <v>166</v>
      </c>
      <c r="K138" s="20">
        <v>11</v>
      </c>
      <c r="L138" s="21">
        <v>8</v>
      </c>
      <c r="M138" s="21">
        <f t="shared" ref="M138:M156" si="20">+J138+K138</f>
        <v>177</v>
      </c>
      <c r="N138" s="21">
        <f t="shared" ref="N138:N156" si="21">+I138-M138</f>
        <v>8</v>
      </c>
      <c r="O138" s="21"/>
      <c r="P138" s="21"/>
      <c r="Q138" s="5"/>
      <c r="R138" s="21"/>
      <c r="S138" s="16"/>
      <c r="T138" s="21">
        <f t="shared" ref="T138:T156" si="22">+R138+S138</f>
        <v>0</v>
      </c>
      <c r="U138" s="21"/>
      <c r="V138" s="78">
        <f>+U138-T138+O138+P138</f>
        <v>0</v>
      </c>
      <c r="W138" s="13"/>
      <c r="X138" s="333"/>
      <c r="Y138" s="5"/>
      <c r="AD138" s="59" t="s">
        <v>162</v>
      </c>
      <c r="AE138" s="18">
        <f>+AC138*1</f>
        <v>0</v>
      </c>
      <c r="AH138" s="59" t="s">
        <v>162</v>
      </c>
      <c r="AI138" s="18">
        <f>+AG138*1</f>
        <v>0</v>
      </c>
      <c r="AK138" s="16"/>
      <c r="AL138" s="16"/>
      <c r="AN138" s="59" t="s">
        <v>162</v>
      </c>
      <c r="AO138" s="18">
        <f>+AM138*1</f>
        <v>0</v>
      </c>
    </row>
    <row r="139" spans="1:41" x14ac:dyDescent="0.25">
      <c r="A139" s="26">
        <v>2</v>
      </c>
      <c r="B139" s="92">
        <v>45276</v>
      </c>
      <c r="C139" s="23">
        <v>0.43055555555555558</v>
      </c>
      <c r="D139" s="31" t="s">
        <v>3506</v>
      </c>
      <c r="E139" s="32"/>
      <c r="F139" s="32" t="s">
        <v>197</v>
      </c>
      <c r="G139" s="32" t="s">
        <v>3495</v>
      </c>
      <c r="H139" s="32" t="s">
        <v>3509</v>
      </c>
      <c r="I139" s="122">
        <v>115</v>
      </c>
      <c r="J139" s="32">
        <v>100</v>
      </c>
      <c r="K139" s="20">
        <v>15</v>
      </c>
      <c r="L139" s="21"/>
      <c r="M139" s="21">
        <f t="shared" si="20"/>
        <v>115</v>
      </c>
      <c r="N139" s="21">
        <f t="shared" si="21"/>
        <v>0</v>
      </c>
      <c r="O139" s="21"/>
      <c r="P139" s="21"/>
      <c r="Q139" s="5"/>
      <c r="R139" s="21"/>
      <c r="S139" s="16"/>
      <c r="T139" s="21">
        <f t="shared" si="22"/>
        <v>0</v>
      </c>
      <c r="U139" s="21"/>
      <c r="V139" s="78">
        <f t="shared" ref="V139:V156" si="23">+U139-T139+O139+P139</f>
        <v>0</v>
      </c>
      <c r="W139" s="140"/>
      <c r="X139" s="334"/>
      <c r="Y139" s="5"/>
      <c r="AD139" s="16" t="s">
        <v>163</v>
      </c>
      <c r="AE139" s="60">
        <f>+AC139*5</f>
        <v>0</v>
      </c>
      <c r="AH139" s="16" t="s">
        <v>163</v>
      </c>
      <c r="AI139" s="60">
        <f>+AG139*5</f>
        <v>0</v>
      </c>
      <c r="AK139" s="16"/>
      <c r="AL139" s="16"/>
      <c r="AN139" s="16" t="s">
        <v>163</v>
      </c>
      <c r="AO139" s="60">
        <f>+AM139*5</f>
        <v>0</v>
      </c>
    </row>
    <row r="140" spans="1:41" x14ac:dyDescent="0.25">
      <c r="A140" s="143">
        <v>3</v>
      </c>
      <c r="B140" s="92">
        <v>45276</v>
      </c>
      <c r="C140" s="23">
        <v>0.43958333333333338</v>
      </c>
      <c r="D140" s="31" t="s">
        <v>2672</v>
      </c>
      <c r="E140" s="32"/>
      <c r="F140" s="32" t="s">
        <v>3507</v>
      </c>
      <c r="G140" s="32" t="s">
        <v>3245</v>
      </c>
      <c r="H140" s="39" t="s">
        <v>3511</v>
      </c>
      <c r="I140" s="122"/>
      <c r="J140" s="32"/>
      <c r="K140" s="20">
        <v>10</v>
      </c>
      <c r="L140" s="21"/>
      <c r="M140" s="21">
        <f t="shared" si="20"/>
        <v>10</v>
      </c>
      <c r="N140" s="21">
        <f t="shared" si="21"/>
        <v>-10</v>
      </c>
      <c r="O140" s="21"/>
      <c r="P140" s="21"/>
      <c r="Q140" s="5"/>
      <c r="R140" s="21"/>
      <c r="S140" s="16"/>
      <c r="T140" s="21">
        <f t="shared" si="22"/>
        <v>0</v>
      </c>
      <c r="U140" s="21"/>
      <c r="V140" s="78">
        <f t="shared" si="23"/>
        <v>0</v>
      </c>
      <c r="W140" s="140"/>
      <c r="X140" s="334"/>
      <c r="Y140" s="5"/>
      <c r="AD140" s="16" t="s">
        <v>164</v>
      </c>
      <c r="AE140" s="18">
        <f>+AC140*200</f>
        <v>0</v>
      </c>
      <c r="AH140" s="16" t="s">
        <v>164</v>
      </c>
      <c r="AI140" s="18">
        <f>+AG140*200</f>
        <v>0</v>
      </c>
      <c r="AK140" s="16"/>
      <c r="AL140" s="16"/>
      <c r="AN140" s="16" t="s">
        <v>164</v>
      </c>
      <c r="AO140" s="18">
        <f>+AM140*200</f>
        <v>0</v>
      </c>
    </row>
    <row r="141" spans="1:41" x14ac:dyDescent="0.25">
      <c r="A141" s="143">
        <v>4</v>
      </c>
      <c r="B141" s="92">
        <v>45276</v>
      </c>
      <c r="C141" s="23">
        <v>0.44166666666666665</v>
      </c>
      <c r="D141" s="31" t="s">
        <v>1866</v>
      </c>
      <c r="E141" s="32"/>
      <c r="F141" s="32" t="s">
        <v>38</v>
      </c>
      <c r="G141" s="32" t="s">
        <v>3019</v>
      </c>
      <c r="H141" s="39" t="s">
        <v>3512</v>
      </c>
      <c r="I141" s="122">
        <v>178</v>
      </c>
      <c r="J141" s="32">
        <v>168</v>
      </c>
      <c r="K141" s="20">
        <v>10</v>
      </c>
      <c r="L141" s="21"/>
      <c r="M141" s="21">
        <f t="shared" si="20"/>
        <v>178</v>
      </c>
      <c r="N141" s="21">
        <f t="shared" si="21"/>
        <v>0</v>
      </c>
      <c r="O141" s="21"/>
      <c r="P141" s="21"/>
      <c r="Q141" s="5"/>
      <c r="R141" s="21"/>
      <c r="S141" s="16"/>
      <c r="T141" s="21">
        <f t="shared" si="22"/>
        <v>0</v>
      </c>
      <c r="U141" s="21"/>
      <c r="V141" s="78">
        <f t="shared" si="23"/>
        <v>0</v>
      </c>
      <c r="W141" s="140"/>
      <c r="X141" s="334"/>
      <c r="Y141" s="5"/>
      <c r="AD141" s="16" t="s">
        <v>165</v>
      </c>
      <c r="AE141" s="18">
        <f>+AC141*100</f>
        <v>0</v>
      </c>
      <c r="AH141" s="16" t="s">
        <v>165</v>
      </c>
      <c r="AI141" s="18">
        <f>+AG141*100</f>
        <v>0</v>
      </c>
      <c r="AK141" s="16"/>
      <c r="AL141" s="16"/>
      <c r="AN141" s="16" t="s">
        <v>165</v>
      </c>
      <c r="AO141" s="18">
        <f>+AM141*100</f>
        <v>0</v>
      </c>
    </row>
    <row r="142" spans="1:41" x14ac:dyDescent="0.25">
      <c r="A142" s="143">
        <v>5</v>
      </c>
      <c r="B142" s="92">
        <v>45276</v>
      </c>
      <c r="C142" s="23"/>
      <c r="D142" s="31" t="s">
        <v>3515</v>
      </c>
      <c r="E142" s="32"/>
      <c r="F142" s="32" t="s">
        <v>968</v>
      </c>
      <c r="G142" s="32" t="s">
        <v>3514</v>
      </c>
      <c r="H142" s="32" t="s">
        <v>3513</v>
      </c>
      <c r="I142" s="122">
        <v>100</v>
      </c>
      <c r="J142" s="42">
        <v>80</v>
      </c>
      <c r="K142" s="20">
        <v>10</v>
      </c>
      <c r="L142" s="21">
        <v>10</v>
      </c>
      <c r="M142" s="21">
        <f t="shared" si="20"/>
        <v>90</v>
      </c>
      <c r="N142" s="21">
        <f t="shared" si="21"/>
        <v>10</v>
      </c>
      <c r="O142" s="21"/>
      <c r="P142" s="21"/>
      <c r="Q142" s="5"/>
      <c r="R142" s="16"/>
      <c r="S142" s="16"/>
      <c r="T142" s="21">
        <f t="shared" si="22"/>
        <v>0</v>
      </c>
      <c r="U142" s="21"/>
      <c r="V142" s="78">
        <f t="shared" si="23"/>
        <v>0</v>
      </c>
      <c r="W142" s="140"/>
      <c r="X142" s="334"/>
      <c r="Y142" s="5"/>
      <c r="AD142" s="16" t="s">
        <v>166</v>
      </c>
      <c r="AE142" s="18">
        <f>+AC142*50</f>
        <v>0</v>
      </c>
      <c r="AH142" s="16" t="s">
        <v>166</v>
      </c>
      <c r="AI142" s="18">
        <f>+AG142*50</f>
        <v>0</v>
      </c>
      <c r="AK142" s="16"/>
      <c r="AL142" s="16"/>
      <c r="AN142" s="16" t="s">
        <v>166</v>
      </c>
      <c r="AO142" s="18">
        <f>+AM142*50</f>
        <v>0</v>
      </c>
    </row>
    <row r="143" spans="1:41" x14ac:dyDescent="0.25">
      <c r="A143" s="143">
        <v>6</v>
      </c>
      <c r="B143" s="92">
        <v>45276</v>
      </c>
      <c r="C143" s="23"/>
      <c r="D143" s="31" t="s">
        <v>1165</v>
      </c>
      <c r="E143" s="32"/>
      <c r="F143" s="32" t="s">
        <v>114</v>
      </c>
      <c r="G143" s="32" t="s">
        <v>3233</v>
      </c>
      <c r="H143" s="39"/>
      <c r="I143" s="39">
        <v>270</v>
      </c>
      <c r="J143" s="42">
        <v>260</v>
      </c>
      <c r="K143" s="20">
        <v>10</v>
      </c>
      <c r="L143" s="21"/>
      <c r="M143" s="21">
        <f t="shared" si="20"/>
        <v>270</v>
      </c>
      <c r="N143" s="21">
        <f t="shared" si="21"/>
        <v>0</v>
      </c>
      <c r="O143" s="21"/>
      <c r="P143" s="21"/>
      <c r="Q143" s="5"/>
      <c r="R143" s="16"/>
      <c r="S143" s="16"/>
      <c r="T143" s="21">
        <f t="shared" si="22"/>
        <v>0</v>
      </c>
      <c r="U143" s="16"/>
      <c r="V143" s="78">
        <f t="shared" si="23"/>
        <v>0</v>
      </c>
      <c r="W143" s="140"/>
      <c r="X143" s="334"/>
      <c r="Y143" s="5"/>
      <c r="AD143" s="16" t="s">
        <v>167</v>
      </c>
      <c r="AE143" s="18">
        <f>+AC143*20</f>
        <v>0</v>
      </c>
      <c r="AH143" s="16" t="s">
        <v>167</v>
      </c>
      <c r="AI143" s="18">
        <f>+AG143*20</f>
        <v>0</v>
      </c>
      <c r="AK143" s="16"/>
      <c r="AL143" s="16"/>
      <c r="AN143" s="16" t="s">
        <v>167</v>
      </c>
      <c r="AO143" s="18">
        <f>+AM143*20</f>
        <v>0</v>
      </c>
    </row>
    <row r="144" spans="1:41" x14ac:dyDescent="0.25">
      <c r="A144" s="143">
        <v>7</v>
      </c>
      <c r="B144" s="92">
        <v>45276</v>
      </c>
      <c r="C144" s="23"/>
      <c r="D144" s="31" t="s">
        <v>3516</v>
      </c>
      <c r="E144" s="32"/>
      <c r="F144" s="32" t="s">
        <v>114</v>
      </c>
      <c r="G144" s="32" t="s">
        <v>3517</v>
      </c>
      <c r="H144" s="39"/>
      <c r="I144" s="122">
        <v>150</v>
      </c>
      <c r="J144" s="42">
        <v>126</v>
      </c>
      <c r="K144" s="20">
        <v>10</v>
      </c>
      <c r="L144" s="21">
        <v>25</v>
      </c>
      <c r="M144" s="21">
        <f t="shared" si="20"/>
        <v>136</v>
      </c>
      <c r="N144" s="21">
        <v>0</v>
      </c>
      <c r="O144" s="21"/>
      <c r="P144" s="21"/>
      <c r="Q144" s="5"/>
      <c r="R144" s="16"/>
      <c r="S144" s="16"/>
      <c r="T144" s="21">
        <f t="shared" si="22"/>
        <v>0</v>
      </c>
      <c r="U144" s="16"/>
      <c r="V144" s="78">
        <f t="shared" si="23"/>
        <v>0</v>
      </c>
      <c r="W144" s="140"/>
      <c r="X144" s="334"/>
      <c r="Y144" s="5"/>
      <c r="AD144" s="16" t="s">
        <v>171</v>
      </c>
      <c r="AE144" s="18">
        <f>+AC144*500</f>
        <v>0</v>
      </c>
      <c r="AH144" s="16" t="s">
        <v>171</v>
      </c>
      <c r="AI144" s="18">
        <f>+AG144*500</f>
        <v>0</v>
      </c>
      <c r="AK144" s="16"/>
      <c r="AL144" s="16"/>
      <c r="AN144" s="16" t="s">
        <v>171</v>
      </c>
      <c r="AO144" s="18">
        <f>+AM144*500</f>
        <v>0</v>
      </c>
    </row>
    <row r="145" spans="1:41" x14ac:dyDescent="0.25">
      <c r="A145" s="143">
        <v>8</v>
      </c>
      <c r="B145" s="92">
        <v>45276</v>
      </c>
      <c r="C145" s="23"/>
      <c r="D145" s="31" t="s">
        <v>307</v>
      </c>
      <c r="E145" s="123"/>
      <c r="F145" s="123" t="s">
        <v>114</v>
      </c>
      <c r="G145" s="123" t="s">
        <v>3518</v>
      </c>
      <c r="H145" s="39"/>
      <c r="I145" s="122">
        <v>179</v>
      </c>
      <c r="J145" s="32">
        <v>169</v>
      </c>
      <c r="K145" s="20">
        <v>10</v>
      </c>
      <c r="L145" s="21"/>
      <c r="M145" s="21">
        <f t="shared" si="20"/>
        <v>179</v>
      </c>
      <c r="N145" s="21">
        <f t="shared" si="21"/>
        <v>0</v>
      </c>
      <c r="O145" s="21"/>
      <c r="P145" s="21"/>
      <c r="Q145" s="5"/>
      <c r="R145" s="16"/>
      <c r="S145" s="16"/>
      <c r="T145" s="21">
        <f t="shared" si="22"/>
        <v>0</v>
      </c>
      <c r="U145" s="16"/>
      <c r="V145" s="78">
        <f t="shared" si="23"/>
        <v>0</v>
      </c>
      <c r="W145" s="140"/>
      <c r="X145" s="334"/>
      <c r="Y145" s="5"/>
      <c r="AD145" s="16" t="s">
        <v>168</v>
      </c>
      <c r="AE145" s="18">
        <f>+AC145*1000</f>
        <v>0</v>
      </c>
      <c r="AH145" s="16" t="s">
        <v>168</v>
      </c>
      <c r="AI145" s="18">
        <f>+AG145*1000</f>
        <v>0</v>
      </c>
      <c r="AK145" s="16"/>
      <c r="AL145" s="16"/>
      <c r="AN145" s="16" t="s">
        <v>168</v>
      </c>
      <c r="AO145" s="18">
        <f>+AM145*1000</f>
        <v>0</v>
      </c>
    </row>
    <row r="146" spans="1:41" x14ac:dyDescent="0.25">
      <c r="A146" s="143">
        <v>9</v>
      </c>
      <c r="B146" s="92">
        <v>45276</v>
      </c>
      <c r="C146" s="23"/>
      <c r="D146" s="31" t="s">
        <v>2464</v>
      </c>
      <c r="E146" s="32"/>
      <c r="F146" s="32" t="s">
        <v>892</v>
      </c>
      <c r="G146" s="32" t="s">
        <v>3519</v>
      </c>
      <c r="H146" s="39"/>
      <c r="I146" s="39">
        <v>32</v>
      </c>
      <c r="J146" s="40">
        <v>22</v>
      </c>
      <c r="K146" s="20">
        <v>10</v>
      </c>
      <c r="L146" s="21"/>
      <c r="M146" s="21">
        <f t="shared" si="20"/>
        <v>32</v>
      </c>
      <c r="N146" s="21">
        <f t="shared" si="21"/>
        <v>0</v>
      </c>
      <c r="O146" s="21"/>
      <c r="P146" s="21"/>
      <c r="Q146" s="5"/>
      <c r="R146" s="16"/>
      <c r="S146" s="16"/>
      <c r="T146" s="21">
        <f t="shared" si="22"/>
        <v>0</v>
      </c>
      <c r="U146" s="16"/>
      <c r="V146" s="78">
        <f t="shared" si="23"/>
        <v>0</v>
      </c>
      <c r="W146" s="140"/>
      <c r="X146" s="334"/>
      <c r="Y146" s="5"/>
      <c r="AD146" s="26"/>
      <c r="AE146" s="58"/>
      <c r="AH146" s="26"/>
      <c r="AI146" s="58"/>
      <c r="AK146" s="16"/>
      <c r="AL146" s="16"/>
      <c r="AN146" s="26"/>
      <c r="AO146" s="58"/>
    </row>
    <row r="147" spans="1:41" x14ac:dyDescent="0.25">
      <c r="A147" s="143">
        <v>10</v>
      </c>
      <c r="B147" s="92">
        <v>45276</v>
      </c>
      <c r="C147" s="23"/>
      <c r="D147" s="31" t="s">
        <v>2281</v>
      </c>
      <c r="E147" s="32"/>
      <c r="F147" s="32" t="s">
        <v>145</v>
      </c>
      <c r="G147" s="32" t="s">
        <v>2411</v>
      </c>
      <c r="H147" s="39" t="s">
        <v>3520</v>
      </c>
      <c r="I147" s="122">
        <v>43</v>
      </c>
      <c r="J147" s="42">
        <v>33</v>
      </c>
      <c r="K147" s="20">
        <v>10</v>
      </c>
      <c r="L147" s="21"/>
      <c r="M147" s="21">
        <f t="shared" si="20"/>
        <v>43</v>
      </c>
      <c r="N147" s="21">
        <f t="shared" si="21"/>
        <v>0</v>
      </c>
      <c r="O147" s="21"/>
      <c r="P147" s="21"/>
      <c r="Q147" s="5"/>
      <c r="R147" s="16"/>
      <c r="S147" s="16"/>
      <c r="T147" s="21">
        <f t="shared" si="22"/>
        <v>0</v>
      </c>
      <c r="U147" s="16"/>
      <c r="V147" s="78">
        <f t="shared" si="23"/>
        <v>0</v>
      </c>
      <c r="W147" s="140"/>
      <c r="X147" s="334"/>
      <c r="Y147" s="5"/>
      <c r="AD147" s="16" t="s">
        <v>169</v>
      </c>
      <c r="AE147" s="18">
        <f>SUM(AE137:AE146)</f>
        <v>0</v>
      </c>
      <c r="AH147" s="16" t="s">
        <v>169</v>
      </c>
      <c r="AI147" s="18">
        <f>SUM(AI137:AI146)</f>
        <v>0</v>
      </c>
      <c r="AK147" s="16"/>
      <c r="AL147" s="16"/>
      <c r="AN147" s="16" t="s">
        <v>169</v>
      </c>
      <c r="AO147" s="18"/>
    </row>
    <row r="148" spans="1:41" x14ac:dyDescent="0.25">
      <c r="A148" s="143">
        <v>11</v>
      </c>
      <c r="B148" s="92">
        <v>45276</v>
      </c>
      <c r="C148" s="23"/>
      <c r="D148" s="123" t="s">
        <v>634</v>
      </c>
      <c r="E148" s="124"/>
      <c r="F148" s="123" t="s">
        <v>52</v>
      </c>
      <c r="G148" s="123" t="s">
        <v>3522</v>
      </c>
      <c r="H148" s="39" t="s">
        <v>3521</v>
      </c>
      <c r="I148" s="122">
        <v>156</v>
      </c>
      <c r="J148" s="42">
        <v>146</v>
      </c>
      <c r="K148" s="20">
        <v>10</v>
      </c>
      <c r="L148" s="21"/>
      <c r="M148" s="21">
        <f t="shared" si="20"/>
        <v>156</v>
      </c>
      <c r="N148" s="21">
        <f t="shared" si="21"/>
        <v>0</v>
      </c>
      <c r="O148" s="21"/>
      <c r="P148" s="21"/>
      <c r="Q148" s="5"/>
      <c r="R148" s="16"/>
      <c r="S148" s="16"/>
      <c r="T148" s="21">
        <f t="shared" si="22"/>
        <v>0</v>
      </c>
      <c r="U148" s="16"/>
      <c r="V148" s="78">
        <f t="shared" si="23"/>
        <v>0</v>
      </c>
      <c r="W148" s="140"/>
      <c r="X148" s="334"/>
      <c r="Y148" s="5"/>
      <c r="AK148" s="16"/>
      <c r="AL148" s="16"/>
      <c r="AN148" s="16"/>
      <c r="AO148" s="16"/>
    </row>
    <row r="149" spans="1:41" x14ac:dyDescent="0.25">
      <c r="A149" s="143">
        <v>12</v>
      </c>
      <c r="B149" s="142">
        <v>45182</v>
      </c>
      <c r="C149" s="23"/>
      <c r="D149" s="32"/>
      <c r="E149" s="32"/>
      <c r="F149" s="124"/>
      <c r="G149" s="123"/>
      <c r="H149" s="39"/>
      <c r="I149" s="39"/>
      <c r="J149" s="42"/>
      <c r="K149" s="20">
        <v>10</v>
      </c>
      <c r="L149" s="21"/>
      <c r="M149" s="21">
        <f t="shared" si="20"/>
        <v>10</v>
      </c>
      <c r="N149" s="21">
        <f t="shared" si="21"/>
        <v>-10</v>
      </c>
      <c r="O149" s="21"/>
      <c r="P149" s="21"/>
      <c r="Q149" s="5"/>
      <c r="R149" s="45"/>
      <c r="S149" s="44"/>
      <c r="T149" s="21">
        <f t="shared" si="22"/>
        <v>0</v>
      </c>
      <c r="U149" s="45"/>
      <c r="V149" s="78">
        <f t="shared" si="23"/>
        <v>0</v>
      </c>
      <c r="W149" s="140"/>
      <c r="X149" s="334"/>
      <c r="Y149" s="5"/>
      <c r="AK149" s="63" t="s">
        <v>169</v>
      </c>
      <c r="AL149" s="63">
        <f>+SUM(AK138:AK148)-SUM(AL138:AL148)</f>
        <v>0</v>
      </c>
      <c r="AN149" s="63" t="s">
        <v>169</v>
      </c>
      <c r="AO149" s="85">
        <f>+SUM(AN137:AN148)-SUM(AO138:AO148)</f>
        <v>0</v>
      </c>
    </row>
    <row r="150" spans="1:41" x14ac:dyDescent="0.25">
      <c r="A150" s="143">
        <v>13</v>
      </c>
      <c r="B150" s="142">
        <v>45182</v>
      </c>
      <c r="C150" s="23"/>
      <c r="D150" s="31"/>
      <c r="E150" s="32"/>
      <c r="F150" s="32"/>
      <c r="G150" s="32"/>
      <c r="H150" s="39"/>
      <c r="I150" s="39"/>
      <c r="J150" s="42"/>
      <c r="K150" s="108">
        <v>10</v>
      </c>
      <c r="L150" s="21"/>
      <c r="M150" s="21">
        <f t="shared" si="20"/>
        <v>10</v>
      </c>
      <c r="N150" s="21">
        <f t="shared" si="21"/>
        <v>-10</v>
      </c>
      <c r="O150" s="21"/>
      <c r="P150" s="21"/>
      <c r="Q150" s="5"/>
      <c r="R150" s="43"/>
      <c r="S150" s="32"/>
      <c r="T150" s="21">
        <f t="shared" si="22"/>
        <v>0</v>
      </c>
      <c r="U150" s="43"/>
      <c r="V150" s="78">
        <f t="shared" si="23"/>
        <v>0</v>
      </c>
      <c r="W150" s="140"/>
      <c r="X150" s="334"/>
      <c r="Y150" s="5"/>
      <c r="AI150" s="83"/>
    </row>
    <row r="151" spans="1:41" x14ac:dyDescent="0.25">
      <c r="A151" s="143">
        <v>14</v>
      </c>
      <c r="B151" s="142">
        <v>45182</v>
      </c>
      <c r="C151" s="23"/>
      <c r="D151" s="31"/>
      <c r="E151" s="32"/>
      <c r="F151" s="32"/>
      <c r="G151" s="32"/>
      <c r="H151" s="39"/>
      <c r="I151" s="39"/>
      <c r="J151" s="42"/>
      <c r="K151" s="108">
        <v>10</v>
      </c>
      <c r="L151" s="21"/>
      <c r="M151" s="21">
        <f t="shared" si="20"/>
        <v>10</v>
      </c>
      <c r="N151" s="21">
        <f t="shared" si="21"/>
        <v>-10</v>
      </c>
      <c r="O151" s="21"/>
      <c r="P151" s="21"/>
      <c r="Q151" s="5"/>
      <c r="R151" s="43"/>
      <c r="S151" s="43"/>
      <c r="T151" s="21">
        <f t="shared" si="22"/>
        <v>0</v>
      </c>
      <c r="U151" s="43"/>
      <c r="V151" s="78">
        <f t="shared" si="23"/>
        <v>0</v>
      </c>
      <c r="W151" s="140"/>
      <c r="X151" s="334"/>
      <c r="Y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</row>
    <row r="152" spans="1:41" x14ac:dyDescent="0.25">
      <c r="A152" s="143">
        <v>15</v>
      </c>
      <c r="B152" s="142">
        <v>45182</v>
      </c>
      <c r="C152" s="23"/>
      <c r="D152" s="127"/>
      <c r="E152" s="32"/>
      <c r="F152" s="32"/>
      <c r="G152" s="128"/>
      <c r="H152" s="129"/>
      <c r="I152" s="39"/>
      <c r="J152" s="42"/>
      <c r="K152" s="108">
        <v>10</v>
      </c>
      <c r="L152" s="21"/>
      <c r="M152" s="21">
        <f t="shared" si="20"/>
        <v>10</v>
      </c>
      <c r="N152" s="21">
        <f t="shared" si="21"/>
        <v>-10</v>
      </c>
      <c r="O152" s="21"/>
      <c r="P152" s="21"/>
      <c r="Q152" s="5"/>
      <c r="R152" s="43"/>
      <c r="S152" s="43"/>
      <c r="T152" s="21">
        <f t="shared" si="22"/>
        <v>0</v>
      </c>
      <c r="U152" s="43"/>
      <c r="V152" s="78">
        <f t="shared" si="23"/>
        <v>0</v>
      </c>
      <c r="W152" s="140"/>
      <c r="X152" s="334"/>
      <c r="Y152" s="5"/>
      <c r="AD152" s="5"/>
      <c r="AE152" s="134" t="s">
        <v>20</v>
      </c>
      <c r="AF152" s="338"/>
      <c r="AG152" s="341" t="s">
        <v>686</v>
      </c>
      <c r="AH152" s="134" t="s">
        <v>20</v>
      </c>
      <c r="AI152" s="338"/>
      <c r="AJ152" s="341" t="s">
        <v>687</v>
      </c>
      <c r="AK152" s="134" t="s">
        <v>20</v>
      </c>
      <c r="AL152" s="338"/>
      <c r="AM152" s="5"/>
    </row>
    <row r="153" spans="1:41" x14ac:dyDescent="0.25">
      <c r="A153" s="143">
        <v>16</v>
      </c>
      <c r="B153" s="142">
        <v>45182</v>
      </c>
      <c r="C153" s="23"/>
      <c r="D153" s="31"/>
      <c r="E153" s="32"/>
      <c r="F153" s="32"/>
      <c r="G153" s="32"/>
      <c r="H153" s="39"/>
      <c r="I153" s="39"/>
      <c r="J153" s="42"/>
      <c r="K153" s="43">
        <v>10</v>
      </c>
      <c r="L153" s="21"/>
      <c r="M153" s="21">
        <f t="shared" si="20"/>
        <v>10</v>
      </c>
      <c r="N153" s="21">
        <f t="shared" si="21"/>
        <v>-10</v>
      </c>
      <c r="O153" s="21"/>
      <c r="P153" s="21"/>
      <c r="Q153" s="5"/>
      <c r="R153" s="43"/>
      <c r="S153" s="32"/>
      <c r="T153" s="21">
        <f t="shared" si="22"/>
        <v>0</v>
      </c>
      <c r="U153" s="131"/>
      <c r="V153" s="78">
        <f t="shared" si="23"/>
        <v>0</v>
      </c>
      <c r="W153" s="140"/>
      <c r="X153" s="334"/>
      <c r="Y153" s="5"/>
      <c r="AD153" s="5" t="s">
        <v>685</v>
      </c>
      <c r="AE153" s="115" t="s">
        <v>684</v>
      </c>
      <c r="AF153" s="339"/>
      <c r="AG153" s="341"/>
      <c r="AH153" s="115" t="s">
        <v>684</v>
      </c>
      <c r="AI153" s="339"/>
      <c r="AJ153" s="341"/>
      <c r="AK153" s="115" t="s">
        <v>684</v>
      </c>
      <c r="AL153" s="339"/>
      <c r="AM153" s="5"/>
    </row>
    <row r="154" spans="1:41" x14ac:dyDescent="0.25">
      <c r="A154" s="143">
        <v>17</v>
      </c>
      <c r="B154" s="142">
        <v>45182</v>
      </c>
      <c r="C154" s="23"/>
      <c r="D154" s="31"/>
      <c r="E154" s="32"/>
      <c r="F154" s="32"/>
      <c r="G154" s="32"/>
      <c r="H154" s="39"/>
      <c r="I154" s="39"/>
      <c r="J154" s="42"/>
      <c r="K154" s="43">
        <v>10</v>
      </c>
      <c r="L154" s="21"/>
      <c r="M154" s="21">
        <f t="shared" si="20"/>
        <v>10</v>
      </c>
      <c r="N154" s="21">
        <f t="shared" si="21"/>
        <v>-10</v>
      </c>
      <c r="O154" s="21"/>
      <c r="P154" s="21"/>
      <c r="Q154" s="5"/>
      <c r="R154" s="43"/>
      <c r="S154" s="32"/>
      <c r="T154" s="21">
        <f t="shared" si="22"/>
        <v>0</v>
      </c>
      <c r="U154" s="132"/>
      <c r="V154" s="78">
        <f t="shared" si="23"/>
        <v>0</v>
      </c>
      <c r="W154" s="140"/>
      <c r="X154" s="340"/>
      <c r="Y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</row>
    <row r="155" spans="1:41" x14ac:dyDescent="0.25">
      <c r="A155" s="143">
        <v>18</v>
      </c>
      <c r="B155" s="142">
        <v>45182</v>
      </c>
      <c r="C155" s="32"/>
      <c r="D155" s="31"/>
      <c r="E155" s="32"/>
      <c r="F155" s="32"/>
      <c r="G155" s="32"/>
      <c r="H155" s="39"/>
      <c r="I155" s="39"/>
      <c r="J155" s="42"/>
      <c r="K155" s="43">
        <v>10</v>
      </c>
      <c r="L155" s="21"/>
      <c r="M155" s="21">
        <f t="shared" si="20"/>
        <v>10</v>
      </c>
      <c r="N155" s="21">
        <f t="shared" si="21"/>
        <v>-10</v>
      </c>
      <c r="O155" s="21"/>
      <c r="P155" s="21"/>
      <c r="Q155" s="5"/>
      <c r="R155" s="135"/>
      <c r="S155" s="104"/>
      <c r="T155" s="21">
        <f t="shared" si="22"/>
        <v>0</v>
      </c>
      <c r="U155" s="131"/>
      <c r="V155" s="78">
        <f t="shared" si="23"/>
        <v>0</v>
      </c>
      <c r="W155" s="140"/>
      <c r="Y155" s="5"/>
    </row>
    <row r="156" spans="1:41" x14ac:dyDescent="0.25">
      <c r="A156" s="143">
        <v>19</v>
      </c>
      <c r="B156" s="142">
        <v>45182</v>
      </c>
      <c r="C156" s="32"/>
      <c r="D156" s="31"/>
      <c r="E156" s="32"/>
      <c r="F156" s="32"/>
      <c r="G156" s="32"/>
      <c r="H156" s="39"/>
      <c r="I156" s="39"/>
      <c r="J156" s="42"/>
      <c r="K156" s="43">
        <v>10</v>
      </c>
      <c r="L156" s="21"/>
      <c r="M156" s="21">
        <f t="shared" si="20"/>
        <v>10</v>
      </c>
      <c r="N156" s="21">
        <f t="shared" si="21"/>
        <v>-10</v>
      </c>
      <c r="O156" s="21"/>
      <c r="P156" s="21"/>
      <c r="Q156" s="5"/>
      <c r="R156" s="32"/>
      <c r="S156" s="32"/>
      <c r="T156" s="21">
        <f t="shared" si="22"/>
        <v>0</v>
      </c>
      <c r="U156" s="32"/>
      <c r="V156" s="78">
        <f t="shared" si="23"/>
        <v>0</v>
      </c>
      <c r="W156" s="140"/>
      <c r="Y156" s="5"/>
    </row>
    <row r="157" spans="1:4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141"/>
      <c r="X157" s="5"/>
      <c r="Y157" s="5"/>
    </row>
  </sheetData>
  <mergeCells count="66">
    <mergeCell ref="AL71:AL72"/>
    <mergeCell ref="X57:X73"/>
    <mergeCell ref="AF71:AF72"/>
    <mergeCell ref="AG71:AG72"/>
    <mergeCell ref="AI71:AI72"/>
    <mergeCell ref="AJ71:AJ72"/>
    <mergeCell ref="T55:U55"/>
    <mergeCell ref="AD55:AE55"/>
    <mergeCell ref="AH55:AI55"/>
    <mergeCell ref="AK55:AL55"/>
    <mergeCell ref="AN55:AO55"/>
    <mergeCell ref="AL44:AL45"/>
    <mergeCell ref="AL18:AL19"/>
    <mergeCell ref="T28:U28"/>
    <mergeCell ref="AD28:AE28"/>
    <mergeCell ref="AH28:AI28"/>
    <mergeCell ref="AK28:AL28"/>
    <mergeCell ref="X30:X46"/>
    <mergeCell ref="AF44:AF45"/>
    <mergeCell ref="AG44:AG45"/>
    <mergeCell ref="AI44:AI45"/>
    <mergeCell ref="AJ44:AJ45"/>
    <mergeCell ref="AN28:AO28"/>
    <mergeCell ref="T2:U2"/>
    <mergeCell ref="AD2:AE2"/>
    <mergeCell ref="AH2:AI2"/>
    <mergeCell ref="AK2:AL2"/>
    <mergeCell ref="AN2:AO2"/>
    <mergeCell ref="X4:X20"/>
    <mergeCell ref="AF18:AF19"/>
    <mergeCell ref="AG18:AG19"/>
    <mergeCell ref="AI18:AI19"/>
    <mergeCell ref="AJ18:AJ19"/>
    <mergeCell ref="T84:U84"/>
    <mergeCell ref="AD84:AE84"/>
    <mergeCell ref="AH84:AI84"/>
    <mergeCell ref="AK84:AL84"/>
    <mergeCell ref="AN84:AO84"/>
    <mergeCell ref="AL100:AL101"/>
    <mergeCell ref="X86:X102"/>
    <mergeCell ref="AF100:AF101"/>
    <mergeCell ref="AG100:AG101"/>
    <mergeCell ref="AI100:AI101"/>
    <mergeCell ref="AJ100:AJ101"/>
    <mergeCell ref="T110:U110"/>
    <mergeCell ref="AD110:AE110"/>
    <mergeCell ref="AH110:AI110"/>
    <mergeCell ref="AK110:AL110"/>
    <mergeCell ref="AN110:AO110"/>
    <mergeCell ref="AL126:AL127"/>
    <mergeCell ref="X112:X128"/>
    <mergeCell ref="AF126:AF127"/>
    <mergeCell ref="AG126:AG127"/>
    <mergeCell ref="AI126:AI127"/>
    <mergeCell ref="AJ126:AJ127"/>
    <mergeCell ref="T136:U136"/>
    <mergeCell ref="AD136:AE136"/>
    <mergeCell ref="AH136:AI136"/>
    <mergeCell ref="AK136:AL136"/>
    <mergeCell ref="AN136:AO136"/>
    <mergeCell ref="AL152:AL153"/>
    <mergeCell ref="X138:X154"/>
    <mergeCell ref="AF152:AF153"/>
    <mergeCell ref="AG152:AG153"/>
    <mergeCell ref="AI152:AI153"/>
    <mergeCell ref="AJ152:AJ153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84"/>
  <sheetViews>
    <sheetView topLeftCell="A87" workbookViewId="0">
      <selection activeCell="A199" sqref="A199"/>
    </sheetView>
  </sheetViews>
  <sheetFormatPr baseColWidth="10" defaultRowHeight="15" x14ac:dyDescent="0.25"/>
  <cols>
    <col min="3" max="3" width="12.42578125" bestFit="1" customWidth="1"/>
    <col min="5" max="5" width="12" bestFit="1" customWidth="1"/>
  </cols>
  <sheetData>
    <row r="2" spans="1:41" x14ac:dyDescent="0.25">
      <c r="E2" s="83">
        <f>+SUM(K7:K14)</f>
        <v>90</v>
      </c>
      <c r="U2" t="s">
        <v>3533</v>
      </c>
    </row>
    <row r="4" spans="1:41" x14ac:dyDescent="0.25">
      <c r="A4" s="1" t="s">
        <v>0</v>
      </c>
      <c r="B4" s="1"/>
      <c r="C4" s="1"/>
      <c r="D4" s="1"/>
      <c r="E4" s="1"/>
      <c r="F4" s="1"/>
      <c r="G4" s="1"/>
      <c r="H4" s="1"/>
      <c r="I4" s="1"/>
      <c r="J4" s="1" t="s">
        <v>148</v>
      </c>
      <c r="K4" s="1"/>
      <c r="L4" s="1"/>
      <c r="M4" s="1"/>
      <c r="N4" s="1"/>
      <c r="O4" s="1"/>
      <c r="P4" s="1"/>
      <c r="Q4" s="1"/>
      <c r="R4" s="1"/>
      <c r="S4" s="1"/>
      <c r="T4" s="342" t="s">
        <v>1</v>
      </c>
      <c r="U4" s="342"/>
      <c r="V4" s="5"/>
      <c r="W4" s="139"/>
      <c r="X4" s="1"/>
      <c r="Y4" s="5"/>
      <c r="AD4" s="335" t="s">
        <v>160</v>
      </c>
      <c r="AE4" s="336"/>
      <c r="AH4" s="335" t="s">
        <v>170</v>
      </c>
      <c r="AI4" s="336"/>
      <c r="AK4" s="337" t="s">
        <v>172</v>
      </c>
      <c r="AL4" s="337"/>
      <c r="AN4" s="337" t="s">
        <v>681</v>
      </c>
      <c r="AO4" s="337"/>
    </row>
    <row r="5" spans="1:41" ht="90" x14ac:dyDescent="0.25">
      <c r="A5" s="6" t="s">
        <v>2</v>
      </c>
      <c r="B5" s="7" t="s">
        <v>3</v>
      </c>
      <c r="C5" s="245" t="s">
        <v>688</v>
      </c>
      <c r="D5" s="7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8" t="s">
        <v>9</v>
      </c>
      <c r="J5" s="9" t="s">
        <v>10</v>
      </c>
      <c r="K5" s="8" t="s">
        <v>11</v>
      </c>
      <c r="L5" s="10" t="s">
        <v>12</v>
      </c>
      <c r="M5" s="10" t="s">
        <v>13</v>
      </c>
      <c r="N5" s="11" t="s">
        <v>14</v>
      </c>
      <c r="O5" s="10" t="s">
        <v>691</v>
      </c>
      <c r="P5" s="10" t="s">
        <v>28</v>
      </c>
      <c r="Q5" s="5"/>
      <c r="R5" s="10" t="s">
        <v>16</v>
      </c>
      <c r="S5" s="10" t="s">
        <v>17</v>
      </c>
      <c r="T5" s="10" t="s">
        <v>18</v>
      </c>
      <c r="U5" s="10" t="s">
        <v>19</v>
      </c>
      <c r="V5" s="10" t="s">
        <v>20</v>
      </c>
      <c r="W5" s="13"/>
      <c r="X5" s="15" t="s">
        <v>23</v>
      </c>
      <c r="Y5" s="5"/>
      <c r="AA5" s="251" t="s">
        <v>2554</v>
      </c>
      <c r="AD5" s="16" t="s">
        <v>161</v>
      </c>
      <c r="AE5" s="58">
        <f>+AC5*10</f>
        <v>0</v>
      </c>
      <c r="AG5">
        <v>3</v>
      </c>
      <c r="AH5" s="16" t="s">
        <v>161</v>
      </c>
      <c r="AI5" s="58">
        <f>+AG5*10</f>
        <v>30</v>
      </c>
      <c r="AK5" s="61" t="s">
        <v>173</v>
      </c>
      <c r="AL5" s="62" t="s">
        <v>174</v>
      </c>
      <c r="AN5" s="16" t="s">
        <v>161</v>
      </c>
      <c r="AO5" s="58">
        <f>+AM5*10</f>
        <v>0</v>
      </c>
    </row>
    <row r="6" spans="1:41" x14ac:dyDescent="0.25">
      <c r="A6" s="16">
        <v>1</v>
      </c>
      <c r="B6" s="92">
        <v>45278</v>
      </c>
      <c r="C6" s="23">
        <v>0.40069444444444446</v>
      </c>
      <c r="D6" s="31" t="s">
        <v>24</v>
      </c>
      <c r="E6" s="32">
        <v>5562236073</v>
      </c>
      <c r="F6" s="32" t="s">
        <v>2535</v>
      </c>
      <c r="G6" s="39" t="s">
        <v>3346</v>
      </c>
      <c r="H6" s="39" t="s">
        <v>3523</v>
      </c>
      <c r="I6" s="122">
        <v>100</v>
      </c>
      <c r="J6" s="32">
        <v>51</v>
      </c>
      <c r="K6" s="20">
        <v>20</v>
      </c>
      <c r="L6" s="21"/>
      <c r="M6" s="21">
        <f t="shared" ref="M6:M24" si="0">+J6+K6</f>
        <v>71</v>
      </c>
      <c r="N6" s="21">
        <f t="shared" ref="N6:N24" si="1">+I6-M6</f>
        <v>29</v>
      </c>
      <c r="O6" s="21"/>
      <c r="P6" s="21"/>
      <c r="Q6" s="5"/>
      <c r="R6" s="21">
        <v>100</v>
      </c>
      <c r="S6" s="16"/>
      <c r="T6" s="21">
        <f t="shared" ref="T6:T24" si="2">+R6+S6</f>
        <v>100</v>
      </c>
      <c r="U6" s="21"/>
      <c r="V6" s="78">
        <f>+U6-T6+O6+P6</f>
        <v>-100</v>
      </c>
      <c r="W6" s="13"/>
      <c r="X6" s="333"/>
      <c r="Y6" s="5"/>
      <c r="AC6">
        <v>43.5</v>
      </c>
      <c r="AD6" s="59" t="s">
        <v>162</v>
      </c>
      <c r="AE6" s="18">
        <f>+AC6*1</f>
        <v>43.5</v>
      </c>
      <c r="AG6">
        <v>60</v>
      </c>
      <c r="AH6" s="59" t="s">
        <v>162</v>
      </c>
      <c r="AI6" s="18">
        <f>+AG6*1</f>
        <v>60</v>
      </c>
      <c r="AK6" s="16"/>
      <c r="AL6" s="16"/>
      <c r="AN6" s="59" t="s">
        <v>162</v>
      </c>
      <c r="AO6" s="18">
        <f>+AM6*1</f>
        <v>0</v>
      </c>
    </row>
    <row r="7" spans="1:41" x14ac:dyDescent="0.25">
      <c r="A7" s="26">
        <v>2</v>
      </c>
      <c r="B7" s="92">
        <v>45278</v>
      </c>
      <c r="C7" s="23">
        <v>0.47916666666666669</v>
      </c>
      <c r="D7" s="31" t="s">
        <v>245</v>
      </c>
      <c r="E7" s="32">
        <v>5530508709</v>
      </c>
      <c r="F7" s="32" t="s">
        <v>145</v>
      </c>
      <c r="G7" s="32" t="s">
        <v>1350</v>
      </c>
      <c r="H7" s="39" t="s">
        <v>3542</v>
      </c>
      <c r="I7" s="122"/>
      <c r="J7" s="32">
        <f>23+156</f>
        <v>179</v>
      </c>
      <c r="K7" s="20">
        <v>10</v>
      </c>
      <c r="L7" s="21"/>
      <c r="M7" s="21">
        <f t="shared" si="0"/>
        <v>189</v>
      </c>
      <c r="N7" s="21">
        <f t="shared" si="1"/>
        <v>-189</v>
      </c>
      <c r="O7" s="21"/>
      <c r="P7" s="21"/>
      <c r="Q7" s="5"/>
      <c r="R7" s="21">
        <v>300</v>
      </c>
      <c r="S7" s="16"/>
      <c r="T7" s="21">
        <f t="shared" si="2"/>
        <v>300</v>
      </c>
      <c r="U7" s="21">
        <v>350</v>
      </c>
      <c r="V7" s="78">
        <f t="shared" ref="V7:V24" si="3">+U7-T7+O7+P7</f>
        <v>50</v>
      </c>
      <c r="W7" s="140"/>
      <c r="X7" s="334"/>
      <c r="Y7" s="5"/>
      <c r="AC7">
        <v>1</v>
      </c>
      <c r="AD7" s="16" t="s">
        <v>163</v>
      </c>
      <c r="AE7" s="60">
        <f>+AC7*5</f>
        <v>5</v>
      </c>
      <c r="AG7">
        <v>16</v>
      </c>
      <c r="AH7" s="16" t="s">
        <v>163</v>
      </c>
      <c r="AI7" s="60">
        <f>+AG7*5</f>
        <v>80</v>
      </c>
      <c r="AK7" s="16"/>
      <c r="AL7" s="16"/>
      <c r="AN7" s="16" t="s">
        <v>163</v>
      </c>
      <c r="AO7" s="60">
        <f>+AM7*5</f>
        <v>0</v>
      </c>
    </row>
    <row r="8" spans="1:41" x14ac:dyDescent="0.25">
      <c r="A8" s="143">
        <v>3</v>
      </c>
      <c r="B8" s="92">
        <v>45278</v>
      </c>
      <c r="C8" s="23">
        <v>0.47986111111111113</v>
      </c>
      <c r="D8" s="31" t="s">
        <v>2672</v>
      </c>
      <c r="E8" s="32"/>
      <c r="F8" s="32" t="s">
        <v>2707</v>
      </c>
      <c r="G8" s="32" t="s">
        <v>1350</v>
      </c>
      <c r="H8" s="39" t="s">
        <v>3535</v>
      </c>
      <c r="I8" s="122"/>
      <c r="J8" s="32">
        <v>41</v>
      </c>
      <c r="K8" s="20">
        <v>10</v>
      </c>
      <c r="L8" s="21"/>
      <c r="M8" s="21">
        <f t="shared" si="0"/>
        <v>51</v>
      </c>
      <c r="N8" s="21">
        <f t="shared" si="1"/>
        <v>-51</v>
      </c>
      <c r="O8" s="21"/>
      <c r="P8" s="21"/>
      <c r="Q8" s="5"/>
      <c r="R8" s="21"/>
      <c r="S8" s="16"/>
      <c r="T8" s="21">
        <f t="shared" si="2"/>
        <v>0</v>
      </c>
      <c r="U8" s="21">
        <v>10</v>
      </c>
      <c r="V8" s="78">
        <f t="shared" si="3"/>
        <v>10</v>
      </c>
      <c r="W8" s="140"/>
      <c r="X8" s="334"/>
      <c r="Y8" s="5"/>
      <c r="AD8" s="16" t="s">
        <v>164</v>
      </c>
      <c r="AE8" s="18">
        <f>+AC8*200</f>
        <v>0</v>
      </c>
      <c r="AH8" s="16" t="s">
        <v>164</v>
      </c>
      <c r="AI8" s="18">
        <f>+AG8*200</f>
        <v>0</v>
      </c>
      <c r="AK8" s="16"/>
      <c r="AL8" s="16"/>
      <c r="AN8" s="16" t="s">
        <v>164</v>
      </c>
      <c r="AO8" s="18">
        <f>+AM8*200</f>
        <v>0</v>
      </c>
    </row>
    <row r="9" spans="1:41" x14ac:dyDescent="0.25">
      <c r="A9" s="143">
        <v>4</v>
      </c>
      <c r="B9" s="92">
        <v>45278</v>
      </c>
      <c r="C9" s="23">
        <v>0.52500000000000002</v>
      </c>
      <c r="D9" s="31" t="s">
        <v>3531</v>
      </c>
      <c r="E9" s="32">
        <v>5573854401</v>
      </c>
      <c r="F9" s="32" t="s">
        <v>2436</v>
      </c>
      <c r="G9" s="32" t="s">
        <v>3532</v>
      </c>
      <c r="H9" s="39" t="s">
        <v>3534</v>
      </c>
      <c r="I9" s="122"/>
      <c r="J9" s="32">
        <v>100</v>
      </c>
      <c r="K9" s="20">
        <v>20</v>
      </c>
      <c r="L9" s="21">
        <f>+O9-J9</f>
        <v>20</v>
      </c>
      <c r="M9" s="21">
        <f t="shared" si="0"/>
        <v>120</v>
      </c>
      <c r="N9" s="21">
        <f t="shared" si="1"/>
        <v>-120</v>
      </c>
      <c r="O9" s="21">
        <v>120</v>
      </c>
      <c r="P9" s="21"/>
      <c r="Q9" s="5"/>
      <c r="R9" s="21"/>
      <c r="S9" s="16"/>
      <c r="T9" s="21">
        <f t="shared" si="2"/>
        <v>0</v>
      </c>
      <c r="U9" s="21">
        <v>10</v>
      </c>
      <c r="V9" s="78">
        <f t="shared" si="3"/>
        <v>130</v>
      </c>
      <c r="W9" s="140"/>
      <c r="X9" s="334"/>
      <c r="Y9" s="5"/>
      <c r="AC9">
        <v>2</v>
      </c>
      <c r="AD9" s="16" t="s">
        <v>165</v>
      </c>
      <c r="AE9" s="18">
        <f>+AC9*100</f>
        <v>200</v>
      </c>
      <c r="AH9" s="16" t="s">
        <v>165</v>
      </c>
      <c r="AI9" s="18">
        <f>+AG9*100</f>
        <v>0</v>
      </c>
      <c r="AK9" s="16"/>
      <c r="AL9" s="16"/>
      <c r="AN9" s="16" t="s">
        <v>165</v>
      </c>
      <c r="AO9" s="18">
        <f>+AM9*100</f>
        <v>0</v>
      </c>
    </row>
    <row r="10" spans="1:41" x14ac:dyDescent="0.25">
      <c r="A10" s="143">
        <v>5</v>
      </c>
      <c r="B10" s="92">
        <v>45278</v>
      </c>
      <c r="C10" s="23">
        <v>0.52569444444444446</v>
      </c>
      <c r="D10" s="31" t="s">
        <v>245</v>
      </c>
      <c r="E10" s="32">
        <v>5530508709</v>
      </c>
      <c r="F10" s="32" t="s">
        <v>145</v>
      </c>
      <c r="G10" s="32" t="s">
        <v>1350</v>
      </c>
      <c r="H10" s="32" t="s">
        <v>3536</v>
      </c>
      <c r="I10" s="122"/>
      <c r="J10" s="32">
        <f>2+85</f>
        <v>87</v>
      </c>
      <c r="K10" s="20">
        <v>10</v>
      </c>
      <c r="L10" s="21"/>
      <c r="M10" s="21">
        <f t="shared" si="0"/>
        <v>97</v>
      </c>
      <c r="N10" s="21">
        <f t="shared" si="1"/>
        <v>-97</v>
      </c>
      <c r="O10" s="21"/>
      <c r="P10" s="21"/>
      <c r="Q10" s="5"/>
      <c r="R10" s="16">
        <v>400</v>
      </c>
      <c r="S10" s="16"/>
      <c r="T10" s="21">
        <f t="shared" si="2"/>
        <v>400</v>
      </c>
      <c r="U10" s="21">
        <v>10</v>
      </c>
      <c r="V10" s="78">
        <f t="shared" si="3"/>
        <v>-390</v>
      </c>
      <c r="W10" s="140"/>
      <c r="X10" s="334"/>
      <c r="Y10" s="5"/>
      <c r="AD10" s="16" t="s">
        <v>166</v>
      </c>
      <c r="AE10" s="18">
        <f>+AC10*50</f>
        <v>0</v>
      </c>
      <c r="AG10">
        <v>3</v>
      </c>
      <c r="AH10" s="16" t="s">
        <v>166</v>
      </c>
      <c r="AI10" s="18">
        <f>+AG10*50</f>
        <v>150</v>
      </c>
      <c r="AK10" s="16"/>
      <c r="AL10" s="16"/>
      <c r="AN10" s="16" t="s">
        <v>166</v>
      </c>
      <c r="AO10" s="18">
        <f>+AM10*50</f>
        <v>0</v>
      </c>
    </row>
    <row r="11" spans="1:41" x14ac:dyDescent="0.25">
      <c r="A11" s="143">
        <v>6</v>
      </c>
      <c r="B11" s="92">
        <v>45278</v>
      </c>
      <c r="C11" s="23">
        <v>0.55555555555555558</v>
      </c>
      <c r="D11" s="31" t="s">
        <v>48</v>
      </c>
      <c r="E11" s="32">
        <v>5530181574</v>
      </c>
      <c r="F11" s="32" t="s">
        <v>114</v>
      </c>
      <c r="G11" s="32">
        <v>844</v>
      </c>
      <c r="H11" s="32" t="s">
        <v>3537</v>
      </c>
      <c r="I11" s="39"/>
      <c r="J11" s="42">
        <v>66</v>
      </c>
      <c r="K11" s="20">
        <v>10</v>
      </c>
      <c r="L11" s="21">
        <f>+O11-J11</f>
        <v>14</v>
      </c>
      <c r="M11" s="21">
        <f t="shared" si="0"/>
        <v>76</v>
      </c>
      <c r="N11" s="21">
        <f t="shared" si="1"/>
        <v>-76</v>
      </c>
      <c r="O11" s="21">
        <v>80</v>
      </c>
      <c r="P11" s="21"/>
      <c r="Q11" s="5"/>
      <c r="R11" s="16"/>
      <c r="S11" s="16"/>
      <c r="T11" s="21">
        <f t="shared" si="2"/>
        <v>0</v>
      </c>
      <c r="U11" s="16">
        <v>10</v>
      </c>
      <c r="V11" s="78">
        <f t="shared" si="3"/>
        <v>90</v>
      </c>
      <c r="W11" s="140"/>
      <c r="X11" s="334"/>
      <c r="Y11" s="5"/>
      <c r="AD11" s="16" t="s">
        <v>167</v>
      </c>
      <c r="AE11" s="18">
        <f>+AC11*20</f>
        <v>0</v>
      </c>
      <c r="AG11">
        <v>2</v>
      </c>
      <c r="AH11" s="16" t="s">
        <v>167</v>
      </c>
      <c r="AI11" s="18">
        <f>+AG11*20</f>
        <v>40</v>
      </c>
      <c r="AK11" s="16"/>
      <c r="AL11" s="16"/>
      <c r="AN11" s="16" t="s">
        <v>167</v>
      </c>
      <c r="AO11" s="18">
        <f>+AM11*20</f>
        <v>0</v>
      </c>
    </row>
    <row r="12" spans="1:41" x14ac:dyDescent="0.25">
      <c r="A12" s="143">
        <v>7</v>
      </c>
      <c r="B12" s="92">
        <v>45278</v>
      </c>
      <c r="C12" s="23">
        <v>0.58402777777777781</v>
      </c>
      <c r="D12" s="31" t="s">
        <v>1489</v>
      </c>
      <c r="E12" s="32">
        <v>5510466400</v>
      </c>
      <c r="F12" s="32" t="s">
        <v>3539</v>
      </c>
      <c r="G12" s="32" t="s">
        <v>3190</v>
      </c>
      <c r="H12" s="39" t="s">
        <v>3538</v>
      </c>
      <c r="I12" s="122"/>
      <c r="J12" s="42">
        <f>53+169+16+45+56</f>
        <v>339</v>
      </c>
      <c r="K12" s="20">
        <v>10</v>
      </c>
      <c r="L12" s="21">
        <f>+O12-J12</f>
        <v>11</v>
      </c>
      <c r="M12" s="21">
        <f t="shared" si="0"/>
        <v>349</v>
      </c>
      <c r="N12" s="21">
        <f t="shared" si="1"/>
        <v>-349</v>
      </c>
      <c r="O12" s="21">
        <v>350</v>
      </c>
      <c r="P12" s="21">
        <v>200</v>
      </c>
      <c r="Q12" s="5"/>
      <c r="R12" s="16"/>
      <c r="S12" s="16"/>
      <c r="T12" s="21">
        <f t="shared" si="2"/>
        <v>0</v>
      </c>
      <c r="U12" s="16">
        <v>10</v>
      </c>
      <c r="V12" s="78">
        <f t="shared" si="3"/>
        <v>560</v>
      </c>
      <c r="W12" s="140"/>
      <c r="X12" s="334"/>
      <c r="Y12" s="5"/>
      <c r="AD12" s="16" t="s">
        <v>171</v>
      </c>
      <c r="AE12" s="18">
        <f>+AC12*500</f>
        <v>0</v>
      </c>
      <c r="AH12" s="16" t="s">
        <v>171</v>
      </c>
      <c r="AI12" s="18">
        <f>+AG12*500</f>
        <v>0</v>
      </c>
      <c r="AK12" s="16"/>
      <c r="AL12" s="16"/>
      <c r="AN12" s="16" t="s">
        <v>171</v>
      </c>
      <c r="AO12" s="18">
        <f>+AM12*500</f>
        <v>0</v>
      </c>
    </row>
    <row r="13" spans="1:41" x14ac:dyDescent="0.25">
      <c r="A13" s="143">
        <v>8</v>
      </c>
      <c r="B13" s="92">
        <v>45278</v>
      </c>
      <c r="C13" s="23">
        <v>0.59791666666666665</v>
      </c>
      <c r="D13" s="31" t="s">
        <v>2644</v>
      </c>
      <c r="E13" s="123">
        <v>5537803549</v>
      </c>
      <c r="F13" s="123" t="s">
        <v>114</v>
      </c>
      <c r="G13" s="123" t="s">
        <v>207</v>
      </c>
      <c r="H13" s="123" t="s">
        <v>3540</v>
      </c>
      <c r="I13" s="122"/>
      <c r="J13" s="32">
        <v>83</v>
      </c>
      <c r="K13" s="20">
        <v>10</v>
      </c>
      <c r="L13" s="21">
        <f>+O13-J13</f>
        <v>20</v>
      </c>
      <c r="M13" s="21">
        <f t="shared" si="0"/>
        <v>93</v>
      </c>
      <c r="N13" s="21">
        <f t="shared" si="1"/>
        <v>-93</v>
      </c>
      <c r="O13" s="21">
        <v>103</v>
      </c>
      <c r="P13" s="21"/>
      <c r="Q13" s="5"/>
      <c r="R13" s="16"/>
      <c r="S13" s="16"/>
      <c r="T13" s="21">
        <f t="shared" si="2"/>
        <v>0</v>
      </c>
      <c r="U13" s="16">
        <v>10</v>
      </c>
      <c r="V13" s="78">
        <f t="shared" si="3"/>
        <v>113</v>
      </c>
      <c r="W13" s="140"/>
      <c r="X13" s="334"/>
      <c r="Y13" s="5"/>
      <c r="AD13" s="16" t="s">
        <v>168</v>
      </c>
      <c r="AE13" s="18">
        <f>+AC13*1000</f>
        <v>0</v>
      </c>
      <c r="AH13" s="16" t="s">
        <v>168</v>
      </c>
      <c r="AI13" s="18">
        <f>+AG13*1000</f>
        <v>0</v>
      </c>
      <c r="AK13" s="16"/>
      <c r="AL13" s="16"/>
      <c r="AN13" s="16" t="s">
        <v>168</v>
      </c>
      <c r="AO13" s="18">
        <f>+AM13*1000</f>
        <v>0</v>
      </c>
    </row>
    <row r="14" spans="1:41" x14ac:dyDescent="0.25">
      <c r="A14" s="143">
        <v>9</v>
      </c>
      <c r="B14" s="92">
        <v>45278</v>
      </c>
      <c r="C14" s="23">
        <v>0.62291666666666667</v>
      </c>
      <c r="D14" s="31" t="s">
        <v>3271</v>
      </c>
      <c r="E14" s="32">
        <v>5541902669</v>
      </c>
      <c r="F14" s="32"/>
      <c r="G14" s="32" t="s">
        <v>3010</v>
      </c>
      <c r="H14" s="39" t="s">
        <v>3541</v>
      </c>
      <c r="I14" s="39"/>
      <c r="J14" s="40">
        <v>188</v>
      </c>
      <c r="K14" s="20">
        <v>10</v>
      </c>
      <c r="L14" s="21"/>
      <c r="M14" s="21">
        <f t="shared" si="0"/>
        <v>198</v>
      </c>
      <c r="N14" s="21">
        <f t="shared" si="1"/>
        <v>-198</v>
      </c>
      <c r="O14" s="21"/>
      <c r="P14" s="21"/>
      <c r="Q14" s="5"/>
      <c r="R14" s="16"/>
      <c r="S14" s="16"/>
      <c r="T14" s="21">
        <f t="shared" si="2"/>
        <v>0</v>
      </c>
      <c r="U14" s="16">
        <v>10</v>
      </c>
      <c r="V14" s="78">
        <f t="shared" si="3"/>
        <v>10</v>
      </c>
      <c r="W14" s="140"/>
      <c r="X14" s="334"/>
      <c r="Y14" s="5"/>
      <c r="AD14" s="26"/>
      <c r="AE14" s="58"/>
      <c r="AH14" s="26"/>
      <c r="AI14" s="58"/>
      <c r="AK14" s="16"/>
      <c r="AL14" s="16"/>
      <c r="AN14" s="26"/>
      <c r="AO14" s="58"/>
    </row>
    <row r="15" spans="1:41" x14ac:dyDescent="0.25">
      <c r="A15" s="143">
        <v>10</v>
      </c>
      <c r="B15" s="92">
        <v>45278</v>
      </c>
      <c r="C15" s="23">
        <v>0.17013888888888887</v>
      </c>
      <c r="D15" s="31" t="s">
        <v>921</v>
      </c>
      <c r="E15" s="32">
        <v>5625982564</v>
      </c>
      <c r="F15" s="32" t="s">
        <v>3373</v>
      </c>
      <c r="G15" s="32" t="s">
        <v>3546</v>
      </c>
      <c r="H15" s="39" t="s">
        <v>3551</v>
      </c>
      <c r="I15" s="122">
        <v>100</v>
      </c>
      <c r="J15" s="42">
        <v>88</v>
      </c>
      <c r="K15" s="20">
        <v>10</v>
      </c>
      <c r="L15" s="21">
        <v>2</v>
      </c>
      <c r="M15" s="21">
        <f t="shared" si="0"/>
        <v>98</v>
      </c>
      <c r="N15" s="21">
        <f t="shared" si="1"/>
        <v>2</v>
      </c>
      <c r="O15" s="21"/>
      <c r="P15" s="21"/>
      <c r="Q15" s="5"/>
      <c r="R15" s="16"/>
      <c r="S15" s="16"/>
      <c r="T15" s="21">
        <f t="shared" si="2"/>
        <v>0</v>
      </c>
      <c r="U15" s="16"/>
      <c r="V15" s="78">
        <f t="shared" si="3"/>
        <v>0</v>
      </c>
      <c r="W15" s="140"/>
      <c r="X15" s="334"/>
      <c r="Y15" s="5"/>
      <c r="AD15" s="16" t="s">
        <v>169</v>
      </c>
      <c r="AE15" s="18">
        <f>SUM(AE5:AE14)</f>
        <v>248.5</v>
      </c>
      <c r="AH15" s="16" t="s">
        <v>169</v>
      </c>
      <c r="AI15" s="18">
        <f>SUM(AI5:AI14)</f>
        <v>360</v>
      </c>
      <c r="AK15" s="16"/>
      <c r="AL15" s="16"/>
      <c r="AN15" s="16" t="s">
        <v>169</v>
      </c>
      <c r="AO15" s="18"/>
    </row>
    <row r="16" spans="1:41" x14ac:dyDescent="0.25">
      <c r="A16" s="143">
        <v>11</v>
      </c>
      <c r="B16" s="92">
        <v>45278</v>
      </c>
      <c r="C16" s="23">
        <v>0.29166666666666669</v>
      </c>
      <c r="D16" s="31" t="s">
        <v>3543</v>
      </c>
      <c r="E16" s="124">
        <v>5515915746</v>
      </c>
      <c r="F16" s="123" t="s">
        <v>41</v>
      </c>
      <c r="G16" s="123" t="s">
        <v>3547</v>
      </c>
      <c r="H16" s="39" t="s">
        <v>3550</v>
      </c>
      <c r="I16" s="122">
        <v>90</v>
      </c>
      <c r="J16" s="42">
        <v>78</v>
      </c>
      <c r="K16" s="20">
        <v>10</v>
      </c>
      <c r="L16" s="21">
        <v>2</v>
      </c>
      <c r="M16" s="21">
        <f t="shared" si="0"/>
        <v>88</v>
      </c>
      <c r="N16" s="21">
        <f t="shared" si="1"/>
        <v>2</v>
      </c>
      <c r="O16" s="21"/>
      <c r="P16" s="21"/>
      <c r="Q16" s="5"/>
      <c r="R16" s="16"/>
      <c r="S16" s="16"/>
      <c r="T16" s="21">
        <f t="shared" si="2"/>
        <v>0</v>
      </c>
      <c r="U16" s="16"/>
      <c r="V16" s="78">
        <f t="shared" si="3"/>
        <v>0</v>
      </c>
      <c r="W16" s="140"/>
      <c r="X16" s="334"/>
      <c r="Y16" s="5"/>
      <c r="AE16">
        <v>361.5</v>
      </c>
      <c r="AK16" s="16"/>
      <c r="AL16" s="16"/>
      <c r="AN16" s="16"/>
      <c r="AO16" s="16"/>
    </row>
    <row r="17" spans="1:41" x14ac:dyDescent="0.25">
      <c r="A17" s="143">
        <v>12</v>
      </c>
      <c r="B17" s="92">
        <v>45278</v>
      </c>
      <c r="C17" s="23">
        <v>0.3263888888888889</v>
      </c>
      <c r="D17" s="32" t="s">
        <v>2924</v>
      </c>
      <c r="E17" s="32">
        <v>5613609318</v>
      </c>
      <c r="F17" s="124" t="s">
        <v>2273</v>
      </c>
      <c r="G17" s="123" t="s">
        <v>3548</v>
      </c>
      <c r="H17" s="39" t="s">
        <v>3552</v>
      </c>
      <c r="I17" s="39">
        <v>134</v>
      </c>
      <c r="J17" s="42">
        <v>118</v>
      </c>
      <c r="K17" s="20">
        <v>10</v>
      </c>
      <c r="L17" s="21">
        <v>6</v>
      </c>
      <c r="M17" s="21">
        <f t="shared" si="0"/>
        <v>128</v>
      </c>
      <c r="N17" s="21">
        <f t="shared" si="1"/>
        <v>6</v>
      </c>
      <c r="O17" s="21"/>
      <c r="P17" s="21"/>
      <c r="Q17" s="5"/>
      <c r="R17" s="45"/>
      <c r="S17" s="44"/>
      <c r="T17" s="21">
        <f t="shared" si="2"/>
        <v>0</v>
      </c>
      <c r="U17" s="45"/>
      <c r="V17" s="78">
        <f t="shared" si="3"/>
        <v>0</v>
      </c>
      <c r="W17" s="140"/>
      <c r="X17" s="334"/>
      <c r="Y17" s="5"/>
      <c r="AK17" s="63" t="s">
        <v>169</v>
      </c>
      <c r="AL17" s="63">
        <f>+SUM(AK6:AK16)-SUM(AL6:AL16)</f>
        <v>0</v>
      </c>
      <c r="AN17" s="63" t="s">
        <v>169</v>
      </c>
      <c r="AO17" s="85">
        <f>+SUM(AN5:AN16)-SUM(AO6:AO16)</f>
        <v>0</v>
      </c>
    </row>
    <row r="18" spans="1:41" x14ac:dyDescent="0.25">
      <c r="A18" s="143">
        <v>13</v>
      </c>
      <c r="B18" s="92">
        <v>45278</v>
      </c>
      <c r="C18" s="23">
        <v>0.34722222222222227</v>
      </c>
      <c r="D18" s="31" t="s">
        <v>307</v>
      </c>
      <c r="E18" s="32">
        <v>5527189840</v>
      </c>
      <c r="F18" s="32" t="s">
        <v>3545</v>
      </c>
      <c r="G18" s="32" t="s">
        <v>3518</v>
      </c>
      <c r="H18" s="39" t="s">
        <v>3553</v>
      </c>
      <c r="I18" s="39">
        <v>215</v>
      </c>
      <c r="J18" s="42">
        <v>198</v>
      </c>
      <c r="K18" s="108">
        <v>10</v>
      </c>
      <c r="L18" s="21">
        <v>7</v>
      </c>
      <c r="M18" s="21">
        <f t="shared" si="0"/>
        <v>208</v>
      </c>
      <c r="N18" s="21">
        <f t="shared" si="1"/>
        <v>7</v>
      </c>
      <c r="O18" s="21"/>
      <c r="P18" s="21"/>
      <c r="Q18" s="5"/>
      <c r="R18" s="43"/>
      <c r="S18" s="32"/>
      <c r="T18" s="21">
        <f t="shared" si="2"/>
        <v>0</v>
      </c>
      <c r="U18" s="43"/>
      <c r="V18" s="78">
        <f t="shared" si="3"/>
        <v>0</v>
      </c>
      <c r="W18" s="140"/>
      <c r="X18" s="334"/>
      <c r="Y18" s="5"/>
      <c r="AI18" s="83"/>
    </row>
    <row r="19" spans="1:41" x14ac:dyDescent="0.25">
      <c r="A19" s="143">
        <v>14</v>
      </c>
      <c r="B19" s="92">
        <v>45278</v>
      </c>
      <c r="C19" s="23">
        <v>0.40277777777777773</v>
      </c>
      <c r="D19" s="31" t="s">
        <v>3544</v>
      </c>
      <c r="E19" s="32">
        <v>5527614858</v>
      </c>
      <c r="F19" s="32" t="s">
        <v>849</v>
      </c>
      <c r="G19" s="32" t="s">
        <v>3549</v>
      </c>
      <c r="H19" s="39" t="s">
        <v>3554</v>
      </c>
      <c r="I19" s="39">
        <v>41</v>
      </c>
      <c r="J19" s="42">
        <v>31</v>
      </c>
      <c r="K19" s="108">
        <v>10</v>
      </c>
      <c r="L19" s="21"/>
      <c r="M19" s="21">
        <f t="shared" si="0"/>
        <v>41</v>
      </c>
      <c r="N19" s="21">
        <f t="shared" si="1"/>
        <v>0</v>
      </c>
      <c r="O19" s="21">
        <v>41</v>
      </c>
      <c r="P19" s="21"/>
      <c r="Q19" s="5"/>
      <c r="R19" s="43"/>
      <c r="S19" s="43"/>
      <c r="T19" s="21">
        <f t="shared" si="2"/>
        <v>0</v>
      </c>
      <c r="U19" s="43"/>
      <c r="V19" s="78">
        <f t="shared" si="3"/>
        <v>41</v>
      </c>
      <c r="W19" s="140"/>
      <c r="X19" s="334"/>
      <c r="Y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41" x14ac:dyDescent="0.25">
      <c r="A20" s="143">
        <v>15</v>
      </c>
      <c r="B20" s="92">
        <v>45278</v>
      </c>
      <c r="C20" s="23"/>
      <c r="D20" s="127"/>
      <c r="E20" s="32"/>
      <c r="F20" s="32"/>
      <c r="G20" s="128"/>
      <c r="H20" s="129"/>
      <c r="I20" s="39"/>
      <c r="J20" s="42"/>
      <c r="K20" s="108">
        <v>10</v>
      </c>
      <c r="L20" s="21"/>
      <c r="M20" s="21">
        <f t="shared" si="0"/>
        <v>10</v>
      </c>
      <c r="N20" s="21">
        <f t="shared" si="1"/>
        <v>-10</v>
      </c>
      <c r="O20" s="21"/>
      <c r="P20" s="21"/>
      <c r="Q20" s="5"/>
      <c r="R20" s="43"/>
      <c r="S20" s="43"/>
      <c r="T20" s="21">
        <f t="shared" si="2"/>
        <v>0</v>
      </c>
      <c r="U20" s="43"/>
      <c r="V20" s="78">
        <f t="shared" si="3"/>
        <v>0</v>
      </c>
      <c r="W20" s="140"/>
      <c r="X20" s="334"/>
      <c r="Y20" s="5"/>
      <c r="AD20" s="5"/>
      <c r="AE20" s="134" t="s">
        <v>20</v>
      </c>
      <c r="AF20" s="338"/>
      <c r="AG20" s="341" t="s">
        <v>686</v>
      </c>
      <c r="AH20" s="134" t="s">
        <v>20</v>
      </c>
      <c r="AI20" s="338">
        <v>100</v>
      </c>
      <c r="AJ20" s="341" t="s">
        <v>687</v>
      </c>
      <c r="AK20" s="134" t="s">
        <v>20</v>
      </c>
      <c r="AL20" s="338"/>
      <c r="AM20" s="5"/>
    </row>
    <row r="21" spans="1:41" x14ac:dyDescent="0.25">
      <c r="A21" s="143">
        <v>16</v>
      </c>
      <c r="B21" s="92">
        <v>45278</v>
      </c>
      <c r="C21" s="23"/>
      <c r="D21" s="31"/>
      <c r="E21" s="32"/>
      <c r="F21" s="32"/>
      <c r="G21" s="32"/>
      <c r="H21" s="39"/>
      <c r="I21" s="39"/>
      <c r="J21" s="42"/>
      <c r="K21" s="43">
        <v>10</v>
      </c>
      <c r="L21" s="21"/>
      <c r="M21" s="21">
        <f t="shared" si="0"/>
        <v>10</v>
      </c>
      <c r="N21" s="21">
        <f t="shared" si="1"/>
        <v>-10</v>
      </c>
      <c r="O21" s="21"/>
      <c r="P21" s="21"/>
      <c r="Q21" s="5"/>
      <c r="R21" s="43"/>
      <c r="S21" s="32"/>
      <c r="T21" s="21">
        <f t="shared" si="2"/>
        <v>0</v>
      </c>
      <c r="U21" s="131"/>
      <c r="V21" s="78">
        <f t="shared" si="3"/>
        <v>0</v>
      </c>
      <c r="W21" s="140"/>
      <c r="X21" s="334"/>
      <c r="Y21" s="5"/>
      <c r="AD21" s="5" t="s">
        <v>685</v>
      </c>
      <c r="AE21" s="115" t="s">
        <v>684</v>
      </c>
      <c r="AF21" s="339"/>
      <c r="AG21" s="341"/>
      <c r="AH21" s="115" t="s">
        <v>684</v>
      </c>
      <c r="AI21" s="339"/>
      <c r="AJ21" s="341"/>
      <c r="AK21" s="115" t="s">
        <v>684</v>
      </c>
      <c r="AL21" s="339"/>
      <c r="AM21" s="5"/>
    </row>
    <row r="22" spans="1:41" x14ac:dyDescent="0.25">
      <c r="A22" s="143">
        <v>17</v>
      </c>
      <c r="B22" s="92">
        <v>45278</v>
      </c>
      <c r="C22" s="23"/>
      <c r="D22" s="31"/>
      <c r="E22" s="32"/>
      <c r="F22" s="32"/>
      <c r="G22" s="32"/>
      <c r="H22" s="39"/>
      <c r="I22" s="39"/>
      <c r="J22" s="42"/>
      <c r="K22" s="43">
        <v>10</v>
      </c>
      <c r="L22" s="21"/>
      <c r="M22" s="21">
        <f t="shared" si="0"/>
        <v>10</v>
      </c>
      <c r="N22" s="21">
        <f t="shared" si="1"/>
        <v>-10</v>
      </c>
      <c r="O22" s="21"/>
      <c r="P22" s="21"/>
      <c r="Q22" s="5"/>
      <c r="R22" s="43"/>
      <c r="S22" s="32"/>
      <c r="T22" s="21">
        <f t="shared" si="2"/>
        <v>0</v>
      </c>
      <c r="U22" s="132"/>
      <c r="V22" s="78">
        <f t="shared" si="3"/>
        <v>0</v>
      </c>
      <c r="W22" s="140"/>
      <c r="X22" s="340"/>
      <c r="Y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41" x14ac:dyDescent="0.25">
      <c r="A23" s="143">
        <v>18</v>
      </c>
      <c r="B23" s="92">
        <v>45278</v>
      </c>
      <c r="C23" s="32"/>
      <c r="D23" s="31"/>
      <c r="E23" s="32"/>
      <c r="F23" s="32"/>
      <c r="G23" s="32"/>
      <c r="H23" s="39"/>
      <c r="I23" s="39"/>
      <c r="J23" s="42"/>
      <c r="K23" s="43">
        <v>10</v>
      </c>
      <c r="L23" s="21"/>
      <c r="M23" s="21">
        <f t="shared" si="0"/>
        <v>10</v>
      </c>
      <c r="N23" s="21">
        <f t="shared" si="1"/>
        <v>-10</v>
      </c>
      <c r="O23" s="21"/>
      <c r="P23" s="21"/>
      <c r="Q23" s="5"/>
      <c r="R23" s="135"/>
      <c r="S23" s="104"/>
      <c r="T23" s="21">
        <f t="shared" si="2"/>
        <v>0</v>
      </c>
      <c r="U23" s="131"/>
      <c r="V23" s="78">
        <f t="shared" si="3"/>
        <v>0</v>
      </c>
      <c r="W23" s="140"/>
      <c r="Y23" s="5"/>
    </row>
    <row r="24" spans="1:41" x14ac:dyDescent="0.25">
      <c r="A24" s="143">
        <v>19</v>
      </c>
      <c r="B24" s="92">
        <v>45278</v>
      </c>
      <c r="C24" s="32"/>
      <c r="D24" s="31"/>
      <c r="E24" s="32"/>
      <c r="F24" s="32"/>
      <c r="G24" s="32"/>
      <c r="H24" s="39"/>
      <c r="I24" s="39"/>
      <c r="J24" s="42"/>
      <c r="K24" s="43">
        <v>10</v>
      </c>
      <c r="L24" s="21"/>
      <c r="M24" s="21">
        <f t="shared" si="0"/>
        <v>10</v>
      </c>
      <c r="N24" s="21">
        <f t="shared" si="1"/>
        <v>-10</v>
      </c>
      <c r="O24" s="21"/>
      <c r="P24" s="21"/>
      <c r="Q24" s="5"/>
      <c r="R24" s="32"/>
      <c r="S24" s="32"/>
      <c r="T24" s="21">
        <f t="shared" si="2"/>
        <v>0</v>
      </c>
      <c r="U24" s="32"/>
      <c r="V24" s="78">
        <f t="shared" si="3"/>
        <v>0</v>
      </c>
      <c r="W24" s="140"/>
      <c r="Y24" s="5"/>
    </row>
    <row r="25" spans="1:4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141"/>
      <c r="X25" s="5"/>
      <c r="Y25" s="5"/>
    </row>
    <row r="27" spans="1:41" x14ac:dyDescent="0.25">
      <c r="B27">
        <f>114-100</f>
        <v>14</v>
      </c>
      <c r="E27" t="s">
        <v>3557</v>
      </c>
      <c r="G27">
        <f>150-114</f>
        <v>36</v>
      </c>
    </row>
    <row r="28" spans="1:41" x14ac:dyDescent="0.25">
      <c r="B28">
        <f>150-114</f>
        <v>36</v>
      </c>
      <c r="D28">
        <f>114-150+10</f>
        <v>-26</v>
      </c>
      <c r="E28" t="s">
        <v>3556</v>
      </c>
      <c r="G28">
        <v>26</v>
      </c>
      <c r="H28">
        <f>+G28+G29</f>
        <v>40</v>
      </c>
    </row>
    <row r="29" spans="1:41" x14ac:dyDescent="0.25">
      <c r="E29">
        <v>200</v>
      </c>
      <c r="G29">
        <v>14</v>
      </c>
      <c r="K29" t="s">
        <v>3558</v>
      </c>
      <c r="M29" t="s">
        <v>3559</v>
      </c>
      <c r="N29">
        <v>120</v>
      </c>
    </row>
    <row r="30" spans="1:41" x14ac:dyDescent="0.25">
      <c r="E30" t="s">
        <v>3555</v>
      </c>
      <c r="N30">
        <v>114</v>
      </c>
    </row>
    <row r="31" spans="1:41" x14ac:dyDescent="0.25">
      <c r="A31" s="1" t="s">
        <v>0</v>
      </c>
      <c r="B31" s="1"/>
      <c r="C31" s="1"/>
      <c r="D31" s="1"/>
      <c r="E31" s="1"/>
      <c r="F31" s="1"/>
      <c r="G31" s="1"/>
      <c r="H31" s="1"/>
      <c r="I31" s="1"/>
      <c r="J31" s="1" t="s">
        <v>148</v>
      </c>
      <c r="K31" s="1"/>
      <c r="L31" s="1"/>
      <c r="M31" s="1"/>
      <c r="N31" s="1"/>
      <c r="O31" s="1"/>
      <c r="P31" s="1"/>
      <c r="Q31" s="1"/>
      <c r="R31" s="1"/>
      <c r="S31" s="1"/>
      <c r="T31" s="342" t="s">
        <v>1</v>
      </c>
      <c r="U31" s="342"/>
      <c r="V31" s="5"/>
      <c r="W31" s="139"/>
      <c r="X31" s="1"/>
      <c r="Y31" s="5"/>
      <c r="AD31" s="335" t="s">
        <v>160</v>
      </c>
      <c r="AE31" s="336"/>
      <c r="AH31" s="335" t="s">
        <v>170</v>
      </c>
      <c r="AI31" s="336"/>
      <c r="AK31" s="337" t="s">
        <v>172</v>
      </c>
      <c r="AL31" s="337"/>
      <c r="AN31" s="337" t="s">
        <v>681</v>
      </c>
      <c r="AO31" s="337"/>
    </row>
    <row r="32" spans="1:41" ht="90" x14ac:dyDescent="0.25">
      <c r="A32" s="6" t="s">
        <v>2</v>
      </c>
      <c r="B32" s="7" t="s">
        <v>3</v>
      </c>
      <c r="C32" s="245" t="s">
        <v>688</v>
      </c>
      <c r="D32" s="7" t="s">
        <v>4</v>
      </c>
      <c r="E32" s="6" t="s">
        <v>5</v>
      </c>
      <c r="F32" s="6" t="s">
        <v>6</v>
      </c>
      <c r="G32" s="6" t="s">
        <v>7</v>
      </c>
      <c r="H32" s="6" t="s">
        <v>8</v>
      </c>
      <c r="I32" s="8" t="s">
        <v>9</v>
      </c>
      <c r="J32" s="9" t="s">
        <v>10</v>
      </c>
      <c r="K32" s="8" t="s">
        <v>11</v>
      </c>
      <c r="L32" s="10" t="s">
        <v>12</v>
      </c>
      <c r="M32" s="10" t="s">
        <v>13</v>
      </c>
      <c r="N32" s="11" t="s">
        <v>14</v>
      </c>
      <c r="O32" s="10" t="s">
        <v>691</v>
      </c>
      <c r="P32" s="10" t="s">
        <v>28</v>
      </c>
      <c r="Q32" s="5"/>
      <c r="R32" s="10" t="s">
        <v>16</v>
      </c>
      <c r="S32" s="10" t="s">
        <v>17</v>
      </c>
      <c r="T32" s="10" t="s">
        <v>18</v>
      </c>
      <c r="U32" s="10" t="s">
        <v>19</v>
      </c>
      <c r="V32" s="10" t="s">
        <v>20</v>
      </c>
      <c r="W32" s="13"/>
      <c r="X32" s="15" t="s">
        <v>23</v>
      </c>
      <c r="Y32" s="5"/>
      <c r="AA32" s="251" t="s">
        <v>2554</v>
      </c>
      <c r="AD32" s="16" t="s">
        <v>161</v>
      </c>
      <c r="AE32" s="58">
        <f>+AC32*10</f>
        <v>0</v>
      </c>
      <c r="AG32">
        <v>4</v>
      </c>
      <c r="AH32" s="16" t="s">
        <v>161</v>
      </c>
      <c r="AI32" s="58">
        <f>+AG32*10</f>
        <v>40</v>
      </c>
      <c r="AK32" s="61" t="s">
        <v>173</v>
      </c>
      <c r="AL32" s="62" t="s">
        <v>174</v>
      </c>
      <c r="AN32" s="16" t="s">
        <v>161</v>
      </c>
      <c r="AO32" s="58">
        <f>+AM32*10</f>
        <v>0</v>
      </c>
    </row>
    <row r="33" spans="1:41" x14ac:dyDescent="0.25">
      <c r="A33" s="16">
        <v>1</v>
      </c>
      <c r="B33" s="92">
        <v>45279</v>
      </c>
      <c r="C33" s="23"/>
      <c r="D33" s="31" t="s">
        <v>37</v>
      </c>
      <c r="E33" s="32">
        <v>5554180418</v>
      </c>
      <c r="F33" s="32" t="s">
        <v>593</v>
      </c>
      <c r="G33" s="39" t="s">
        <v>1004</v>
      </c>
      <c r="H33" s="39" t="s">
        <v>3561</v>
      </c>
      <c r="I33" s="122"/>
      <c r="J33" s="32">
        <v>70</v>
      </c>
      <c r="K33" s="20">
        <v>20</v>
      </c>
      <c r="L33" s="21">
        <v>10</v>
      </c>
      <c r="M33" s="21">
        <f t="shared" ref="M33:M51" si="4">+J33+K33</f>
        <v>90</v>
      </c>
      <c r="N33" s="21">
        <f t="shared" ref="N33:N51" si="5">+I33-M33</f>
        <v>-90</v>
      </c>
      <c r="O33" s="21"/>
      <c r="P33" s="21"/>
      <c r="Q33" s="5"/>
      <c r="R33" s="21">
        <v>270</v>
      </c>
      <c r="S33" s="16"/>
      <c r="T33" s="21">
        <f t="shared" ref="T33:T51" si="6">+R33+S33</f>
        <v>270</v>
      </c>
      <c r="U33" s="21">
        <v>290</v>
      </c>
      <c r="V33" s="78">
        <f>+U33-T33+O33+P33</f>
        <v>20</v>
      </c>
      <c r="W33" s="13"/>
      <c r="X33" s="333"/>
      <c r="Y33" s="5"/>
      <c r="AC33">
        <v>15</v>
      </c>
      <c r="AD33" s="59" t="s">
        <v>162</v>
      </c>
      <c r="AE33" s="18">
        <f>+AC33*1</f>
        <v>15</v>
      </c>
      <c r="AG33">
        <v>32</v>
      </c>
      <c r="AH33" s="59" t="s">
        <v>162</v>
      </c>
      <c r="AI33" s="18">
        <f>+AG33*1</f>
        <v>32</v>
      </c>
      <c r="AK33" s="16"/>
      <c r="AL33" s="16"/>
      <c r="AN33" s="59" t="s">
        <v>162</v>
      </c>
      <c r="AO33" s="18">
        <f>+AM33*1</f>
        <v>0</v>
      </c>
    </row>
    <row r="34" spans="1:41" x14ac:dyDescent="0.25">
      <c r="A34" s="26">
        <v>2</v>
      </c>
      <c r="B34" s="92">
        <v>45279</v>
      </c>
      <c r="C34" s="23">
        <v>0.52986111111111112</v>
      </c>
      <c r="D34" s="31" t="s">
        <v>2008</v>
      </c>
      <c r="E34" s="32">
        <v>5583364429</v>
      </c>
      <c r="F34" s="32" t="s">
        <v>28</v>
      </c>
      <c r="G34" s="32" t="s">
        <v>1351</v>
      </c>
      <c r="H34" s="32" t="s">
        <v>3562</v>
      </c>
      <c r="I34" s="122"/>
      <c r="J34" s="32">
        <f>30+25+28</f>
        <v>83</v>
      </c>
      <c r="K34" s="20">
        <v>10</v>
      </c>
      <c r="L34" s="21"/>
      <c r="M34" s="21">
        <f t="shared" si="4"/>
        <v>93</v>
      </c>
      <c r="N34" s="21">
        <f t="shared" si="5"/>
        <v>-93</v>
      </c>
      <c r="O34" s="21"/>
      <c r="P34" s="21"/>
      <c r="Q34" s="5"/>
      <c r="R34" s="21"/>
      <c r="S34" s="16"/>
      <c r="T34" s="21">
        <f t="shared" si="6"/>
        <v>0</v>
      </c>
      <c r="U34" s="21"/>
      <c r="V34" s="78">
        <f t="shared" ref="V34:V51" si="7">+U34-T34+O34+P34</f>
        <v>0</v>
      </c>
      <c r="W34" s="140"/>
      <c r="X34" s="334"/>
      <c r="Y34" s="5"/>
      <c r="AC34">
        <v>15</v>
      </c>
      <c r="AD34" s="16" t="s">
        <v>163</v>
      </c>
      <c r="AE34" s="60">
        <f>+AC34*5</f>
        <v>75</v>
      </c>
      <c r="AG34">
        <v>29</v>
      </c>
      <c r="AH34" s="16" t="s">
        <v>163</v>
      </c>
      <c r="AI34" s="60">
        <f>+AG34*5</f>
        <v>145</v>
      </c>
      <c r="AK34" s="16"/>
      <c r="AL34" s="16"/>
      <c r="AN34" s="16" t="s">
        <v>163</v>
      </c>
      <c r="AO34" s="60">
        <f>+AM34*5</f>
        <v>0</v>
      </c>
    </row>
    <row r="35" spans="1:41" x14ac:dyDescent="0.25">
      <c r="A35" s="143">
        <v>3</v>
      </c>
      <c r="B35" s="92">
        <v>45279</v>
      </c>
      <c r="C35" s="23">
        <v>0.53402777777777777</v>
      </c>
      <c r="D35" s="31" t="s">
        <v>3560</v>
      </c>
      <c r="E35" s="32">
        <v>5551855915</v>
      </c>
      <c r="F35" s="32" t="s">
        <v>114</v>
      </c>
      <c r="G35" s="32" t="s">
        <v>3571</v>
      </c>
      <c r="H35" s="32" t="s">
        <v>3563</v>
      </c>
      <c r="I35" s="122"/>
      <c r="J35" s="32">
        <f>37+48</f>
        <v>85</v>
      </c>
      <c r="K35" s="20">
        <v>10</v>
      </c>
      <c r="L35" s="21"/>
      <c r="M35" s="21">
        <f t="shared" si="4"/>
        <v>95</v>
      </c>
      <c r="N35" s="21">
        <f t="shared" si="5"/>
        <v>-95</v>
      </c>
      <c r="O35" s="21"/>
      <c r="P35" s="21"/>
      <c r="Q35" s="5"/>
      <c r="R35" s="21"/>
      <c r="S35" s="16"/>
      <c r="T35" s="21">
        <f t="shared" si="6"/>
        <v>0</v>
      </c>
      <c r="U35" s="21"/>
      <c r="V35" s="78">
        <f t="shared" si="7"/>
        <v>0</v>
      </c>
      <c r="W35" s="140"/>
      <c r="X35" s="334"/>
      <c r="Y35" s="5"/>
      <c r="AD35" s="16" t="s">
        <v>164</v>
      </c>
      <c r="AE35" s="18">
        <f>+AC35*200</f>
        <v>0</v>
      </c>
      <c r="AH35" s="16" t="s">
        <v>164</v>
      </c>
      <c r="AI35" s="18">
        <f>+AG35*200</f>
        <v>0</v>
      </c>
      <c r="AK35" s="16"/>
      <c r="AL35" s="16"/>
      <c r="AN35" s="16" t="s">
        <v>164</v>
      </c>
      <c r="AO35" s="18">
        <f>+AM35*200</f>
        <v>0</v>
      </c>
    </row>
    <row r="36" spans="1:41" x14ac:dyDescent="0.25">
      <c r="A36" s="143">
        <v>4</v>
      </c>
      <c r="B36" s="92">
        <v>45279</v>
      </c>
      <c r="C36" s="23">
        <v>0.5854166666666667</v>
      </c>
      <c r="D36" s="31" t="s">
        <v>929</v>
      </c>
      <c r="E36" s="32">
        <v>5532535035</v>
      </c>
      <c r="F36" s="32" t="s">
        <v>2707</v>
      </c>
      <c r="G36" s="32" t="s">
        <v>3565</v>
      </c>
      <c r="H36" s="39" t="s">
        <v>3564</v>
      </c>
      <c r="I36" s="122"/>
      <c r="J36" s="32">
        <v>120</v>
      </c>
      <c r="K36" s="20">
        <v>10</v>
      </c>
      <c r="L36" s="21"/>
      <c r="M36" s="21">
        <f t="shared" si="4"/>
        <v>130</v>
      </c>
      <c r="N36" s="21">
        <f t="shared" si="5"/>
        <v>-130</v>
      </c>
      <c r="O36" s="21"/>
      <c r="P36" s="21"/>
      <c r="Q36" s="5"/>
      <c r="R36" s="21">
        <v>100</v>
      </c>
      <c r="S36" s="16"/>
      <c r="T36" s="21">
        <f t="shared" si="6"/>
        <v>100</v>
      </c>
      <c r="U36" s="21"/>
      <c r="V36" s="78">
        <f t="shared" si="7"/>
        <v>-100</v>
      </c>
      <c r="W36" s="140"/>
      <c r="X36" s="334"/>
      <c r="Y36" s="5"/>
      <c r="AC36">
        <v>1</v>
      </c>
      <c r="AD36" s="16" t="s">
        <v>165</v>
      </c>
      <c r="AE36" s="18">
        <f>+AC36*100</f>
        <v>100</v>
      </c>
      <c r="AH36" s="16" t="s">
        <v>165</v>
      </c>
      <c r="AI36" s="18">
        <f>+AG36*100</f>
        <v>0</v>
      </c>
      <c r="AK36" s="16"/>
      <c r="AL36" s="16"/>
      <c r="AN36" s="16" t="s">
        <v>165</v>
      </c>
      <c r="AO36" s="18">
        <f>+AM36*100</f>
        <v>0</v>
      </c>
    </row>
    <row r="37" spans="1:41" x14ac:dyDescent="0.25">
      <c r="A37" s="143">
        <v>5</v>
      </c>
      <c r="B37" s="92">
        <v>45279</v>
      </c>
      <c r="C37" s="23">
        <v>9.0277777777777776E-2</v>
      </c>
      <c r="D37" s="31" t="s">
        <v>245</v>
      </c>
      <c r="E37" s="32">
        <v>5530508709</v>
      </c>
      <c r="F37" s="32" t="s">
        <v>3359</v>
      </c>
      <c r="G37" s="32" t="s">
        <v>1885</v>
      </c>
      <c r="H37" s="32" t="s">
        <v>3566</v>
      </c>
      <c r="I37" s="122"/>
      <c r="J37" s="32">
        <f>84+11</f>
        <v>95</v>
      </c>
      <c r="K37" s="20">
        <v>10</v>
      </c>
      <c r="L37" s="21"/>
      <c r="M37" s="21">
        <f t="shared" si="4"/>
        <v>105</v>
      </c>
      <c r="N37" s="21">
        <f t="shared" si="5"/>
        <v>-105</v>
      </c>
      <c r="O37" s="21"/>
      <c r="P37" s="21"/>
      <c r="Q37" s="5"/>
      <c r="R37" s="16">
        <v>200</v>
      </c>
      <c r="S37" s="16"/>
      <c r="T37" s="21">
        <f t="shared" si="6"/>
        <v>200</v>
      </c>
      <c r="U37" s="21"/>
      <c r="V37" s="78">
        <f t="shared" si="7"/>
        <v>-200</v>
      </c>
      <c r="W37" s="140"/>
      <c r="X37" s="334"/>
      <c r="Y37" s="5"/>
      <c r="AC37">
        <v>3</v>
      </c>
      <c r="AD37" s="16" t="s">
        <v>166</v>
      </c>
      <c r="AE37" s="18">
        <f>+AC37*50</f>
        <v>150</v>
      </c>
      <c r="AG37">
        <v>3</v>
      </c>
      <c r="AH37" s="16" t="s">
        <v>166</v>
      </c>
      <c r="AI37" s="18">
        <f>+AG37*50</f>
        <v>150</v>
      </c>
      <c r="AK37" s="16"/>
      <c r="AL37" s="16"/>
      <c r="AN37" s="16" t="s">
        <v>166</v>
      </c>
      <c r="AO37" s="18">
        <f>+AM37*50</f>
        <v>0</v>
      </c>
    </row>
    <row r="38" spans="1:41" x14ac:dyDescent="0.25">
      <c r="A38" s="143">
        <v>6</v>
      </c>
      <c r="B38" s="92">
        <v>45279</v>
      </c>
      <c r="C38" s="23">
        <v>0.6020833333333333</v>
      </c>
      <c r="D38" s="31" t="s">
        <v>1032</v>
      </c>
      <c r="E38" s="32">
        <v>5513847465</v>
      </c>
      <c r="F38" s="32" t="s">
        <v>2707</v>
      </c>
      <c r="G38" s="32" t="s">
        <v>3568</v>
      </c>
      <c r="H38" s="32" t="s">
        <v>3567</v>
      </c>
      <c r="I38" s="39"/>
      <c r="J38" s="42">
        <v>114</v>
      </c>
      <c r="K38" s="20">
        <v>10</v>
      </c>
      <c r="L38" s="21"/>
      <c r="M38" s="21">
        <f t="shared" si="4"/>
        <v>124</v>
      </c>
      <c r="N38" s="21">
        <f t="shared" si="5"/>
        <v>-124</v>
      </c>
      <c r="O38" s="21"/>
      <c r="P38" s="21"/>
      <c r="Q38" s="5"/>
      <c r="R38" s="16">
        <v>150</v>
      </c>
      <c r="S38" s="16"/>
      <c r="T38" s="21">
        <f t="shared" si="6"/>
        <v>150</v>
      </c>
      <c r="U38" s="16"/>
      <c r="V38" s="78">
        <f t="shared" si="7"/>
        <v>-150</v>
      </c>
      <c r="W38" s="140"/>
      <c r="X38" s="334"/>
      <c r="Y38" s="5"/>
      <c r="AC38">
        <v>1</v>
      </c>
      <c r="AD38" s="16" t="s">
        <v>167</v>
      </c>
      <c r="AE38" s="18">
        <f>+AC38*20</f>
        <v>20</v>
      </c>
      <c r="AG38">
        <v>4</v>
      </c>
      <c r="AH38" s="16" t="s">
        <v>167</v>
      </c>
      <c r="AI38" s="18">
        <f>+AG38*20</f>
        <v>80</v>
      </c>
      <c r="AK38" s="16"/>
      <c r="AL38" s="16"/>
      <c r="AN38" s="16" t="s">
        <v>167</v>
      </c>
      <c r="AO38" s="18">
        <f>+AM38*20</f>
        <v>0</v>
      </c>
    </row>
    <row r="39" spans="1:41" x14ac:dyDescent="0.25">
      <c r="A39" s="143">
        <v>7</v>
      </c>
      <c r="B39" s="92">
        <v>45279</v>
      </c>
      <c r="C39" s="23">
        <v>9.1666666666666674E-2</v>
      </c>
      <c r="D39" s="31" t="s">
        <v>245</v>
      </c>
      <c r="E39" s="32">
        <v>5530508709</v>
      </c>
      <c r="F39" s="32" t="s">
        <v>3569</v>
      </c>
      <c r="G39" s="32" t="s">
        <v>1350</v>
      </c>
      <c r="H39" s="39" t="s">
        <v>3570</v>
      </c>
      <c r="I39" s="122"/>
      <c r="J39" s="42">
        <f>17+96</f>
        <v>113</v>
      </c>
      <c r="K39" s="20">
        <v>10</v>
      </c>
      <c r="L39" s="21"/>
      <c r="M39" s="21">
        <f t="shared" si="4"/>
        <v>123</v>
      </c>
      <c r="N39" s="21">
        <f t="shared" si="5"/>
        <v>-123</v>
      </c>
      <c r="O39" s="21"/>
      <c r="P39" s="21"/>
      <c r="Q39" s="5"/>
      <c r="R39" s="16"/>
      <c r="S39" s="16"/>
      <c r="T39" s="21">
        <f t="shared" si="6"/>
        <v>0</v>
      </c>
      <c r="U39" s="16"/>
      <c r="V39" s="78">
        <f t="shared" si="7"/>
        <v>0</v>
      </c>
      <c r="W39" s="140"/>
      <c r="X39" s="334"/>
      <c r="Y39" s="5"/>
      <c r="AD39" s="16" t="s">
        <v>171</v>
      </c>
      <c r="AE39" s="18">
        <f>+AC39*500</f>
        <v>0</v>
      </c>
      <c r="AH39" s="16" t="s">
        <v>171</v>
      </c>
      <c r="AI39" s="18">
        <f>+AG39*500</f>
        <v>0</v>
      </c>
      <c r="AK39" s="16"/>
      <c r="AL39" s="16"/>
      <c r="AN39" s="16" t="s">
        <v>171</v>
      </c>
      <c r="AO39" s="18">
        <f>+AM39*500</f>
        <v>0</v>
      </c>
    </row>
    <row r="40" spans="1:41" x14ac:dyDescent="0.25">
      <c r="A40" s="143">
        <v>8</v>
      </c>
      <c r="B40" s="92">
        <v>45279</v>
      </c>
      <c r="C40" s="23">
        <v>0.3215277777777778</v>
      </c>
      <c r="D40" s="31" t="s">
        <v>3574</v>
      </c>
      <c r="E40" s="123">
        <v>5553945187</v>
      </c>
      <c r="F40" s="123" t="s">
        <v>3573</v>
      </c>
      <c r="G40" s="123" t="s">
        <v>3575</v>
      </c>
      <c r="H40" s="39" t="s">
        <v>3572</v>
      </c>
      <c r="I40" s="122">
        <v>170</v>
      </c>
      <c r="J40" s="32">
        <v>156</v>
      </c>
      <c r="K40" s="20">
        <v>10</v>
      </c>
      <c r="L40" s="21"/>
      <c r="M40" s="21">
        <f t="shared" si="4"/>
        <v>166</v>
      </c>
      <c r="N40" s="21">
        <f t="shared" si="5"/>
        <v>4</v>
      </c>
      <c r="O40" s="21"/>
      <c r="P40" s="21"/>
      <c r="Q40" s="5"/>
      <c r="R40" s="16"/>
      <c r="S40" s="16"/>
      <c r="T40" s="21">
        <f t="shared" si="6"/>
        <v>0</v>
      </c>
      <c r="U40" s="16"/>
      <c r="V40" s="78">
        <f t="shared" si="7"/>
        <v>0</v>
      </c>
      <c r="W40" s="140"/>
      <c r="X40" s="334"/>
      <c r="Y40" s="5"/>
      <c r="AD40" s="16" t="s">
        <v>168</v>
      </c>
      <c r="AE40" s="18">
        <f>+AC40*1000</f>
        <v>0</v>
      </c>
      <c r="AH40" s="16" t="s">
        <v>168</v>
      </c>
      <c r="AI40" s="18">
        <f>+AG40*1000</f>
        <v>0</v>
      </c>
      <c r="AK40" s="16"/>
      <c r="AL40" s="16"/>
      <c r="AN40" s="16" t="s">
        <v>168</v>
      </c>
      <c r="AO40" s="18">
        <f>+AM40*1000</f>
        <v>0</v>
      </c>
    </row>
    <row r="41" spans="1:41" x14ac:dyDescent="0.25">
      <c r="A41" s="143">
        <v>9</v>
      </c>
      <c r="B41" s="92">
        <v>45279</v>
      </c>
      <c r="C41" s="23">
        <v>0.33333333333333331</v>
      </c>
      <c r="D41" s="31" t="s">
        <v>2281</v>
      </c>
      <c r="E41" s="32">
        <v>5532536647</v>
      </c>
      <c r="F41" s="32" t="s">
        <v>2716</v>
      </c>
      <c r="G41" s="32" t="s">
        <v>2411</v>
      </c>
      <c r="H41" s="39" t="s">
        <v>3576</v>
      </c>
      <c r="I41" s="39">
        <v>120</v>
      </c>
      <c r="J41" s="40">
        <v>110</v>
      </c>
      <c r="K41" s="20">
        <v>12</v>
      </c>
      <c r="L41" s="21"/>
      <c r="M41" s="21">
        <f t="shared" si="4"/>
        <v>122</v>
      </c>
      <c r="N41" s="21">
        <v>0</v>
      </c>
      <c r="O41" s="21"/>
      <c r="P41" s="21"/>
      <c r="Q41" s="5"/>
      <c r="R41" s="16"/>
      <c r="S41" s="16"/>
      <c r="T41" s="21">
        <f t="shared" si="6"/>
        <v>0</v>
      </c>
      <c r="U41" s="16"/>
      <c r="V41" s="78">
        <f t="shared" si="7"/>
        <v>0</v>
      </c>
      <c r="W41" s="140"/>
      <c r="X41" s="334"/>
      <c r="Y41" s="5"/>
      <c r="AD41" s="26"/>
      <c r="AE41" s="58"/>
      <c r="AH41" s="26"/>
      <c r="AI41" s="58"/>
      <c r="AK41" s="16"/>
      <c r="AL41" s="16"/>
      <c r="AN41" s="26"/>
      <c r="AO41" s="58"/>
    </row>
    <row r="42" spans="1:41" x14ac:dyDescent="0.25">
      <c r="A42" s="143">
        <v>10</v>
      </c>
      <c r="B42" s="92">
        <v>45279</v>
      </c>
      <c r="C42" s="23">
        <v>0.34027777777777773</v>
      </c>
      <c r="D42" s="31" t="s">
        <v>3577</v>
      </c>
      <c r="E42" s="32">
        <v>5612853273</v>
      </c>
      <c r="F42" s="32" t="s">
        <v>3578</v>
      </c>
      <c r="G42" s="32" t="s">
        <v>1746</v>
      </c>
      <c r="H42" s="39" t="s">
        <v>3579</v>
      </c>
      <c r="I42" s="122">
        <v>170</v>
      </c>
      <c r="J42" s="42">
        <v>132</v>
      </c>
      <c r="K42" s="20">
        <v>20</v>
      </c>
      <c r="L42" s="21">
        <v>18</v>
      </c>
      <c r="M42" s="21">
        <f t="shared" si="4"/>
        <v>152</v>
      </c>
      <c r="N42" s="21">
        <v>0</v>
      </c>
      <c r="O42" s="21"/>
      <c r="P42" s="21"/>
      <c r="Q42" s="5"/>
      <c r="R42" s="16"/>
      <c r="S42" s="16"/>
      <c r="T42" s="21">
        <f t="shared" si="6"/>
        <v>0</v>
      </c>
      <c r="U42" s="16"/>
      <c r="V42" s="78">
        <f t="shared" si="7"/>
        <v>0</v>
      </c>
      <c r="W42" s="140"/>
      <c r="X42" s="334"/>
      <c r="Y42" s="5"/>
      <c r="AD42" s="16" t="s">
        <v>169</v>
      </c>
      <c r="AE42" s="18">
        <f>SUM(AE32:AE41)</f>
        <v>360</v>
      </c>
      <c r="AH42" s="16" t="s">
        <v>169</v>
      </c>
      <c r="AI42" s="18">
        <f>SUM(AI32:AI41)</f>
        <v>447</v>
      </c>
      <c r="AK42" s="16"/>
      <c r="AL42" s="16"/>
      <c r="AN42" s="16" t="s">
        <v>169</v>
      </c>
      <c r="AO42" s="18"/>
    </row>
    <row r="43" spans="1:41" x14ac:dyDescent="0.25">
      <c r="A43" s="143">
        <v>11</v>
      </c>
      <c r="B43" s="92">
        <v>45279</v>
      </c>
      <c r="C43" s="23">
        <v>0.375</v>
      </c>
      <c r="D43" s="31" t="s">
        <v>3580</v>
      </c>
      <c r="E43" s="124">
        <v>5523456557</v>
      </c>
      <c r="F43" s="123" t="s">
        <v>368</v>
      </c>
      <c r="G43" s="123" t="s">
        <v>3364</v>
      </c>
      <c r="H43" s="39" t="s">
        <v>3581</v>
      </c>
      <c r="I43" s="122">
        <v>50</v>
      </c>
      <c r="J43" s="42">
        <v>36</v>
      </c>
      <c r="K43" s="20">
        <v>10</v>
      </c>
      <c r="L43" s="21">
        <v>4</v>
      </c>
      <c r="M43" s="21">
        <f t="shared" si="4"/>
        <v>46</v>
      </c>
      <c r="N43" s="21">
        <f t="shared" si="5"/>
        <v>4</v>
      </c>
      <c r="O43" s="21"/>
      <c r="P43" s="21"/>
      <c r="Q43" s="5"/>
      <c r="R43" s="16"/>
      <c r="S43" s="16"/>
      <c r="T43" s="21">
        <f t="shared" si="6"/>
        <v>0</v>
      </c>
      <c r="U43" s="16"/>
      <c r="V43" s="78">
        <f t="shared" si="7"/>
        <v>0</v>
      </c>
      <c r="W43" s="140"/>
      <c r="X43" s="334"/>
      <c r="Y43" s="5"/>
      <c r="AE43">
        <v>360</v>
      </c>
      <c r="AK43" s="16"/>
      <c r="AL43" s="16"/>
      <c r="AN43" s="16"/>
      <c r="AO43" s="16"/>
    </row>
    <row r="44" spans="1:41" x14ac:dyDescent="0.25">
      <c r="A44" s="143">
        <v>12</v>
      </c>
      <c r="B44" s="92">
        <v>45279</v>
      </c>
      <c r="C44" s="23"/>
      <c r="D44" s="32"/>
      <c r="E44" s="32"/>
      <c r="F44" s="124"/>
      <c r="G44" s="123"/>
      <c r="H44" s="39"/>
      <c r="I44" s="39"/>
      <c r="J44" s="42"/>
      <c r="K44" s="20">
        <v>10</v>
      </c>
      <c r="L44" s="21"/>
      <c r="M44" s="21">
        <f t="shared" si="4"/>
        <v>10</v>
      </c>
      <c r="N44" s="21">
        <f t="shared" si="5"/>
        <v>-10</v>
      </c>
      <c r="O44" s="21"/>
      <c r="P44" s="21"/>
      <c r="Q44" s="5"/>
      <c r="R44" s="45"/>
      <c r="S44" s="44"/>
      <c r="T44" s="21">
        <f t="shared" si="6"/>
        <v>0</v>
      </c>
      <c r="U44" s="45"/>
      <c r="V44" s="78">
        <f t="shared" si="7"/>
        <v>0</v>
      </c>
      <c r="W44" s="140"/>
      <c r="X44" s="334"/>
      <c r="Y44" s="5"/>
      <c r="AK44" s="63" t="s">
        <v>169</v>
      </c>
      <c r="AL44" s="63">
        <f>+SUM(AK33:AK43)-SUM(AL33:AL43)</f>
        <v>0</v>
      </c>
      <c r="AN44" s="63" t="s">
        <v>169</v>
      </c>
      <c r="AO44" s="85">
        <f>+SUM(AN32:AN43)-SUM(AO33:AO43)</f>
        <v>0</v>
      </c>
    </row>
    <row r="45" spans="1:41" x14ac:dyDescent="0.25">
      <c r="A45" s="143">
        <v>13</v>
      </c>
      <c r="B45" s="92">
        <v>45279</v>
      </c>
      <c r="C45" s="23"/>
      <c r="D45" s="31"/>
      <c r="E45" s="32"/>
      <c r="F45" s="32"/>
      <c r="G45" s="32"/>
      <c r="H45" s="39"/>
      <c r="I45" s="39"/>
      <c r="J45" s="42"/>
      <c r="K45" s="108">
        <v>10</v>
      </c>
      <c r="L45" s="21"/>
      <c r="M45" s="21">
        <f t="shared" si="4"/>
        <v>10</v>
      </c>
      <c r="N45" s="21">
        <f t="shared" si="5"/>
        <v>-10</v>
      </c>
      <c r="O45" s="21"/>
      <c r="P45" s="21"/>
      <c r="Q45" s="5"/>
      <c r="R45" s="43"/>
      <c r="S45" s="32"/>
      <c r="T45" s="21">
        <f t="shared" si="6"/>
        <v>0</v>
      </c>
      <c r="U45" s="43"/>
      <c r="V45" s="78">
        <f t="shared" si="7"/>
        <v>0</v>
      </c>
      <c r="W45" s="140"/>
      <c r="X45" s="334"/>
      <c r="Y45" s="5"/>
      <c r="AI45" s="83"/>
    </row>
    <row r="46" spans="1:41" x14ac:dyDescent="0.25">
      <c r="A46" s="143">
        <v>14</v>
      </c>
      <c r="B46" s="92">
        <v>45279</v>
      </c>
      <c r="C46" s="23"/>
      <c r="D46" s="31"/>
      <c r="E46" s="32"/>
      <c r="F46" s="32"/>
      <c r="G46" s="32"/>
      <c r="H46" s="39"/>
      <c r="I46" s="39"/>
      <c r="J46" s="42"/>
      <c r="K46" s="108">
        <v>10</v>
      </c>
      <c r="L46" s="21"/>
      <c r="M46" s="21">
        <f t="shared" si="4"/>
        <v>10</v>
      </c>
      <c r="N46" s="21">
        <f t="shared" si="5"/>
        <v>-10</v>
      </c>
      <c r="O46" s="21"/>
      <c r="P46" s="21"/>
      <c r="Q46" s="5"/>
      <c r="R46" s="43"/>
      <c r="S46" s="43"/>
      <c r="T46" s="21">
        <f t="shared" si="6"/>
        <v>0</v>
      </c>
      <c r="U46" s="43"/>
      <c r="V46" s="78">
        <f t="shared" si="7"/>
        <v>0</v>
      </c>
      <c r="W46" s="140"/>
      <c r="X46" s="334"/>
      <c r="Y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41" x14ac:dyDescent="0.25">
      <c r="A47" s="143">
        <v>15</v>
      </c>
      <c r="B47" s="92">
        <v>45279</v>
      </c>
      <c r="C47" s="23"/>
      <c r="D47" s="127"/>
      <c r="E47" s="32"/>
      <c r="F47" s="32"/>
      <c r="G47" s="128"/>
      <c r="H47" s="129"/>
      <c r="I47" s="39"/>
      <c r="J47" s="42"/>
      <c r="K47" s="108">
        <v>10</v>
      </c>
      <c r="L47" s="21"/>
      <c r="M47" s="21">
        <f t="shared" si="4"/>
        <v>10</v>
      </c>
      <c r="N47" s="21">
        <f t="shared" si="5"/>
        <v>-10</v>
      </c>
      <c r="O47" s="21"/>
      <c r="P47" s="21"/>
      <c r="Q47" s="5"/>
      <c r="R47" s="43"/>
      <c r="S47" s="43"/>
      <c r="T47" s="21">
        <f t="shared" si="6"/>
        <v>0</v>
      </c>
      <c r="U47" s="43"/>
      <c r="V47" s="78">
        <f t="shared" si="7"/>
        <v>0</v>
      </c>
      <c r="W47" s="140"/>
      <c r="X47" s="334"/>
      <c r="Y47" s="5"/>
      <c r="AD47" s="5"/>
      <c r="AE47" s="134" t="s">
        <v>20</v>
      </c>
      <c r="AF47" s="338"/>
      <c r="AG47" s="341" t="s">
        <v>686</v>
      </c>
      <c r="AH47" s="134" t="s">
        <v>20</v>
      </c>
      <c r="AI47" s="338">
        <v>132</v>
      </c>
      <c r="AJ47" s="341" t="s">
        <v>687</v>
      </c>
      <c r="AK47" s="134" t="s">
        <v>20</v>
      </c>
      <c r="AL47" s="338"/>
      <c r="AM47" s="5"/>
    </row>
    <row r="48" spans="1:41" x14ac:dyDescent="0.25">
      <c r="A48" s="143">
        <v>16</v>
      </c>
      <c r="B48" s="92">
        <v>45279</v>
      </c>
      <c r="C48" s="23"/>
      <c r="D48" s="31"/>
      <c r="E48" s="32"/>
      <c r="F48" s="32"/>
      <c r="G48" s="32"/>
      <c r="H48" s="39"/>
      <c r="I48" s="39"/>
      <c r="J48" s="42"/>
      <c r="K48" s="43">
        <v>10</v>
      </c>
      <c r="L48" s="21"/>
      <c r="M48" s="21">
        <f t="shared" si="4"/>
        <v>10</v>
      </c>
      <c r="N48" s="21">
        <f t="shared" si="5"/>
        <v>-10</v>
      </c>
      <c r="O48" s="21"/>
      <c r="P48" s="21"/>
      <c r="Q48" s="5"/>
      <c r="R48" s="43"/>
      <c r="S48" s="32"/>
      <c r="T48" s="21">
        <f t="shared" si="6"/>
        <v>0</v>
      </c>
      <c r="U48" s="131"/>
      <c r="V48" s="78">
        <f t="shared" si="7"/>
        <v>0</v>
      </c>
      <c r="W48" s="140"/>
      <c r="X48" s="334"/>
      <c r="Y48" s="5"/>
      <c r="AD48" s="5" t="s">
        <v>685</v>
      </c>
      <c r="AE48" s="115" t="s">
        <v>684</v>
      </c>
      <c r="AF48" s="339"/>
      <c r="AG48" s="341"/>
      <c r="AH48" s="115" t="s">
        <v>684</v>
      </c>
      <c r="AI48" s="339"/>
      <c r="AJ48" s="341"/>
      <c r="AK48" s="115" t="s">
        <v>684</v>
      </c>
      <c r="AL48" s="339"/>
      <c r="AM48" s="5"/>
    </row>
    <row r="49" spans="1:41" x14ac:dyDescent="0.25">
      <c r="A49" s="143">
        <v>17</v>
      </c>
      <c r="B49" s="92">
        <v>45279</v>
      </c>
      <c r="C49" s="23"/>
      <c r="D49" s="31"/>
      <c r="E49" s="32"/>
      <c r="F49" s="32"/>
      <c r="G49" s="32"/>
      <c r="H49" s="39"/>
      <c r="I49" s="39"/>
      <c r="J49" s="42"/>
      <c r="K49" s="43">
        <v>10</v>
      </c>
      <c r="L49" s="21"/>
      <c r="M49" s="21">
        <f t="shared" si="4"/>
        <v>10</v>
      </c>
      <c r="N49" s="21">
        <f t="shared" si="5"/>
        <v>-10</v>
      </c>
      <c r="O49" s="21"/>
      <c r="P49" s="21"/>
      <c r="Q49" s="5"/>
      <c r="R49" s="43"/>
      <c r="S49" s="32"/>
      <c r="T49" s="21">
        <f t="shared" si="6"/>
        <v>0</v>
      </c>
      <c r="U49" s="132"/>
      <c r="V49" s="78">
        <f t="shared" si="7"/>
        <v>0</v>
      </c>
      <c r="W49" s="140"/>
      <c r="X49" s="340"/>
      <c r="Y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41" x14ac:dyDescent="0.25">
      <c r="A50" s="143">
        <v>18</v>
      </c>
      <c r="B50" s="92">
        <v>45279</v>
      </c>
      <c r="C50" s="32"/>
      <c r="D50" s="31"/>
      <c r="E50" s="32"/>
      <c r="F50" s="32"/>
      <c r="G50" s="32"/>
      <c r="H50" s="39"/>
      <c r="I50" s="39"/>
      <c r="J50" s="42"/>
      <c r="K50" s="43">
        <v>10</v>
      </c>
      <c r="L50" s="21"/>
      <c r="M50" s="21">
        <f t="shared" si="4"/>
        <v>10</v>
      </c>
      <c r="N50" s="21">
        <f t="shared" si="5"/>
        <v>-10</v>
      </c>
      <c r="O50" s="21"/>
      <c r="P50" s="21"/>
      <c r="Q50" s="5"/>
      <c r="R50" s="135"/>
      <c r="S50" s="104"/>
      <c r="T50" s="21">
        <f t="shared" si="6"/>
        <v>0</v>
      </c>
      <c r="U50" s="131"/>
      <c r="V50" s="78">
        <f t="shared" si="7"/>
        <v>0</v>
      </c>
      <c r="W50" s="140"/>
      <c r="Y50" s="5"/>
    </row>
    <row r="51" spans="1:41" x14ac:dyDescent="0.25">
      <c r="A51" s="143">
        <v>19</v>
      </c>
      <c r="B51" s="92">
        <v>45279</v>
      </c>
      <c r="C51" s="32"/>
      <c r="D51" s="31"/>
      <c r="E51" s="32"/>
      <c r="F51" s="32"/>
      <c r="G51" s="32"/>
      <c r="H51" s="39"/>
      <c r="I51" s="39"/>
      <c r="J51" s="42"/>
      <c r="K51" s="43">
        <v>10</v>
      </c>
      <c r="L51" s="21"/>
      <c r="M51" s="21">
        <f t="shared" si="4"/>
        <v>10</v>
      </c>
      <c r="N51" s="21">
        <f t="shared" si="5"/>
        <v>-10</v>
      </c>
      <c r="O51" s="21"/>
      <c r="P51" s="21"/>
      <c r="Q51" s="5"/>
      <c r="R51" s="32"/>
      <c r="S51" s="32"/>
      <c r="T51" s="21">
        <f t="shared" si="6"/>
        <v>0</v>
      </c>
      <c r="U51" s="32"/>
      <c r="V51" s="78">
        <f t="shared" si="7"/>
        <v>0</v>
      </c>
      <c r="W51" s="140"/>
      <c r="Y51" s="5"/>
    </row>
    <row r="52" spans="1:4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141"/>
      <c r="X52" s="5"/>
      <c r="Y52" s="5"/>
    </row>
    <row r="59" spans="1:41" x14ac:dyDescent="0.25">
      <c r="A59" s="1" t="s">
        <v>0</v>
      </c>
      <c r="B59" s="1"/>
      <c r="C59" s="1"/>
      <c r="D59" s="1"/>
      <c r="E59" s="1"/>
      <c r="F59" s="1"/>
      <c r="G59" s="1"/>
      <c r="H59" s="1"/>
      <c r="I59" s="1"/>
      <c r="J59" s="1" t="s">
        <v>148</v>
      </c>
      <c r="K59" s="1"/>
      <c r="L59" s="1"/>
      <c r="M59" s="1"/>
      <c r="N59" s="1"/>
      <c r="O59" s="1"/>
      <c r="P59" s="1"/>
      <c r="Q59" s="1"/>
      <c r="R59" s="1"/>
      <c r="S59" s="1"/>
      <c r="T59" s="342" t="s">
        <v>1</v>
      </c>
      <c r="U59" s="342"/>
      <c r="V59" s="5"/>
      <c r="W59" s="139"/>
      <c r="X59" s="1"/>
      <c r="Y59" s="5"/>
      <c r="AD59" s="335" t="s">
        <v>160</v>
      </c>
      <c r="AE59" s="336"/>
      <c r="AH59" s="335" t="s">
        <v>170</v>
      </c>
      <c r="AI59" s="336"/>
      <c r="AK59" s="337" t="s">
        <v>172</v>
      </c>
      <c r="AL59" s="337"/>
      <c r="AN59" s="337" t="s">
        <v>681</v>
      </c>
      <c r="AO59" s="337"/>
    </row>
    <row r="60" spans="1:41" ht="90" x14ac:dyDescent="0.25">
      <c r="A60" s="6" t="s">
        <v>2</v>
      </c>
      <c r="B60" s="7" t="s">
        <v>3</v>
      </c>
      <c r="C60" s="245" t="s">
        <v>688</v>
      </c>
      <c r="D60" s="7" t="s">
        <v>4</v>
      </c>
      <c r="E60" s="6" t="s">
        <v>5</v>
      </c>
      <c r="F60" s="6" t="s">
        <v>6</v>
      </c>
      <c r="G60" s="6" t="s">
        <v>7</v>
      </c>
      <c r="H60" s="6" t="s">
        <v>8</v>
      </c>
      <c r="I60" s="8" t="s">
        <v>9</v>
      </c>
      <c r="J60" s="9" t="s">
        <v>10</v>
      </c>
      <c r="K60" s="8" t="s">
        <v>11</v>
      </c>
      <c r="L60" s="10" t="s">
        <v>12</v>
      </c>
      <c r="M60" s="10" t="s">
        <v>13</v>
      </c>
      <c r="N60" s="11" t="s">
        <v>14</v>
      </c>
      <c r="O60" s="10" t="s">
        <v>691</v>
      </c>
      <c r="P60" s="10" t="s">
        <v>28</v>
      </c>
      <c r="Q60" s="5"/>
      <c r="R60" s="10" t="s">
        <v>16</v>
      </c>
      <c r="S60" s="10" t="s">
        <v>17</v>
      </c>
      <c r="T60" s="10" t="s">
        <v>18</v>
      </c>
      <c r="U60" s="10" t="s">
        <v>19</v>
      </c>
      <c r="V60" s="10" t="s">
        <v>20</v>
      </c>
      <c r="W60" s="13"/>
      <c r="X60" s="15" t="s">
        <v>23</v>
      </c>
      <c r="Y60" s="5"/>
      <c r="AA60" s="251" t="s">
        <v>2554</v>
      </c>
      <c r="AC60">
        <v>4</v>
      </c>
      <c r="AD60" s="16" t="s">
        <v>161</v>
      </c>
      <c r="AE60" s="58">
        <f>+AC60*10</f>
        <v>40</v>
      </c>
      <c r="AG60">
        <v>5</v>
      </c>
      <c r="AH60" s="16" t="s">
        <v>161</v>
      </c>
      <c r="AI60" s="58">
        <f>+AG60*10</f>
        <v>50</v>
      </c>
      <c r="AK60" s="61" t="s">
        <v>173</v>
      </c>
      <c r="AL60" s="62" t="s">
        <v>174</v>
      </c>
      <c r="AN60" s="16" t="s">
        <v>161</v>
      </c>
      <c r="AO60" s="58">
        <f>+AM60*10</f>
        <v>0</v>
      </c>
    </row>
    <row r="61" spans="1:41" x14ac:dyDescent="0.25">
      <c r="A61" s="16">
        <v>1</v>
      </c>
      <c r="B61" s="92">
        <v>45280</v>
      </c>
      <c r="C61" s="23"/>
      <c r="D61" s="31"/>
      <c r="E61" s="32"/>
      <c r="F61" s="32"/>
      <c r="G61" s="39"/>
      <c r="H61" s="39"/>
      <c r="I61" s="122"/>
      <c r="J61" s="32"/>
      <c r="K61" s="20">
        <v>10</v>
      </c>
      <c r="L61" s="21"/>
      <c r="M61" s="21">
        <f t="shared" ref="M61:M79" si="8">+J61+K61</f>
        <v>10</v>
      </c>
      <c r="N61" s="21">
        <f t="shared" ref="N61:N79" si="9">+I61-M61</f>
        <v>-10</v>
      </c>
      <c r="O61" s="21"/>
      <c r="P61" s="21"/>
      <c r="Q61" s="5"/>
      <c r="R61" s="21"/>
      <c r="S61" s="16"/>
      <c r="T61" s="21">
        <f t="shared" ref="T61:T79" si="10">+R61+S61</f>
        <v>0</v>
      </c>
      <c r="U61" s="21"/>
      <c r="V61" s="78">
        <f>+U61-T61+O61+P61</f>
        <v>0</v>
      </c>
      <c r="W61" s="13"/>
      <c r="X61" s="333"/>
      <c r="Y61" s="5"/>
      <c r="AC61">
        <v>31.5</v>
      </c>
      <c r="AD61" s="59" t="s">
        <v>162</v>
      </c>
      <c r="AE61" s="18">
        <f>+AC61*1</f>
        <v>31.5</v>
      </c>
      <c r="AG61">
        <v>56</v>
      </c>
      <c r="AH61" s="59" t="s">
        <v>162</v>
      </c>
      <c r="AI61" s="18">
        <f>+AG61*1</f>
        <v>56</v>
      </c>
      <c r="AK61" s="16">
        <v>222</v>
      </c>
      <c r="AL61" s="16"/>
      <c r="AN61" s="59" t="s">
        <v>162</v>
      </c>
      <c r="AO61" s="18">
        <f>+AM61*1</f>
        <v>0</v>
      </c>
    </row>
    <row r="62" spans="1:41" x14ac:dyDescent="0.25">
      <c r="A62" s="26">
        <v>2</v>
      </c>
      <c r="B62" s="92">
        <v>45280</v>
      </c>
      <c r="C62" s="23"/>
      <c r="D62" s="31"/>
      <c r="E62" s="32"/>
      <c r="F62" s="32"/>
      <c r="G62" s="32"/>
      <c r="H62" s="39"/>
      <c r="I62" s="122"/>
      <c r="J62" s="32"/>
      <c r="K62" s="20">
        <v>10</v>
      </c>
      <c r="L62" s="21"/>
      <c r="M62" s="21">
        <f t="shared" si="8"/>
        <v>10</v>
      </c>
      <c r="N62" s="21">
        <f t="shared" si="9"/>
        <v>-10</v>
      </c>
      <c r="O62" s="21"/>
      <c r="P62" s="21"/>
      <c r="Q62" s="5"/>
      <c r="R62" s="21"/>
      <c r="S62" s="16"/>
      <c r="T62" s="21">
        <f t="shared" si="10"/>
        <v>0</v>
      </c>
      <c r="U62" s="21"/>
      <c r="V62" s="78">
        <f t="shared" ref="V62:V79" si="11">+U62-T62+O62+P62</f>
        <v>0</v>
      </c>
      <c r="W62" s="140"/>
      <c r="X62" s="334"/>
      <c r="Y62" s="5"/>
      <c r="AC62">
        <v>29</v>
      </c>
      <c r="AD62" s="16" t="s">
        <v>163</v>
      </c>
      <c r="AE62" s="60">
        <f>+AC62*5</f>
        <v>145</v>
      </c>
      <c r="AG62">
        <v>14</v>
      </c>
      <c r="AH62" s="16" t="s">
        <v>163</v>
      </c>
      <c r="AI62" s="60">
        <f>+AG62*5</f>
        <v>70</v>
      </c>
      <c r="AK62" s="16"/>
      <c r="AL62" s="16"/>
      <c r="AN62" s="16" t="s">
        <v>163</v>
      </c>
      <c r="AO62" s="60">
        <f>+AM62*5</f>
        <v>0</v>
      </c>
    </row>
    <row r="63" spans="1:41" x14ac:dyDescent="0.25">
      <c r="A63" s="143">
        <v>3</v>
      </c>
      <c r="B63" s="92">
        <v>45280</v>
      </c>
      <c r="C63" s="23"/>
      <c r="D63" s="31"/>
      <c r="E63" s="32"/>
      <c r="F63" s="32"/>
      <c r="G63" s="32"/>
      <c r="H63" s="39"/>
      <c r="I63" s="122"/>
      <c r="J63" s="32"/>
      <c r="K63" s="20">
        <v>10</v>
      </c>
      <c r="L63" s="21"/>
      <c r="M63" s="21">
        <f t="shared" si="8"/>
        <v>10</v>
      </c>
      <c r="N63" s="21">
        <f t="shared" si="9"/>
        <v>-10</v>
      </c>
      <c r="O63" s="21"/>
      <c r="P63" s="21"/>
      <c r="Q63" s="5"/>
      <c r="R63" s="21"/>
      <c r="S63" s="16"/>
      <c r="T63" s="21">
        <f t="shared" si="10"/>
        <v>0</v>
      </c>
      <c r="U63" s="21"/>
      <c r="V63" s="78">
        <f t="shared" si="11"/>
        <v>0</v>
      </c>
      <c r="W63" s="140"/>
      <c r="X63" s="334"/>
      <c r="Y63" s="5"/>
      <c r="AD63" s="16" t="s">
        <v>164</v>
      </c>
      <c r="AE63" s="18">
        <f>+AC63*200</f>
        <v>0</v>
      </c>
      <c r="AH63" s="16" t="s">
        <v>164</v>
      </c>
      <c r="AI63" s="18">
        <f>+AG63*200</f>
        <v>0</v>
      </c>
      <c r="AK63" s="16"/>
      <c r="AL63" s="16"/>
      <c r="AN63" s="16" t="s">
        <v>164</v>
      </c>
      <c r="AO63" s="18">
        <f>+AM63*200</f>
        <v>0</v>
      </c>
    </row>
    <row r="64" spans="1:41" x14ac:dyDescent="0.25">
      <c r="A64" s="143">
        <v>4</v>
      </c>
      <c r="B64" s="92">
        <v>45280</v>
      </c>
      <c r="C64" s="23"/>
      <c r="D64" s="31"/>
      <c r="E64" s="32"/>
      <c r="F64" s="32"/>
      <c r="G64" s="32"/>
      <c r="H64" s="39"/>
      <c r="I64" s="122"/>
      <c r="J64" s="32"/>
      <c r="K64" s="20">
        <v>10</v>
      </c>
      <c r="L64" s="21"/>
      <c r="M64" s="21">
        <f t="shared" si="8"/>
        <v>10</v>
      </c>
      <c r="N64" s="21">
        <f t="shared" si="9"/>
        <v>-10</v>
      </c>
      <c r="O64" s="21"/>
      <c r="P64" s="21"/>
      <c r="Q64" s="5"/>
      <c r="R64" s="21"/>
      <c r="S64" s="16"/>
      <c r="T64" s="21">
        <f t="shared" si="10"/>
        <v>0</v>
      </c>
      <c r="U64" s="21"/>
      <c r="V64" s="78">
        <f t="shared" si="11"/>
        <v>0</v>
      </c>
      <c r="W64" s="140"/>
      <c r="X64" s="334"/>
      <c r="Y64" s="5"/>
      <c r="AD64" s="16" t="s">
        <v>165</v>
      </c>
      <c r="AE64" s="18">
        <f>+AC64*100</f>
        <v>0</v>
      </c>
      <c r="AH64" s="16" t="s">
        <v>165</v>
      </c>
      <c r="AI64" s="18">
        <f>+AG64*100</f>
        <v>0</v>
      </c>
      <c r="AK64" s="16"/>
      <c r="AL64" s="16"/>
      <c r="AN64" s="16" t="s">
        <v>165</v>
      </c>
      <c r="AO64" s="18">
        <f>+AM64*100</f>
        <v>0</v>
      </c>
    </row>
    <row r="65" spans="1:41" x14ac:dyDescent="0.25">
      <c r="A65" s="143">
        <v>5</v>
      </c>
      <c r="B65" s="92">
        <v>45280</v>
      </c>
      <c r="C65" s="23"/>
      <c r="D65" s="31"/>
      <c r="E65" s="32"/>
      <c r="F65" s="32"/>
      <c r="G65" s="32"/>
      <c r="H65" s="32"/>
      <c r="I65" s="122"/>
      <c r="J65" s="32"/>
      <c r="K65" s="20">
        <v>10</v>
      </c>
      <c r="L65" s="21"/>
      <c r="M65" s="21">
        <f t="shared" si="8"/>
        <v>10</v>
      </c>
      <c r="N65" s="21">
        <f t="shared" si="9"/>
        <v>-10</v>
      </c>
      <c r="O65" s="21"/>
      <c r="P65" s="21"/>
      <c r="Q65" s="5"/>
      <c r="R65" s="16"/>
      <c r="S65" s="16"/>
      <c r="T65" s="21">
        <f t="shared" si="10"/>
        <v>0</v>
      </c>
      <c r="U65" s="21"/>
      <c r="V65" s="78">
        <f t="shared" si="11"/>
        <v>0</v>
      </c>
      <c r="W65" s="140"/>
      <c r="X65" s="334"/>
      <c r="Y65" s="5"/>
      <c r="AC65">
        <v>3</v>
      </c>
      <c r="AD65" s="16" t="s">
        <v>166</v>
      </c>
      <c r="AE65" s="18">
        <f>+AC65*50</f>
        <v>150</v>
      </c>
      <c r="AG65">
        <v>3</v>
      </c>
      <c r="AH65" s="16" t="s">
        <v>166</v>
      </c>
      <c r="AI65" s="18">
        <f>+AG65*50</f>
        <v>150</v>
      </c>
      <c r="AK65" s="16"/>
      <c r="AL65" s="16"/>
      <c r="AN65" s="16" t="s">
        <v>166</v>
      </c>
      <c r="AO65" s="18">
        <f>+AM65*50</f>
        <v>0</v>
      </c>
    </row>
    <row r="66" spans="1:41" x14ac:dyDescent="0.25">
      <c r="A66" s="143">
        <v>6</v>
      </c>
      <c r="B66" s="92">
        <v>45280</v>
      </c>
      <c r="C66" s="23"/>
      <c r="D66" s="31"/>
      <c r="E66" s="32"/>
      <c r="F66" s="32"/>
      <c r="G66" s="32"/>
      <c r="H66" s="39"/>
      <c r="I66" s="39"/>
      <c r="J66" s="42"/>
      <c r="K66" s="20">
        <v>10</v>
      </c>
      <c r="L66" s="21"/>
      <c r="M66" s="21">
        <f t="shared" si="8"/>
        <v>10</v>
      </c>
      <c r="N66" s="21">
        <f t="shared" si="9"/>
        <v>-10</v>
      </c>
      <c r="O66" s="21"/>
      <c r="P66" s="21"/>
      <c r="Q66" s="5"/>
      <c r="R66" s="16"/>
      <c r="S66" s="16"/>
      <c r="T66" s="21">
        <f t="shared" si="10"/>
        <v>0</v>
      </c>
      <c r="U66" s="16"/>
      <c r="V66" s="78">
        <f t="shared" si="11"/>
        <v>0</v>
      </c>
      <c r="W66" s="140"/>
      <c r="X66" s="334"/>
      <c r="Y66" s="5"/>
      <c r="AC66">
        <v>4</v>
      </c>
      <c r="AD66" s="16" t="s">
        <v>167</v>
      </c>
      <c r="AE66" s="18">
        <f>+AC66*20</f>
        <v>80</v>
      </c>
      <c r="AG66">
        <v>1</v>
      </c>
      <c r="AH66" s="16" t="s">
        <v>167</v>
      </c>
      <c r="AI66" s="18">
        <f>+AG66*20</f>
        <v>20</v>
      </c>
      <c r="AK66" s="16"/>
      <c r="AL66" s="16"/>
      <c r="AN66" s="16" t="s">
        <v>167</v>
      </c>
      <c r="AO66" s="18">
        <f>+AM66*20</f>
        <v>0</v>
      </c>
    </row>
    <row r="67" spans="1:41" x14ac:dyDescent="0.25">
      <c r="A67" s="143">
        <v>7</v>
      </c>
      <c r="B67" s="92">
        <v>45280</v>
      </c>
      <c r="C67" s="23"/>
      <c r="D67" s="31"/>
      <c r="E67" s="32"/>
      <c r="F67" s="32"/>
      <c r="G67" s="32"/>
      <c r="H67" s="39"/>
      <c r="I67" s="122"/>
      <c r="J67" s="42"/>
      <c r="K67" s="20">
        <v>10</v>
      </c>
      <c r="L67" s="21"/>
      <c r="M67" s="21">
        <f t="shared" si="8"/>
        <v>10</v>
      </c>
      <c r="N67" s="21">
        <f t="shared" si="9"/>
        <v>-10</v>
      </c>
      <c r="O67" s="21"/>
      <c r="P67" s="21"/>
      <c r="Q67" s="5"/>
      <c r="R67" s="16"/>
      <c r="S67" s="16"/>
      <c r="T67" s="21">
        <f t="shared" si="10"/>
        <v>0</v>
      </c>
      <c r="U67" s="16"/>
      <c r="V67" s="78">
        <f t="shared" si="11"/>
        <v>0</v>
      </c>
      <c r="W67" s="140"/>
      <c r="X67" s="334"/>
      <c r="Y67" s="5"/>
      <c r="AD67" s="16" t="s">
        <v>171</v>
      </c>
      <c r="AE67" s="18">
        <f>+AC67*500</f>
        <v>0</v>
      </c>
      <c r="AH67" s="16" t="s">
        <v>171</v>
      </c>
      <c r="AI67" s="18">
        <f>+AG67*500</f>
        <v>0</v>
      </c>
      <c r="AK67" s="16"/>
      <c r="AL67" s="16"/>
      <c r="AN67" s="16" t="s">
        <v>171</v>
      </c>
      <c r="AO67" s="18">
        <f>+AM67*500</f>
        <v>0</v>
      </c>
    </row>
    <row r="68" spans="1:41" x14ac:dyDescent="0.25">
      <c r="A68" s="143">
        <v>8</v>
      </c>
      <c r="B68" s="92">
        <v>45280</v>
      </c>
      <c r="C68" s="23"/>
      <c r="D68" s="289" t="s">
        <v>3582</v>
      </c>
      <c r="E68" s="41"/>
      <c r="F68" s="41"/>
      <c r="G68" s="41"/>
      <c r="H68" s="290"/>
      <c r="I68" s="291"/>
      <c r="J68" s="32"/>
      <c r="K68" s="20">
        <v>10</v>
      </c>
      <c r="L68" s="21"/>
      <c r="M68" s="21">
        <f t="shared" si="8"/>
        <v>10</v>
      </c>
      <c r="N68" s="21">
        <f t="shared" si="9"/>
        <v>-10</v>
      </c>
      <c r="O68" s="21"/>
      <c r="P68" s="21"/>
      <c r="Q68" s="5"/>
      <c r="R68" s="16"/>
      <c r="S68" s="16"/>
      <c r="T68" s="21">
        <f t="shared" si="10"/>
        <v>0</v>
      </c>
      <c r="U68" s="16"/>
      <c r="V68" s="78">
        <f t="shared" si="11"/>
        <v>0</v>
      </c>
      <c r="W68" s="140"/>
      <c r="X68" s="334"/>
      <c r="Y68" s="5"/>
      <c r="AD68" s="16" t="s">
        <v>168</v>
      </c>
      <c r="AE68" s="18">
        <f>+AC68*1000</f>
        <v>0</v>
      </c>
      <c r="AH68" s="16" t="s">
        <v>168</v>
      </c>
      <c r="AI68" s="18">
        <f>+AG68*1000</f>
        <v>0</v>
      </c>
      <c r="AK68" s="16"/>
      <c r="AL68" s="16"/>
      <c r="AN68" s="16" t="s">
        <v>168</v>
      </c>
      <c r="AO68" s="18">
        <f>+AM68*1000</f>
        <v>0</v>
      </c>
    </row>
    <row r="69" spans="1:41" x14ac:dyDescent="0.25">
      <c r="A69" s="143">
        <v>9</v>
      </c>
      <c r="B69" s="92">
        <v>45280</v>
      </c>
      <c r="C69" s="23">
        <v>0.33333333333333331</v>
      </c>
      <c r="D69" s="31" t="s">
        <v>921</v>
      </c>
      <c r="E69" s="32"/>
      <c r="F69" s="32" t="s">
        <v>38</v>
      </c>
      <c r="G69" s="32" t="s">
        <v>3243</v>
      </c>
      <c r="H69" s="32" t="s">
        <v>3583</v>
      </c>
      <c r="I69" s="39">
        <v>83</v>
      </c>
      <c r="J69" s="40">
        <v>70</v>
      </c>
      <c r="K69" s="20">
        <v>13</v>
      </c>
      <c r="L69" s="21"/>
      <c r="M69" s="21">
        <f t="shared" si="8"/>
        <v>83</v>
      </c>
      <c r="N69" s="21">
        <f t="shared" si="9"/>
        <v>0</v>
      </c>
      <c r="O69" s="21"/>
      <c r="P69" s="21"/>
      <c r="Q69" s="5"/>
      <c r="R69" s="16">
        <v>200</v>
      </c>
      <c r="S69" s="16"/>
      <c r="T69" s="21">
        <f t="shared" si="10"/>
        <v>200</v>
      </c>
      <c r="U69" s="16">
        <v>213</v>
      </c>
      <c r="V69" s="78">
        <f t="shared" si="11"/>
        <v>13</v>
      </c>
      <c r="W69" s="140"/>
      <c r="X69" s="334"/>
      <c r="Y69" s="5"/>
      <c r="AD69" s="26"/>
      <c r="AE69" s="58"/>
      <c r="AH69" s="26"/>
      <c r="AI69" s="58"/>
      <c r="AK69" s="16"/>
      <c r="AL69" s="16"/>
      <c r="AN69" s="26"/>
      <c r="AO69" s="58"/>
    </row>
    <row r="70" spans="1:41" x14ac:dyDescent="0.25">
      <c r="A70" s="143">
        <v>10</v>
      </c>
      <c r="B70" s="92">
        <v>45280</v>
      </c>
      <c r="C70" s="23">
        <v>0.34722222222222227</v>
      </c>
      <c r="D70" s="31" t="s">
        <v>3584</v>
      </c>
      <c r="E70" s="32"/>
      <c r="F70" s="32" t="s">
        <v>38</v>
      </c>
      <c r="G70" s="32" t="s">
        <v>26</v>
      </c>
      <c r="H70" s="32" t="s">
        <v>3586</v>
      </c>
      <c r="I70" s="122">
        <v>170</v>
      </c>
      <c r="J70" s="42">
        <v>160</v>
      </c>
      <c r="K70" s="20">
        <v>10</v>
      </c>
      <c r="L70" s="21">
        <v>0</v>
      </c>
      <c r="M70" s="21">
        <f t="shared" si="8"/>
        <v>170</v>
      </c>
      <c r="N70" s="21">
        <v>0</v>
      </c>
      <c r="O70" s="21"/>
      <c r="P70" s="21"/>
      <c r="Q70" s="5"/>
      <c r="R70" s="16">
        <v>300</v>
      </c>
      <c r="S70" s="16"/>
      <c r="T70" s="21">
        <f t="shared" si="10"/>
        <v>300</v>
      </c>
      <c r="U70" s="16">
        <v>310</v>
      </c>
      <c r="V70" s="78">
        <f t="shared" si="11"/>
        <v>10</v>
      </c>
      <c r="W70" s="140"/>
      <c r="X70" s="334"/>
      <c r="Y70" s="5"/>
      <c r="AD70" s="16" t="s">
        <v>169</v>
      </c>
      <c r="AE70" s="18">
        <f>SUM(AE60:AE69)</f>
        <v>446.5</v>
      </c>
      <c r="AH70" s="16" t="s">
        <v>169</v>
      </c>
      <c r="AI70" s="18">
        <f>SUM(AI60:AI69)</f>
        <v>346</v>
      </c>
      <c r="AK70" s="16"/>
      <c r="AL70" s="16"/>
      <c r="AN70" s="16" t="s">
        <v>169</v>
      </c>
      <c r="AO70" s="18"/>
    </row>
    <row r="71" spans="1:41" x14ac:dyDescent="0.25">
      <c r="A71" s="143">
        <v>11</v>
      </c>
      <c r="B71" s="92">
        <v>45280</v>
      </c>
      <c r="C71" s="23">
        <v>0.3743055555555555</v>
      </c>
      <c r="D71" s="31" t="s">
        <v>37</v>
      </c>
      <c r="E71" s="124"/>
      <c r="F71" s="123" t="s">
        <v>52</v>
      </c>
      <c r="G71" s="32" t="s">
        <v>1004</v>
      </c>
      <c r="H71" s="32" t="s">
        <v>3585</v>
      </c>
      <c r="I71" s="122">
        <v>165</v>
      </c>
      <c r="J71" s="42">
        <v>140</v>
      </c>
      <c r="K71" s="20">
        <v>10</v>
      </c>
      <c r="L71" s="21">
        <v>15</v>
      </c>
      <c r="M71" s="21">
        <f t="shared" si="8"/>
        <v>150</v>
      </c>
      <c r="N71" s="21">
        <v>0</v>
      </c>
      <c r="O71" s="21"/>
      <c r="P71" s="21"/>
      <c r="Q71" s="5"/>
      <c r="R71" s="16">
        <v>200</v>
      </c>
      <c r="S71" s="16"/>
      <c r="T71" s="21">
        <f t="shared" si="10"/>
        <v>200</v>
      </c>
      <c r="U71" s="16">
        <v>215</v>
      </c>
      <c r="V71" s="78">
        <f t="shared" si="11"/>
        <v>15</v>
      </c>
      <c r="W71" s="140"/>
      <c r="X71" s="334"/>
      <c r="Y71" s="5"/>
      <c r="AE71">
        <v>446.5</v>
      </c>
      <c r="AI71" s="83">
        <f>AI70+AL72</f>
        <v>568</v>
      </c>
      <c r="AK71" s="16"/>
      <c r="AL71" s="16"/>
      <c r="AN71" s="16"/>
      <c r="AO71" s="16"/>
    </row>
    <row r="72" spans="1:41" x14ac:dyDescent="0.25">
      <c r="A72" s="143">
        <v>12</v>
      </c>
      <c r="B72" s="92">
        <v>45280</v>
      </c>
      <c r="C72" s="23">
        <v>0.3888888888888889</v>
      </c>
      <c r="D72" s="32" t="s">
        <v>105</v>
      </c>
      <c r="E72" s="32"/>
      <c r="F72" s="124" t="s">
        <v>52</v>
      </c>
      <c r="G72" s="123" t="s">
        <v>267</v>
      </c>
      <c r="H72" s="123" t="s">
        <v>3587</v>
      </c>
      <c r="I72" s="39">
        <v>190</v>
      </c>
      <c r="J72" s="42">
        <v>169</v>
      </c>
      <c r="K72" s="20">
        <v>17</v>
      </c>
      <c r="L72" s="21">
        <v>0</v>
      </c>
      <c r="M72" s="21">
        <f t="shared" si="8"/>
        <v>186</v>
      </c>
      <c r="N72" s="21">
        <v>0</v>
      </c>
      <c r="O72" s="21"/>
      <c r="P72" s="21"/>
      <c r="Q72" s="5"/>
      <c r="R72" s="45">
        <v>300</v>
      </c>
      <c r="S72" s="44"/>
      <c r="T72" s="21">
        <f t="shared" si="10"/>
        <v>300</v>
      </c>
      <c r="U72" s="45">
        <v>327</v>
      </c>
      <c r="V72" s="78">
        <f t="shared" si="11"/>
        <v>27</v>
      </c>
      <c r="W72" s="140"/>
      <c r="X72" s="334"/>
      <c r="Y72" s="5"/>
      <c r="AK72" s="63" t="s">
        <v>169</v>
      </c>
      <c r="AL72" s="63">
        <f>+SUM(AK61:AK71)-SUM(AL61:AL71)</f>
        <v>222</v>
      </c>
      <c r="AN72" s="63" t="s">
        <v>169</v>
      </c>
      <c r="AO72" s="85">
        <f>+SUM(AN60:AN71)-SUM(AO61:AO71)</f>
        <v>0</v>
      </c>
    </row>
    <row r="73" spans="1:41" x14ac:dyDescent="0.25">
      <c r="A73" s="143">
        <v>13</v>
      </c>
      <c r="B73" s="92">
        <v>45280</v>
      </c>
      <c r="C73" s="23">
        <v>0.40486111111111112</v>
      </c>
      <c r="D73" s="23" t="s">
        <v>627</v>
      </c>
      <c r="E73" s="32"/>
      <c r="F73" s="32" t="s">
        <v>52</v>
      </c>
      <c r="G73" s="32" t="s">
        <v>3241</v>
      </c>
      <c r="H73" s="32" t="s">
        <v>3588</v>
      </c>
      <c r="I73" s="39">
        <v>88</v>
      </c>
      <c r="J73" s="42">
        <v>65</v>
      </c>
      <c r="K73" s="108">
        <v>13</v>
      </c>
      <c r="L73" s="21">
        <v>10</v>
      </c>
      <c r="M73" s="21">
        <f t="shared" si="8"/>
        <v>78</v>
      </c>
      <c r="N73" s="21">
        <f t="shared" si="9"/>
        <v>10</v>
      </c>
      <c r="O73" s="21"/>
      <c r="P73" s="21"/>
      <c r="Q73" s="5"/>
      <c r="R73" s="43">
        <v>200</v>
      </c>
      <c r="S73" s="32"/>
      <c r="T73" s="21">
        <f t="shared" si="10"/>
        <v>200</v>
      </c>
      <c r="U73" s="43">
        <v>223</v>
      </c>
      <c r="V73" s="78">
        <f t="shared" si="11"/>
        <v>23</v>
      </c>
      <c r="W73" s="140"/>
      <c r="X73" s="334"/>
      <c r="Y73" s="5"/>
      <c r="AI73" s="83"/>
    </row>
    <row r="74" spans="1:41" x14ac:dyDescent="0.25">
      <c r="A74" s="143">
        <v>14</v>
      </c>
      <c r="B74" s="92">
        <v>45280</v>
      </c>
      <c r="C74" s="23"/>
      <c r="D74" s="31"/>
      <c r="E74" s="32"/>
      <c r="F74" s="32"/>
      <c r="G74" s="32"/>
      <c r="H74" s="39"/>
      <c r="I74" s="39"/>
      <c r="J74" s="42"/>
      <c r="K74" s="108">
        <v>10</v>
      </c>
      <c r="L74" s="21"/>
      <c r="M74" s="21">
        <f t="shared" si="8"/>
        <v>10</v>
      </c>
      <c r="N74" s="21">
        <f t="shared" si="9"/>
        <v>-10</v>
      </c>
      <c r="O74" s="21"/>
      <c r="P74" s="21"/>
      <c r="Q74" s="5"/>
      <c r="R74" s="43"/>
      <c r="S74" s="43"/>
      <c r="T74" s="21">
        <f t="shared" si="10"/>
        <v>0</v>
      </c>
      <c r="U74" s="43"/>
      <c r="V74" s="78">
        <f t="shared" si="11"/>
        <v>0</v>
      </c>
      <c r="W74" s="140"/>
      <c r="X74" s="334"/>
      <c r="Y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1:41" x14ac:dyDescent="0.25">
      <c r="A75" s="143">
        <v>15</v>
      </c>
      <c r="B75" s="92">
        <v>45280</v>
      </c>
      <c r="C75" s="23"/>
      <c r="D75" s="127"/>
      <c r="E75" s="32"/>
      <c r="F75" s="32"/>
      <c r="G75" s="128"/>
      <c r="H75" s="129"/>
      <c r="I75" s="39"/>
      <c r="J75" s="42"/>
      <c r="K75" s="108">
        <v>10</v>
      </c>
      <c r="L75" s="21"/>
      <c r="M75" s="21">
        <f t="shared" si="8"/>
        <v>10</v>
      </c>
      <c r="N75" s="21">
        <f t="shared" si="9"/>
        <v>-10</v>
      </c>
      <c r="O75" s="21"/>
      <c r="P75" s="21"/>
      <c r="Q75" s="5"/>
      <c r="R75" s="43"/>
      <c r="S75" s="43"/>
      <c r="T75" s="21">
        <f t="shared" si="10"/>
        <v>0</v>
      </c>
      <c r="U75" s="43"/>
      <c r="V75" s="78">
        <f t="shared" si="11"/>
        <v>0</v>
      </c>
      <c r="W75" s="140"/>
      <c r="X75" s="334"/>
      <c r="Y75" s="5"/>
      <c r="AD75" s="5"/>
      <c r="AE75" s="134" t="s">
        <v>20</v>
      </c>
      <c r="AF75" s="338"/>
      <c r="AG75" s="341" t="s">
        <v>686</v>
      </c>
      <c r="AH75" s="134" t="s">
        <v>20</v>
      </c>
      <c r="AI75" s="338"/>
      <c r="AJ75" s="341" t="s">
        <v>687</v>
      </c>
      <c r="AK75" s="134" t="s">
        <v>20</v>
      </c>
      <c r="AL75" s="338"/>
      <c r="AM75" s="5"/>
    </row>
    <row r="76" spans="1:41" x14ac:dyDescent="0.25">
      <c r="A76" s="143">
        <v>16</v>
      </c>
      <c r="B76" s="92">
        <v>45280</v>
      </c>
      <c r="C76" s="23"/>
      <c r="D76" s="31"/>
      <c r="E76" s="32"/>
      <c r="F76" s="32"/>
      <c r="G76" s="32"/>
      <c r="H76" s="39"/>
      <c r="I76" s="39"/>
      <c r="J76" s="42"/>
      <c r="K76" s="43">
        <v>10</v>
      </c>
      <c r="L76" s="21"/>
      <c r="M76" s="21">
        <f t="shared" si="8"/>
        <v>10</v>
      </c>
      <c r="N76" s="21">
        <f t="shared" si="9"/>
        <v>-10</v>
      </c>
      <c r="O76" s="21"/>
      <c r="P76" s="21"/>
      <c r="Q76" s="5"/>
      <c r="R76" s="43"/>
      <c r="S76" s="32"/>
      <c r="T76" s="21">
        <f t="shared" si="10"/>
        <v>0</v>
      </c>
      <c r="U76" s="131"/>
      <c r="V76" s="78">
        <f t="shared" si="11"/>
        <v>0</v>
      </c>
      <c r="W76" s="140"/>
      <c r="X76" s="334"/>
      <c r="Y76" s="5"/>
      <c r="AD76" s="5" t="s">
        <v>685</v>
      </c>
      <c r="AE76" s="115" t="s">
        <v>684</v>
      </c>
      <c r="AF76" s="339"/>
      <c r="AG76" s="341"/>
      <c r="AH76" s="115" t="s">
        <v>684</v>
      </c>
      <c r="AI76" s="339"/>
      <c r="AJ76" s="341"/>
      <c r="AK76" s="115" t="s">
        <v>684</v>
      </c>
      <c r="AL76" s="339"/>
      <c r="AM76" s="5"/>
    </row>
    <row r="77" spans="1:41" x14ac:dyDescent="0.25">
      <c r="A77" s="143">
        <v>17</v>
      </c>
      <c r="B77" s="92">
        <v>45280</v>
      </c>
      <c r="C77" s="23"/>
      <c r="D77" s="31"/>
      <c r="E77" s="32"/>
      <c r="F77" s="32"/>
      <c r="G77" s="32"/>
      <c r="H77" s="39"/>
      <c r="I77" s="39"/>
      <c r="J77" s="42"/>
      <c r="K77" s="43">
        <v>10</v>
      </c>
      <c r="L77" s="21"/>
      <c r="M77" s="21">
        <f t="shared" si="8"/>
        <v>10</v>
      </c>
      <c r="N77" s="21">
        <f t="shared" si="9"/>
        <v>-10</v>
      </c>
      <c r="O77" s="21"/>
      <c r="P77" s="21"/>
      <c r="Q77" s="5"/>
      <c r="R77" s="43"/>
      <c r="S77" s="32"/>
      <c r="T77" s="21">
        <f t="shared" si="10"/>
        <v>0</v>
      </c>
      <c r="U77" s="132"/>
      <c r="V77" s="78">
        <f t="shared" si="11"/>
        <v>0</v>
      </c>
      <c r="W77" s="140"/>
      <c r="X77" s="340"/>
      <c r="Y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1:41" x14ac:dyDescent="0.25">
      <c r="A78" s="143">
        <v>18</v>
      </c>
      <c r="B78" s="92">
        <v>45280</v>
      </c>
      <c r="C78" s="32"/>
      <c r="D78" s="31"/>
      <c r="E78" s="32"/>
      <c r="F78" s="32"/>
      <c r="G78" s="32"/>
      <c r="H78" s="39"/>
      <c r="I78" s="39"/>
      <c r="J78" s="42"/>
      <c r="K78" s="43">
        <v>10</v>
      </c>
      <c r="L78" s="21"/>
      <c r="M78" s="21">
        <f t="shared" si="8"/>
        <v>10</v>
      </c>
      <c r="N78" s="21">
        <f t="shared" si="9"/>
        <v>-10</v>
      </c>
      <c r="O78" s="21"/>
      <c r="P78" s="21"/>
      <c r="Q78" s="5"/>
      <c r="R78" s="135"/>
      <c r="S78" s="104"/>
      <c r="T78" s="21">
        <f t="shared" si="10"/>
        <v>0</v>
      </c>
      <c r="U78" s="131"/>
      <c r="V78" s="78">
        <f t="shared" si="11"/>
        <v>0</v>
      </c>
      <c r="W78" s="140"/>
      <c r="Y78" s="5"/>
    </row>
    <row r="79" spans="1:41" x14ac:dyDescent="0.25">
      <c r="A79" s="143">
        <v>19</v>
      </c>
      <c r="B79" s="92">
        <v>45280</v>
      </c>
      <c r="C79" s="32"/>
      <c r="D79" s="31"/>
      <c r="E79" s="32"/>
      <c r="F79" s="32"/>
      <c r="G79" s="32"/>
      <c r="H79" s="39"/>
      <c r="I79" s="39"/>
      <c r="J79" s="42"/>
      <c r="K79" s="43">
        <v>10</v>
      </c>
      <c r="L79" s="21"/>
      <c r="M79" s="21">
        <f t="shared" si="8"/>
        <v>10</v>
      </c>
      <c r="N79" s="21">
        <f t="shared" si="9"/>
        <v>-10</v>
      </c>
      <c r="O79" s="21"/>
      <c r="P79" s="21"/>
      <c r="Q79" s="5"/>
      <c r="R79" s="32"/>
      <c r="S79" s="32"/>
      <c r="T79" s="21">
        <f t="shared" si="10"/>
        <v>0</v>
      </c>
      <c r="U79" s="32"/>
      <c r="V79" s="78">
        <f t="shared" si="11"/>
        <v>0</v>
      </c>
      <c r="W79" s="140"/>
      <c r="Y79" s="5"/>
    </row>
    <row r="80" spans="1:4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141"/>
      <c r="X80" s="5"/>
      <c r="Y80" s="5"/>
    </row>
    <row r="85" spans="1:41" x14ac:dyDescent="0.25">
      <c r="A85" s="1" t="s">
        <v>0</v>
      </c>
      <c r="B85" s="1"/>
      <c r="C85" s="1"/>
      <c r="D85" s="1"/>
      <c r="E85" s="1"/>
      <c r="F85" s="1"/>
      <c r="G85" s="1"/>
      <c r="H85" s="1"/>
      <c r="I85" s="1"/>
      <c r="J85" s="1" t="s">
        <v>148</v>
      </c>
      <c r="K85" s="1"/>
      <c r="L85" s="1"/>
      <c r="M85" s="1"/>
      <c r="N85" s="1"/>
      <c r="O85" s="1"/>
      <c r="P85" s="1"/>
      <c r="Q85" s="1"/>
      <c r="R85" s="1"/>
      <c r="S85" s="1"/>
      <c r="T85" s="342" t="s">
        <v>1</v>
      </c>
      <c r="U85" s="342"/>
      <c r="V85" s="5"/>
      <c r="W85" s="139"/>
      <c r="X85" s="1"/>
      <c r="Y85" s="5"/>
      <c r="AD85" s="335" t="s">
        <v>160</v>
      </c>
      <c r="AE85" s="336"/>
      <c r="AH85" s="335" t="s">
        <v>170</v>
      </c>
      <c r="AI85" s="336"/>
      <c r="AK85" s="337" t="s">
        <v>172</v>
      </c>
      <c r="AL85" s="337"/>
      <c r="AN85" s="337" t="s">
        <v>681</v>
      </c>
      <c r="AO85" s="337"/>
    </row>
    <row r="86" spans="1:41" ht="90" x14ac:dyDescent="0.25">
      <c r="A86" s="6" t="s">
        <v>2</v>
      </c>
      <c r="B86" s="7" t="s">
        <v>3</v>
      </c>
      <c r="C86" s="245" t="s">
        <v>688</v>
      </c>
      <c r="D86" s="7" t="s">
        <v>4</v>
      </c>
      <c r="E86" s="6" t="s">
        <v>5</v>
      </c>
      <c r="F86" s="6" t="s">
        <v>6</v>
      </c>
      <c r="G86" s="6" t="s">
        <v>7</v>
      </c>
      <c r="H86" s="6" t="s">
        <v>8</v>
      </c>
      <c r="I86" s="8" t="s">
        <v>9</v>
      </c>
      <c r="J86" s="9" t="s">
        <v>10</v>
      </c>
      <c r="K86" s="8" t="s">
        <v>11</v>
      </c>
      <c r="L86" s="10" t="s">
        <v>12</v>
      </c>
      <c r="M86" s="10" t="s">
        <v>13</v>
      </c>
      <c r="N86" s="11" t="s">
        <v>14</v>
      </c>
      <c r="O86" s="10" t="s">
        <v>691</v>
      </c>
      <c r="P86" s="10" t="s">
        <v>28</v>
      </c>
      <c r="Q86" s="5"/>
      <c r="R86" s="10" t="s">
        <v>16</v>
      </c>
      <c r="S86" s="10" t="s">
        <v>17</v>
      </c>
      <c r="T86" s="10" t="s">
        <v>18</v>
      </c>
      <c r="U86" s="10" t="s">
        <v>19</v>
      </c>
      <c r="V86" s="10" t="s">
        <v>20</v>
      </c>
      <c r="W86" s="13"/>
      <c r="X86" s="15" t="s">
        <v>23</v>
      </c>
      <c r="Y86" s="5"/>
      <c r="AA86" s="251" t="s">
        <v>2554</v>
      </c>
      <c r="AD86" s="16" t="s">
        <v>161</v>
      </c>
      <c r="AE86" s="58">
        <f>+AC86*10</f>
        <v>0</v>
      </c>
      <c r="AG86">
        <v>16</v>
      </c>
      <c r="AH86" s="16" t="s">
        <v>161</v>
      </c>
      <c r="AI86" s="58">
        <f>+AG86*10</f>
        <v>160</v>
      </c>
      <c r="AK86" s="61" t="s">
        <v>173</v>
      </c>
      <c r="AL86" s="62" t="s">
        <v>174</v>
      </c>
      <c r="AN86" s="16" t="s">
        <v>161</v>
      </c>
      <c r="AO86" s="58">
        <f>+AM86*10</f>
        <v>0</v>
      </c>
    </row>
    <row r="87" spans="1:41" x14ac:dyDescent="0.25">
      <c r="A87" s="16">
        <v>1</v>
      </c>
      <c r="B87" s="92">
        <v>45281</v>
      </c>
      <c r="C87" s="23"/>
      <c r="D87" s="31" t="s">
        <v>2654</v>
      </c>
      <c r="E87" s="32">
        <v>7029645125</v>
      </c>
      <c r="F87" s="32" t="s">
        <v>114</v>
      </c>
      <c r="G87" s="39" t="s">
        <v>3600</v>
      </c>
      <c r="H87" s="39" t="s">
        <v>3592</v>
      </c>
      <c r="I87" s="122"/>
      <c r="J87" s="32">
        <v>260</v>
      </c>
      <c r="K87" s="20">
        <v>10</v>
      </c>
      <c r="L87" s="21">
        <v>10</v>
      </c>
      <c r="M87" s="21">
        <f t="shared" ref="M87:M105" si="12">+J87+K87</f>
        <v>270</v>
      </c>
      <c r="N87" s="21">
        <f t="shared" ref="N87:N105" si="13">+I87-M87</f>
        <v>-270</v>
      </c>
      <c r="O87" s="21"/>
      <c r="P87" s="21"/>
      <c r="Q87" s="5"/>
      <c r="R87" s="21">
        <v>250</v>
      </c>
      <c r="S87" s="16"/>
      <c r="T87" s="21">
        <f t="shared" ref="T87:T105" si="14">+R87+S87</f>
        <v>250</v>
      </c>
      <c r="U87" s="21">
        <v>270</v>
      </c>
      <c r="V87" s="78">
        <f>+U87-T87+O87+P87</f>
        <v>20</v>
      </c>
      <c r="W87" s="13"/>
      <c r="X87" s="333"/>
      <c r="Y87" s="5"/>
      <c r="AC87">
        <v>61.5</v>
      </c>
      <c r="AD87" s="59" t="s">
        <v>162</v>
      </c>
      <c r="AE87" s="18">
        <f>+AC87*1</f>
        <v>61.5</v>
      </c>
      <c r="AG87">
        <v>70</v>
      </c>
      <c r="AH87" s="59" t="s">
        <v>162</v>
      </c>
      <c r="AI87" s="18">
        <f>+AG87*1</f>
        <v>70</v>
      </c>
      <c r="AK87" s="16"/>
      <c r="AL87" s="16">
        <v>500</v>
      </c>
      <c r="AN87" s="59" t="s">
        <v>162</v>
      </c>
      <c r="AO87" s="18">
        <f>+AM87*1</f>
        <v>0</v>
      </c>
    </row>
    <row r="88" spans="1:41" x14ac:dyDescent="0.25">
      <c r="A88" s="26">
        <v>2</v>
      </c>
      <c r="B88" s="92">
        <v>45281</v>
      </c>
      <c r="C88" s="23"/>
      <c r="D88" s="31" t="s">
        <v>3589</v>
      </c>
      <c r="E88" s="32"/>
      <c r="F88" s="32" t="s">
        <v>2535</v>
      </c>
      <c r="G88" s="32" t="s">
        <v>3601</v>
      </c>
      <c r="H88" s="39" t="s">
        <v>3590</v>
      </c>
      <c r="I88" s="122"/>
      <c r="J88" s="32">
        <v>80</v>
      </c>
      <c r="K88" s="20">
        <v>20</v>
      </c>
      <c r="L88" s="21"/>
      <c r="M88" s="21">
        <f t="shared" si="12"/>
        <v>100</v>
      </c>
      <c r="N88" s="21">
        <f t="shared" si="13"/>
        <v>-100</v>
      </c>
      <c r="O88" s="21"/>
      <c r="P88" s="21"/>
      <c r="Q88" s="5"/>
      <c r="R88" s="21">
        <v>200</v>
      </c>
      <c r="S88" s="16"/>
      <c r="T88" s="21">
        <f t="shared" si="14"/>
        <v>200</v>
      </c>
      <c r="U88" s="21">
        <v>220</v>
      </c>
      <c r="V88" s="78">
        <f t="shared" ref="V88:V105" si="15">+U88-T88+O88+P88</f>
        <v>20</v>
      </c>
      <c r="W88" s="140"/>
      <c r="X88" s="334"/>
      <c r="Y88" s="5"/>
      <c r="AC88">
        <v>4</v>
      </c>
      <c r="AD88" s="16" t="s">
        <v>163</v>
      </c>
      <c r="AE88" s="60">
        <f>+AC88*5</f>
        <v>20</v>
      </c>
      <c r="AG88">
        <v>12</v>
      </c>
      <c r="AH88" s="16" t="s">
        <v>163</v>
      </c>
      <c r="AI88" s="60">
        <f>+AG88*5</f>
        <v>60</v>
      </c>
      <c r="AK88" s="16"/>
      <c r="AL88" s="16"/>
      <c r="AN88" s="16" t="s">
        <v>163</v>
      </c>
      <c r="AO88" s="60">
        <f>+AM88*5</f>
        <v>0</v>
      </c>
    </row>
    <row r="89" spans="1:41" x14ac:dyDescent="0.25">
      <c r="A89" s="143">
        <v>3</v>
      </c>
      <c r="B89" s="92">
        <v>45281</v>
      </c>
      <c r="C89" s="23"/>
      <c r="D89" s="31" t="s">
        <v>3530</v>
      </c>
      <c r="E89" s="32">
        <v>95312869</v>
      </c>
      <c r="F89" s="32" t="s">
        <v>114</v>
      </c>
      <c r="G89" s="32" t="s">
        <v>740</v>
      </c>
      <c r="H89" s="39" t="s">
        <v>3595</v>
      </c>
      <c r="I89" s="122"/>
      <c r="J89" s="32"/>
      <c r="K89" s="20">
        <v>10</v>
      </c>
      <c r="L89" s="21">
        <v>10</v>
      </c>
      <c r="M89" s="21">
        <f t="shared" si="12"/>
        <v>10</v>
      </c>
      <c r="N89" s="21">
        <f t="shared" si="13"/>
        <v>-10</v>
      </c>
      <c r="O89" s="21"/>
      <c r="P89" s="21"/>
      <c r="Q89" s="5"/>
      <c r="R89" s="21">
        <v>400</v>
      </c>
      <c r="S89" s="16"/>
      <c r="T89" s="21">
        <f t="shared" si="14"/>
        <v>400</v>
      </c>
      <c r="U89" s="21">
        <v>420</v>
      </c>
      <c r="V89" s="78">
        <f t="shared" si="15"/>
        <v>20</v>
      </c>
      <c r="W89" s="140"/>
      <c r="X89" s="334"/>
      <c r="Y89" s="5"/>
      <c r="AC89">
        <v>1</v>
      </c>
      <c r="AD89" s="16" t="s">
        <v>164</v>
      </c>
      <c r="AE89" s="18">
        <f>+AC89*200</f>
        <v>200</v>
      </c>
      <c r="AH89" s="16" t="s">
        <v>164</v>
      </c>
      <c r="AI89" s="18">
        <f>+AG89*200</f>
        <v>0</v>
      </c>
      <c r="AK89" s="16"/>
      <c r="AL89" s="16"/>
      <c r="AN89" s="16" t="s">
        <v>164</v>
      </c>
      <c r="AO89" s="18">
        <f>+AM89*200</f>
        <v>0</v>
      </c>
    </row>
    <row r="90" spans="1:41" x14ac:dyDescent="0.25">
      <c r="A90" s="143">
        <v>4</v>
      </c>
      <c r="B90" s="92">
        <v>45281</v>
      </c>
      <c r="C90" s="23"/>
      <c r="D90" s="31" t="s">
        <v>3297</v>
      </c>
      <c r="E90" s="32"/>
      <c r="F90" s="32" t="s">
        <v>3591</v>
      </c>
      <c r="G90" s="32" t="s">
        <v>1806</v>
      </c>
      <c r="H90" s="39" t="s">
        <v>3594</v>
      </c>
      <c r="I90" s="122"/>
      <c r="J90" s="32">
        <v>170</v>
      </c>
      <c r="K90" s="20">
        <v>40</v>
      </c>
      <c r="L90" s="21"/>
      <c r="M90" s="21">
        <f t="shared" si="12"/>
        <v>210</v>
      </c>
      <c r="N90" s="21">
        <f t="shared" si="13"/>
        <v>-210</v>
      </c>
      <c r="O90" s="21"/>
      <c r="P90" s="21"/>
      <c r="Q90" s="5"/>
      <c r="R90" s="21">
        <v>550</v>
      </c>
      <c r="S90" s="16"/>
      <c r="T90" s="21">
        <f t="shared" si="14"/>
        <v>550</v>
      </c>
      <c r="U90" s="21">
        <v>590</v>
      </c>
      <c r="V90" s="78">
        <f t="shared" si="15"/>
        <v>40</v>
      </c>
      <c r="W90" s="140"/>
      <c r="X90" s="334"/>
      <c r="Y90" s="5"/>
      <c r="AD90" s="16" t="s">
        <v>165</v>
      </c>
      <c r="AE90" s="18">
        <f>+AC90*100</f>
        <v>0</v>
      </c>
      <c r="AG90">
        <v>1</v>
      </c>
      <c r="AH90" s="16" t="s">
        <v>165</v>
      </c>
      <c r="AI90" s="18">
        <f>+AG90*100</f>
        <v>100</v>
      </c>
      <c r="AK90" s="16"/>
      <c r="AL90" s="16"/>
      <c r="AN90" s="16" t="s">
        <v>165</v>
      </c>
      <c r="AO90" s="18">
        <f>+AM90*100</f>
        <v>0</v>
      </c>
    </row>
    <row r="91" spans="1:41" x14ac:dyDescent="0.25">
      <c r="A91" s="143">
        <v>5</v>
      </c>
      <c r="B91" s="92">
        <v>45281</v>
      </c>
      <c r="C91" s="23"/>
      <c r="D91" s="31" t="s">
        <v>3297</v>
      </c>
      <c r="E91" s="32"/>
      <c r="F91" s="32" t="s">
        <v>1997</v>
      </c>
      <c r="G91" s="32" t="s">
        <v>1806</v>
      </c>
      <c r="H91" s="39" t="s">
        <v>3593</v>
      </c>
      <c r="I91" s="122"/>
      <c r="J91" s="32">
        <v>490</v>
      </c>
      <c r="K91" s="20">
        <v>40</v>
      </c>
      <c r="L91" s="21"/>
      <c r="M91" s="21">
        <f t="shared" si="12"/>
        <v>530</v>
      </c>
      <c r="N91" s="21">
        <f t="shared" si="13"/>
        <v>-530</v>
      </c>
      <c r="O91" s="21"/>
      <c r="P91" s="21"/>
      <c r="Q91" s="5"/>
      <c r="R91" s="16">
        <v>500</v>
      </c>
      <c r="S91" s="16"/>
      <c r="T91" s="21">
        <f t="shared" si="14"/>
        <v>500</v>
      </c>
      <c r="U91" s="21">
        <v>540</v>
      </c>
      <c r="V91" s="78">
        <f t="shared" si="15"/>
        <v>40</v>
      </c>
      <c r="W91" s="140"/>
      <c r="X91" s="334"/>
      <c r="Y91" s="5"/>
      <c r="AC91">
        <v>1</v>
      </c>
      <c r="AD91" s="16" t="s">
        <v>166</v>
      </c>
      <c r="AE91" s="18">
        <f>+AC91*50</f>
        <v>50</v>
      </c>
      <c r="AG91">
        <v>3</v>
      </c>
      <c r="AH91" s="16" t="s">
        <v>166</v>
      </c>
      <c r="AI91" s="18">
        <f>+AG91*50</f>
        <v>150</v>
      </c>
      <c r="AK91" s="16"/>
      <c r="AL91" s="16"/>
      <c r="AN91" s="16" t="s">
        <v>166</v>
      </c>
      <c r="AO91" s="18">
        <f>+AM91*50</f>
        <v>0</v>
      </c>
    </row>
    <row r="92" spans="1:41" x14ac:dyDescent="0.25">
      <c r="A92" s="143">
        <v>6</v>
      </c>
      <c r="B92" s="92">
        <v>45281</v>
      </c>
      <c r="C92" s="23"/>
      <c r="D92" s="31" t="s">
        <v>1866</v>
      </c>
      <c r="E92" s="32">
        <v>5620167396</v>
      </c>
      <c r="F92" s="32" t="s">
        <v>52</v>
      </c>
      <c r="G92" s="32" t="s">
        <v>3019</v>
      </c>
      <c r="H92" s="39" t="s">
        <v>3596</v>
      </c>
      <c r="I92" s="39">
        <v>110</v>
      </c>
      <c r="J92" s="42">
        <v>100</v>
      </c>
      <c r="K92" s="20">
        <v>10</v>
      </c>
      <c r="L92" s="21"/>
      <c r="M92" s="21">
        <f t="shared" si="12"/>
        <v>110</v>
      </c>
      <c r="N92" s="21">
        <f t="shared" si="13"/>
        <v>0</v>
      </c>
      <c r="O92" s="21">
        <v>110</v>
      </c>
      <c r="P92" s="21"/>
      <c r="Q92" s="5"/>
      <c r="R92" s="16"/>
      <c r="S92" s="16"/>
      <c r="T92" s="21">
        <f t="shared" si="14"/>
        <v>0</v>
      </c>
      <c r="U92" s="16"/>
      <c r="V92" s="78">
        <f t="shared" si="15"/>
        <v>110</v>
      </c>
      <c r="W92" s="140"/>
      <c r="X92" s="334"/>
      <c r="Y92" s="5"/>
      <c r="AC92">
        <v>1</v>
      </c>
      <c r="AD92" s="16" t="s">
        <v>167</v>
      </c>
      <c r="AE92" s="18">
        <f>+AC92*20</f>
        <v>20</v>
      </c>
      <c r="AG92">
        <v>9</v>
      </c>
      <c r="AH92" s="16" t="s">
        <v>167</v>
      </c>
      <c r="AI92" s="18">
        <f>+AG92*20</f>
        <v>180</v>
      </c>
      <c r="AK92" s="16"/>
      <c r="AL92" s="16"/>
      <c r="AN92" s="16" t="s">
        <v>167</v>
      </c>
      <c r="AO92" s="18">
        <f>+AM92*20</f>
        <v>0</v>
      </c>
    </row>
    <row r="93" spans="1:41" x14ac:dyDescent="0.25">
      <c r="A93" s="143">
        <v>7</v>
      </c>
      <c r="B93" s="92">
        <v>45281</v>
      </c>
      <c r="C93" s="23"/>
      <c r="D93" s="31" t="s">
        <v>3597</v>
      </c>
      <c r="E93" s="32">
        <v>5513650898</v>
      </c>
      <c r="F93" s="32"/>
      <c r="G93" s="32" t="s">
        <v>267</v>
      </c>
      <c r="H93" s="39"/>
      <c r="I93" s="122">
        <v>250</v>
      </c>
      <c r="J93" s="42">
        <v>250</v>
      </c>
      <c r="K93" s="20">
        <v>0</v>
      </c>
      <c r="L93" s="21"/>
      <c r="M93" s="21">
        <f t="shared" si="12"/>
        <v>250</v>
      </c>
      <c r="N93" s="21">
        <f t="shared" si="13"/>
        <v>0</v>
      </c>
      <c r="O93" s="21">
        <v>250</v>
      </c>
      <c r="P93" s="21"/>
      <c r="Q93" s="5"/>
      <c r="R93" s="16"/>
      <c r="S93" s="16"/>
      <c r="T93" s="21">
        <f t="shared" si="14"/>
        <v>0</v>
      </c>
      <c r="U93" s="16"/>
      <c r="V93" s="78">
        <f t="shared" si="15"/>
        <v>250</v>
      </c>
      <c r="W93" s="140"/>
      <c r="X93" s="334"/>
      <c r="Y93" s="5"/>
      <c r="AC93">
        <v>1</v>
      </c>
      <c r="AD93" s="16" t="s">
        <v>171</v>
      </c>
      <c r="AE93" s="18">
        <f>+AC93*500</f>
        <v>500</v>
      </c>
      <c r="AH93" s="16" t="s">
        <v>171</v>
      </c>
      <c r="AI93" s="18">
        <f>+AG93*500</f>
        <v>0</v>
      </c>
      <c r="AK93" s="16"/>
      <c r="AL93" s="16"/>
      <c r="AN93" s="16" t="s">
        <v>171</v>
      </c>
      <c r="AO93" s="18">
        <f>+AM93*500</f>
        <v>0</v>
      </c>
    </row>
    <row r="94" spans="1:41" x14ac:dyDescent="0.25">
      <c r="A94" s="143">
        <v>8</v>
      </c>
      <c r="B94" s="92">
        <v>45281</v>
      </c>
      <c r="C94" s="23"/>
      <c r="D94" s="31" t="s">
        <v>3598</v>
      </c>
      <c r="E94" s="123">
        <v>5543322678</v>
      </c>
      <c r="F94" s="123" t="s">
        <v>52</v>
      </c>
      <c r="G94" s="123" t="s">
        <v>61</v>
      </c>
      <c r="H94" s="39" t="s">
        <v>3599</v>
      </c>
      <c r="I94" s="122">
        <v>60</v>
      </c>
      <c r="J94" s="32">
        <v>45</v>
      </c>
      <c r="K94" s="20">
        <v>10</v>
      </c>
      <c r="L94" s="21"/>
      <c r="M94" s="21">
        <f t="shared" si="12"/>
        <v>55</v>
      </c>
      <c r="N94" s="21">
        <f t="shared" si="13"/>
        <v>5</v>
      </c>
      <c r="O94" s="21"/>
      <c r="P94" s="21"/>
      <c r="Q94" s="5"/>
      <c r="R94" s="16"/>
      <c r="S94" s="16"/>
      <c r="T94" s="21">
        <f t="shared" si="14"/>
        <v>0</v>
      </c>
      <c r="U94" s="16"/>
      <c r="V94" s="78">
        <f t="shared" si="15"/>
        <v>0</v>
      </c>
      <c r="W94" s="140"/>
      <c r="X94" s="334"/>
      <c r="Y94" s="5"/>
      <c r="AD94" s="16" t="s">
        <v>168</v>
      </c>
      <c r="AE94" s="18">
        <f>+AC94*1000</f>
        <v>0</v>
      </c>
      <c r="AH94" s="16" t="s">
        <v>168</v>
      </c>
      <c r="AI94" s="18">
        <f>+AG94*1000</f>
        <v>0</v>
      </c>
      <c r="AK94" s="16"/>
      <c r="AL94" s="16"/>
      <c r="AN94" s="16" t="s">
        <v>168</v>
      </c>
      <c r="AO94" s="18">
        <f>+AM94*1000</f>
        <v>0</v>
      </c>
    </row>
    <row r="95" spans="1:41" x14ac:dyDescent="0.25">
      <c r="A95" s="143">
        <v>9</v>
      </c>
      <c r="B95" s="92">
        <v>45281</v>
      </c>
      <c r="C95" s="23"/>
      <c r="D95" s="31"/>
      <c r="E95" s="32"/>
      <c r="F95" s="32"/>
      <c r="G95" s="32"/>
      <c r="H95" s="39"/>
      <c r="I95" s="39"/>
      <c r="J95" s="40"/>
      <c r="K95" s="20">
        <v>10</v>
      </c>
      <c r="L95" s="21"/>
      <c r="M95" s="21">
        <f t="shared" si="12"/>
        <v>10</v>
      </c>
      <c r="N95" s="21">
        <f t="shared" si="13"/>
        <v>-10</v>
      </c>
      <c r="O95" s="21"/>
      <c r="P95" s="21"/>
      <c r="Q95" s="5"/>
      <c r="R95" s="16"/>
      <c r="S95" s="16"/>
      <c r="T95" s="21">
        <f t="shared" si="14"/>
        <v>0</v>
      </c>
      <c r="U95" s="16"/>
      <c r="V95" s="78">
        <f t="shared" si="15"/>
        <v>0</v>
      </c>
      <c r="W95" s="140"/>
      <c r="X95" s="334"/>
      <c r="Y95" s="5"/>
      <c r="AD95" s="26"/>
      <c r="AE95" s="58"/>
      <c r="AH95" s="26"/>
      <c r="AI95" s="58"/>
      <c r="AK95" s="16"/>
      <c r="AL95" s="16"/>
      <c r="AN95" s="26"/>
      <c r="AO95" s="58"/>
    </row>
    <row r="96" spans="1:41" x14ac:dyDescent="0.25">
      <c r="A96" s="143">
        <v>10</v>
      </c>
      <c r="B96" s="92">
        <v>45281</v>
      </c>
      <c r="C96" s="23"/>
      <c r="D96" s="31"/>
      <c r="E96" s="32"/>
      <c r="F96" s="32"/>
      <c r="G96" s="32"/>
      <c r="H96" s="39"/>
      <c r="I96" s="122"/>
      <c r="J96" s="42"/>
      <c r="K96" s="20">
        <v>10</v>
      </c>
      <c r="L96" s="21"/>
      <c r="M96" s="21">
        <f t="shared" si="12"/>
        <v>10</v>
      </c>
      <c r="N96" s="21">
        <f t="shared" si="13"/>
        <v>-10</v>
      </c>
      <c r="O96" s="21"/>
      <c r="P96" s="21"/>
      <c r="Q96" s="5"/>
      <c r="R96" s="16"/>
      <c r="S96" s="16"/>
      <c r="T96" s="21">
        <f t="shared" si="14"/>
        <v>0</v>
      </c>
      <c r="U96" s="16"/>
      <c r="V96" s="78">
        <f t="shared" si="15"/>
        <v>0</v>
      </c>
      <c r="W96" s="140"/>
      <c r="X96" s="334"/>
      <c r="Y96" s="5"/>
      <c r="AD96" s="16" t="s">
        <v>169</v>
      </c>
      <c r="AE96" s="18">
        <f>SUM(AE86:AE95)</f>
        <v>851.5</v>
      </c>
      <c r="AH96" s="16" t="s">
        <v>169</v>
      </c>
      <c r="AI96" s="18">
        <f>SUM(AI86:AI95)</f>
        <v>720</v>
      </c>
      <c r="AK96" s="16"/>
      <c r="AL96" s="16"/>
      <c r="AN96" s="16" t="s">
        <v>169</v>
      </c>
      <c r="AO96" s="18"/>
    </row>
    <row r="97" spans="1:41" x14ac:dyDescent="0.25">
      <c r="A97" s="143">
        <v>11</v>
      </c>
      <c r="B97" s="92">
        <v>45281</v>
      </c>
      <c r="C97" s="23"/>
      <c r="D97" s="31"/>
      <c r="E97" s="124"/>
      <c r="F97" s="123"/>
      <c r="G97" s="123"/>
      <c r="H97" s="39"/>
      <c r="I97" s="122"/>
      <c r="J97" s="42"/>
      <c r="K97" s="20">
        <v>10</v>
      </c>
      <c r="L97" s="21"/>
      <c r="M97" s="21">
        <f t="shared" si="12"/>
        <v>10</v>
      </c>
      <c r="N97" s="21">
        <f t="shared" si="13"/>
        <v>-10</v>
      </c>
      <c r="O97" s="21"/>
      <c r="P97" s="21"/>
      <c r="Q97" s="5"/>
      <c r="R97" s="16"/>
      <c r="S97" s="16"/>
      <c r="T97" s="21">
        <f t="shared" si="14"/>
        <v>0</v>
      </c>
      <c r="U97" s="16"/>
      <c r="V97" s="78">
        <f t="shared" si="15"/>
        <v>0</v>
      </c>
      <c r="W97" s="140"/>
      <c r="X97" s="334"/>
      <c r="Y97" s="5"/>
      <c r="AK97" s="16"/>
      <c r="AL97" s="16"/>
      <c r="AN97" s="16"/>
      <c r="AO97" s="16"/>
    </row>
    <row r="98" spans="1:41" x14ac:dyDescent="0.25">
      <c r="A98" s="143">
        <v>12</v>
      </c>
      <c r="B98" s="92">
        <v>45281</v>
      </c>
      <c r="C98" s="23"/>
      <c r="D98" s="32"/>
      <c r="E98" s="32"/>
      <c r="F98" s="124"/>
      <c r="G98" s="123"/>
      <c r="H98" s="39"/>
      <c r="I98" s="39"/>
      <c r="J98" s="42"/>
      <c r="K98" s="20">
        <v>10</v>
      </c>
      <c r="L98" s="21"/>
      <c r="M98" s="21">
        <f t="shared" si="12"/>
        <v>10</v>
      </c>
      <c r="N98" s="21">
        <f t="shared" si="13"/>
        <v>-10</v>
      </c>
      <c r="O98" s="21"/>
      <c r="P98" s="21"/>
      <c r="Q98" s="5"/>
      <c r="R98" s="45"/>
      <c r="S98" s="44"/>
      <c r="T98" s="21">
        <f t="shared" si="14"/>
        <v>0</v>
      </c>
      <c r="U98" s="45"/>
      <c r="V98" s="78">
        <f t="shared" si="15"/>
        <v>0</v>
      </c>
      <c r="W98" s="140"/>
      <c r="X98" s="334"/>
      <c r="Y98" s="5"/>
      <c r="AK98" s="63" t="s">
        <v>169</v>
      </c>
      <c r="AL98" s="63">
        <f>+SUM(AK87:AK97)-SUM(AL87:AL97)</f>
        <v>-500</v>
      </c>
      <c r="AN98" s="63" t="s">
        <v>169</v>
      </c>
      <c r="AO98" s="85">
        <f>+SUM(AN86:AN97)-SUM(AO87:AO97)</f>
        <v>0</v>
      </c>
    </row>
    <row r="99" spans="1:41" x14ac:dyDescent="0.25">
      <c r="A99" s="143">
        <v>13</v>
      </c>
      <c r="B99" s="92">
        <v>45281</v>
      </c>
      <c r="C99" s="23"/>
      <c r="D99" s="31"/>
      <c r="E99" s="32"/>
      <c r="F99" s="32"/>
      <c r="G99" s="32"/>
      <c r="H99" s="39"/>
      <c r="I99" s="39"/>
      <c r="J99" s="42"/>
      <c r="K99" s="108">
        <v>10</v>
      </c>
      <c r="L99" s="21"/>
      <c r="M99" s="21">
        <f t="shared" si="12"/>
        <v>10</v>
      </c>
      <c r="N99" s="21">
        <f t="shared" si="13"/>
        <v>-10</v>
      </c>
      <c r="O99" s="21"/>
      <c r="P99" s="21"/>
      <c r="Q99" s="5"/>
      <c r="R99" s="43"/>
      <c r="S99" s="32"/>
      <c r="T99" s="21">
        <f t="shared" si="14"/>
        <v>0</v>
      </c>
      <c r="U99" s="43"/>
      <c r="V99" s="78">
        <f t="shared" si="15"/>
        <v>0</v>
      </c>
      <c r="W99" s="140"/>
      <c r="X99" s="334"/>
      <c r="Y99" s="5"/>
      <c r="AI99" s="83"/>
    </row>
    <row r="100" spans="1:41" x14ac:dyDescent="0.25">
      <c r="A100" s="143">
        <v>14</v>
      </c>
      <c r="B100" s="92">
        <v>45281</v>
      </c>
      <c r="C100" s="23"/>
      <c r="D100" s="31"/>
      <c r="E100" s="32"/>
      <c r="F100" s="32"/>
      <c r="G100" s="32"/>
      <c r="H100" s="39"/>
      <c r="I100" s="39"/>
      <c r="J100" s="42"/>
      <c r="K100" s="108">
        <v>10</v>
      </c>
      <c r="L100" s="21"/>
      <c r="M100" s="21">
        <f t="shared" si="12"/>
        <v>10</v>
      </c>
      <c r="N100" s="21">
        <f t="shared" si="13"/>
        <v>-10</v>
      </c>
      <c r="O100" s="21"/>
      <c r="P100" s="21"/>
      <c r="Q100" s="5"/>
      <c r="R100" s="43"/>
      <c r="S100" s="43"/>
      <c r="T100" s="21">
        <f t="shared" si="14"/>
        <v>0</v>
      </c>
      <c r="U100" s="43"/>
      <c r="V100" s="78">
        <f t="shared" si="15"/>
        <v>0</v>
      </c>
      <c r="W100" s="140"/>
      <c r="X100" s="334"/>
      <c r="Y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1:41" x14ac:dyDescent="0.25">
      <c r="A101" s="143">
        <v>15</v>
      </c>
      <c r="B101" s="92">
        <v>45281</v>
      </c>
      <c r="C101" s="23"/>
      <c r="D101" s="127"/>
      <c r="E101" s="32"/>
      <c r="F101" s="32"/>
      <c r="G101" s="128"/>
      <c r="H101" s="129"/>
      <c r="I101" s="39"/>
      <c r="J101" s="42"/>
      <c r="K101" s="108">
        <v>10</v>
      </c>
      <c r="L101" s="21"/>
      <c r="M101" s="21">
        <f t="shared" si="12"/>
        <v>10</v>
      </c>
      <c r="N101" s="21">
        <f t="shared" si="13"/>
        <v>-10</v>
      </c>
      <c r="O101" s="21"/>
      <c r="P101" s="21"/>
      <c r="Q101" s="5"/>
      <c r="R101" s="43"/>
      <c r="S101" s="43"/>
      <c r="T101" s="21">
        <f t="shared" si="14"/>
        <v>0</v>
      </c>
      <c r="U101" s="43"/>
      <c r="V101" s="78">
        <f t="shared" si="15"/>
        <v>0</v>
      </c>
      <c r="W101" s="140"/>
      <c r="X101" s="334"/>
      <c r="Y101" s="5"/>
      <c r="AD101" s="5"/>
      <c r="AE101" s="134" t="s">
        <v>20</v>
      </c>
      <c r="AF101" s="338"/>
      <c r="AG101" s="341" t="s">
        <v>686</v>
      </c>
      <c r="AH101" s="134" t="s">
        <v>20</v>
      </c>
      <c r="AI101" s="338">
        <v>140</v>
      </c>
      <c r="AJ101" s="341" t="s">
        <v>687</v>
      </c>
      <c r="AK101" s="134" t="s">
        <v>20</v>
      </c>
      <c r="AL101" s="338"/>
      <c r="AM101" s="5"/>
    </row>
    <row r="102" spans="1:41" x14ac:dyDescent="0.25">
      <c r="A102" s="143">
        <v>16</v>
      </c>
      <c r="B102" s="92">
        <v>45281</v>
      </c>
      <c r="C102" s="23"/>
      <c r="D102" s="31"/>
      <c r="E102" s="32"/>
      <c r="F102" s="32"/>
      <c r="G102" s="32"/>
      <c r="H102" s="39"/>
      <c r="I102" s="39"/>
      <c r="J102" s="42"/>
      <c r="K102" s="43">
        <v>10</v>
      </c>
      <c r="L102" s="21"/>
      <c r="M102" s="21">
        <f t="shared" si="12"/>
        <v>10</v>
      </c>
      <c r="N102" s="21">
        <f t="shared" si="13"/>
        <v>-10</v>
      </c>
      <c r="O102" s="21"/>
      <c r="P102" s="21"/>
      <c r="Q102" s="5"/>
      <c r="R102" s="43"/>
      <c r="S102" s="32"/>
      <c r="T102" s="21">
        <f t="shared" si="14"/>
        <v>0</v>
      </c>
      <c r="U102" s="131"/>
      <c r="V102" s="78">
        <f t="shared" si="15"/>
        <v>0</v>
      </c>
      <c r="W102" s="140"/>
      <c r="X102" s="334"/>
      <c r="Y102" s="5"/>
      <c r="AD102" s="5" t="s">
        <v>685</v>
      </c>
      <c r="AE102" s="115" t="s">
        <v>684</v>
      </c>
      <c r="AF102" s="339"/>
      <c r="AG102" s="341"/>
      <c r="AH102" s="115" t="s">
        <v>684</v>
      </c>
      <c r="AI102" s="339"/>
      <c r="AJ102" s="341"/>
      <c r="AK102" s="115" t="s">
        <v>684</v>
      </c>
      <c r="AL102" s="339"/>
      <c r="AM102" s="5"/>
    </row>
    <row r="103" spans="1:41" x14ac:dyDescent="0.25">
      <c r="A103" s="143">
        <v>17</v>
      </c>
      <c r="B103" s="92">
        <v>45281</v>
      </c>
      <c r="C103" s="23"/>
      <c r="D103" s="31"/>
      <c r="E103" s="32"/>
      <c r="F103" s="32"/>
      <c r="G103" s="32"/>
      <c r="H103" s="39"/>
      <c r="I103" s="39"/>
      <c r="J103" s="42"/>
      <c r="K103" s="43">
        <v>10</v>
      </c>
      <c r="L103" s="21"/>
      <c r="M103" s="21">
        <f t="shared" si="12"/>
        <v>10</v>
      </c>
      <c r="N103" s="21">
        <f t="shared" si="13"/>
        <v>-10</v>
      </c>
      <c r="O103" s="21"/>
      <c r="P103" s="21"/>
      <c r="Q103" s="5"/>
      <c r="R103" s="43"/>
      <c r="S103" s="32"/>
      <c r="T103" s="21">
        <f t="shared" si="14"/>
        <v>0</v>
      </c>
      <c r="U103" s="132"/>
      <c r="V103" s="78">
        <f t="shared" si="15"/>
        <v>0</v>
      </c>
      <c r="W103" s="140"/>
      <c r="X103" s="340"/>
      <c r="Y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spans="1:41" x14ac:dyDescent="0.25">
      <c r="A104" s="143">
        <v>18</v>
      </c>
      <c r="B104" s="92">
        <v>45281</v>
      </c>
      <c r="C104" s="32"/>
      <c r="D104" s="31"/>
      <c r="E104" s="32"/>
      <c r="F104" s="32"/>
      <c r="G104" s="32"/>
      <c r="H104" s="39"/>
      <c r="I104" s="39"/>
      <c r="J104" s="42"/>
      <c r="K104" s="43">
        <v>10</v>
      </c>
      <c r="L104" s="21"/>
      <c r="M104" s="21">
        <f t="shared" si="12"/>
        <v>10</v>
      </c>
      <c r="N104" s="21">
        <f t="shared" si="13"/>
        <v>-10</v>
      </c>
      <c r="O104" s="21"/>
      <c r="P104" s="21"/>
      <c r="Q104" s="5"/>
      <c r="R104" s="135"/>
      <c r="S104" s="104"/>
      <c r="T104" s="21">
        <f t="shared" si="14"/>
        <v>0</v>
      </c>
      <c r="U104" s="131"/>
      <c r="V104" s="78">
        <f t="shared" si="15"/>
        <v>0</v>
      </c>
      <c r="W104" s="140"/>
      <c r="Y104" s="5"/>
    </row>
    <row r="105" spans="1:41" x14ac:dyDescent="0.25">
      <c r="A105" s="143">
        <v>19</v>
      </c>
      <c r="B105" s="92">
        <v>45281</v>
      </c>
      <c r="C105" s="32"/>
      <c r="D105" s="31"/>
      <c r="E105" s="32"/>
      <c r="F105" s="32"/>
      <c r="G105" s="32"/>
      <c r="H105" s="39"/>
      <c r="I105" s="39"/>
      <c r="J105" s="42"/>
      <c r="K105" s="43">
        <v>10</v>
      </c>
      <c r="L105" s="21"/>
      <c r="M105" s="21">
        <f t="shared" si="12"/>
        <v>10</v>
      </c>
      <c r="N105" s="21">
        <f t="shared" si="13"/>
        <v>-10</v>
      </c>
      <c r="O105" s="21"/>
      <c r="P105" s="21"/>
      <c r="Q105" s="5"/>
      <c r="R105" s="32"/>
      <c r="S105" s="32"/>
      <c r="T105" s="21">
        <f t="shared" si="14"/>
        <v>0</v>
      </c>
      <c r="U105" s="32"/>
      <c r="V105" s="78">
        <f t="shared" si="15"/>
        <v>0</v>
      </c>
      <c r="W105" s="140"/>
      <c r="Y105" s="5"/>
    </row>
    <row r="106" spans="1:4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141"/>
      <c r="X106" s="5"/>
      <c r="Y106" s="5"/>
    </row>
    <row r="112" spans="1:41" x14ac:dyDescent="0.25">
      <c r="A112" s="1" t="s">
        <v>0</v>
      </c>
      <c r="B112" s="1"/>
      <c r="C112" s="1"/>
      <c r="D112" s="1"/>
      <c r="E112" s="1"/>
      <c r="F112" s="1"/>
      <c r="G112" s="1"/>
      <c r="H112" s="1"/>
      <c r="I112" s="1"/>
      <c r="J112" s="1" t="s">
        <v>148</v>
      </c>
      <c r="K112" s="1"/>
      <c r="L112" s="1"/>
      <c r="M112" s="1"/>
      <c r="N112" s="1"/>
      <c r="O112" s="1"/>
      <c r="P112" s="1"/>
      <c r="Q112" s="1"/>
      <c r="R112" s="1"/>
      <c r="S112" s="1"/>
      <c r="T112" s="342" t="s">
        <v>1</v>
      </c>
      <c r="U112" s="342"/>
      <c r="V112" s="5"/>
      <c r="W112" s="139"/>
      <c r="X112" s="1"/>
      <c r="Y112" s="5"/>
      <c r="AD112" s="335" t="s">
        <v>160</v>
      </c>
      <c r="AE112" s="336"/>
      <c r="AH112" s="335" t="s">
        <v>170</v>
      </c>
      <c r="AI112" s="336"/>
      <c r="AK112" s="337" t="s">
        <v>172</v>
      </c>
      <c r="AL112" s="337"/>
      <c r="AN112" s="337" t="s">
        <v>681</v>
      </c>
      <c r="AO112" s="337"/>
    </row>
    <row r="113" spans="1:41" ht="90" x14ac:dyDescent="0.25">
      <c r="A113" s="6" t="s">
        <v>2</v>
      </c>
      <c r="B113" s="7" t="s">
        <v>3</v>
      </c>
      <c r="C113" s="245" t="s">
        <v>688</v>
      </c>
      <c r="D113" s="7" t="s">
        <v>4</v>
      </c>
      <c r="E113" s="6" t="s">
        <v>5</v>
      </c>
      <c r="F113" s="6" t="s">
        <v>6</v>
      </c>
      <c r="G113" s="6" t="s">
        <v>7</v>
      </c>
      <c r="H113" s="6" t="s">
        <v>8</v>
      </c>
      <c r="I113" s="8" t="s">
        <v>9</v>
      </c>
      <c r="J113" s="9" t="s">
        <v>10</v>
      </c>
      <c r="K113" s="8" t="s">
        <v>11</v>
      </c>
      <c r="L113" s="10" t="s">
        <v>12</v>
      </c>
      <c r="M113" s="10" t="s">
        <v>13</v>
      </c>
      <c r="N113" s="11" t="s">
        <v>14</v>
      </c>
      <c r="O113" s="10" t="s">
        <v>691</v>
      </c>
      <c r="P113" s="10" t="s">
        <v>28</v>
      </c>
      <c r="Q113" s="5"/>
      <c r="R113" s="10" t="s">
        <v>16</v>
      </c>
      <c r="S113" s="10" t="s">
        <v>17</v>
      </c>
      <c r="T113" s="10" t="s">
        <v>18</v>
      </c>
      <c r="U113" s="10" t="s">
        <v>19</v>
      </c>
      <c r="V113" s="10" t="s">
        <v>20</v>
      </c>
      <c r="W113" s="13"/>
      <c r="X113" s="15" t="s">
        <v>23</v>
      </c>
      <c r="Y113" s="5"/>
      <c r="AA113" s="251" t="s">
        <v>2554</v>
      </c>
      <c r="AC113">
        <v>6</v>
      </c>
      <c r="AD113" s="16" t="s">
        <v>161</v>
      </c>
      <c r="AE113" s="58">
        <f>+AC113*10</f>
        <v>60</v>
      </c>
      <c r="AH113" s="16" t="s">
        <v>161</v>
      </c>
      <c r="AI113" s="58">
        <f>+AG113*10</f>
        <v>0</v>
      </c>
      <c r="AK113" s="61" t="s">
        <v>173</v>
      </c>
      <c r="AL113" s="62" t="s">
        <v>174</v>
      </c>
      <c r="AN113" s="16" t="s">
        <v>161</v>
      </c>
      <c r="AO113" s="58">
        <f>+AM113*10</f>
        <v>0</v>
      </c>
    </row>
    <row r="114" spans="1:41" x14ac:dyDescent="0.25">
      <c r="A114" s="16">
        <v>1</v>
      </c>
      <c r="B114" s="92">
        <v>45282</v>
      </c>
      <c r="C114" s="23">
        <v>0.45833333333333331</v>
      </c>
      <c r="D114" s="31" t="s">
        <v>520</v>
      </c>
      <c r="E114" s="32">
        <v>5562236073</v>
      </c>
      <c r="F114" s="32" t="s">
        <v>2535</v>
      </c>
      <c r="G114" s="39" t="s">
        <v>3603</v>
      </c>
      <c r="H114" s="39" t="s">
        <v>3604</v>
      </c>
      <c r="I114" s="122"/>
      <c r="J114" s="32">
        <v>67</v>
      </c>
      <c r="K114" s="20">
        <v>20</v>
      </c>
      <c r="L114" s="21"/>
      <c r="M114" s="21">
        <f t="shared" ref="M114:M132" si="16">+J114+K114</f>
        <v>87</v>
      </c>
      <c r="N114" s="21">
        <f t="shared" ref="N114:N132" si="17">+I114-M114</f>
        <v>-87</v>
      </c>
      <c r="O114" s="21"/>
      <c r="P114" s="21"/>
      <c r="Q114" s="5"/>
      <c r="R114" s="21">
        <v>200</v>
      </c>
      <c r="S114" s="16"/>
      <c r="T114" s="21">
        <f t="shared" ref="T114:T132" si="18">+R114+S114</f>
        <v>200</v>
      </c>
      <c r="U114" s="21">
        <v>210</v>
      </c>
      <c r="V114" s="78">
        <f>+U114-T114+O114+P114</f>
        <v>10</v>
      </c>
      <c r="W114" s="13"/>
      <c r="X114" s="333"/>
      <c r="Y114" s="5"/>
      <c r="AC114">
        <v>665</v>
      </c>
      <c r="AD114" s="59" t="s">
        <v>162</v>
      </c>
      <c r="AE114" s="18">
        <f>+AC114*1</f>
        <v>665</v>
      </c>
      <c r="AG114">
        <v>35</v>
      </c>
      <c r="AH114" s="59" t="s">
        <v>162</v>
      </c>
      <c r="AI114" s="18">
        <f>+AG114*1</f>
        <v>35</v>
      </c>
      <c r="AK114" s="16">
        <v>1324</v>
      </c>
      <c r="AL114" s="16"/>
      <c r="AN114" s="59" t="s">
        <v>162</v>
      </c>
      <c r="AO114" s="18">
        <f>+AM114*1</f>
        <v>0</v>
      </c>
    </row>
    <row r="115" spans="1:41" x14ac:dyDescent="0.25">
      <c r="A115" s="26">
        <v>2</v>
      </c>
      <c r="B115" s="92">
        <v>45282</v>
      </c>
      <c r="C115" s="23">
        <v>0.5</v>
      </c>
      <c r="D115" s="31" t="s">
        <v>3010</v>
      </c>
      <c r="E115" s="32" t="s">
        <v>3605</v>
      </c>
      <c r="F115" s="32" t="s">
        <v>114</v>
      </c>
      <c r="G115" s="32" t="s">
        <v>3010</v>
      </c>
      <c r="H115" s="39" t="s">
        <v>3602</v>
      </c>
      <c r="I115" s="122"/>
      <c r="J115" s="32">
        <v>80</v>
      </c>
      <c r="K115" s="20">
        <v>10</v>
      </c>
      <c r="L115" s="21">
        <v>10</v>
      </c>
      <c r="M115" s="21">
        <f t="shared" si="16"/>
        <v>90</v>
      </c>
      <c r="N115" s="21">
        <f t="shared" si="17"/>
        <v>-90</v>
      </c>
      <c r="O115" s="21"/>
      <c r="P115" s="21"/>
      <c r="Q115" s="5"/>
      <c r="R115" s="21">
        <v>100</v>
      </c>
      <c r="S115" s="16"/>
      <c r="T115" s="21">
        <f t="shared" si="18"/>
        <v>100</v>
      </c>
      <c r="U115" s="21"/>
      <c r="V115" s="78">
        <f t="shared" ref="V115:V132" si="19">+U115-T115+O115+P115</f>
        <v>-100</v>
      </c>
      <c r="W115" s="140"/>
      <c r="X115" s="334"/>
      <c r="Y115" s="5"/>
      <c r="AD115" s="16">
        <v>8</v>
      </c>
      <c r="AE115" s="60">
        <f>+AC115*5</f>
        <v>0</v>
      </c>
      <c r="AG115">
        <v>1</v>
      </c>
      <c r="AH115" s="16" t="s">
        <v>163</v>
      </c>
      <c r="AI115" s="60">
        <f>+AG115*5</f>
        <v>5</v>
      </c>
      <c r="AK115" s="16"/>
      <c r="AL115" s="16"/>
      <c r="AN115" s="16" t="s">
        <v>163</v>
      </c>
      <c r="AO115" s="60">
        <f>+AM115*5</f>
        <v>0</v>
      </c>
    </row>
    <row r="116" spans="1:41" x14ac:dyDescent="0.25">
      <c r="A116" s="197">
        <v>3</v>
      </c>
      <c r="B116" s="198">
        <v>45282</v>
      </c>
      <c r="C116" s="255"/>
      <c r="D116" s="199" t="s">
        <v>2464</v>
      </c>
      <c r="E116" s="207"/>
      <c r="F116" s="207" t="s">
        <v>3612</v>
      </c>
      <c r="G116" s="207" t="s">
        <v>3610</v>
      </c>
      <c r="H116" s="202" t="s">
        <v>3606</v>
      </c>
      <c r="I116" s="203"/>
      <c r="J116" s="207">
        <v>67</v>
      </c>
      <c r="K116" s="205">
        <v>10</v>
      </c>
      <c r="L116" s="206"/>
      <c r="M116" s="206">
        <f t="shared" si="16"/>
        <v>77</v>
      </c>
      <c r="N116" s="206">
        <f t="shared" si="17"/>
        <v>-77</v>
      </c>
      <c r="O116" s="206"/>
      <c r="P116" s="206"/>
      <c r="Q116" s="208"/>
      <c r="R116" s="206">
        <v>150</v>
      </c>
      <c r="S116" s="209"/>
      <c r="T116" s="206">
        <f t="shared" si="18"/>
        <v>150</v>
      </c>
      <c r="U116" s="206"/>
      <c r="V116" s="210">
        <f t="shared" si="19"/>
        <v>-150</v>
      </c>
      <c r="W116" s="140"/>
      <c r="X116" s="334"/>
      <c r="Y116" s="5"/>
      <c r="AD116" s="16" t="s">
        <v>164</v>
      </c>
      <c r="AE116" s="18">
        <f>+AC116*200</f>
        <v>0</v>
      </c>
      <c r="AH116" s="16" t="s">
        <v>164</v>
      </c>
      <c r="AI116" s="18">
        <f>+AG116*200</f>
        <v>0</v>
      </c>
      <c r="AK116" s="16"/>
      <c r="AL116" s="16"/>
      <c r="AN116" s="16" t="s">
        <v>164</v>
      </c>
      <c r="AO116" s="18">
        <f>+AM116*200</f>
        <v>0</v>
      </c>
    </row>
    <row r="117" spans="1:41" x14ac:dyDescent="0.25">
      <c r="A117" s="143">
        <v>4</v>
      </c>
      <c r="B117" s="92">
        <v>45282</v>
      </c>
      <c r="C117" s="23"/>
      <c r="D117" s="31" t="s">
        <v>2806</v>
      </c>
      <c r="E117" s="32"/>
      <c r="F117" s="32" t="s">
        <v>3613</v>
      </c>
      <c r="G117" s="32" t="s">
        <v>3611</v>
      </c>
      <c r="H117" s="39" t="s">
        <v>3609</v>
      </c>
      <c r="I117" s="122"/>
      <c r="J117" s="32">
        <f>125+26</f>
        <v>151</v>
      </c>
      <c r="K117" s="20">
        <v>40</v>
      </c>
      <c r="L117" s="21"/>
      <c r="M117" s="21">
        <f t="shared" si="16"/>
        <v>191</v>
      </c>
      <c r="N117" s="21">
        <f t="shared" si="17"/>
        <v>-191</v>
      </c>
      <c r="O117" s="21"/>
      <c r="P117" s="21"/>
      <c r="Q117" s="5"/>
      <c r="R117" s="21">
        <v>200</v>
      </c>
      <c r="S117" s="16"/>
      <c r="T117" s="21">
        <f t="shared" si="18"/>
        <v>200</v>
      </c>
      <c r="U117" s="21"/>
      <c r="V117" s="78">
        <f t="shared" si="19"/>
        <v>-200</v>
      </c>
      <c r="W117" s="140"/>
      <c r="X117" s="334"/>
      <c r="Y117" s="5"/>
      <c r="AD117" s="16" t="s">
        <v>165</v>
      </c>
      <c r="AE117" s="18">
        <f>+AC117*100</f>
        <v>0</v>
      </c>
      <c r="AH117" s="16" t="s">
        <v>165</v>
      </c>
      <c r="AI117" s="18">
        <f>+AG117*100</f>
        <v>0</v>
      </c>
      <c r="AK117" s="16"/>
      <c r="AL117" s="16"/>
      <c r="AN117" s="16" t="s">
        <v>165</v>
      </c>
      <c r="AO117" s="18">
        <f>+AM117*100</f>
        <v>0</v>
      </c>
    </row>
    <row r="118" spans="1:41" x14ac:dyDescent="0.25">
      <c r="A118" s="143">
        <v>5</v>
      </c>
      <c r="B118" s="92">
        <v>45282</v>
      </c>
      <c r="C118" s="23"/>
      <c r="D118" s="31" t="s">
        <v>3010</v>
      </c>
      <c r="E118" s="32"/>
      <c r="F118" s="32" t="s">
        <v>28</v>
      </c>
      <c r="G118" s="32" t="s">
        <v>3010</v>
      </c>
      <c r="H118" s="32" t="s">
        <v>3607</v>
      </c>
      <c r="I118" s="122"/>
      <c r="J118" s="32">
        <f>38+90+21</f>
        <v>149</v>
      </c>
      <c r="K118" s="20">
        <v>10</v>
      </c>
      <c r="L118" s="21"/>
      <c r="M118" s="21">
        <f t="shared" si="16"/>
        <v>159</v>
      </c>
      <c r="N118" s="21">
        <f t="shared" si="17"/>
        <v>-159</v>
      </c>
      <c r="O118" s="21"/>
      <c r="P118" s="21"/>
      <c r="Q118" s="5"/>
      <c r="R118" s="16">
        <v>300</v>
      </c>
      <c r="S118" s="16"/>
      <c r="T118" s="21">
        <f t="shared" si="18"/>
        <v>300</v>
      </c>
      <c r="U118" s="21">
        <v>331</v>
      </c>
      <c r="V118" s="78">
        <f t="shared" si="19"/>
        <v>31</v>
      </c>
      <c r="W118" s="140"/>
      <c r="X118" s="334"/>
      <c r="Y118" s="5"/>
      <c r="AD118" s="16" t="s">
        <v>166</v>
      </c>
      <c r="AE118" s="18">
        <f>+AC118*50</f>
        <v>0</v>
      </c>
      <c r="AH118" s="16" t="s">
        <v>166</v>
      </c>
      <c r="AI118" s="18">
        <f>+AG118*50</f>
        <v>0</v>
      </c>
      <c r="AK118" s="16"/>
      <c r="AL118" s="16"/>
      <c r="AN118" s="16" t="s">
        <v>166</v>
      </c>
      <c r="AO118" s="18">
        <f>+AM118*50</f>
        <v>0</v>
      </c>
    </row>
    <row r="119" spans="1:41" x14ac:dyDescent="0.25">
      <c r="A119" s="292">
        <v>6</v>
      </c>
      <c r="B119" s="198">
        <v>45282</v>
      </c>
      <c r="C119" s="255"/>
      <c r="D119" s="199" t="s">
        <v>3580</v>
      </c>
      <c r="E119" s="207"/>
      <c r="F119" s="207" t="s">
        <v>3614</v>
      </c>
      <c r="G119" s="207">
        <v>111</v>
      </c>
      <c r="H119" s="202" t="s">
        <v>3608</v>
      </c>
      <c r="I119" s="202"/>
      <c r="J119" s="204">
        <f>21+66</f>
        <v>87</v>
      </c>
      <c r="K119" s="205">
        <v>10</v>
      </c>
      <c r="L119" s="206"/>
      <c r="M119" s="206">
        <f t="shared" si="16"/>
        <v>97</v>
      </c>
      <c r="N119" s="206">
        <f t="shared" si="17"/>
        <v>-97</v>
      </c>
      <c r="O119" s="206"/>
      <c r="P119" s="206"/>
      <c r="Q119" s="208"/>
      <c r="R119" s="209"/>
      <c r="S119" s="209"/>
      <c r="T119" s="206">
        <f t="shared" si="18"/>
        <v>0</v>
      </c>
      <c r="U119" s="209"/>
      <c r="V119" s="210">
        <f t="shared" si="19"/>
        <v>0</v>
      </c>
      <c r="W119" s="140"/>
      <c r="X119" s="334"/>
      <c r="Y119" s="5"/>
      <c r="AD119" s="16" t="s">
        <v>167</v>
      </c>
      <c r="AE119" s="18">
        <f>+AC119*20</f>
        <v>0</v>
      </c>
      <c r="AH119" s="16" t="s">
        <v>167</v>
      </c>
      <c r="AI119" s="18">
        <f>+AG119*20</f>
        <v>0</v>
      </c>
      <c r="AK119" s="16"/>
      <c r="AL119" s="16"/>
      <c r="AN119" s="16" t="s">
        <v>167</v>
      </c>
      <c r="AO119" s="18">
        <f>+AM119*20</f>
        <v>0</v>
      </c>
    </row>
    <row r="120" spans="1:41" x14ac:dyDescent="0.25">
      <c r="A120" s="143">
        <v>7</v>
      </c>
      <c r="B120" s="92">
        <v>45282</v>
      </c>
      <c r="C120" s="23"/>
      <c r="D120" s="31" t="s">
        <v>274</v>
      </c>
      <c r="E120" s="32">
        <v>5510466400</v>
      </c>
      <c r="F120" s="32" t="s">
        <v>52</v>
      </c>
      <c r="G120" s="32" t="s">
        <v>3615</v>
      </c>
      <c r="H120" s="39" t="s">
        <v>3616</v>
      </c>
      <c r="I120" s="122">
        <v>235</v>
      </c>
      <c r="J120" s="42">
        <v>225</v>
      </c>
      <c r="K120" s="20">
        <v>10</v>
      </c>
      <c r="L120" s="21"/>
      <c r="M120" s="21">
        <f t="shared" si="16"/>
        <v>235</v>
      </c>
      <c r="N120" s="21">
        <f t="shared" si="17"/>
        <v>0</v>
      </c>
      <c r="O120" s="21">
        <v>235</v>
      </c>
      <c r="P120" s="21"/>
      <c r="Q120" s="5"/>
      <c r="R120" s="16"/>
      <c r="S120" s="16"/>
      <c r="T120" s="21">
        <f t="shared" si="18"/>
        <v>0</v>
      </c>
      <c r="U120" s="16"/>
      <c r="V120" s="78">
        <f t="shared" si="19"/>
        <v>235</v>
      </c>
      <c r="W120" s="140"/>
      <c r="X120" s="334"/>
      <c r="Y120" s="5"/>
      <c r="AD120" s="16" t="s">
        <v>171</v>
      </c>
      <c r="AE120" s="18">
        <f>+AC120*500</f>
        <v>0</v>
      </c>
      <c r="AH120" s="16" t="s">
        <v>171</v>
      </c>
      <c r="AI120" s="18">
        <f>+AG120*500</f>
        <v>0</v>
      </c>
      <c r="AK120" s="16"/>
      <c r="AL120" s="16"/>
      <c r="AN120" s="16" t="s">
        <v>171</v>
      </c>
      <c r="AO120" s="18">
        <f>+AM120*500</f>
        <v>0</v>
      </c>
    </row>
    <row r="121" spans="1:41" x14ac:dyDescent="0.25">
      <c r="A121" s="143">
        <v>8</v>
      </c>
      <c r="B121" s="92">
        <v>45282</v>
      </c>
      <c r="C121" s="23"/>
      <c r="D121" s="31" t="s">
        <v>1912</v>
      </c>
      <c r="E121" s="123"/>
      <c r="F121" s="123" t="s">
        <v>3617</v>
      </c>
      <c r="G121" s="123" t="s">
        <v>1837</v>
      </c>
      <c r="H121" s="39" t="s">
        <v>3618</v>
      </c>
      <c r="I121" s="122">
        <v>500</v>
      </c>
      <c r="J121" s="32">
        <v>449</v>
      </c>
      <c r="K121" s="20">
        <v>10</v>
      </c>
      <c r="L121" s="21">
        <v>41</v>
      </c>
      <c r="M121" s="21">
        <f t="shared" si="16"/>
        <v>459</v>
      </c>
      <c r="N121" s="21">
        <f t="shared" si="17"/>
        <v>41</v>
      </c>
      <c r="O121" s="21"/>
      <c r="P121" s="21"/>
      <c r="Q121" s="5"/>
      <c r="R121" s="16">
        <v>450</v>
      </c>
      <c r="S121" s="16"/>
      <c r="T121" s="21">
        <f t="shared" si="18"/>
        <v>450</v>
      </c>
      <c r="U121" s="16">
        <v>500</v>
      </c>
      <c r="V121" s="78">
        <f t="shared" si="19"/>
        <v>50</v>
      </c>
      <c r="W121" s="140"/>
      <c r="X121" s="334"/>
      <c r="Y121" s="5"/>
      <c r="AD121" s="16" t="s">
        <v>168</v>
      </c>
      <c r="AE121" s="18">
        <f>+AC121*1000</f>
        <v>0</v>
      </c>
      <c r="AH121" s="16" t="s">
        <v>168</v>
      </c>
      <c r="AI121" s="18">
        <f>+AG121*1000</f>
        <v>0</v>
      </c>
      <c r="AK121" s="16"/>
      <c r="AL121" s="16"/>
      <c r="AN121" s="16" t="s">
        <v>168</v>
      </c>
      <c r="AO121" s="18">
        <f>+AM121*1000</f>
        <v>0</v>
      </c>
    </row>
    <row r="122" spans="1:41" x14ac:dyDescent="0.25">
      <c r="A122" s="143">
        <v>9</v>
      </c>
      <c r="B122" s="92">
        <v>45282</v>
      </c>
      <c r="C122" s="23"/>
      <c r="D122" s="31" t="s">
        <v>1518</v>
      </c>
      <c r="E122" s="32"/>
      <c r="F122" s="32" t="s">
        <v>2223</v>
      </c>
      <c r="G122" s="32" t="s">
        <v>220</v>
      </c>
      <c r="H122" s="39" t="s">
        <v>3619</v>
      </c>
      <c r="I122" s="39">
        <v>500</v>
      </c>
      <c r="J122" s="40">
        <v>220</v>
      </c>
      <c r="K122" s="20">
        <v>10</v>
      </c>
      <c r="L122" s="21"/>
      <c r="M122" s="21">
        <f t="shared" si="16"/>
        <v>230</v>
      </c>
      <c r="N122" s="21">
        <f t="shared" si="17"/>
        <v>270</v>
      </c>
      <c r="O122" s="21"/>
      <c r="P122" s="21"/>
      <c r="Q122" s="5"/>
      <c r="R122" s="16">
        <v>500</v>
      </c>
      <c r="S122" s="16"/>
      <c r="T122" s="21">
        <f t="shared" si="18"/>
        <v>500</v>
      </c>
      <c r="U122" s="16">
        <v>520</v>
      </c>
      <c r="V122" s="78">
        <f t="shared" si="19"/>
        <v>20</v>
      </c>
      <c r="W122" s="140"/>
      <c r="X122" s="334"/>
      <c r="Y122" s="5"/>
      <c r="AD122" s="26"/>
      <c r="AE122" s="58"/>
      <c r="AH122" s="26"/>
      <c r="AI122" s="58"/>
      <c r="AK122" s="16"/>
      <c r="AL122" s="16"/>
      <c r="AN122" s="26"/>
      <c r="AO122" s="58"/>
    </row>
    <row r="123" spans="1:41" x14ac:dyDescent="0.25">
      <c r="A123" s="143">
        <v>10</v>
      </c>
      <c r="B123" s="92">
        <v>45282</v>
      </c>
      <c r="C123" s="23"/>
      <c r="D123" s="31" t="s">
        <v>3506</v>
      </c>
      <c r="E123" s="32"/>
      <c r="F123" s="32" t="s">
        <v>38</v>
      </c>
      <c r="G123" s="32" t="s">
        <v>3621</v>
      </c>
      <c r="H123" s="32" t="s">
        <v>3620</v>
      </c>
      <c r="I123" s="122">
        <v>270</v>
      </c>
      <c r="J123" s="42">
        <v>260</v>
      </c>
      <c r="K123" s="20">
        <v>10</v>
      </c>
      <c r="L123" s="21"/>
      <c r="M123" s="21">
        <f t="shared" si="16"/>
        <v>270</v>
      </c>
      <c r="N123" s="21">
        <f t="shared" si="17"/>
        <v>0</v>
      </c>
      <c r="O123" s="21"/>
      <c r="P123" s="21"/>
      <c r="Q123" s="5"/>
      <c r="R123" s="16"/>
      <c r="S123" s="16"/>
      <c r="T123" s="21">
        <f t="shared" si="18"/>
        <v>0</v>
      </c>
      <c r="U123" s="16"/>
      <c r="V123" s="78">
        <f t="shared" si="19"/>
        <v>0</v>
      </c>
      <c r="W123" s="140"/>
      <c r="X123" s="334"/>
      <c r="Y123" s="5"/>
      <c r="AD123" s="16" t="s">
        <v>169</v>
      </c>
      <c r="AE123" s="18">
        <f>SUM(AE113:AE122)</f>
        <v>725</v>
      </c>
      <c r="AH123" s="16" t="s">
        <v>169</v>
      </c>
      <c r="AI123" s="18">
        <f>SUM(AI113:AI122)</f>
        <v>40</v>
      </c>
      <c r="AK123" s="16"/>
      <c r="AL123" s="16"/>
      <c r="AN123" s="16" t="s">
        <v>169</v>
      </c>
      <c r="AO123" s="18"/>
    </row>
    <row r="124" spans="1:41" x14ac:dyDescent="0.25">
      <c r="A124" s="143">
        <v>11</v>
      </c>
      <c r="B124" s="92">
        <v>45282</v>
      </c>
      <c r="C124" s="23"/>
      <c r="D124" s="31" t="s">
        <v>245</v>
      </c>
      <c r="E124" s="124"/>
      <c r="F124" s="123" t="s">
        <v>52</v>
      </c>
      <c r="G124" s="123" t="s">
        <v>3035</v>
      </c>
      <c r="H124" s="39" t="s">
        <v>3622</v>
      </c>
      <c r="I124" s="122">
        <v>191</v>
      </c>
      <c r="J124" s="42">
        <v>181</v>
      </c>
      <c r="K124" s="20">
        <v>10</v>
      </c>
      <c r="L124" s="21"/>
      <c r="M124" s="21">
        <f t="shared" si="16"/>
        <v>191</v>
      </c>
      <c r="N124" s="21">
        <f t="shared" si="17"/>
        <v>0</v>
      </c>
      <c r="O124" s="21"/>
      <c r="P124" s="21"/>
      <c r="Q124" s="5"/>
      <c r="R124" s="16"/>
      <c r="S124" s="16"/>
      <c r="T124" s="21">
        <f t="shared" si="18"/>
        <v>0</v>
      </c>
      <c r="U124" s="16"/>
      <c r="V124" s="78">
        <f t="shared" si="19"/>
        <v>0</v>
      </c>
      <c r="W124" s="140"/>
      <c r="X124" s="334"/>
      <c r="Y124" s="5"/>
      <c r="AE124">
        <v>664.5</v>
      </c>
      <c r="AK124" s="16"/>
      <c r="AL124" s="16"/>
      <c r="AN124" s="16"/>
      <c r="AO124" s="16"/>
    </row>
    <row r="125" spans="1:41" x14ac:dyDescent="0.25">
      <c r="A125" s="143">
        <v>12</v>
      </c>
      <c r="B125" s="92">
        <v>45282</v>
      </c>
      <c r="C125" s="23"/>
      <c r="D125" s="31" t="s">
        <v>1518</v>
      </c>
      <c r="E125" s="32"/>
      <c r="F125" s="32" t="s">
        <v>2223</v>
      </c>
      <c r="G125" s="32" t="s">
        <v>220</v>
      </c>
      <c r="H125" s="39" t="s">
        <v>3623</v>
      </c>
      <c r="I125" s="39">
        <v>450</v>
      </c>
      <c r="J125" s="40">
        <v>428</v>
      </c>
      <c r="K125" s="20">
        <v>10</v>
      </c>
      <c r="L125" s="21"/>
      <c r="M125" s="21">
        <f t="shared" si="16"/>
        <v>438</v>
      </c>
      <c r="N125" s="21">
        <f t="shared" si="17"/>
        <v>12</v>
      </c>
      <c r="O125" s="21"/>
      <c r="P125" s="21"/>
      <c r="Q125" s="5"/>
      <c r="R125" s="45"/>
      <c r="S125" s="44"/>
      <c r="T125" s="21">
        <f t="shared" si="18"/>
        <v>0</v>
      </c>
      <c r="U125" s="45"/>
      <c r="V125" s="78">
        <f t="shared" si="19"/>
        <v>0</v>
      </c>
      <c r="W125" s="140"/>
      <c r="X125" s="334"/>
      <c r="Y125" s="5"/>
      <c r="AK125" s="63" t="s">
        <v>169</v>
      </c>
      <c r="AL125" s="63">
        <f>+SUM(AK114:AK124)-SUM(AL114:AL124)</f>
        <v>1324</v>
      </c>
      <c r="AN125" s="63" t="s">
        <v>169</v>
      </c>
      <c r="AO125" s="85">
        <f>+SUM(AN113:AN124)-SUM(AO114:AO124)</f>
        <v>0</v>
      </c>
    </row>
    <row r="126" spans="1:41" x14ac:dyDescent="0.25">
      <c r="A126" s="143">
        <v>13</v>
      </c>
      <c r="B126" s="92">
        <v>45282</v>
      </c>
      <c r="C126" s="23"/>
      <c r="D126" s="31" t="s">
        <v>319</v>
      </c>
      <c r="E126" s="32"/>
      <c r="F126" s="32" t="s">
        <v>672</v>
      </c>
      <c r="G126" s="32" t="s">
        <v>61</v>
      </c>
      <c r="H126" s="39" t="s">
        <v>3624</v>
      </c>
      <c r="I126" s="39">
        <v>500</v>
      </c>
      <c r="J126" s="42">
        <v>320</v>
      </c>
      <c r="K126" s="108">
        <v>10</v>
      </c>
      <c r="L126" s="21"/>
      <c r="M126" s="21">
        <f t="shared" si="16"/>
        <v>330</v>
      </c>
      <c r="N126" s="21">
        <f t="shared" si="17"/>
        <v>170</v>
      </c>
      <c r="O126" s="21"/>
      <c r="P126" s="21"/>
      <c r="Q126" s="5"/>
      <c r="R126" s="43"/>
      <c r="S126" s="32"/>
      <c r="T126" s="21">
        <f t="shared" si="18"/>
        <v>0</v>
      </c>
      <c r="U126" s="43"/>
      <c r="V126" s="78">
        <f t="shared" si="19"/>
        <v>0</v>
      </c>
      <c r="W126" s="140"/>
      <c r="X126" s="334"/>
      <c r="Y126" s="5"/>
      <c r="AI126" s="83"/>
    </row>
    <row r="127" spans="1:41" x14ac:dyDescent="0.25">
      <c r="A127" s="143">
        <v>14</v>
      </c>
      <c r="B127" s="92">
        <v>45282</v>
      </c>
      <c r="C127" s="23"/>
      <c r="D127" s="31" t="s">
        <v>2602</v>
      </c>
      <c r="E127" s="32">
        <v>5510466400</v>
      </c>
      <c r="F127" s="32" t="s">
        <v>3625</v>
      </c>
      <c r="G127" s="32" t="s">
        <v>3615</v>
      </c>
      <c r="H127" s="39" t="s">
        <v>3626</v>
      </c>
      <c r="I127" s="39">
        <v>370</v>
      </c>
      <c r="J127" s="42">
        <v>350</v>
      </c>
      <c r="K127" s="108">
        <v>10</v>
      </c>
      <c r="L127" s="21"/>
      <c r="M127" s="21">
        <f t="shared" si="16"/>
        <v>360</v>
      </c>
      <c r="N127" s="21">
        <f t="shared" si="17"/>
        <v>10</v>
      </c>
      <c r="O127" s="21">
        <v>370</v>
      </c>
      <c r="P127" s="21"/>
      <c r="Q127" s="5"/>
      <c r="R127" s="43"/>
      <c r="S127" s="43"/>
      <c r="T127" s="21">
        <f t="shared" si="18"/>
        <v>0</v>
      </c>
      <c r="U127" s="43"/>
      <c r="V127" s="78">
        <f t="shared" si="19"/>
        <v>370</v>
      </c>
      <c r="W127" s="140"/>
      <c r="X127" s="334"/>
      <c r="Y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</row>
    <row r="128" spans="1:41" x14ac:dyDescent="0.25">
      <c r="A128" s="143">
        <v>15</v>
      </c>
      <c r="B128" s="92">
        <v>45282</v>
      </c>
      <c r="C128" s="23"/>
      <c r="D128" s="127"/>
      <c r="E128" s="32"/>
      <c r="F128" s="32"/>
      <c r="G128" s="128"/>
      <c r="H128" s="129"/>
      <c r="I128" s="39"/>
      <c r="J128" s="42"/>
      <c r="K128" s="108">
        <v>10</v>
      </c>
      <c r="L128" s="21"/>
      <c r="M128" s="21">
        <f t="shared" si="16"/>
        <v>10</v>
      </c>
      <c r="N128" s="21">
        <f t="shared" si="17"/>
        <v>-10</v>
      </c>
      <c r="O128" s="21"/>
      <c r="P128" s="21"/>
      <c r="Q128" s="5"/>
      <c r="R128" s="43"/>
      <c r="S128" s="43"/>
      <c r="T128" s="21">
        <f t="shared" si="18"/>
        <v>0</v>
      </c>
      <c r="U128" s="43"/>
      <c r="V128" s="78">
        <f t="shared" si="19"/>
        <v>0</v>
      </c>
      <c r="W128" s="140"/>
      <c r="X128" s="334"/>
      <c r="Y128" s="5"/>
      <c r="AD128" s="5"/>
      <c r="AE128" s="134" t="s">
        <v>20</v>
      </c>
      <c r="AF128" s="338"/>
      <c r="AG128" s="341" t="s">
        <v>686</v>
      </c>
      <c r="AH128" s="134" t="s">
        <v>20</v>
      </c>
      <c r="AI128" s="338">
        <v>145</v>
      </c>
      <c r="AJ128" s="341" t="s">
        <v>687</v>
      </c>
      <c r="AK128" s="134" t="s">
        <v>20</v>
      </c>
      <c r="AL128" s="338"/>
      <c r="AM128" s="5"/>
    </row>
    <row r="129" spans="1:41" x14ac:dyDescent="0.25">
      <c r="A129" s="143">
        <v>16</v>
      </c>
      <c r="B129" s="92">
        <v>45282</v>
      </c>
      <c r="C129" s="23"/>
      <c r="D129" s="31"/>
      <c r="E129" s="32"/>
      <c r="F129" s="32"/>
      <c r="G129" s="32"/>
      <c r="H129" s="39"/>
      <c r="I129" s="39"/>
      <c r="J129" s="42"/>
      <c r="K129" s="43">
        <v>10</v>
      </c>
      <c r="L129" s="21"/>
      <c r="M129" s="21">
        <f t="shared" si="16"/>
        <v>10</v>
      </c>
      <c r="N129" s="21">
        <f t="shared" si="17"/>
        <v>-10</v>
      </c>
      <c r="O129" s="21"/>
      <c r="P129" s="21"/>
      <c r="Q129" s="5"/>
      <c r="R129" s="43"/>
      <c r="S129" s="32"/>
      <c r="T129" s="21">
        <f t="shared" si="18"/>
        <v>0</v>
      </c>
      <c r="U129" s="131"/>
      <c r="V129" s="78">
        <f t="shared" si="19"/>
        <v>0</v>
      </c>
      <c r="W129" s="140"/>
      <c r="X129" s="334"/>
      <c r="Y129" s="5"/>
      <c r="AD129" s="5" t="s">
        <v>685</v>
      </c>
      <c r="AE129" s="115" t="s">
        <v>684</v>
      </c>
      <c r="AF129" s="339"/>
      <c r="AG129" s="341"/>
      <c r="AH129" s="115" t="s">
        <v>684</v>
      </c>
      <c r="AI129" s="339"/>
      <c r="AJ129" s="341"/>
      <c r="AK129" s="115" t="s">
        <v>684</v>
      </c>
      <c r="AL129" s="339"/>
      <c r="AM129" s="5"/>
    </row>
    <row r="130" spans="1:41" x14ac:dyDescent="0.25">
      <c r="A130" s="143">
        <v>17</v>
      </c>
      <c r="B130" s="92">
        <v>45282</v>
      </c>
      <c r="C130" s="23"/>
      <c r="D130" s="31"/>
      <c r="E130" s="32"/>
      <c r="F130" s="32"/>
      <c r="G130" s="32"/>
      <c r="H130" s="39"/>
      <c r="I130" s="39"/>
      <c r="J130" s="42"/>
      <c r="K130" s="43">
        <v>10</v>
      </c>
      <c r="L130" s="21"/>
      <c r="M130" s="21">
        <f t="shared" si="16"/>
        <v>10</v>
      </c>
      <c r="N130" s="21">
        <f t="shared" si="17"/>
        <v>-10</v>
      </c>
      <c r="O130" s="21"/>
      <c r="P130" s="21"/>
      <c r="Q130" s="5"/>
      <c r="R130" s="43"/>
      <c r="S130" s="32"/>
      <c r="T130" s="21">
        <f t="shared" si="18"/>
        <v>0</v>
      </c>
      <c r="U130" s="132"/>
      <c r="V130" s="78">
        <f t="shared" si="19"/>
        <v>0</v>
      </c>
      <c r="W130" s="140"/>
      <c r="X130" s="340"/>
      <c r="Y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</row>
    <row r="131" spans="1:41" x14ac:dyDescent="0.25">
      <c r="A131" s="143">
        <v>18</v>
      </c>
      <c r="B131" s="92">
        <v>45282</v>
      </c>
      <c r="C131" s="32"/>
      <c r="D131" s="31"/>
      <c r="E131" s="32"/>
      <c r="F131" s="32"/>
      <c r="G131" s="32"/>
      <c r="H131" s="39"/>
      <c r="I131" s="39"/>
      <c r="J131" s="42"/>
      <c r="K131" s="43">
        <v>10</v>
      </c>
      <c r="L131" s="21"/>
      <c r="M131" s="21">
        <f t="shared" si="16"/>
        <v>10</v>
      </c>
      <c r="N131" s="21">
        <f t="shared" si="17"/>
        <v>-10</v>
      </c>
      <c r="O131" s="21"/>
      <c r="P131" s="21"/>
      <c r="Q131" s="5"/>
      <c r="R131" s="135"/>
      <c r="S131" s="104"/>
      <c r="T131" s="21">
        <f t="shared" si="18"/>
        <v>0</v>
      </c>
      <c r="U131" s="131"/>
      <c r="V131" s="78">
        <f t="shared" si="19"/>
        <v>0</v>
      </c>
      <c r="W131" s="140"/>
      <c r="Y131" s="5"/>
    </row>
    <row r="132" spans="1:41" x14ac:dyDescent="0.25">
      <c r="A132" s="143">
        <v>19</v>
      </c>
      <c r="B132" s="92">
        <v>45282</v>
      </c>
      <c r="C132" s="32"/>
      <c r="D132" s="31"/>
      <c r="E132" s="32"/>
      <c r="F132" s="32"/>
      <c r="G132" s="32"/>
      <c r="H132" s="39"/>
      <c r="I132" s="39"/>
      <c r="J132" s="42"/>
      <c r="K132" s="43">
        <v>10</v>
      </c>
      <c r="L132" s="21"/>
      <c r="M132" s="21">
        <f t="shared" si="16"/>
        <v>10</v>
      </c>
      <c r="N132" s="21">
        <f t="shared" si="17"/>
        <v>-10</v>
      </c>
      <c r="O132" s="21"/>
      <c r="P132" s="21"/>
      <c r="Q132" s="5"/>
      <c r="R132" s="32"/>
      <c r="S132" s="32"/>
      <c r="T132" s="21">
        <f t="shared" si="18"/>
        <v>0</v>
      </c>
      <c r="U132" s="32"/>
      <c r="V132" s="78">
        <f t="shared" si="19"/>
        <v>0</v>
      </c>
      <c r="W132" s="140"/>
      <c r="Y132" s="5"/>
    </row>
    <row r="133" spans="1:4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141"/>
      <c r="X133" s="5"/>
      <c r="Y133" s="5"/>
    </row>
    <row r="134" spans="1:41" x14ac:dyDescent="0.25">
      <c r="A134" t="s">
        <v>3650</v>
      </c>
    </row>
    <row r="135" spans="1:41" x14ac:dyDescent="0.25">
      <c r="F135" t="s">
        <v>3645</v>
      </c>
      <c r="G135">
        <v>70</v>
      </c>
      <c r="J135">
        <f>+G135+G136+G137+J136+J137</f>
        <v>917</v>
      </c>
      <c r="M135" t="s">
        <v>3651</v>
      </c>
      <c r="N135">
        <v>254</v>
      </c>
    </row>
    <row r="136" spans="1:41" x14ac:dyDescent="0.25">
      <c r="F136" t="s">
        <v>3644</v>
      </c>
      <c r="G136">
        <v>40</v>
      </c>
      <c r="J136">
        <v>500</v>
      </c>
      <c r="N136">
        <f>+N135+G161</f>
        <v>254</v>
      </c>
      <c r="R136" s="83"/>
    </row>
    <row r="137" spans="1:41" x14ac:dyDescent="0.25">
      <c r="F137" t="s">
        <v>3646</v>
      </c>
      <c r="G137">
        <v>7</v>
      </c>
      <c r="J137">
        <v>300</v>
      </c>
      <c r="N137">
        <v>337</v>
      </c>
    </row>
    <row r="138" spans="1:41" x14ac:dyDescent="0.25">
      <c r="A138" s="1" t="s">
        <v>0</v>
      </c>
      <c r="B138" s="1"/>
      <c r="C138" s="1"/>
      <c r="D138" s="1"/>
      <c r="E138" s="1"/>
      <c r="F138" s="1"/>
      <c r="G138" s="1"/>
      <c r="H138" s="1"/>
      <c r="I138" s="1"/>
      <c r="J138" s="1" t="s">
        <v>148</v>
      </c>
      <c r="K138" s="1"/>
      <c r="L138" s="1"/>
      <c r="M138" s="1"/>
      <c r="N138" s="1"/>
      <c r="O138" s="1"/>
      <c r="P138" s="1"/>
      <c r="Q138" s="1"/>
      <c r="R138" s="1"/>
      <c r="S138" s="1"/>
      <c r="T138" s="342" t="s">
        <v>1</v>
      </c>
      <c r="U138" s="342"/>
      <c r="V138" s="5"/>
      <c r="W138" s="139"/>
      <c r="X138" s="1"/>
      <c r="Y138" s="5"/>
      <c r="AD138" s="335" t="s">
        <v>160</v>
      </c>
      <c r="AE138" s="336"/>
      <c r="AH138" s="335" t="s">
        <v>170</v>
      </c>
      <c r="AI138" s="336"/>
      <c r="AK138" s="337" t="s">
        <v>172</v>
      </c>
      <c r="AL138" s="337"/>
      <c r="AN138" s="337" t="s">
        <v>681</v>
      </c>
      <c r="AO138" s="337"/>
    </row>
    <row r="139" spans="1:41" ht="90" x14ac:dyDescent="0.25">
      <c r="A139" s="6" t="s">
        <v>2</v>
      </c>
      <c r="B139" s="7" t="s">
        <v>3</v>
      </c>
      <c r="C139" s="245" t="s">
        <v>688</v>
      </c>
      <c r="D139" s="7" t="s">
        <v>4</v>
      </c>
      <c r="E139" s="6" t="s">
        <v>5</v>
      </c>
      <c r="F139" s="6" t="s">
        <v>6</v>
      </c>
      <c r="G139" s="6" t="s">
        <v>7</v>
      </c>
      <c r="H139" s="6" t="s">
        <v>8</v>
      </c>
      <c r="I139" s="8" t="s">
        <v>9</v>
      </c>
      <c r="J139" s="9" t="s">
        <v>10</v>
      </c>
      <c r="K139" s="8" t="s">
        <v>11</v>
      </c>
      <c r="L139" s="10" t="s">
        <v>12</v>
      </c>
      <c r="M139" s="10" t="s">
        <v>13</v>
      </c>
      <c r="N139" s="11" t="s">
        <v>14</v>
      </c>
      <c r="O139" s="10" t="s">
        <v>691</v>
      </c>
      <c r="P139" s="10" t="s">
        <v>28</v>
      </c>
      <c r="Q139" s="5"/>
      <c r="R139" s="10" t="s">
        <v>16</v>
      </c>
      <c r="S139" s="10" t="s">
        <v>17</v>
      </c>
      <c r="T139" s="10" t="s">
        <v>18</v>
      </c>
      <c r="U139" s="10" t="s">
        <v>19</v>
      </c>
      <c r="V139" s="10" t="s">
        <v>20</v>
      </c>
      <c r="W139" s="13"/>
      <c r="X139" s="15" t="s">
        <v>23</v>
      </c>
      <c r="Y139" s="5"/>
      <c r="AA139" s="251" t="s">
        <v>2554</v>
      </c>
      <c r="AD139" s="16" t="s">
        <v>161</v>
      </c>
      <c r="AE139" s="58">
        <f>+AC139*10</f>
        <v>0</v>
      </c>
      <c r="AG139">
        <v>2</v>
      </c>
      <c r="AH139" s="16" t="s">
        <v>161</v>
      </c>
      <c r="AI139" s="58">
        <f>+AG139*10</f>
        <v>20</v>
      </c>
      <c r="AK139" s="61" t="s">
        <v>173</v>
      </c>
      <c r="AL139" s="62" t="s">
        <v>174</v>
      </c>
      <c r="AN139" s="16" t="s">
        <v>161</v>
      </c>
      <c r="AO139" s="58">
        <f>+AM139*10</f>
        <v>0</v>
      </c>
    </row>
    <row r="140" spans="1:41" x14ac:dyDescent="0.25">
      <c r="A140" s="16">
        <v>1</v>
      </c>
      <c r="B140" s="92">
        <v>45283</v>
      </c>
      <c r="C140" s="23"/>
      <c r="D140" s="31" t="s">
        <v>3627</v>
      </c>
      <c r="E140" s="32">
        <v>5624436149</v>
      </c>
      <c r="F140" s="32"/>
      <c r="G140" s="39" t="s">
        <v>3088</v>
      </c>
      <c r="H140" s="39" t="s">
        <v>3628</v>
      </c>
      <c r="I140" s="122"/>
      <c r="J140" s="32"/>
      <c r="K140" s="20">
        <v>10</v>
      </c>
      <c r="L140" s="21"/>
      <c r="M140" s="21">
        <f t="shared" ref="M140:M158" si="20">+J140+K140</f>
        <v>10</v>
      </c>
      <c r="N140" s="21">
        <f t="shared" ref="N140:N158" si="21">+I140-M140</f>
        <v>-10</v>
      </c>
      <c r="O140" s="21"/>
      <c r="P140" s="21"/>
      <c r="Q140" s="5"/>
      <c r="R140" s="21"/>
      <c r="S140" s="16"/>
      <c r="T140" s="21">
        <f t="shared" ref="T140:T158" si="22">+R140+S140</f>
        <v>0</v>
      </c>
      <c r="U140" s="21"/>
      <c r="V140" s="78">
        <f>+U140-T140+O140+P140</f>
        <v>0</v>
      </c>
      <c r="W140" s="13"/>
      <c r="X140" s="333"/>
      <c r="Y140" s="5"/>
      <c r="AC140">
        <v>13</v>
      </c>
      <c r="AD140" s="59" t="s">
        <v>162</v>
      </c>
      <c r="AE140" s="18">
        <f>+AC140*1</f>
        <v>13</v>
      </c>
      <c r="AG140">
        <v>40</v>
      </c>
      <c r="AH140" s="59" t="s">
        <v>162</v>
      </c>
      <c r="AI140" s="18">
        <f>+AG140*1</f>
        <v>40</v>
      </c>
      <c r="AK140" s="16">
        <v>1212</v>
      </c>
      <c r="AL140" s="16"/>
      <c r="AN140" s="59" t="s">
        <v>162</v>
      </c>
      <c r="AO140" s="18">
        <f>+AM140*1</f>
        <v>0</v>
      </c>
    </row>
    <row r="141" spans="1:41" x14ac:dyDescent="0.25">
      <c r="A141" s="26">
        <v>2</v>
      </c>
      <c r="B141" s="92">
        <v>45283</v>
      </c>
      <c r="C141" s="23"/>
      <c r="D141" s="31" t="s">
        <v>3629</v>
      </c>
      <c r="E141" s="32">
        <v>5553194802</v>
      </c>
      <c r="F141" s="32"/>
      <c r="G141" s="32" t="s">
        <v>3631</v>
      </c>
      <c r="H141" s="39" t="s">
        <v>3630</v>
      </c>
      <c r="I141" s="122"/>
      <c r="J141" s="32"/>
      <c r="K141" s="20">
        <v>10</v>
      </c>
      <c r="L141" s="21"/>
      <c r="M141" s="21">
        <f t="shared" si="20"/>
        <v>10</v>
      </c>
      <c r="N141" s="21">
        <f t="shared" si="21"/>
        <v>-10</v>
      </c>
      <c r="O141" s="21"/>
      <c r="P141" s="21"/>
      <c r="Q141" s="5"/>
      <c r="R141" s="21"/>
      <c r="S141" s="16"/>
      <c r="T141" s="21">
        <f t="shared" si="22"/>
        <v>0</v>
      </c>
      <c r="U141" s="21"/>
      <c r="V141" s="78">
        <f t="shared" ref="V141:V158" si="23">+U141-T141+O141+P141</f>
        <v>0</v>
      </c>
      <c r="W141" s="140"/>
      <c r="X141" s="334"/>
      <c r="Y141" s="5"/>
      <c r="AC141">
        <v>1</v>
      </c>
      <c r="AD141" s="16" t="s">
        <v>163</v>
      </c>
      <c r="AE141" s="60">
        <f>+AC141*5</f>
        <v>5</v>
      </c>
      <c r="AG141">
        <v>4</v>
      </c>
      <c r="AH141" s="16" t="s">
        <v>163</v>
      </c>
      <c r="AI141" s="60">
        <f>+AG141*5</f>
        <v>20</v>
      </c>
      <c r="AK141" s="16">
        <v>1000</v>
      </c>
      <c r="AL141" s="16"/>
      <c r="AN141" s="16" t="s">
        <v>163</v>
      </c>
      <c r="AO141" s="60">
        <f>+AM141*5</f>
        <v>0</v>
      </c>
    </row>
    <row r="142" spans="1:41" x14ac:dyDescent="0.25">
      <c r="A142" s="143">
        <v>3</v>
      </c>
      <c r="B142" s="92">
        <v>45283</v>
      </c>
      <c r="C142" s="23"/>
      <c r="D142" s="31" t="s">
        <v>128</v>
      </c>
      <c r="E142" s="32">
        <v>5530181574</v>
      </c>
      <c r="F142" s="32"/>
      <c r="G142" s="32">
        <v>844</v>
      </c>
      <c r="H142" s="39" t="s">
        <v>3632</v>
      </c>
      <c r="I142" s="122"/>
      <c r="J142" s="32"/>
      <c r="K142" s="20">
        <v>10</v>
      </c>
      <c r="L142" s="21"/>
      <c r="M142" s="21">
        <f t="shared" si="20"/>
        <v>10</v>
      </c>
      <c r="N142" s="21">
        <f t="shared" si="21"/>
        <v>-10</v>
      </c>
      <c r="O142" s="21"/>
      <c r="P142" s="21"/>
      <c r="Q142" s="5"/>
      <c r="R142" s="21"/>
      <c r="S142" s="16"/>
      <c r="T142" s="21">
        <f t="shared" si="22"/>
        <v>0</v>
      </c>
      <c r="U142" s="21"/>
      <c r="V142" s="78">
        <f t="shared" si="23"/>
        <v>0</v>
      </c>
      <c r="W142" s="140"/>
      <c r="X142" s="334"/>
      <c r="Y142" s="5"/>
      <c r="AD142" s="16" t="s">
        <v>164</v>
      </c>
      <c r="AE142" s="18">
        <f>+AC142*200</f>
        <v>0</v>
      </c>
      <c r="AH142" s="16" t="s">
        <v>164</v>
      </c>
      <c r="AI142" s="18">
        <f>+AG142*200</f>
        <v>0</v>
      </c>
      <c r="AK142" s="16"/>
      <c r="AL142" s="16"/>
      <c r="AN142" s="16" t="s">
        <v>164</v>
      </c>
      <c r="AO142" s="18">
        <f>+AM142*200</f>
        <v>0</v>
      </c>
    </row>
    <row r="143" spans="1:41" x14ac:dyDescent="0.25">
      <c r="A143" s="197">
        <v>4</v>
      </c>
      <c r="B143" s="198">
        <v>45283</v>
      </c>
      <c r="C143" s="255"/>
      <c r="D143" s="199" t="s">
        <v>24</v>
      </c>
      <c r="E143" s="207">
        <v>5562236073</v>
      </c>
      <c r="F143" s="207"/>
      <c r="G143" s="207" t="s">
        <v>3346</v>
      </c>
      <c r="H143" s="202" t="s">
        <v>3633</v>
      </c>
      <c r="I143" s="203"/>
      <c r="J143" s="207">
        <v>957</v>
      </c>
      <c r="K143" s="205">
        <v>40</v>
      </c>
      <c r="L143" s="206"/>
      <c r="M143" s="206">
        <f t="shared" si="20"/>
        <v>997</v>
      </c>
      <c r="N143" s="206">
        <f t="shared" si="21"/>
        <v>-997</v>
      </c>
      <c r="O143" s="206"/>
      <c r="P143" s="206"/>
      <c r="Q143" s="208"/>
      <c r="R143" s="206"/>
      <c r="S143" s="209"/>
      <c r="T143" s="206">
        <f t="shared" si="22"/>
        <v>0</v>
      </c>
      <c r="U143" s="206"/>
      <c r="V143" s="210">
        <f t="shared" si="23"/>
        <v>0</v>
      </c>
      <c r="W143" s="140"/>
      <c r="X143" s="334"/>
      <c r="Y143" s="5"/>
      <c r="AD143" s="16" t="s">
        <v>165</v>
      </c>
      <c r="AE143" s="18">
        <f>+AC143*100</f>
        <v>0</v>
      </c>
      <c r="AH143" s="16" t="s">
        <v>165</v>
      </c>
      <c r="AI143" s="18">
        <f>+AG143*100</f>
        <v>0</v>
      </c>
      <c r="AK143" s="16"/>
      <c r="AL143" s="16"/>
      <c r="AN143" s="16" t="s">
        <v>165</v>
      </c>
      <c r="AO143" s="18">
        <f>+AM143*100</f>
        <v>0</v>
      </c>
    </row>
    <row r="144" spans="1:41" x14ac:dyDescent="0.25">
      <c r="A144" s="143">
        <v>5</v>
      </c>
      <c r="B144" s="92">
        <v>45283</v>
      </c>
      <c r="C144" s="23"/>
      <c r="D144" s="31" t="s">
        <v>24</v>
      </c>
      <c r="E144" s="32">
        <v>5562236073</v>
      </c>
      <c r="F144" s="32"/>
      <c r="G144" s="32" t="s">
        <v>3346</v>
      </c>
      <c r="H144" s="32" t="s">
        <v>3637</v>
      </c>
      <c r="I144" s="122"/>
      <c r="J144" s="32">
        <v>0</v>
      </c>
      <c r="K144" s="20">
        <v>0</v>
      </c>
      <c r="L144" s="21"/>
      <c r="M144" s="21">
        <f t="shared" si="20"/>
        <v>0</v>
      </c>
      <c r="N144" s="21">
        <f t="shared" si="21"/>
        <v>0</v>
      </c>
      <c r="O144" s="21"/>
      <c r="P144" s="21"/>
      <c r="Q144" s="5"/>
      <c r="R144" s="16"/>
      <c r="S144" s="16"/>
      <c r="T144" s="21">
        <f t="shared" si="22"/>
        <v>0</v>
      </c>
      <c r="U144" s="21"/>
      <c r="V144" s="78">
        <f t="shared" si="23"/>
        <v>0</v>
      </c>
      <c r="W144" s="140"/>
      <c r="X144" s="334"/>
      <c r="Y144" s="5"/>
      <c r="AD144" s="16" t="s">
        <v>166</v>
      </c>
      <c r="AE144" s="18">
        <f>+AC144*50</f>
        <v>0</v>
      </c>
      <c r="AH144" s="16" t="s">
        <v>166</v>
      </c>
      <c r="AI144" s="18">
        <f>+AG144*50</f>
        <v>0</v>
      </c>
      <c r="AK144" s="16"/>
      <c r="AL144" s="16"/>
      <c r="AN144" s="16" t="s">
        <v>166</v>
      </c>
      <c r="AO144" s="18">
        <f>+AM144*50</f>
        <v>0</v>
      </c>
    </row>
    <row r="145" spans="1:41" x14ac:dyDescent="0.25">
      <c r="A145" s="143">
        <v>6</v>
      </c>
      <c r="B145" s="92">
        <v>45283</v>
      </c>
      <c r="C145" s="23"/>
      <c r="D145" s="31" t="s">
        <v>2281</v>
      </c>
      <c r="E145" s="32"/>
      <c r="F145" s="32"/>
      <c r="G145" s="32" t="s">
        <v>3010</v>
      </c>
      <c r="H145" s="32" t="s">
        <v>3638</v>
      </c>
      <c r="I145" s="122"/>
      <c r="J145" s="42"/>
      <c r="K145" s="20">
        <v>10</v>
      </c>
      <c r="L145" s="21"/>
      <c r="M145" s="21">
        <f t="shared" si="20"/>
        <v>10</v>
      </c>
      <c r="N145" s="21">
        <f t="shared" si="21"/>
        <v>-10</v>
      </c>
      <c r="O145" s="21"/>
      <c r="P145" s="21"/>
      <c r="Q145" s="5"/>
      <c r="R145" s="16"/>
      <c r="S145" s="16"/>
      <c r="T145" s="21">
        <f t="shared" si="22"/>
        <v>0</v>
      </c>
      <c r="U145" s="16"/>
      <c r="V145" s="78">
        <f t="shared" si="23"/>
        <v>0</v>
      </c>
      <c r="W145" s="140"/>
      <c r="X145" s="334"/>
      <c r="Y145" s="5"/>
      <c r="AC145">
        <v>1</v>
      </c>
      <c r="AD145" s="16" t="s">
        <v>167</v>
      </c>
      <c r="AE145" s="18">
        <f>+AC145*20</f>
        <v>20</v>
      </c>
      <c r="AG145">
        <v>1</v>
      </c>
      <c r="AH145" s="16" t="s">
        <v>167</v>
      </c>
      <c r="AI145" s="18">
        <f>+AG145*20</f>
        <v>20</v>
      </c>
      <c r="AK145" s="16"/>
      <c r="AL145" s="16"/>
      <c r="AN145" s="16" t="s">
        <v>167</v>
      </c>
      <c r="AO145" s="18">
        <f>+AM145*20</f>
        <v>0</v>
      </c>
    </row>
    <row r="146" spans="1:41" x14ac:dyDescent="0.25">
      <c r="A146" s="143">
        <v>7</v>
      </c>
      <c r="B146" s="92">
        <v>45283</v>
      </c>
      <c r="C146" s="23"/>
      <c r="D146" s="31" t="s">
        <v>3634</v>
      </c>
      <c r="E146" s="32"/>
      <c r="F146" s="32"/>
      <c r="G146" s="32" t="s">
        <v>3639</v>
      </c>
      <c r="H146" s="39"/>
      <c r="I146" s="39"/>
      <c r="J146" s="42"/>
      <c r="K146" s="20">
        <v>10</v>
      </c>
      <c r="L146" s="21"/>
      <c r="M146" s="21">
        <f t="shared" si="20"/>
        <v>10</v>
      </c>
      <c r="N146" s="21">
        <f t="shared" si="21"/>
        <v>-10</v>
      </c>
      <c r="O146" s="21"/>
      <c r="P146" s="21"/>
      <c r="Q146" s="5"/>
      <c r="R146" s="16"/>
      <c r="S146" s="16"/>
      <c r="T146" s="21">
        <f t="shared" si="22"/>
        <v>0</v>
      </c>
      <c r="U146" s="16"/>
      <c r="V146" s="78">
        <f t="shared" si="23"/>
        <v>0</v>
      </c>
      <c r="W146" s="140"/>
      <c r="X146" s="334"/>
      <c r="Y146" s="5"/>
      <c r="AD146" s="16" t="s">
        <v>171</v>
      </c>
      <c r="AE146" s="18">
        <f>+AC146*500</f>
        <v>0</v>
      </c>
      <c r="AH146" s="16" t="s">
        <v>171</v>
      </c>
      <c r="AI146" s="18">
        <f>+AG146*500</f>
        <v>0</v>
      </c>
      <c r="AK146" s="16"/>
      <c r="AL146" s="16"/>
      <c r="AN146" s="16" t="s">
        <v>171</v>
      </c>
      <c r="AO146" s="18">
        <f>+AM146*500</f>
        <v>0</v>
      </c>
    </row>
    <row r="147" spans="1:41" x14ac:dyDescent="0.25">
      <c r="A147" s="143">
        <v>8</v>
      </c>
      <c r="B147" s="92">
        <v>45283</v>
      </c>
      <c r="C147" s="23"/>
      <c r="D147" s="31" t="s">
        <v>1478</v>
      </c>
      <c r="E147" s="32"/>
      <c r="F147" s="32"/>
      <c r="G147" s="32"/>
      <c r="H147" s="39" t="s">
        <v>3641</v>
      </c>
      <c r="I147" s="122"/>
      <c r="J147" s="32"/>
      <c r="K147" s="20">
        <v>10</v>
      </c>
      <c r="L147" s="21"/>
      <c r="M147" s="21">
        <f t="shared" si="20"/>
        <v>10</v>
      </c>
      <c r="N147" s="21">
        <f t="shared" si="21"/>
        <v>-10</v>
      </c>
      <c r="O147" s="21"/>
      <c r="P147" s="21"/>
      <c r="Q147" s="5"/>
      <c r="R147" s="16"/>
      <c r="S147" s="16"/>
      <c r="T147" s="21">
        <f t="shared" si="22"/>
        <v>0</v>
      </c>
      <c r="U147" s="16"/>
      <c r="V147" s="78">
        <f t="shared" si="23"/>
        <v>0</v>
      </c>
      <c r="W147" s="140"/>
      <c r="X147" s="334"/>
      <c r="Y147" s="5"/>
      <c r="AD147" s="16" t="s">
        <v>168</v>
      </c>
      <c r="AE147" s="18">
        <f>+AC147*1000</f>
        <v>0</v>
      </c>
      <c r="AH147" s="16" t="s">
        <v>168</v>
      </c>
      <c r="AI147" s="18">
        <f>+AG147*1000</f>
        <v>0</v>
      </c>
      <c r="AK147" s="16"/>
      <c r="AL147" s="16"/>
      <c r="AN147" s="16" t="s">
        <v>168</v>
      </c>
      <c r="AO147" s="18">
        <f>+AM147*1000</f>
        <v>0</v>
      </c>
    </row>
    <row r="148" spans="1:41" x14ac:dyDescent="0.25">
      <c r="A148" s="197">
        <v>9</v>
      </c>
      <c r="B148" s="198">
        <v>45283</v>
      </c>
      <c r="C148" s="255"/>
      <c r="D148" s="199" t="s">
        <v>119</v>
      </c>
      <c r="E148" s="201"/>
      <c r="F148" s="201"/>
      <c r="G148" s="201"/>
      <c r="H148" s="202" t="s">
        <v>3643</v>
      </c>
      <c r="I148" s="203"/>
      <c r="J148" s="293">
        <v>80</v>
      </c>
      <c r="K148" s="205">
        <v>10</v>
      </c>
      <c r="L148" s="206"/>
      <c r="M148" s="206">
        <f t="shared" si="20"/>
        <v>90</v>
      </c>
      <c r="N148" s="206">
        <f t="shared" si="21"/>
        <v>-90</v>
      </c>
      <c r="O148" s="206"/>
      <c r="P148" s="206"/>
      <c r="Q148" s="208"/>
      <c r="R148" s="209"/>
      <c r="S148" s="209"/>
      <c r="T148" s="206">
        <f t="shared" si="22"/>
        <v>0</v>
      </c>
      <c r="U148" s="209"/>
      <c r="V148" s="210">
        <f t="shared" si="23"/>
        <v>0</v>
      </c>
      <c r="W148" s="140"/>
      <c r="X148" s="334"/>
      <c r="Y148" s="5"/>
      <c r="AD148" s="26"/>
      <c r="AE148" s="58"/>
      <c r="AH148" s="26"/>
      <c r="AI148" s="58"/>
      <c r="AK148" s="16"/>
      <c r="AL148" s="16"/>
      <c r="AN148" s="26"/>
      <c r="AO148" s="58"/>
    </row>
    <row r="149" spans="1:41" x14ac:dyDescent="0.25">
      <c r="A149" s="143">
        <v>10</v>
      </c>
      <c r="B149" s="92">
        <v>45283</v>
      </c>
      <c r="C149" s="23"/>
      <c r="D149" s="31" t="s">
        <v>2489</v>
      </c>
      <c r="E149" s="32"/>
      <c r="F149" s="32"/>
      <c r="G149" s="32"/>
      <c r="H149" s="123" t="s">
        <v>3642</v>
      </c>
      <c r="I149" s="39"/>
      <c r="J149" s="42"/>
      <c r="K149" s="20">
        <v>10</v>
      </c>
      <c r="L149" s="21"/>
      <c r="M149" s="21">
        <f t="shared" si="20"/>
        <v>10</v>
      </c>
      <c r="N149" s="21">
        <f t="shared" si="21"/>
        <v>-10</v>
      </c>
      <c r="O149" s="21"/>
      <c r="P149" s="21"/>
      <c r="Q149" s="5"/>
      <c r="R149" s="16"/>
      <c r="S149" s="16"/>
      <c r="T149" s="21">
        <f t="shared" si="22"/>
        <v>0</v>
      </c>
      <c r="U149" s="16"/>
      <c r="V149" s="78">
        <f t="shared" si="23"/>
        <v>0</v>
      </c>
      <c r="W149" s="140"/>
      <c r="X149" s="334"/>
      <c r="Y149" s="5"/>
      <c r="AD149" s="16" t="s">
        <v>169</v>
      </c>
      <c r="AE149" s="18">
        <f>SUM(AE139:AE148)</f>
        <v>38</v>
      </c>
      <c r="AH149" s="16" t="s">
        <v>169</v>
      </c>
      <c r="AI149" s="18">
        <f>SUM(AI139:AI148)</f>
        <v>100</v>
      </c>
      <c r="AK149" s="16"/>
      <c r="AL149" s="16"/>
      <c r="AN149" s="16" t="s">
        <v>169</v>
      </c>
      <c r="AO149" s="18"/>
    </row>
    <row r="150" spans="1:41" x14ac:dyDescent="0.25">
      <c r="A150" s="143">
        <v>11</v>
      </c>
      <c r="B150" s="92">
        <v>45283</v>
      </c>
      <c r="C150" s="23"/>
      <c r="D150" s="31" t="s">
        <v>1439</v>
      </c>
      <c r="E150" s="124"/>
      <c r="F150" s="123"/>
      <c r="G150" s="123" t="s">
        <v>3636</v>
      </c>
      <c r="H150" s="39" t="s">
        <v>3635</v>
      </c>
      <c r="I150" s="122"/>
      <c r="J150" s="42"/>
      <c r="K150" s="20">
        <v>10</v>
      </c>
      <c r="L150" s="21"/>
      <c r="M150" s="21">
        <f t="shared" si="20"/>
        <v>10</v>
      </c>
      <c r="N150" s="21">
        <f t="shared" si="21"/>
        <v>-10</v>
      </c>
      <c r="O150" s="21"/>
      <c r="P150" s="21"/>
      <c r="Q150" s="5"/>
      <c r="R150" s="16">
        <v>500</v>
      </c>
      <c r="S150" s="16"/>
      <c r="T150" s="21">
        <f t="shared" si="22"/>
        <v>500</v>
      </c>
      <c r="U150" s="16"/>
      <c r="V150" s="78">
        <f t="shared" si="23"/>
        <v>-500</v>
      </c>
      <c r="W150" s="140"/>
      <c r="X150" s="334"/>
      <c r="Y150" s="5"/>
      <c r="AK150" s="16"/>
      <c r="AL150" s="16"/>
      <c r="AN150" s="16"/>
      <c r="AO150" s="16"/>
    </row>
    <row r="151" spans="1:41" x14ac:dyDescent="0.25">
      <c r="A151" s="143">
        <v>12</v>
      </c>
      <c r="B151" s="92">
        <v>45283</v>
      </c>
      <c r="C151" s="23"/>
      <c r="D151" s="31" t="s">
        <v>3580</v>
      </c>
      <c r="E151" s="124"/>
      <c r="F151" s="123"/>
      <c r="G151" s="123"/>
      <c r="H151" s="39" t="s">
        <v>3640</v>
      </c>
      <c r="I151" s="122"/>
      <c r="J151" s="42"/>
      <c r="K151" s="20">
        <v>10</v>
      </c>
      <c r="L151" s="21"/>
      <c r="M151" s="21">
        <f t="shared" si="20"/>
        <v>10</v>
      </c>
      <c r="N151" s="21">
        <f t="shared" si="21"/>
        <v>-10</v>
      </c>
      <c r="O151" s="21"/>
      <c r="P151" s="21"/>
      <c r="Q151" s="5"/>
      <c r="R151" s="45"/>
      <c r="S151" s="44"/>
      <c r="T151" s="21">
        <f t="shared" si="22"/>
        <v>0</v>
      </c>
      <c r="U151" s="45"/>
      <c r="V151" s="78">
        <f t="shared" si="23"/>
        <v>0</v>
      </c>
      <c r="W151" s="140"/>
      <c r="X151" s="334"/>
      <c r="Y151" s="5"/>
      <c r="AK151" s="63" t="s">
        <v>169</v>
      </c>
      <c r="AL151" s="63">
        <f>+SUM(AK140:AK150)-SUM(AL140:AL150)</f>
        <v>2212</v>
      </c>
      <c r="AN151" s="63" t="s">
        <v>169</v>
      </c>
      <c r="AO151" s="85">
        <f>+SUM(AN139:AN150)-SUM(AO140:AO150)</f>
        <v>0</v>
      </c>
    </row>
    <row r="152" spans="1:41" x14ac:dyDescent="0.25">
      <c r="A152" s="143">
        <v>13</v>
      </c>
      <c r="B152" s="92">
        <v>45283</v>
      </c>
      <c r="C152" s="23"/>
      <c r="D152" s="32" t="s">
        <v>3649</v>
      </c>
      <c r="E152" s="32"/>
      <c r="F152" s="124"/>
      <c r="G152" s="123" t="s">
        <v>3648</v>
      </c>
      <c r="H152" s="39" t="s">
        <v>3647</v>
      </c>
      <c r="I152" s="39"/>
      <c r="J152" s="42"/>
      <c r="K152" s="108">
        <v>10</v>
      </c>
      <c r="L152" s="21"/>
      <c r="M152" s="21">
        <f t="shared" si="20"/>
        <v>10</v>
      </c>
      <c r="N152" s="21">
        <f t="shared" si="21"/>
        <v>-10</v>
      </c>
      <c r="O152" s="21"/>
      <c r="P152" s="21"/>
      <c r="Q152" s="5"/>
      <c r="R152" s="43">
        <v>400</v>
      </c>
      <c r="S152" s="32"/>
      <c r="T152" s="21">
        <f t="shared" si="22"/>
        <v>400</v>
      </c>
      <c r="U152" s="43"/>
      <c r="V152" s="78">
        <f t="shared" si="23"/>
        <v>-400</v>
      </c>
      <c r="W152" s="140"/>
      <c r="X152" s="334"/>
      <c r="Y152" s="5"/>
      <c r="AI152" s="83"/>
    </row>
    <row r="153" spans="1:41" x14ac:dyDescent="0.25">
      <c r="A153" s="143">
        <v>14</v>
      </c>
      <c r="B153" s="92">
        <v>45283</v>
      </c>
      <c r="C153" s="23"/>
      <c r="D153" s="31" t="s">
        <v>2045</v>
      </c>
      <c r="E153" s="32"/>
      <c r="F153" s="32" t="s">
        <v>52</v>
      </c>
      <c r="G153" s="32" t="s">
        <v>3652</v>
      </c>
      <c r="H153" s="39" t="s">
        <v>3653</v>
      </c>
      <c r="I153" s="39"/>
      <c r="J153" s="42"/>
      <c r="K153" s="108">
        <v>10</v>
      </c>
      <c r="L153" s="21"/>
      <c r="M153" s="21">
        <f t="shared" si="20"/>
        <v>10</v>
      </c>
      <c r="N153" s="21">
        <f t="shared" si="21"/>
        <v>-10</v>
      </c>
      <c r="O153" s="21"/>
      <c r="P153" s="21"/>
      <c r="Q153" s="5"/>
      <c r="R153" s="43"/>
      <c r="S153" s="43"/>
      <c r="T153" s="21">
        <f t="shared" si="22"/>
        <v>0</v>
      </c>
      <c r="U153" s="43"/>
      <c r="V153" s="78">
        <f t="shared" si="23"/>
        <v>0</v>
      </c>
      <c r="W153" s="140"/>
      <c r="X153" s="334"/>
      <c r="Y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</row>
    <row r="154" spans="1:41" x14ac:dyDescent="0.25">
      <c r="A154" s="143">
        <v>15</v>
      </c>
      <c r="B154" s="92">
        <v>45283</v>
      </c>
      <c r="C154" s="23"/>
      <c r="D154" s="127" t="s">
        <v>3124</v>
      </c>
      <c r="E154" s="32"/>
      <c r="F154" s="32" t="s">
        <v>38</v>
      </c>
      <c r="G154" s="128" t="s">
        <v>3654</v>
      </c>
      <c r="H154" s="129" t="s">
        <v>3655</v>
      </c>
      <c r="I154" s="39"/>
      <c r="J154" s="42"/>
      <c r="K154" s="108">
        <v>10</v>
      </c>
      <c r="L154" s="21"/>
      <c r="M154" s="21">
        <f t="shared" si="20"/>
        <v>10</v>
      </c>
      <c r="N154" s="21">
        <f t="shared" si="21"/>
        <v>-10</v>
      </c>
      <c r="O154" s="21"/>
      <c r="P154" s="21"/>
      <c r="Q154" s="5"/>
      <c r="R154" s="43"/>
      <c r="S154" s="43"/>
      <c r="T154" s="21">
        <f t="shared" si="22"/>
        <v>0</v>
      </c>
      <c r="U154" s="43"/>
      <c r="V154" s="78">
        <f t="shared" si="23"/>
        <v>0</v>
      </c>
      <c r="W154" s="140"/>
      <c r="X154" s="334"/>
      <c r="Y154" s="5"/>
      <c r="AD154" s="5"/>
      <c r="AE154" s="134" t="s">
        <v>20</v>
      </c>
      <c r="AF154" s="338"/>
      <c r="AG154" s="341" t="s">
        <v>686</v>
      </c>
      <c r="AH154" s="134" t="s">
        <v>20</v>
      </c>
      <c r="AI154" s="338"/>
      <c r="AJ154" s="341" t="s">
        <v>687</v>
      </c>
      <c r="AK154" s="134" t="s">
        <v>20</v>
      </c>
      <c r="AL154" s="338"/>
      <c r="AM154" s="5"/>
    </row>
    <row r="155" spans="1:41" x14ac:dyDescent="0.25">
      <c r="A155" s="143">
        <v>16</v>
      </c>
      <c r="B155" s="92">
        <v>45283</v>
      </c>
      <c r="C155" s="23"/>
      <c r="D155" s="31" t="s">
        <v>30</v>
      </c>
      <c r="E155" s="32"/>
      <c r="F155" s="32" t="s">
        <v>52</v>
      </c>
      <c r="G155" s="32" t="s">
        <v>3241</v>
      </c>
      <c r="H155" s="39" t="s">
        <v>3656</v>
      </c>
      <c r="I155" s="39">
        <v>170</v>
      </c>
      <c r="J155" s="42">
        <v>145</v>
      </c>
      <c r="K155" s="43">
        <v>15</v>
      </c>
      <c r="L155" s="21">
        <v>10</v>
      </c>
      <c r="M155" s="21">
        <f t="shared" si="20"/>
        <v>160</v>
      </c>
      <c r="N155" s="21">
        <f t="shared" si="21"/>
        <v>10</v>
      </c>
      <c r="O155" s="21"/>
      <c r="P155" s="21"/>
      <c r="Q155" s="5"/>
      <c r="R155" s="43"/>
      <c r="S155" s="32"/>
      <c r="T155" s="21">
        <f t="shared" si="22"/>
        <v>0</v>
      </c>
      <c r="U155" s="131"/>
      <c r="V155" s="78">
        <f t="shared" si="23"/>
        <v>0</v>
      </c>
      <c r="W155" s="140"/>
      <c r="X155" s="334"/>
      <c r="Y155" s="5"/>
      <c r="AD155" s="5" t="s">
        <v>685</v>
      </c>
      <c r="AE155" s="115" t="s">
        <v>684</v>
      </c>
      <c r="AF155" s="339"/>
      <c r="AG155" s="341"/>
      <c r="AH155" s="115" t="s">
        <v>684</v>
      </c>
      <c r="AI155" s="339"/>
      <c r="AJ155" s="341"/>
      <c r="AK155" s="115" t="s">
        <v>684</v>
      </c>
      <c r="AL155" s="339"/>
      <c r="AM155" s="5"/>
    </row>
    <row r="156" spans="1:41" x14ac:dyDescent="0.25">
      <c r="A156" s="143">
        <v>17</v>
      </c>
      <c r="B156" s="92">
        <v>45283</v>
      </c>
      <c r="C156" s="23"/>
      <c r="D156" s="31"/>
      <c r="E156" s="32"/>
      <c r="F156" s="32"/>
      <c r="G156" s="32"/>
      <c r="H156" s="39"/>
      <c r="I156" s="39"/>
      <c r="J156" s="42"/>
      <c r="K156" s="43">
        <v>10</v>
      </c>
      <c r="L156" s="21"/>
      <c r="M156" s="21">
        <f t="shared" si="20"/>
        <v>10</v>
      </c>
      <c r="N156" s="21">
        <f t="shared" si="21"/>
        <v>-10</v>
      </c>
      <c r="O156" s="21"/>
      <c r="P156" s="21"/>
      <c r="Q156" s="5"/>
      <c r="R156" s="43"/>
      <c r="S156" s="32"/>
      <c r="T156" s="21">
        <f t="shared" si="22"/>
        <v>0</v>
      </c>
      <c r="U156" s="132"/>
      <c r="V156" s="78">
        <f t="shared" si="23"/>
        <v>0</v>
      </c>
      <c r="W156" s="140"/>
      <c r="X156" s="340"/>
      <c r="Y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</row>
    <row r="157" spans="1:41" x14ac:dyDescent="0.25">
      <c r="A157" s="143">
        <v>18</v>
      </c>
      <c r="B157" s="92">
        <v>45283</v>
      </c>
      <c r="C157" s="32"/>
      <c r="D157" s="31"/>
      <c r="E157" s="32"/>
      <c r="F157" s="32"/>
      <c r="G157" s="32"/>
      <c r="H157" s="39"/>
      <c r="I157" s="39"/>
      <c r="J157" s="42"/>
      <c r="K157" s="43">
        <v>10</v>
      </c>
      <c r="L157" s="21"/>
      <c r="M157" s="21">
        <f t="shared" si="20"/>
        <v>10</v>
      </c>
      <c r="N157" s="21">
        <f t="shared" si="21"/>
        <v>-10</v>
      </c>
      <c r="O157" s="21"/>
      <c r="P157" s="21"/>
      <c r="Q157" s="5"/>
      <c r="R157" s="135"/>
      <c r="S157" s="104"/>
      <c r="T157" s="21">
        <f t="shared" si="22"/>
        <v>0</v>
      </c>
      <c r="U157" s="131"/>
      <c r="V157" s="78">
        <f t="shared" si="23"/>
        <v>0</v>
      </c>
      <c r="W157" s="140"/>
      <c r="Y157" s="5"/>
    </row>
    <row r="158" spans="1:41" x14ac:dyDescent="0.25">
      <c r="A158" s="143">
        <v>19</v>
      </c>
      <c r="B158" s="92">
        <v>45283</v>
      </c>
      <c r="C158" s="32"/>
      <c r="D158" s="31"/>
      <c r="E158" s="32"/>
      <c r="F158" s="32"/>
      <c r="G158" s="32"/>
      <c r="H158" s="39"/>
      <c r="I158" s="39"/>
      <c r="J158" s="42"/>
      <c r="K158" s="43">
        <v>10</v>
      </c>
      <c r="L158" s="21"/>
      <c r="M158" s="21">
        <f t="shared" si="20"/>
        <v>10</v>
      </c>
      <c r="N158" s="21">
        <f t="shared" si="21"/>
        <v>-10</v>
      </c>
      <c r="O158" s="21"/>
      <c r="P158" s="21"/>
      <c r="Q158" s="5"/>
      <c r="R158" s="32"/>
      <c r="S158" s="32"/>
      <c r="T158" s="21">
        <f t="shared" si="22"/>
        <v>0</v>
      </c>
      <c r="U158" s="32"/>
      <c r="V158" s="78">
        <f t="shared" si="23"/>
        <v>0</v>
      </c>
      <c r="W158" s="140"/>
      <c r="Y158" s="5"/>
    </row>
    <row r="159" spans="1:4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141"/>
      <c r="X159" s="5"/>
      <c r="Y159" s="5"/>
    </row>
    <row r="163" spans="1:41" x14ac:dyDescent="0.25">
      <c r="A163" s="1" t="s">
        <v>0</v>
      </c>
      <c r="B163" s="1"/>
      <c r="C163" s="1"/>
      <c r="D163" s="1"/>
      <c r="E163" s="1"/>
      <c r="F163" s="1"/>
      <c r="G163" s="1"/>
      <c r="H163" s="1"/>
      <c r="I163" s="1"/>
      <c r="J163" s="1" t="s">
        <v>148</v>
      </c>
      <c r="K163" s="1"/>
      <c r="L163" s="1"/>
      <c r="M163" s="1"/>
      <c r="N163" s="1"/>
      <c r="O163" s="1"/>
      <c r="P163" s="1"/>
      <c r="Q163" s="1"/>
      <c r="R163" s="1"/>
      <c r="S163" s="1"/>
      <c r="T163" s="342" t="s">
        <v>1</v>
      </c>
      <c r="U163" s="342"/>
      <c r="V163" s="5"/>
      <c r="W163" s="139"/>
      <c r="X163" s="1"/>
      <c r="Y163" s="5"/>
      <c r="AD163" s="335" t="s">
        <v>160</v>
      </c>
      <c r="AE163" s="336"/>
      <c r="AH163" s="335" t="s">
        <v>170</v>
      </c>
      <c r="AI163" s="336"/>
      <c r="AK163" s="337" t="s">
        <v>172</v>
      </c>
      <c r="AL163" s="337"/>
      <c r="AN163" s="337" t="s">
        <v>681</v>
      </c>
      <c r="AO163" s="337"/>
    </row>
    <row r="164" spans="1:41" ht="90" x14ac:dyDescent="0.25">
      <c r="A164" s="6" t="s">
        <v>2</v>
      </c>
      <c r="B164" s="7" t="s">
        <v>3</v>
      </c>
      <c r="C164" s="245" t="s">
        <v>688</v>
      </c>
      <c r="D164" s="7" t="s">
        <v>4</v>
      </c>
      <c r="E164" s="6" t="s">
        <v>5</v>
      </c>
      <c r="F164" s="6" t="s">
        <v>6</v>
      </c>
      <c r="G164" s="6" t="s">
        <v>7</v>
      </c>
      <c r="H164" s="6" t="s">
        <v>8</v>
      </c>
      <c r="I164" s="8" t="s">
        <v>9</v>
      </c>
      <c r="J164" s="9" t="s">
        <v>10</v>
      </c>
      <c r="K164" s="8" t="s">
        <v>11</v>
      </c>
      <c r="L164" s="10" t="s">
        <v>12</v>
      </c>
      <c r="M164" s="10" t="s">
        <v>13</v>
      </c>
      <c r="N164" s="11" t="s">
        <v>14</v>
      </c>
      <c r="O164" s="10" t="s">
        <v>691</v>
      </c>
      <c r="P164" s="10" t="s">
        <v>28</v>
      </c>
      <c r="Q164" s="5"/>
      <c r="R164" s="10" t="s">
        <v>16</v>
      </c>
      <c r="S164" s="10" t="s">
        <v>17</v>
      </c>
      <c r="T164" s="10" t="s">
        <v>18</v>
      </c>
      <c r="U164" s="10" t="s">
        <v>19</v>
      </c>
      <c r="V164" s="10" t="s">
        <v>20</v>
      </c>
      <c r="W164" s="13"/>
      <c r="X164" s="15" t="s">
        <v>23</v>
      </c>
      <c r="Y164" s="5"/>
      <c r="AA164" s="251" t="s">
        <v>2554</v>
      </c>
      <c r="AD164" s="16" t="s">
        <v>161</v>
      </c>
      <c r="AE164" s="58">
        <f>+AC164*10</f>
        <v>0</v>
      </c>
      <c r="AG164">
        <v>3</v>
      </c>
      <c r="AH164" s="16" t="s">
        <v>161</v>
      </c>
      <c r="AI164" s="58">
        <f>+AG164*10</f>
        <v>30</v>
      </c>
      <c r="AK164" s="61" t="s">
        <v>173</v>
      </c>
      <c r="AL164" s="62" t="s">
        <v>174</v>
      </c>
      <c r="AN164" s="16" t="s">
        <v>161</v>
      </c>
      <c r="AO164" s="58">
        <f>+AM164*10</f>
        <v>0</v>
      </c>
    </row>
    <row r="165" spans="1:41" x14ac:dyDescent="0.25">
      <c r="A165" s="16">
        <v>1</v>
      </c>
      <c r="B165" s="92">
        <v>45284</v>
      </c>
      <c r="C165" s="23"/>
      <c r="D165" s="31" t="s">
        <v>3661</v>
      </c>
      <c r="E165" s="32"/>
      <c r="F165" s="32"/>
      <c r="G165" s="39"/>
      <c r="H165" s="39"/>
      <c r="I165" s="122"/>
      <c r="J165" s="32"/>
      <c r="K165" s="20">
        <v>10</v>
      </c>
      <c r="L165" s="21"/>
      <c r="M165" s="21">
        <f t="shared" ref="M165:M183" si="24">+J165+K165</f>
        <v>10</v>
      </c>
      <c r="N165" s="21">
        <f t="shared" ref="N165:N183" si="25">+I165-M165</f>
        <v>-10</v>
      </c>
      <c r="O165" s="21"/>
      <c r="P165" s="21"/>
      <c r="Q165" s="5"/>
      <c r="R165" s="21"/>
      <c r="S165" s="16"/>
      <c r="T165" s="21">
        <f t="shared" ref="T165:T183" si="26">+R165+S165</f>
        <v>0</v>
      </c>
      <c r="U165" s="21"/>
      <c r="V165" s="78">
        <f>+U165-T165+O165+P165</f>
        <v>0</v>
      </c>
      <c r="W165" s="13"/>
      <c r="X165" s="333"/>
      <c r="Y165" s="5"/>
      <c r="AD165" s="59" t="s">
        <v>162</v>
      </c>
      <c r="AE165" s="18">
        <f>+AC165*1</f>
        <v>0</v>
      </c>
      <c r="AG165">
        <v>25</v>
      </c>
      <c r="AH165" s="59" t="s">
        <v>162</v>
      </c>
      <c r="AI165" s="18">
        <f>+AG165*1</f>
        <v>25</v>
      </c>
      <c r="AK165" s="16"/>
      <c r="AL165" s="16"/>
      <c r="AN165" s="59" t="s">
        <v>162</v>
      </c>
      <c r="AO165" s="18">
        <f>+AM165*1</f>
        <v>0</v>
      </c>
    </row>
    <row r="166" spans="1:41" x14ac:dyDescent="0.25">
      <c r="A166" s="26">
        <v>2</v>
      </c>
      <c r="B166" s="92">
        <v>45284</v>
      </c>
      <c r="C166" s="23"/>
      <c r="D166" s="31" t="s">
        <v>3661</v>
      </c>
      <c r="E166" s="32"/>
      <c r="F166" s="32"/>
      <c r="G166" s="32"/>
      <c r="H166" s="39"/>
      <c r="I166" s="122"/>
      <c r="J166" s="32"/>
      <c r="K166" s="20">
        <v>10</v>
      </c>
      <c r="L166" s="21"/>
      <c r="M166" s="21">
        <f t="shared" si="24"/>
        <v>10</v>
      </c>
      <c r="N166" s="21">
        <f t="shared" si="25"/>
        <v>-10</v>
      </c>
      <c r="O166" s="21"/>
      <c r="P166" s="21"/>
      <c r="Q166" s="5"/>
      <c r="R166" s="21"/>
      <c r="S166" s="16"/>
      <c r="T166" s="21">
        <f t="shared" si="26"/>
        <v>0</v>
      </c>
      <c r="U166" s="21"/>
      <c r="V166" s="78">
        <f t="shared" ref="V166:V183" si="27">+U166-T166+O166+P166</f>
        <v>0</v>
      </c>
      <c r="W166" s="140"/>
      <c r="X166" s="334"/>
      <c r="Y166" s="5"/>
      <c r="AD166" s="16" t="s">
        <v>163</v>
      </c>
      <c r="AE166" s="60">
        <f>+AC166*5</f>
        <v>0</v>
      </c>
      <c r="AG166">
        <v>4</v>
      </c>
      <c r="AH166" s="16" t="s">
        <v>163</v>
      </c>
      <c r="AI166" s="60">
        <f>+AG166*5</f>
        <v>20</v>
      </c>
      <c r="AK166" s="16"/>
      <c r="AL166" s="16"/>
      <c r="AN166" s="16" t="s">
        <v>163</v>
      </c>
      <c r="AO166" s="60">
        <f>+AM166*5</f>
        <v>0</v>
      </c>
    </row>
    <row r="167" spans="1:41" x14ac:dyDescent="0.25">
      <c r="A167" s="143">
        <v>3</v>
      </c>
      <c r="B167" s="92">
        <v>45284</v>
      </c>
      <c r="C167" s="23"/>
      <c r="D167" s="31" t="s">
        <v>3660</v>
      </c>
      <c r="E167" s="32"/>
      <c r="F167" s="32"/>
      <c r="G167" s="32"/>
      <c r="H167" s="39"/>
      <c r="I167" s="122"/>
      <c r="J167" s="32"/>
      <c r="K167" s="20">
        <v>10</v>
      </c>
      <c r="L167" s="21"/>
      <c r="M167" s="21">
        <f t="shared" si="24"/>
        <v>10</v>
      </c>
      <c r="N167" s="21">
        <f t="shared" si="25"/>
        <v>-10</v>
      </c>
      <c r="O167" s="21"/>
      <c r="P167" s="21"/>
      <c r="Q167" s="5"/>
      <c r="R167" s="21"/>
      <c r="S167" s="16"/>
      <c r="T167" s="21">
        <f t="shared" si="26"/>
        <v>0</v>
      </c>
      <c r="U167" s="21"/>
      <c r="V167" s="78">
        <f t="shared" si="27"/>
        <v>0</v>
      </c>
      <c r="W167" s="140"/>
      <c r="X167" s="334"/>
      <c r="Y167" s="5"/>
      <c r="AD167" s="16" t="s">
        <v>164</v>
      </c>
      <c r="AE167" s="18">
        <f>+AC167*200</f>
        <v>0</v>
      </c>
      <c r="AH167" s="16" t="s">
        <v>164</v>
      </c>
      <c r="AI167" s="18">
        <f>+AG167*200</f>
        <v>0</v>
      </c>
      <c r="AK167" s="16"/>
      <c r="AL167" s="16"/>
      <c r="AN167" s="16" t="s">
        <v>164</v>
      </c>
      <c r="AO167" s="18">
        <f>+AM167*200</f>
        <v>0</v>
      </c>
    </row>
    <row r="168" spans="1:41" x14ac:dyDescent="0.25">
      <c r="A168" s="143">
        <v>4</v>
      </c>
      <c r="B168" s="92">
        <v>45284</v>
      </c>
      <c r="C168" s="23"/>
      <c r="D168" s="31" t="s">
        <v>923</v>
      </c>
      <c r="E168" s="32"/>
      <c r="F168" s="32"/>
      <c r="G168" s="32"/>
      <c r="H168" s="39"/>
      <c r="I168" s="122"/>
      <c r="J168" s="32"/>
      <c r="K168" s="20">
        <v>10</v>
      </c>
      <c r="L168" s="21"/>
      <c r="M168" s="21">
        <f t="shared" si="24"/>
        <v>10</v>
      </c>
      <c r="N168" s="21">
        <f t="shared" si="25"/>
        <v>-10</v>
      </c>
      <c r="O168" s="21"/>
      <c r="P168" s="21"/>
      <c r="Q168" s="5"/>
      <c r="R168" s="21"/>
      <c r="S168" s="16"/>
      <c r="T168" s="21">
        <f t="shared" si="26"/>
        <v>0</v>
      </c>
      <c r="U168" s="21"/>
      <c r="V168" s="78">
        <f t="shared" si="27"/>
        <v>0</v>
      </c>
      <c r="W168" s="140"/>
      <c r="X168" s="334"/>
      <c r="Y168" s="5"/>
      <c r="AD168" s="16" t="s">
        <v>165</v>
      </c>
      <c r="AE168" s="18">
        <f>+AC168*100</f>
        <v>0</v>
      </c>
      <c r="AH168" s="16" t="s">
        <v>165</v>
      </c>
      <c r="AI168" s="18">
        <f>+AG168*100</f>
        <v>0</v>
      </c>
      <c r="AK168" s="16"/>
      <c r="AL168" s="16"/>
      <c r="AN168" s="16" t="s">
        <v>165</v>
      </c>
      <c r="AO168" s="18">
        <f>+AM168*100</f>
        <v>0</v>
      </c>
    </row>
    <row r="169" spans="1:41" x14ac:dyDescent="0.25">
      <c r="A169" s="143">
        <v>5</v>
      </c>
      <c r="B169" s="92">
        <v>45284</v>
      </c>
      <c r="C169" s="23"/>
      <c r="D169" s="31" t="s">
        <v>2685</v>
      </c>
      <c r="E169" s="32"/>
      <c r="F169" s="32"/>
      <c r="G169" s="32"/>
      <c r="H169" s="32"/>
      <c r="I169" s="122"/>
      <c r="J169" s="32"/>
      <c r="K169" s="20">
        <v>10</v>
      </c>
      <c r="L169" s="21"/>
      <c r="M169" s="21">
        <f t="shared" si="24"/>
        <v>10</v>
      </c>
      <c r="N169" s="21">
        <f t="shared" si="25"/>
        <v>-10</v>
      </c>
      <c r="O169" s="21"/>
      <c r="P169" s="21"/>
      <c r="Q169" s="5"/>
      <c r="R169" s="16"/>
      <c r="S169" s="16"/>
      <c r="T169" s="21">
        <f t="shared" si="26"/>
        <v>0</v>
      </c>
      <c r="U169" s="21"/>
      <c r="V169" s="78">
        <f t="shared" si="27"/>
        <v>0</v>
      </c>
      <c r="W169" s="140"/>
      <c r="X169" s="334"/>
      <c r="Y169" s="5"/>
      <c r="AD169" s="16" t="s">
        <v>166</v>
      </c>
      <c r="AE169" s="18">
        <f>+AC169*50</f>
        <v>0</v>
      </c>
      <c r="AH169" s="16" t="s">
        <v>166</v>
      </c>
      <c r="AI169" s="18">
        <f>+AG169*50</f>
        <v>0</v>
      </c>
      <c r="AK169" s="16"/>
      <c r="AL169" s="16"/>
      <c r="AN169" s="16" t="s">
        <v>166</v>
      </c>
      <c r="AO169" s="18">
        <f>+AM169*50</f>
        <v>0</v>
      </c>
    </row>
    <row r="170" spans="1:41" x14ac:dyDescent="0.25">
      <c r="A170" s="143">
        <v>6</v>
      </c>
      <c r="B170" s="92">
        <v>45284</v>
      </c>
      <c r="C170" s="23"/>
      <c r="D170" s="31" t="s">
        <v>3659</v>
      </c>
      <c r="E170" s="32"/>
      <c r="F170" s="32"/>
      <c r="G170" s="32"/>
      <c r="H170" s="39"/>
      <c r="I170" s="39"/>
      <c r="J170" s="42"/>
      <c r="K170" s="20">
        <v>10</v>
      </c>
      <c r="L170" s="21"/>
      <c r="M170" s="21">
        <f t="shared" si="24"/>
        <v>10</v>
      </c>
      <c r="N170" s="21">
        <f t="shared" si="25"/>
        <v>-10</v>
      </c>
      <c r="O170" s="21"/>
      <c r="P170" s="21"/>
      <c r="Q170" s="5"/>
      <c r="R170" s="16"/>
      <c r="S170" s="16"/>
      <c r="T170" s="21">
        <f t="shared" si="26"/>
        <v>0</v>
      </c>
      <c r="U170" s="16"/>
      <c r="V170" s="78">
        <f t="shared" si="27"/>
        <v>0</v>
      </c>
      <c r="W170" s="140"/>
      <c r="X170" s="334"/>
      <c r="Y170" s="5"/>
      <c r="AD170" s="16" t="s">
        <v>167</v>
      </c>
      <c r="AE170" s="18">
        <f>+AC170*20</f>
        <v>0</v>
      </c>
      <c r="AG170">
        <v>1</v>
      </c>
      <c r="AH170" s="16" t="s">
        <v>167</v>
      </c>
      <c r="AI170" s="18">
        <f>+AG170*20</f>
        <v>20</v>
      </c>
      <c r="AK170" s="16"/>
      <c r="AL170" s="16"/>
      <c r="AN170" s="16" t="s">
        <v>167</v>
      </c>
      <c r="AO170" s="18">
        <f>+AM170*20</f>
        <v>0</v>
      </c>
    </row>
    <row r="171" spans="1:41" x14ac:dyDescent="0.25">
      <c r="A171" s="143">
        <v>7</v>
      </c>
      <c r="B171" s="92">
        <v>45284</v>
      </c>
      <c r="C171" s="23"/>
      <c r="D171" s="31" t="s">
        <v>1165</v>
      </c>
      <c r="E171" s="32"/>
      <c r="F171" s="32"/>
      <c r="G171" s="32"/>
      <c r="H171" s="39"/>
      <c r="I171" s="122">
        <v>138</v>
      </c>
      <c r="J171" s="42"/>
      <c r="K171" s="20">
        <v>10</v>
      </c>
      <c r="L171" s="21"/>
      <c r="M171" s="21">
        <f t="shared" si="24"/>
        <v>10</v>
      </c>
      <c r="N171" s="21">
        <f t="shared" si="25"/>
        <v>128</v>
      </c>
      <c r="O171" s="21">
        <v>138</v>
      </c>
      <c r="P171" s="21"/>
      <c r="Q171" s="5"/>
      <c r="R171" s="16"/>
      <c r="S171" s="16"/>
      <c r="T171" s="21">
        <f t="shared" si="26"/>
        <v>0</v>
      </c>
      <c r="U171" s="16"/>
      <c r="V171" s="78">
        <f t="shared" si="27"/>
        <v>138</v>
      </c>
      <c r="W171" s="140"/>
      <c r="X171" s="334"/>
      <c r="Y171" s="5"/>
      <c r="AD171" s="16" t="s">
        <v>171</v>
      </c>
      <c r="AE171" s="18">
        <f>+AC171*500</f>
        <v>0</v>
      </c>
      <c r="AH171" s="16" t="s">
        <v>171</v>
      </c>
      <c r="AI171" s="18">
        <f>+AG171*500</f>
        <v>0</v>
      </c>
      <c r="AK171" s="16"/>
      <c r="AL171" s="16"/>
      <c r="AN171" s="16" t="s">
        <v>171</v>
      </c>
      <c r="AO171" s="18">
        <f>+AM171*500</f>
        <v>0</v>
      </c>
    </row>
    <row r="172" spans="1:41" x14ac:dyDescent="0.25">
      <c r="A172" s="143">
        <v>8</v>
      </c>
      <c r="B172" s="92">
        <v>45284</v>
      </c>
      <c r="C172" s="23"/>
      <c r="D172" s="31" t="s">
        <v>1165</v>
      </c>
      <c r="E172" s="123"/>
      <c r="F172" s="123"/>
      <c r="G172" s="123"/>
      <c r="H172" s="39" t="s">
        <v>3657</v>
      </c>
      <c r="I172" s="122">
        <v>122</v>
      </c>
      <c r="J172" s="32">
        <v>112</v>
      </c>
      <c r="K172" s="20">
        <v>10</v>
      </c>
      <c r="L172" s="21"/>
      <c r="M172" s="21">
        <f t="shared" si="24"/>
        <v>122</v>
      </c>
      <c r="N172" s="21">
        <f t="shared" si="25"/>
        <v>0</v>
      </c>
      <c r="O172" s="21">
        <v>122</v>
      </c>
      <c r="P172" s="21"/>
      <c r="Q172" s="5"/>
      <c r="R172" s="16"/>
      <c r="S172" s="16"/>
      <c r="T172" s="21">
        <f t="shared" si="26"/>
        <v>0</v>
      </c>
      <c r="U172" s="16"/>
      <c r="V172" s="78">
        <f t="shared" si="27"/>
        <v>122</v>
      </c>
      <c r="W172" s="140"/>
      <c r="X172" s="334"/>
      <c r="Y172" s="5"/>
      <c r="AD172" s="16" t="s">
        <v>168</v>
      </c>
      <c r="AE172" s="18">
        <f>+AC172*1000</f>
        <v>0</v>
      </c>
      <c r="AH172" s="16" t="s">
        <v>168</v>
      </c>
      <c r="AI172" s="18">
        <f>+AG172*1000</f>
        <v>0</v>
      </c>
      <c r="AK172" s="16"/>
      <c r="AL172" s="16"/>
      <c r="AN172" s="16" t="s">
        <v>168</v>
      </c>
      <c r="AO172" s="18">
        <f>+AM172*1000</f>
        <v>0</v>
      </c>
    </row>
    <row r="173" spans="1:41" x14ac:dyDescent="0.25">
      <c r="A173" s="143">
        <v>9</v>
      </c>
      <c r="B173" s="92">
        <v>45284</v>
      </c>
      <c r="C173" s="23"/>
      <c r="D173" s="31" t="s">
        <v>3658</v>
      </c>
      <c r="E173" s="32"/>
      <c r="F173" s="32"/>
      <c r="G173" s="32"/>
      <c r="H173" s="39"/>
      <c r="I173" s="39"/>
      <c r="J173" s="40"/>
      <c r="K173" s="20">
        <v>10</v>
      </c>
      <c r="L173" s="21"/>
      <c r="M173" s="21">
        <f t="shared" si="24"/>
        <v>10</v>
      </c>
      <c r="N173" s="21">
        <f t="shared" si="25"/>
        <v>-10</v>
      </c>
      <c r="O173" s="21"/>
      <c r="P173" s="21"/>
      <c r="Q173" s="5"/>
      <c r="R173" s="16"/>
      <c r="S173" s="16"/>
      <c r="T173" s="21">
        <f t="shared" si="26"/>
        <v>0</v>
      </c>
      <c r="U173" s="16"/>
      <c r="V173" s="78">
        <f t="shared" si="27"/>
        <v>0</v>
      </c>
      <c r="W173" s="140"/>
      <c r="X173" s="334"/>
      <c r="Y173" s="5"/>
      <c r="AD173" s="26"/>
      <c r="AE173" s="58"/>
      <c r="AH173" s="26"/>
      <c r="AI173" s="58"/>
      <c r="AK173" s="16"/>
      <c r="AL173" s="16"/>
      <c r="AN173" s="26"/>
      <c r="AO173" s="58"/>
    </row>
    <row r="174" spans="1:41" x14ac:dyDescent="0.25">
      <c r="A174" s="143">
        <v>10</v>
      </c>
      <c r="B174" s="92">
        <v>45284</v>
      </c>
      <c r="C174" s="23"/>
      <c r="D174" s="31"/>
      <c r="E174" s="32"/>
      <c r="F174" s="32"/>
      <c r="G174" s="32"/>
      <c r="H174" s="39"/>
      <c r="I174" s="122"/>
      <c r="J174" s="42"/>
      <c r="K174" s="20">
        <v>10</v>
      </c>
      <c r="L174" s="21"/>
      <c r="M174" s="21">
        <f t="shared" si="24"/>
        <v>10</v>
      </c>
      <c r="N174" s="21">
        <f t="shared" si="25"/>
        <v>-10</v>
      </c>
      <c r="O174" s="21"/>
      <c r="P174" s="21"/>
      <c r="Q174" s="5"/>
      <c r="R174" s="16"/>
      <c r="S174" s="16"/>
      <c r="T174" s="21">
        <f t="shared" si="26"/>
        <v>0</v>
      </c>
      <c r="U174" s="16"/>
      <c r="V174" s="78">
        <f t="shared" si="27"/>
        <v>0</v>
      </c>
      <c r="W174" s="140"/>
      <c r="X174" s="334"/>
      <c r="Y174" s="5"/>
      <c r="AD174" s="16" t="s">
        <v>169</v>
      </c>
      <c r="AE174" s="18">
        <f>SUM(AE164:AE173)</f>
        <v>0</v>
      </c>
      <c r="AH174" s="16" t="s">
        <v>169</v>
      </c>
      <c r="AI174" s="18">
        <f>SUM(AI164:AI173)</f>
        <v>95</v>
      </c>
      <c r="AK174" s="16"/>
      <c r="AL174" s="16"/>
      <c r="AN174" s="16" t="s">
        <v>169</v>
      </c>
      <c r="AO174" s="18"/>
    </row>
    <row r="175" spans="1:41" x14ac:dyDescent="0.25">
      <c r="A175" s="143">
        <v>11</v>
      </c>
      <c r="B175" s="92">
        <v>45284</v>
      </c>
      <c r="C175" s="23"/>
      <c r="D175" s="31"/>
      <c r="E175" s="124"/>
      <c r="F175" s="123"/>
      <c r="G175" s="123"/>
      <c r="H175" s="39"/>
      <c r="I175" s="122"/>
      <c r="J175" s="42"/>
      <c r="K175" s="20">
        <v>10</v>
      </c>
      <c r="L175" s="21"/>
      <c r="M175" s="21">
        <f t="shared" si="24"/>
        <v>10</v>
      </c>
      <c r="N175" s="21">
        <f t="shared" si="25"/>
        <v>-10</v>
      </c>
      <c r="O175" s="21"/>
      <c r="P175" s="21"/>
      <c r="Q175" s="5"/>
      <c r="R175" s="16"/>
      <c r="S175" s="16"/>
      <c r="T175" s="21">
        <f t="shared" si="26"/>
        <v>0</v>
      </c>
      <c r="U175" s="16"/>
      <c r="V175" s="78">
        <f t="shared" si="27"/>
        <v>0</v>
      </c>
      <c r="W175" s="140"/>
      <c r="X175" s="334"/>
      <c r="Y175" s="5"/>
      <c r="AK175" s="16"/>
      <c r="AL175" s="16"/>
      <c r="AN175" s="16"/>
      <c r="AO175" s="16"/>
    </row>
    <row r="176" spans="1:41" x14ac:dyDescent="0.25">
      <c r="A176" s="143">
        <v>12</v>
      </c>
      <c r="B176" s="92">
        <v>45284</v>
      </c>
      <c r="C176" s="23"/>
      <c r="D176" s="32"/>
      <c r="E176" s="32"/>
      <c r="F176" s="124"/>
      <c r="G176" s="123"/>
      <c r="H176" s="39"/>
      <c r="I176" s="39"/>
      <c r="J176" s="42"/>
      <c r="K176" s="20">
        <v>10</v>
      </c>
      <c r="L176" s="21"/>
      <c r="M176" s="21">
        <f t="shared" si="24"/>
        <v>10</v>
      </c>
      <c r="N176" s="21">
        <f t="shared" si="25"/>
        <v>-10</v>
      </c>
      <c r="O176" s="21"/>
      <c r="P176" s="21"/>
      <c r="Q176" s="5"/>
      <c r="R176" s="45"/>
      <c r="S176" s="44"/>
      <c r="T176" s="21">
        <f t="shared" si="26"/>
        <v>0</v>
      </c>
      <c r="U176" s="45"/>
      <c r="V176" s="78">
        <f t="shared" si="27"/>
        <v>0</v>
      </c>
      <c r="W176" s="140"/>
      <c r="X176" s="334"/>
      <c r="Y176" s="5"/>
      <c r="AK176" s="63" t="s">
        <v>169</v>
      </c>
      <c r="AL176" s="63">
        <f>+SUM(AK165:AK175)-SUM(AL165:AL175)</f>
        <v>0</v>
      </c>
      <c r="AN176" s="63" t="s">
        <v>169</v>
      </c>
      <c r="AO176" s="85">
        <f>+SUM(AN164:AN175)-SUM(AO165:AO175)</f>
        <v>0</v>
      </c>
    </row>
    <row r="177" spans="1:39" x14ac:dyDescent="0.25">
      <c r="A177" s="143">
        <v>13</v>
      </c>
      <c r="B177" s="92">
        <v>45284</v>
      </c>
      <c r="C177" s="23"/>
      <c r="D177" s="31"/>
      <c r="E177" s="32"/>
      <c r="F177" s="32"/>
      <c r="G177" s="32"/>
      <c r="H177" s="39"/>
      <c r="I177" s="39"/>
      <c r="J177" s="42"/>
      <c r="K177" s="108">
        <v>10</v>
      </c>
      <c r="L177" s="21"/>
      <c r="M177" s="21">
        <f t="shared" si="24"/>
        <v>10</v>
      </c>
      <c r="N177" s="21">
        <f t="shared" si="25"/>
        <v>-10</v>
      </c>
      <c r="O177" s="21"/>
      <c r="P177" s="21"/>
      <c r="Q177" s="5"/>
      <c r="R177" s="43"/>
      <c r="S177" s="32"/>
      <c r="T177" s="21">
        <f t="shared" si="26"/>
        <v>0</v>
      </c>
      <c r="U177" s="43"/>
      <c r="V177" s="78">
        <f t="shared" si="27"/>
        <v>0</v>
      </c>
      <c r="W177" s="140"/>
      <c r="X177" s="334"/>
      <c r="Y177" s="5"/>
      <c r="AI177" s="83"/>
    </row>
    <row r="178" spans="1:39" x14ac:dyDescent="0.25">
      <c r="A178" s="143">
        <v>14</v>
      </c>
      <c r="B178" s="92">
        <v>45284</v>
      </c>
      <c r="C178" s="23"/>
      <c r="D178" s="31"/>
      <c r="E178" s="32"/>
      <c r="F178" s="32"/>
      <c r="G178" s="32"/>
      <c r="H178" s="39"/>
      <c r="I178" s="39"/>
      <c r="J178" s="42"/>
      <c r="K178" s="108">
        <v>10</v>
      </c>
      <c r="L178" s="21"/>
      <c r="M178" s="21">
        <f t="shared" si="24"/>
        <v>10</v>
      </c>
      <c r="N178" s="21">
        <f t="shared" si="25"/>
        <v>-10</v>
      </c>
      <c r="O178" s="21"/>
      <c r="P178" s="21"/>
      <c r="Q178" s="5"/>
      <c r="R178" s="43"/>
      <c r="S178" s="43"/>
      <c r="T178" s="21">
        <f t="shared" si="26"/>
        <v>0</v>
      </c>
      <c r="U178" s="43"/>
      <c r="V178" s="78">
        <f t="shared" si="27"/>
        <v>0</v>
      </c>
      <c r="W178" s="140"/>
      <c r="X178" s="334"/>
      <c r="Y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</row>
    <row r="179" spans="1:39" x14ac:dyDescent="0.25">
      <c r="A179" s="143">
        <v>15</v>
      </c>
      <c r="B179" s="92">
        <v>45284</v>
      </c>
      <c r="C179" s="23"/>
      <c r="D179" s="127"/>
      <c r="E179" s="32"/>
      <c r="F179" s="32"/>
      <c r="G179" s="128"/>
      <c r="H179" s="129"/>
      <c r="I179" s="39"/>
      <c r="J179" s="42"/>
      <c r="K179" s="108">
        <v>10</v>
      </c>
      <c r="L179" s="21"/>
      <c r="M179" s="21">
        <f t="shared" si="24"/>
        <v>10</v>
      </c>
      <c r="N179" s="21">
        <f t="shared" si="25"/>
        <v>-10</v>
      </c>
      <c r="O179" s="21"/>
      <c r="P179" s="21"/>
      <c r="Q179" s="5"/>
      <c r="R179" s="43"/>
      <c r="S179" s="43"/>
      <c r="T179" s="21">
        <f t="shared" si="26"/>
        <v>0</v>
      </c>
      <c r="U179" s="43"/>
      <c r="V179" s="78">
        <f t="shared" si="27"/>
        <v>0</v>
      </c>
      <c r="W179" s="140"/>
      <c r="X179" s="334"/>
      <c r="Y179" s="5"/>
      <c r="AD179" s="5"/>
      <c r="AE179" s="134" t="s">
        <v>20</v>
      </c>
      <c r="AF179" s="338"/>
      <c r="AG179" s="341" t="s">
        <v>686</v>
      </c>
      <c r="AH179" s="134" t="s">
        <v>20</v>
      </c>
      <c r="AI179" s="338"/>
      <c r="AJ179" s="341" t="s">
        <v>687</v>
      </c>
      <c r="AK179" s="134" t="s">
        <v>20</v>
      </c>
      <c r="AL179" s="338"/>
      <c r="AM179" s="5"/>
    </row>
    <row r="180" spans="1:39" x14ac:dyDescent="0.25">
      <c r="A180" s="143">
        <v>16</v>
      </c>
      <c r="B180" s="92">
        <v>45284</v>
      </c>
      <c r="C180" s="23"/>
      <c r="D180" s="31"/>
      <c r="E180" s="32"/>
      <c r="F180" s="32"/>
      <c r="G180" s="32"/>
      <c r="H180" s="39"/>
      <c r="I180" s="39"/>
      <c r="J180" s="42"/>
      <c r="K180" s="43">
        <v>10</v>
      </c>
      <c r="L180" s="21"/>
      <c r="M180" s="21">
        <f t="shared" si="24"/>
        <v>10</v>
      </c>
      <c r="N180" s="21">
        <f t="shared" si="25"/>
        <v>-10</v>
      </c>
      <c r="O180" s="21"/>
      <c r="P180" s="21"/>
      <c r="Q180" s="5"/>
      <c r="R180" s="43"/>
      <c r="S180" s="32"/>
      <c r="T180" s="21">
        <f t="shared" si="26"/>
        <v>0</v>
      </c>
      <c r="U180" s="131"/>
      <c r="V180" s="78">
        <f t="shared" si="27"/>
        <v>0</v>
      </c>
      <c r="W180" s="140"/>
      <c r="X180" s="334"/>
      <c r="Y180" s="5"/>
      <c r="AD180" s="5" t="s">
        <v>685</v>
      </c>
      <c r="AE180" s="115" t="s">
        <v>684</v>
      </c>
      <c r="AF180" s="339"/>
      <c r="AG180" s="341"/>
      <c r="AH180" s="115" t="s">
        <v>684</v>
      </c>
      <c r="AI180" s="339"/>
      <c r="AJ180" s="341"/>
      <c r="AK180" s="115" t="s">
        <v>684</v>
      </c>
      <c r="AL180" s="339"/>
      <c r="AM180" s="5"/>
    </row>
    <row r="181" spans="1:39" x14ac:dyDescent="0.25">
      <c r="A181" s="143">
        <v>17</v>
      </c>
      <c r="B181" s="92">
        <v>45284</v>
      </c>
      <c r="C181" s="23"/>
      <c r="D181" s="31"/>
      <c r="E181" s="32"/>
      <c r="F181" s="32"/>
      <c r="G181" s="32"/>
      <c r="H181" s="39"/>
      <c r="I181" s="39"/>
      <c r="J181" s="42"/>
      <c r="K181" s="43">
        <v>10</v>
      </c>
      <c r="L181" s="21"/>
      <c r="M181" s="21">
        <f t="shared" si="24"/>
        <v>10</v>
      </c>
      <c r="N181" s="21">
        <f t="shared" si="25"/>
        <v>-10</v>
      </c>
      <c r="O181" s="21"/>
      <c r="P181" s="21"/>
      <c r="Q181" s="5"/>
      <c r="R181" s="43"/>
      <c r="S181" s="32"/>
      <c r="T181" s="21">
        <f t="shared" si="26"/>
        <v>0</v>
      </c>
      <c r="U181" s="132"/>
      <c r="V181" s="78">
        <f t="shared" si="27"/>
        <v>0</v>
      </c>
      <c r="W181" s="140"/>
      <c r="X181" s="340"/>
      <c r="Y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</row>
    <row r="182" spans="1:39" x14ac:dyDescent="0.25">
      <c r="A182" s="143">
        <v>18</v>
      </c>
      <c r="B182" s="92">
        <v>45284</v>
      </c>
      <c r="C182" s="32"/>
      <c r="D182" s="31"/>
      <c r="E182" s="32"/>
      <c r="F182" s="32"/>
      <c r="G182" s="32"/>
      <c r="H182" s="39"/>
      <c r="I182" s="39"/>
      <c r="J182" s="42"/>
      <c r="K182" s="43">
        <v>10</v>
      </c>
      <c r="L182" s="21"/>
      <c r="M182" s="21">
        <f t="shared" si="24"/>
        <v>10</v>
      </c>
      <c r="N182" s="21">
        <f t="shared" si="25"/>
        <v>-10</v>
      </c>
      <c r="O182" s="21"/>
      <c r="P182" s="21"/>
      <c r="Q182" s="5"/>
      <c r="R182" s="135"/>
      <c r="S182" s="104"/>
      <c r="T182" s="21">
        <f t="shared" si="26"/>
        <v>0</v>
      </c>
      <c r="U182" s="131"/>
      <c r="V182" s="78">
        <f t="shared" si="27"/>
        <v>0</v>
      </c>
      <c r="W182" s="140"/>
      <c r="Y182" s="5"/>
    </row>
    <row r="183" spans="1:39" x14ac:dyDescent="0.25">
      <c r="A183" s="143">
        <v>19</v>
      </c>
      <c r="B183" s="92">
        <v>45284</v>
      </c>
      <c r="C183" s="32"/>
      <c r="D183" s="31"/>
      <c r="E183" s="32"/>
      <c r="F183" s="32"/>
      <c r="G183" s="32"/>
      <c r="H183" s="39"/>
      <c r="I183" s="39"/>
      <c r="J183" s="42"/>
      <c r="K183" s="43">
        <v>10</v>
      </c>
      <c r="L183" s="21"/>
      <c r="M183" s="21">
        <f t="shared" si="24"/>
        <v>10</v>
      </c>
      <c r="N183" s="21">
        <f t="shared" si="25"/>
        <v>-10</v>
      </c>
      <c r="O183" s="21"/>
      <c r="P183" s="21"/>
      <c r="Q183" s="5"/>
      <c r="R183" s="32"/>
      <c r="S183" s="32"/>
      <c r="T183" s="21">
        <f t="shared" si="26"/>
        <v>0</v>
      </c>
      <c r="U183" s="32"/>
      <c r="V183" s="78">
        <f t="shared" si="27"/>
        <v>0</v>
      </c>
      <c r="W183" s="140"/>
      <c r="Y183" s="5"/>
    </row>
    <row r="184" spans="1:39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141"/>
      <c r="X184" s="5"/>
      <c r="Y184" s="5"/>
    </row>
  </sheetData>
  <mergeCells count="77">
    <mergeCell ref="AL128:AL129"/>
    <mergeCell ref="X114:X130"/>
    <mergeCell ref="AF128:AF129"/>
    <mergeCell ref="AG128:AG129"/>
    <mergeCell ref="AI128:AI129"/>
    <mergeCell ref="AJ128:AJ129"/>
    <mergeCell ref="T112:U112"/>
    <mergeCell ref="AD112:AE112"/>
    <mergeCell ref="AH112:AI112"/>
    <mergeCell ref="AK112:AL112"/>
    <mergeCell ref="AN112:AO112"/>
    <mergeCell ref="AL101:AL102"/>
    <mergeCell ref="X87:X103"/>
    <mergeCell ref="AF101:AF102"/>
    <mergeCell ref="AG101:AG102"/>
    <mergeCell ref="AI101:AI102"/>
    <mergeCell ref="AJ101:AJ102"/>
    <mergeCell ref="T85:U85"/>
    <mergeCell ref="AD85:AE85"/>
    <mergeCell ref="AH85:AI85"/>
    <mergeCell ref="AK85:AL85"/>
    <mergeCell ref="AN85:AO85"/>
    <mergeCell ref="AN59:AO59"/>
    <mergeCell ref="X61:X77"/>
    <mergeCell ref="AF75:AF76"/>
    <mergeCell ref="AG75:AG76"/>
    <mergeCell ref="AI75:AI76"/>
    <mergeCell ref="AJ75:AJ76"/>
    <mergeCell ref="AL75:AL76"/>
    <mergeCell ref="T4:U4"/>
    <mergeCell ref="AD4:AE4"/>
    <mergeCell ref="AH4:AI4"/>
    <mergeCell ref="AK4:AL4"/>
    <mergeCell ref="T59:U59"/>
    <mergeCell ref="AD59:AE59"/>
    <mergeCell ref="AH59:AI59"/>
    <mergeCell ref="AK59:AL59"/>
    <mergeCell ref="T31:U31"/>
    <mergeCell ref="AD31:AE31"/>
    <mergeCell ref="AH31:AI31"/>
    <mergeCell ref="AK31:AL31"/>
    <mergeCell ref="AN4:AO4"/>
    <mergeCell ref="X6:X22"/>
    <mergeCell ref="AF20:AF21"/>
    <mergeCell ref="AG20:AG21"/>
    <mergeCell ref="AI20:AI21"/>
    <mergeCell ref="AJ20:AJ21"/>
    <mergeCell ref="AL20:AL21"/>
    <mergeCell ref="AN31:AO31"/>
    <mergeCell ref="AL47:AL48"/>
    <mergeCell ref="X33:X49"/>
    <mergeCell ref="AF47:AF48"/>
    <mergeCell ref="AG47:AG48"/>
    <mergeCell ref="AI47:AI48"/>
    <mergeCell ref="AJ47:AJ48"/>
    <mergeCell ref="T138:U138"/>
    <mergeCell ref="AD138:AE138"/>
    <mergeCell ref="AH138:AI138"/>
    <mergeCell ref="AK138:AL138"/>
    <mergeCell ref="AN138:AO138"/>
    <mergeCell ref="AL154:AL155"/>
    <mergeCell ref="X140:X156"/>
    <mergeCell ref="AF154:AF155"/>
    <mergeCell ref="AG154:AG155"/>
    <mergeCell ref="AI154:AI155"/>
    <mergeCell ref="AJ154:AJ155"/>
    <mergeCell ref="T163:U163"/>
    <mergeCell ref="AD163:AE163"/>
    <mergeCell ref="AH163:AI163"/>
    <mergeCell ref="AK163:AL163"/>
    <mergeCell ref="AN163:AO163"/>
    <mergeCell ref="AL179:AL180"/>
    <mergeCell ref="X165:X181"/>
    <mergeCell ref="AF179:AF180"/>
    <mergeCell ref="AG179:AG180"/>
    <mergeCell ref="AI179:AI180"/>
    <mergeCell ref="AJ179:AJ18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1"/>
  <sheetViews>
    <sheetView zoomScaleNormal="100" workbookViewId="0">
      <selection activeCell="U1" sqref="U1"/>
    </sheetView>
  </sheetViews>
  <sheetFormatPr baseColWidth="10" defaultRowHeight="15" x14ac:dyDescent="0.25"/>
  <cols>
    <col min="4" max="4" width="15.140625" customWidth="1"/>
  </cols>
  <sheetData>
    <row r="1" spans="1:2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4"/>
      <c r="O1" s="1"/>
      <c r="P1" s="1"/>
      <c r="Q1" s="3" t="s">
        <v>1</v>
      </c>
      <c r="R1" s="4"/>
      <c r="S1" s="5"/>
      <c r="T1" s="1"/>
      <c r="U1" s="1"/>
      <c r="V1" s="1"/>
      <c r="W1" s="5"/>
    </row>
    <row r="2" spans="1:23" ht="90" x14ac:dyDescent="0.25">
      <c r="A2" s="6" t="s">
        <v>2</v>
      </c>
      <c r="B2" s="7" t="s">
        <v>3</v>
      </c>
      <c r="C2" s="7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8" t="s">
        <v>9</v>
      </c>
      <c r="I2" s="9" t="s">
        <v>10</v>
      </c>
      <c r="J2" s="8" t="s">
        <v>11</v>
      </c>
      <c r="K2" s="10" t="s">
        <v>12</v>
      </c>
      <c r="L2" s="10" t="s">
        <v>13</v>
      </c>
      <c r="M2" s="11" t="s">
        <v>14</v>
      </c>
      <c r="N2" s="10" t="s">
        <v>16</v>
      </c>
      <c r="O2" s="10" t="s">
        <v>17</v>
      </c>
      <c r="P2" s="10" t="s">
        <v>18</v>
      </c>
      <c r="Q2" s="10" t="s">
        <v>19</v>
      </c>
      <c r="R2" s="10" t="s">
        <v>20</v>
      </c>
      <c r="S2" s="10" t="s">
        <v>63</v>
      </c>
      <c r="T2" s="14" t="s">
        <v>21</v>
      </c>
      <c r="U2" s="14" t="s">
        <v>22</v>
      </c>
      <c r="V2" s="15" t="s">
        <v>23</v>
      </c>
      <c r="W2" s="5"/>
    </row>
    <row r="3" spans="1:23" x14ac:dyDescent="0.25">
      <c r="A3" s="16">
        <v>1</v>
      </c>
      <c r="B3" s="17">
        <v>45166</v>
      </c>
      <c r="C3" s="17" t="s">
        <v>403</v>
      </c>
      <c r="D3" s="16">
        <v>5555555</v>
      </c>
      <c r="E3" s="16" t="s">
        <v>404</v>
      </c>
      <c r="F3" s="16" t="s">
        <v>405</v>
      </c>
      <c r="G3" s="18" t="s">
        <v>406</v>
      </c>
      <c r="H3" s="19">
        <v>129</v>
      </c>
      <c r="I3" s="16">
        <v>119</v>
      </c>
      <c r="J3" s="20">
        <v>10</v>
      </c>
      <c r="K3" s="21">
        <f>+R3-J3</f>
        <v>1</v>
      </c>
      <c r="L3" s="21">
        <f t="shared" ref="L3:L8" si="0">+I3+J3</f>
        <v>129</v>
      </c>
      <c r="M3" s="21">
        <f t="shared" ref="M3:M8" si="1">+H3-L3</f>
        <v>0</v>
      </c>
      <c r="N3" s="21">
        <v>1000</v>
      </c>
      <c r="O3" s="16"/>
      <c r="P3" s="21">
        <f t="shared" ref="P3:P8" si="2">+N3+O3</f>
        <v>1000</v>
      </c>
      <c r="Q3" s="21">
        <v>1011</v>
      </c>
      <c r="R3" s="21">
        <f t="shared" ref="R3:R8" si="3">Q3-P3</f>
        <v>11</v>
      </c>
      <c r="S3" s="21"/>
      <c r="T3" s="23" t="s">
        <v>407</v>
      </c>
      <c r="U3" s="23"/>
      <c r="V3" s="24"/>
      <c r="W3" s="5"/>
    </row>
    <row r="4" spans="1:23" x14ac:dyDescent="0.25">
      <c r="A4" s="16">
        <v>2</v>
      </c>
      <c r="B4" s="17">
        <v>45166</v>
      </c>
      <c r="C4" s="17" t="s">
        <v>260</v>
      </c>
      <c r="D4" s="16">
        <v>5586180942</v>
      </c>
      <c r="E4" s="16" t="s">
        <v>408</v>
      </c>
      <c r="F4" s="16" t="s">
        <v>409</v>
      </c>
      <c r="G4" s="18" t="s">
        <v>410</v>
      </c>
      <c r="H4" s="19">
        <v>536</v>
      </c>
      <c r="I4" s="16">
        <v>526</v>
      </c>
      <c r="J4" s="20">
        <v>10</v>
      </c>
      <c r="K4" s="21">
        <f>+R4-J4</f>
        <v>10</v>
      </c>
      <c r="L4" s="21">
        <f t="shared" si="0"/>
        <v>536</v>
      </c>
      <c r="M4" s="21">
        <f t="shared" si="1"/>
        <v>0</v>
      </c>
      <c r="N4" s="21">
        <v>500</v>
      </c>
      <c r="O4" s="16"/>
      <c r="P4" s="21">
        <f t="shared" si="2"/>
        <v>500</v>
      </c>
      <c r="Q4" s="21">
        <v>520</v>
      </c>
      <c r="R4" s="21">
        <f t="shared" si="3"/>
        <v>20</v>
      </c>
      <c r="S4" s="48"/>
      <c r="T4" s="23">
        <v>0</v>
      </c>
      <c r="U4" s="23"/>
      <c r="V4" s="25"/>
      <c r="W4" s="5"/>
    </row>
    <row r="5" spans="1:23" x14ac:dyDescent="0.25">
      <c r="A5" s="16">
        <v>3</v>
      </c>
      <c r="B5" s="17">
        <v>45166</v>
      </c>
      <c r="C5" s="31" t="s">
        <v>921</v>
      </c>
      <c r="D5" s="32">
        <v>5625982564</v>
      </c>
      <c r="E5" s="32" t="s">
        <v>106</v>
      </c>
      <c r="F5" s="32" t="s">
        <v>331</v>
      </c>
      <c r="G5" s="18" t="s">
        <v>411</v>
      </c>
      <c r="H5" s="19">
        <v>200</v>
      </c>
      <c r="I5" s="16">
        <v>167</v>
      </c>
      <c r="J5" s="20">
        <v>10</v>
      </c>
      <c r="K5" s="21">
        <f>+R5-J5</f>
        <v>0</v>
      </c>
      <c r="L5" s="21">
        <f t="shared" si="0"/>
        <v>177</v>
      </c>
      <c r="M5" s="21">
        <f t="shared" si="1"/>
        <v>23</v>
      </c>
      <c r="N5" s="21">
        <v>200</v>
      </c>
      <c r="O5" s="16"/>
      <c r="P5" s="21">
        <f t="shared" si="2"/>
        <v>200</v>
      </c>
      <c r="Q5" s="21">
        <v>210</v>
      </c>
      <c r="R5" s="21">
        <f t="shared" si="3"/>
        <v>10</v>
      </c>
      <c r="S5" s="49"/>
      <c r="T5" s="23"/>
      <c r="U5" s="23"/>
      <c r="V5" s="25"/>
      <c r="W5" s="5"/>
    </row>
    <row r="6" spans="1:23" x14ac:dyDescent="0.25">
      <c r="A6" s="16">
        <v>4</v>
      </c>
      <c r="B6" s="17">
        <v>45166</v>
      </c>
      <c r="C6" s="27" t="s">
        <v>2488</v>
      </c>
      <c r="D6">
        <v>5617436349</v>
      </c>
      <c r="E6" s="16" t="s">
        <v>106</v>
      </c>
      <c r="F6" s="16" t="s">
        <v>285</v>
      </c>
      <c r="G6" s="28" t="s">
        <v>412</v>
      </c>
      <c r="H6" s="19">
        <v>500</v>
      </c>
      <c r="I6" s="16">
        <v>114</v>
      </c>
      <c r="J6" s="20">
        <v>10</v>
      </c>
      <c r="K6" s="21">
        <f>+R6-J6</f>
        <v>7</v>
      </c>
      <c r="L6" s="21">
        <f t="shared" si="0"/>
        <v>124</v>
      </c>
      <c r="M6" s="21">
        <f t="shared" si="1"/>
        <v>376</v>
      </c>
      <c r="N6" s="21">
        <v>500</v>
      </c>
      <c r="O6" s="16"/>
      <c r="P6" s="21">
        <f t="shared" si="2"/>
        <v>500</v>
      </c>
      <c r="Q6" s="21">
        <v>517</v>
      </c>
      <c r="R6" s="21">
        <f t="shared" si="3"/>
        <v>17</v>
      </c>
      <c r="S6" s="49"/>
      <c r="T6" s="23"/>
      <c r="U6" s="23"/>
      <c r="V6" s="25"/>
      <c r="W6" s="5"/>
    </row>
    <row r="7" spans="1:23" x14ac:dyDescent="0.25">
      <c r="A7" s="16">
        <v>5</v>
      </c>
      <c r="B7" s="17">
        <v>45166</v>
      </c>
      <c r="C7" s="17" t="s">
        <v>148</v>
      </c>
      <c r="D7" s="16">
        <v>5564963478</v>
      </c>
      <c r="E7" s="29" t="s">
        <v>413</v>
      </c>
      <c r="F7" s="29" t="s">
        <v>414</v>
      </c>
      <c r="G7" s="18" t="s">
        <v>415</v>
      </c>
      <c r="H7" s="19">
        <v>200</v>
      </c>
      <c r="I7" s="16">
        <v>130</v>
      </c>
      <c r="J7" s="20">
        <v>10</v>
      </c>
      <c r="K7" s="21">
        <f>+R7-J7</f>
        <v>10</v>
      </c>
      <c r="L7" s="21">
        <f t="shared" si="0"/>
        <v>140</v>
      </c>
      <c r="M7" s="21">
        <f t="shared" si="1"/>
        <v>60</v>
      </c>
      <c r="N7" s="21">
        <v>200</v>
      </c>
      <c r="O7" s="16"/>
      <c r="P7" s="21">
        <f t="shared" si="2"/>
        <v>200</v>
      </c>
      <c r="Q7" s="21">
        <v>220</v>
      </c>
      <c r="R7" s="21">
        <f t="shared" si="3"/>
        <v>20</v>
      </c>
      <c r="S7" s="49"/>
      <c r="T7" s="23"/>
      <c r="U7" s="23"/>
      <c r="V7" s="25"/>
      <c r="W7" s="5"/>
    </row>
    <row r="8" spans="1:23" x14ac:dyDescent="0.25">
      <c r="A8" s="30">
        <v>6</v>
      </c>
      <c r="B8" s="17">
        <v>45166</v>
      </c>
      <c r="C8" s="98" t="s">
        <v>921</v>
      </c>
      <c r="D8" s="32">
        <v>5625982564</v>
      </c>
      <c r="E8" s="32" t="s">
        <v>106</v>
      </c>
      <c r="F8" s="32" t="s">
        <v>331</v>
      </c>
      <c r="G8" s="18" t="s">
        <v>417</v>
      </c>
      <c r="H8" s="99">
        <v>167</v>
      </c>
      <c r="I8" s="100">
        <v>147</v>
      </c>
      <c r="J8" s="20">
        <v>10</v>
      </c>
      <c r="K8" s="21">
        <f>+R8-J8</f>
        <v>10</v>
      </c>
      <c r="L8" s="21">
        <f t="shared" si="0"/>
        <v>157</v>
      </c>
      <c r="M8" s="21">
        <f t="shared" si="1"/>
        <v>10</v>
      </c>
      <c r="N8" s="21">
        <v>300</v>
      </c>
      <c r="O8" s="16"/>
      <c r="P8" s="21">
        <f t="shared" si="2"/>
        <v>300</v>
      </c>
      <c r="Q8" s="16">
        <v>320</v>
      </c>
      <c r="R8" s="21">
        <f t="shared" si="3"/>
        <v>20</v>
      </c>
      <c r="S8" s="49"/>
      <c r="T8" s="23"/>
      <c r="U8" s="23"/>
      <c r="V8" s="25"/>
      <c r="W8" s="5"/>
    </row>
    <row r="13" spans="1:23" x14ac:dyDescent="0.25">
      <c r="A13" s="1" t="s">
        <v>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74"/>
      <c r="O13" s="1"/>
      <c r="P13" s="1"/>
      <c r="Q13" s="3" t="s">
        <v>1</v>
      </c>
      <c r="R13" s="4"/>
      <c r="S13" s="1"/>
      <c r="T13" s="1"/>
      <c r="U13" s="1"/>
    </row>
    <row r="14" spans="1:23" ht="90" x14ac:dyDescent="0.25">
      <c r="A14" s="6" t="s">
        <v>2</v>
      </c>
      <c r="B14" s="7" t="s">
        <v>3</v>
      </c>
      <c r="C14" s="7" t="s">
        <v>4</v>
      </c>
      <c r="D14" s="6" t="s">
        <v>5</v>
      </c>
      <c r="E14" s="6" t="s">
        <v>6</v>
      </c>
      <c r="F14" s="6" t="s">
        <v>7</v>
      </c>
      <c r="G14" s="6" t="s">
        <v>8</v>
      </c>
      <c r="H14" s="8" t="s">
        <v>9</v>
      </c>
      <c r="I14" s="9" t="s">
        <v>10</v>
      </c>
      <c r="J14" s="8" t="s">
        <v>11</v>
      </c>
      <c r="K14" s="10" t="s">
        <v>12</v>
      </c>
      <c r="L14" s="10" t="s">
        <v>13</v>
      </c>
      <c r="M14" s="11" t="s">
        <v>14</v>
      </c>
      <c r="N14" s="10" t="s">
        <v>16</v>
      </c>
      <c r="O14" s="10" t="s">
        <v>17</v>
      </c>
      <c r="P14" s="10" t="s">
        <v>18</v>
      </c>
      <c r="Q14" s="10" t="s">
        <v>19</v>
      </c>
      <c r="R14" s="10" t="s">
        <v>20</v>
      </c>
      <c r="S14" s="14" t="s">
        <v>21</v>
      </c>
      <c r="T14" s="14" t="s">
        <v>22</v>
      </c>
      <c r="U14" s="15" t="s">
        <v>23</v>
      </c>
    </row>
    <row r="15" spans="1:23" x14ac:dyDescent="0.25">
      <c r="A15" s="16">
        <v>1</v>
      </c>
      <c r="B15" s="17">
        <v>45167</v>
      </c>
      <c r="C15" s="31" t="s">
        <v>2525</v>
      </c>
      <c r="D15" s="32">
        <v>5614683694</v>
      </c>
      <c r="E15" s="32" t="s">
        <v>418</v>
      </c>
      <c r="F15" s="32" t="s">
        <v>285</v>
      </c>
      <c r="G15" s="18" t="s">
        <v>419</v>
      </c>
      <c r="H15" s="19">
        <v>41</v>
      </c>
      <c r="I15" s="16">
        <v>31</v>
      </c>
      <c r="J15" s="20">
        <v>10</v>
      </c>
      <c r="K15" s="21">
        <f>+R15-J15</f>
        <v>9</v>
      </c>
      <c r="L15" s="21">
        <f t="shared" ref="L15:L22" si="4">+I15+J15</f>
        <v>41</v>
      </c>
      <c r="M15" s="21">
        <f t="shared" ref="M15:M22" si="5">+H15-L15</f>
        <v>0</v>
      </c>
      <c r="N15" s="21">
        <v>40</v>
      </c>
      <c r="O15" s="16"/>
      <c r="P15" s="21">
        <f t="shared" ref="P15:P22" si="6">+N15+O15</f>
        <v>40</v>
      </c>
      <c r="Q15" s="21">
        <v>59</v>
      </c>
      <c r="R15" s="21">
        <f t="shared" ref="R15:R22" si="7">Q15-P15</f>
        <v>19</v>
      </c>
      <c r="S15" s="23"/>
      <c r="T15" s="23"/>
      <c r="U15" s="24"/>
    </row>
    <row r="16" spans="1:23" x14ac:dyDescent="0.25">
      <c r="A16" s="16">
        <v>2</v>
      </c>
      <c r="B16" s="17">
        <v>45167</v>
      </c>
      <c r="C16" s="31" t="s">
        <v>2525</v>
      </c>
      <c r="D16" s="32">
        <v>5614683694</v>
      </c>
      <c r="E16" s="16" t="s">
        <v>106</v>
      </c>
      <c r="F16" s="32" t="s">
        <v>285</v>
      </c>
      <c r="G16" s="18" t="s">
        <v>420</v>
      </c>
      <c r="H16" s="19">
        <v>75</v>
      </c>
      <c r="I16" s="16">
        <v>68</v>
      </c>
      <c r="J16" s="20">
        <v>10</v>
      </c>
      <c r="K16" s="21">
        <f>+R16-J16</f>
        <v>19</v>
      </c>
      <c r="L16" s="21">
        <f t="shared" si="4"/>
        <v>78</v>
      </c>
      <c r="M16" s="21">
        <f t="shared" si="5"/>
        <v>-3</v>
      </c>
      <c r="N16" s="21">
        <v>100</v>
      </c>
      <c r="O16" s="16"/>
      <c r="P16" s="21">
        <f t="shared" si="6"/>
        <v>100</v>
      </c>
      <c r="Q16" s="21">
        <v>129</v>
      </c>
      <c r="R16" s="21">
        <f t="shared" si="7"/>
        <v>29</v>
      </c>
      <c r="S16" s="23"/>
      <c r="T16" s="23"/>
      <c r="U16" s="25"/>
    </row>
    <row r="17" spans="1:22" x14ac:dyDescent="0.25">
      <c r="A17" s="16">
        <v>3</v>
      </c>
      <c r="B17" s="17">
        <v>45167</v>
      </c>
      <c r="C17" s="26" t="s">
        <v>421</v>
      </c>
      <c r="D17" s="26"/>
      <c r="E17" s="26"/>
      <c r="F17" s="26" t="s">
        <v>256</v>
      </c>
      <c r="G17" s="18" t="s">
        <v>422</v>
      </c>
      <c r="H17" s="19">
        <v>100</v>
      </c>
      <c r="I17" s="16">
        <v>69</v>
      </c>
      <c r="J17" s="20">
        <v>10</v>
      </c>
      <c r="K17" s="21">
        <f>+R17-J17</f>
        <v>6</v>
      </c>
      <c r="L17" s="21">
        <f t="shared" si="4"/>
        <v>79</v>
      </c>
      <c r="M17" s="21">
        <f t="shared" si="5"/>
        <v>21</v>
      </c>
      <c r="N17" s="21">
        <v>150</v>
      </c>
      <c r="O17" s="16"/>
      <c r="P17" s="21">
        <f t="shared" si="6"/>
        <v>150</v>
      </c>
      <c r="Q17" s="21">
        <v>166</v>
      </c>
      <c r="R17" s="21">
        <f t="shared" si="7"/>
        <v>16</v>
      </c>
      <c r="S17" s="23"/>
      <c r="T17" s="23"/>
      <c r="U17" s="25"/>
    </row>
    <row r="18" spans="1:22" x14ac:dyDescent="0.25">
      <c r="A18" s="16">
        <v>4</v>
      </c>
      <c r="B18" s="92">
        <v>45167</v>
      </c>
      <c r="C18" s="17" t="s">
        <v>225</v>
      </c>
      <c r="D18" s="16">
        <v>5610020620</v>
      </c>
      <c r="E18" s="102" t="s">
        <v>423</v>
      </c>
      <c r="F18" s="16" t="s">
        <v>424</v>
      </c>
      <c r="G18" s="28" t="s">
        <v>425</v>
      </c>
      <c r="H18" s="19">
        <v>32</v>
      </c>
      <c r="I18" s="16">
        <v>22</v>
      </c>
      <c r="J18" s="20">
        <v>10</v>
      </c>
      <c r="K18" s="21">
        <v>0</v>
      </c>
      <c r="L18" s="21">
        <f t="shared" si="4"/>
        <v>32</v>
      </c>
      <c r="M18" s="21">
        <f t="shared" si="5"/>
        <v>0</v>
      </c>
      <c r="N18" s="21">
        <v>22</v>
      </c>
      <c r="O18" s="16">
        <v>0</v>
      </c>
      <c r="P18" s="21">
        <v>22</v>
      </c>
      <c r="Q18" s="21">
        <v>32</v>
      </c>
      <c r="R18" s="21">
        <f t="shared" si="7"/>
        <v>10</v>
      </c>
      <c r="S18" s="23"/>
      <c r="T18" s="23"/>
      <c r="U18" s="25"/>
    </row>
    <row r="19" spans="1:22" x14ac:dyDescent="0.25">
      <c r="A19" s="16">
        <v>3</v>
      </c>
      <c r="B19" s="17">
        <v>45167</v>
      </c>
      <c r="C19" s="103" t="s">
        <v>2472</v>
      </c>
      <c r="D19" s="29">
        <v>5510466400</v>
      </c>
      <c r="E19" s="29" t="s">
        <v>308</v>
      </c>
      <c r="F19" s="29" t="s">
        <v>426</v>
      </c>
      <c r="G19" s="18" t="s">
        <v>427</v>
      </c>
      <c r="H19" s="19">
        <v>303</v>
      </c>
      <c r="I19" s="16">
        <v>303</v>
      </c>
      <c r="J19" s="20">
        <v>10</v>
      </c>
      <c r="K19" s="21">
        <f>+R19-J19</f>
        <v>0</v>
      </c>
      <c r="L19" s="21">
        <f t="shared" si="4"/>
        <v>313</v>
      </c>
      <c r="M19" s="21">
        <f t="shared" si="5"/>
        <v>-10</v>
      </c>
      <c r="N19" s="21">
        <v>303</v>
      </c>
      <c r="O19" s="16"/>
      <c r="P19" s="21">
        <f t="shared" si="6"/>
        <v>303</v>
      </c>
      <c r="Q19" s="21">
        <v>313</v>
      </c>
      <c r="R19" s="21">
        <f t="shared" si="7"/>
        <v>10</v>
      </c>
      <c r="S19" s="23"/>
      <c r="T19" s="23"/>
      <c r="U19" s="25"/>
    </row>
    <row r="20" spans="1:22" x14ac:dyDescent="0.25">
      <c r="A20" s="30">
        <v>6</v>
      </c>
      <c r="B20" s="17">
        <v>45167</v>
      </c>
      <c r="C20" s="98" t="s">
        <v>37</v>
      </c>
      <c r="D20" s="104"/>
      <c r="E20" s="104" t="s">
        <v>106</v>
      </c>
      <c r="F20" s="104" t="s">
        <v>428</v>
      </c>
      <c r="G20" s="105" t="s">
        <v>429</v>
      </c>
      <c r="H20" s="99">
        <v>100</v>
      </c>
      <c r="I20" s="100">
        <v>73</v>
      </c>
      <c r="J20" s="20">
        <v>10</v>
      </c>
      <c r="K20" s="21">
        <v>0</v>
      </c>
      <c r="L20" s="21">
        <f t="shared" si="4"/>
        <v>83</v>
      </c>
      <c r="M20" s="21">
        <f t="shared" si="5"/>
        <v>17</v>
      </c>
      <c r="N20" s="21">
        <v>0</v>
      </c>
      <c r="O20" s="16">
        <v>0</v>
      </c>
      <c r="P20" s="21">
        <v>17</v>
      </c>
      <c r="Q20" s="16">
        <v>87</v>
      </c>
      <c r="R20" s="21">
        <f t="shared" si="7"/>
        <v>70</v>
      </c>
      <c r="S20" s="23"/>
      <c r="T20" s="23"/>
      <c r="U20" s="25"/>
    </row>
    <row r="21" spans="1:22" x14ac:dyDescent="0.25">
      <c r="A21" s="30">
        <v>6</v>
      </c>
      <c r="B21" s="92">
        <v>45167</v>
      </c>
      <c r="C21" s="17" t="s">
        <v>2497</v>
      </c>
      <c r="D21" s="16">
        <v>5561213239</v>
      </c>
      <c r="E21" s="16" t="s">
        <v>430</v>
      </c>
      <c r="F21" s="16" t="s">
        <v>431</v>
      </c>
      <c r="G21" s="18" t="s">
        <v>432</v>
      </c>
      <c r="H21" s="93">
        <v>54</v>
      </c>
      <c r="I21" s="35">
        <v>44</v>
      </c>
      <c r="J21" s="20">
        <v>10</v>
      </c>
      <c r="K21" s="21">
        <f>+R21-J21</f>
        <v>-10</v>
      </c>
      <c r="L21" s="21">
        <f t="shared" si="4"/>
        <v>54</v>
      </c>
      <c r="M21" s="21">
        <f t="shared" si="5"/>
        <v>0</v>
      </c>
      <c r="N21" s="21">
        <v>0</v>
      </c>
      <c r="O21" s="16">
        <v>0</v>
      </c>
      <c r="P21" s="21">
        <v>0</v>
      </c>
      <c r="Q21" s="16"/>
      <c r="R21" s="21">
        <f t="shared" si="7"/>
        <v>0</v>
      </c>
      <c r="S21" s="23"/>
      <c r="T21" s="23"/>
      <c r="U21" s="25"/>
    </row>
    <row r="22" spans="1:22" x14ac:dyDescent="0.25">
      <c r="A22" s="30">
        <v>7</v>
      </c>
      <c r="B22" s="92">
        <v>45167</v>
      </c>
      <c r="C22" s="17" t="s">
        <v>2496</v>
      </c>
      <c r="D22" s="16">
        <v>5570313539</v>
      </c>
      <c r="E22" s="16" t="s">
        <v>433</v>
      </c>
      <c r="F22" s="16" t="s">
        <v>434</v>
      </c>
      <c r="G22" s="18" t="s">
        <v>435</v>
      </c>
      <c r="H22" s="93"/>
      <c r="I22" s="16"/>
      <c r="J22" s="20">
        <v>10</v>
      </c>
      <c r="K22" s="21">
        <f>+R22-J22</f>
        <v>-90</v>
      </c>
      <c r="L22" s="21">
        <f t="shared" si="4"/>
        <v>10</v>
      </c>
      <c r="M22" s="21">
        <f t="shared" si="5"/>
        <v>-10</v>
      </c>
      <c r="N22" s="21">
        <v>80</v>
      </c>
      <c r="O22" s="16"/>
      <c r="P22" s="21">
        <f t="shared" si="6"/>
        <v>80</v>
      </c>
      <c r="Q22" s="16"/>
      <c r="R22" s="21">
        <f t="shared" si="7"/>
        <v>-80</v>
      </c>
      <c r="S22" s="23"/>
      <c r="T22" s="23"/>
      <c r="U22" s="25"/>
    </row>
    <row r="30" spans="1:22" x14ac:dyDescent="0.25">
      <c r="O30" s="83"/>
      <c r="V30" s="86"/>
    </row>
    <row r="31" spans="1:22" x14ac:dyDescent="0.25">
      <c r="O31" s="83"/>
      <c r="V31" s="86"/>
    </row>
    <row r="34" spans="1:18" x14ac:dyDescent="0.25">
      <c r="A34" s="1" t="s">
        <v>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74"/>
      <c r="O34" s="1"/>
      <c r="P34" s="1"/>
      <c r="Q34" s="3" t="s">
        <v>1</v>
      </c>
      <c r="R34" s="4"/>
    </row>
    <row r="35" spans="1:18" ht="90" x14ac:dyDescent="0.25">
      <c r="A35" s="6" t="s">
        <v>2</v>
      </c>
      <c r="B35" s="7" t="s">
        <v>3</v>
      </c>
      <c r="C35" s="7" t="s">
        <v>4</v>
      </c>
      <c r="D35" s="6" t="s">
        <v>5</v>
      </c>
      <c r="E35" s="6" t="s">
        <v>6</v>
      </c>
      <c r="F35" s="6" t="s">
        <v>7</v>
      </c>
      <c r="G35" s="6" t="s">
        <v>8</v>
      </c>
      <c r="H35" s="8" t="s">
        <v>9</v>
      </c>
      <c r="I35" s="9" t="s">
        <v>10</v>
      </c>
      <c r="J35" s="8" t="s">
        <v>11</v>
      </c>
      <c r="K35" s="10" t="s">
        <v>12</v>
      </c>
      <c r="L35" s="10" t="s">
        <v>13</v>
      </c>
      <c r="M35" s="11" t="s">
        <v>14</v>
      </c>
      <c r="N35" s="10" t="s">
        <v>16</v>
      </c>
      <c r="O35" s="10" t="s">
        <v>17</v>
      </c>
      <c r="P35" s="10" t="s">
        <v>18</v>
      </c>
      <c r="Q35" s="10" t="s">
        <v>19</v>
      </c>
      <c r="R35" s="10" t="s">
        <v>20</v>
      </c>
    </row>
    <row r="36" spans="1:18" x14ac:dyDescent="0.25">
      <c r="A36" s="16">
        <v>1</v>
      </c>
      <c r="B36" s="17">
        <v>45168</v>
      </c>
      <c r="C36" s="17" t="s">
        <v>2495</v>
      </c>
      <c r="D36" s="16">
        <v>5526260701</v>
      </c>
      <c r="E36" s="16" t="s">
        <v>436</v>
      </c>
      <c r="F36" s="16" t="s">
        <v>437</v>
      </c>
      <c r="G36" s="18" t="s">
        <v>438</v>
      </c>
      <c r="H36" s="19">
        <v>187</v>
      </c>
      <c r="I36" s="16">
        <v>168</v>
      </c>
      <c r="J36" s="20">
        <v>10</v>
      </c>
      <c r="K36" s="21">
        <f>+R36-J36</f>
        <v>9</v>
      </c>
      <c r="L36" s="21">
        <f t="shared" ref="L36:L47" si="8">+I36+J36</f>
        <v>178</v>
      </c>
      <c r="M36" s="21">
        <f t="shared" ref="M36:M47" si="9">+H36-L36</f>
        <v>9</v>
      </c>
      <c r="N36" s="21">
        <v>200</v>
      </c>
      <c r="O36" s="16"/>
      <c r="P36" s="21">
        <f t="shared" ref="P36:P50" si="10">+N36+O36</f>
        <v>200</v>
      </c>
      <c r="Q36" s="21">
        <v>219</v>
      </c>
      <c r="R36" s="21">
        <f t="shared" ref="R36:R50" si="11">Q36-P36</f>
        <v>19</v>
      </c>
    </row>
    <row r="37" spans="1:18" x14ac:dyDescent="0.25">
      <c r="A37" s="16">
        <v>2</v>
      </c>
      <c r="B37" s="17">
        <v>45168</v>
      </c>
      <c r="C37" s="106" t="s">
        <v>48</v>
      </c>
      <c r="D37" s="26">
        <v>5530181574</v>
      </c>
      <c r="E37" s="26" t="s">
        <v>413</v>
      </c>
      <c r="F37" s="16" t="s">
        <v>395</v>
      </c>
      <c r="G37" s="58" t="s">
        <v>439</v>
      </c>
      <c r="H37" s="107">
        <v>322</v>
      </c>
      <c r="I37" s="26">
        <v>292</v>
      </c>
      <c r="J37" s="20">
        <v>10</v>
      </c>
      <c r="K37" s="21">
        <f>+R37-J37</f>
        <v>20</v>
      </c>
      <c r="L37" s="21">
        <f t="shared" si="8"/>
        <v>302</v>
      </c>
      <c r="M37" s="21">
        <f t="shared" si="9"/>
        <v>20</v>
      </c>
      <c r="N37" s="21">
        <v>500</v>
      </c>
      <c r="O37" s="16"/>
      <c r="P37" s="21">
        <f t="shared" si="10"/>
        <v>500</v>
      </c>
      <c r="Q37" s="21">
        <v>530</v>
      </c>
      <c r="R37" s="21">
        <f t="shared" si="11"/>
        <v>30</v>
      </c>
    </row>
    <row r="38" spans="1:18" x14ac:dyDescent="0.25">
      <c r="A38" s="16">
        <v>3</v>
      </c>
      <c r="B38" s="17">
        <v>45168</v>
      </c>
      <c r="C38" s="16" t="s">
        <v>2045</v>
      </c>
      <c r="D38" s="16">
        <v>5530181574</v>
      </c>
      <c r="E38" s="16" t="s">
        <v>106</v>
      </c>
      <c r="F38" s="16" t="s">
        <v>440</v>
      </c>
      <c r="G38" s="18" t="s">
        <v>441</v>
      </c>
      <c r="H38" s="93">
        <v>500</v>
      </c>
      <c r="I38" s="16">
        <v>235</v>
      </c>
      <c r="J38" s="20">
        <v>10</v>
      </c>
      <c r="K38" s="21">
        <f>+R38-J38</f>
        <v>7</v>
      </c>
      <c r="L38" s="21">
        <f t="shared" si="8"/>
        <v>245</v>
      </c>
      <c r="M38" s="21">
        <f t="shared" si="9"/>
        <v>255</v>
      </c>
      <c r="N38" s="21">
        <v>250</v>
      </c>
      <c r="O38" s="16">
        <f>++I38</f>
        <v>235</v>
      </c>
      <c r="P38" s="21">
        <f t="shared" si="10"/>
        <v>485</v>
      </c>
      <c r="Q38" s="21">
        <v>502</v>
      </c>
      <c r="R38" s="21">
        <f t="shared" si="11"/>
        <v>17</v>
      </c>
    </row>
    <row r="39" spans="1:18" x14ac:dyDescent="0.25">
      <c r="A39" s="16">
        <v>4</v>
      </c>
      <c r="B39" s="17">
        <v>45168</v>
      </c>
      <c r="C39" s="17" t="s">
        <v>2473</v>
      </c>
      <c r="D39" s="16">
        <v>580208418</v>
      </c>
      <c r="E39" s="16" t="s">
        <v>308</v>
      </c>
      <c r="F39" s="16" t="s">
        <v>442</v>
      </c>
      <c r="G39" s="18" t="s">
        <v>443</v>
      </c>
      <c r="H39" s="93">
        <v>231</v>
      </c>
      <c r="I39" s="16">
        <v>221</v>
      </c>
      <c r="J39" s="20">
        <v>10</v>
      </c>
      <c r="K39" s="21">
        <f>+R39-J39</f>
        <v>0</v>
      </c>
      <c r="L39" s="21">
        <f t="shared" si="8"/>
        <v>231</v>
      </c>
      <c r="M39" s="21">
        <f t="shared" si="9"/>
        <v>0</v>
      </c>
      <c r="N39" s="21">
        <v>200</v>
      </c>
      <c r="O39" s="16"/>
      <c r="P39" s="21">
        <f t="shared" si="10"/>
        <v>200</v>
      </c>
      <c r="Q39" s="21">
        <v>210</v>
      </c>
      <c r="R39" s="21">
        <f t="shared" si="11"/>
        <v>10</v>
      </c>
    </row>
    <row r="40" spans="1:18" x14ac:dyDescent="0.25">
      <c r="A40" s="16">
        <v>5</v>
      </c>
      <c r="B40" s="17">
        <v>45168</v>
      </c>
      <c r="C40" s="17" t="s">
        <v>82</v>
      </c>
      <c r="D40" s="16">
        <v>5624838493</v>
      </c>
      <c r="E40" s="16" t="s">
        <v>444</v>
      </c>
      <c r="F40" s="16" t="s">
        <v>445</v>
      </c>
      <c r="G40" s="18" t="s">
        <v>446</v>
      </c>
      <c r="H40" s="93">
        <v>43</v>
      </c>
      <c r="I40" s="16">
        <v>33</v>
      </c>
      <c r="J40" s="20">
        <v>10</v>
      </c>
      <c r="K40" s="21">
        <f>+R40-J40</f>
        <v>0</v>
      </c>
      <c r="L40" s="21">
        <f t="shared" si="8"/>
        <v>43</v>
      </c>
      <c r="M40" s="21">
        <f t="shared" si="9"/>
        <v>0</v>
      </c>
      <c r="N40" s="21">
        <v>100</v>
      </c>
      <c r="O40" s="16"/>
      <c r="P40" s="21">
        <f t="shared" si="10"/>
        <v>100</v>
      </c>
      <c r="Q40" s="21">
        <v>110</v>
      </c>
      <c r="R40" s="21">
        <f t="shared" si="11"/>
        <v>10</v>
      </c>
    </row>
    <row r="41" spans="1:18" x14ac:dyDescent="0.25">
      <c r="A41" s="30">
        <v>6</v>
      </c>
      <c r="B41" s="17">
        <v>45168</v>
      </c>
      <c r="C41" s="17" t="s">
        <v>3381</v>
      </c>
      <c r="D41" s="16">
        <v>5522701719</v>
      </c>
      <c r="E41" s="16" t="s">
        <v>106</v>
      </c>
      <c r="F41" s="16" t="s">
        <v>448</v>
      </c>
      <c r="G41" s="18" t="s">
        <v>449</v>
      </c>
      <c r="H41" s="18">
        <v>164</v>
      </c>
      <c r="I41" s="35">
        <v>144</v>
      </c>
      <c r="J41" s="20">
        <v>10</v>
      </c>
      <c r="K41" s="21">
        <v>10</v>
      </c>
      <c r="L41" s="21">
        <f>+I41+J41+K41</f>
        <v>164</v>
      </c>
      <c r="M41" s="21">
        <f t="shared" si="9"/>
        <v>0</v>
      </c>
      <c r="N41" s="83">
        <v>144</v>
      </c>
      <c r="O41">
        <v>0</v>
      </c>
      <c r="P41">
        <v>144</v>
      </c>
      <c r="Q41">
        <v>164</v>
      </c>
      <c r="R41">
        <v>20</v>
      </c>
    </row>
    <row r="42" spans="1:18" x14ac:dyDescent="0.25">
      <c r="A42" s="30">
        <v>6</v>
      </c>
      <c r="B42" s="17">
        <v>45168</v>
      </c>
      <c r="C42" s="17" t="s">
        <v>450</v>
      </c>
      <c r="D42" s="16">
        <v>5549468857</v>
      </c>
      <c r="E42" s="16" t="s">
        <v>451</v>
      </c>
      <c r="F42" s="16" t="s">
        <v>452</v>
      </c>
      <c r="G42" s="18" t="s">
        <v>453</v>
      </c>
      <c r="H42" s="93">
        <v>133</v>
      </c>
      <c r="I42" s="35">
        <v>123</v>
      </c>
      <c r="J42" s="20">
        <v>10</v>
      </c>
      <c r="K42" s="21">
        <v>0</v>
      </c>
      <c r="L42" s="21">
        <f t="shared" si="8"/>
        <v>133</v>
      </c>
      <c r="M42" s="21">
        <f t="shared" si="9"/>
        <v>0</v>
      </c>
      <c r="N42" s="21">
        <v>123</v>
      </c>
      <c r="O42" s="16">
        <v>100</v>
      </c>
      <c r="P42" s="21">
        <v>223</v>
      </c>
      <c r="Q42" s="16">
        <v>233</v>
      </c>
      <c r="R42" s="21">
        <f>Q42-P42</f>
        <v>10</v>
      </c>
    </row>
    <row r="43" spans="1:18" x14ac:dyDescent="0.25">
      <c r="A43" s="30">
        <v>7</v>
      </c>
      <c r="B43" s="17">
        <v>45168</v>
      </c>
      <c r="C43" s="17" t="s">
        <v>2472</v>
      </c>
      <c r="D43" s="16">
        <v>5510466400</v>
      </c>
      <c r="E43" s="16" t="s">
        <v>106</v>
      </c>
      <c r="F43" s="16" t="s">
        <v>454</v>
      </c>
      <c r="G43" s="18" t="s">
        <v>455</v>
      </c>
      <c r="H43" s="93">
        <v>174</v>
      </c>
      <c r="I43" s="16">
        <v>164</v>
      </c>
      <c r="J43" s="20">
        <v>10</v>
      </c>
      <c r="K43" s="21">
        <v>0</v>
      </c>
      <c r="L43" s="21">
        <f t="shared" si="8"/>
        <v>174</v>
      </c>
      <c r="M43" s="21">
        <f t="shared" si="9"/>
        <v>0</v>
      </c>
      <c r="N43" s="21">
        <v>164</v>
      </c>
      <c r="O43" s="16"/>
      <c r="P43" s="21">
        <f t="shared" si="10"/>
        <v>164</v>
      </c>
      <c r="Q43" s="16">
        <v>174</v>
      </c>
      <c r="R43" s="21">
        <f t="shared" si="11"/>
        <v>10</v>
      </c>
    </row>
    <row r="44" spans="1:18" x14ac:dyDescent="0.25">
      <c r="A44" s="32">
        <v>9</v>
      </c>
      <c r="B44" s="17">
        <v>45168</v>
      </c>
      <c r="C44" s="17" t="s">
        <v>2116</v>
      </c>
      <c r="D44" s="16">
        <v>5615589545</v>
      </c>
      <c r="E44" s="16" t="s">
        <v>106</v>
      </c>
      <c r="F44" s="16" t="s">
        <v>457</v>
      </c>
      <c r="G44" s="18" t="s">
        <v>458</v>
      </c>
      <c r="H44" s="18">
        <v>49</v>
      </c>
      <c r="I44" s="101">
        <v>39</v>
      </c>
      <c r="J44" s="20">
        <v>10</v>
      </c>
      <c r="K44" s="21">
        <v>0</v>
      </c>
      <c r="L44" s="21">
        <f t="shared" si="8"/>
        <v>49</v>
      </c>
      <c r="M44" s="21">
        <f t="shared" si="9"/>
        <v>0</v>
      </c>
      <c r="N44" s="21">
        <v>39</v>
      </c>
      <c r="O44" s="16"/>
      <c r="P44" s="21">
        <f t="shared" si="10"/>
        <v>39</v>
      </c>
      <c r="Q44" s="16">
        <v>49</v>
      </c>
      <c r="R44" s="21">
        <f t="shared" si="11"/>
        <v>10</v>
      </c>
    </row>
    <row r="45" spans="1:18" x14ac:dyDescent="0.25">
      <c r="A45" s="32">
        <v>10</v>
      </c>
      <c r="B45" s="17">
        <v>45168</v>
      </c>
      <c r="C45" s="17" t="s">
        <v>82</v>
      </c>
      <c r="D45" s="16">
        <v>5624838493</v>
      </c>
      <c r="E45" s="16" t="s">
        <v>444</v>
      </c>
      <c r="F45" s="16" t="s">
        <v>445</v>
      </c>
      <c r="G45" s="18" t="s">
        <v>459</v>
      </c>
      <c r="H45" s="18">
        <v>32</v>
      </c>
      <c r="I45" s="35">
        <v>22</v>
      </c>
      <c r="J45" s="20">
        <v>10</v>
      </c>
      <c r="K45" s="21" t="s">
        <v>148</v>
      </c>
      <c r="L45" s="21">
        <f t="shared" si="8"/>
        <v>32</v>
      </c>
      <c r="M45" s="21">
        <f t="shared" si="9"/>
        <v>0</v>
      </c>
      <c r="N45" s="21"/>
      <c r="O45" s="16"/>
      <c r="P45" s="21">
        <f t="shared" si="10"/>
        <v>0</v>
      </c>
      <c r="Q45" s="16"/>
      <c r="R45" s="21">
        <f t="shared" si="11"/>
        <v>0</v>
      </c>
    </row>
    <row r="46" spans="1:18" x14ac:dyDescent="0.25">
      <c r="A46" s="32">
        <v>11</v>
      </c>
      <c r="B46" s="17">
        <v>45168</v>
      </c>
      <c r="C46" s="17"/>
      <c r="D46" s="16"/>
      <c r="E46" s="17"/>
      <c r="F46" s="16"/>
      <c r="G46" s="18" t="s">
        <v>460</v>
      </c>
      <c r="H46" s="18">
        <v>150</v>
      </c>
      <c r="I46" s="35">
        <v>133</v>
      </c>
      <c r="J46" s="20">
        <v>10</v>
      </c>
      <c r="K46" s="21">
        <v>5</v>
      </c>
      <c r="L46" s="21">
        <f t="shared" si="8"/>
        <v>143</v>
      </c>
      <c r="M46" s="21">
        <f t="shared" si="9"/>
        <v>7</v>
      </c>
      <c r="N46" s="21">
        <v>0</v>
      </c>
      <c r="O46" s="16">
        <v>7</v>
      </c>
      <c r="P46" s="21"/>
      <c r="Q46" s="16">
        <v>150</v>
      </c>
      <c r="R46" s="21">
        <f t="shared" si="11"/>
        <v>150</v>
      </c>
    </row>
    <row r="47" spans="1:18" x14ac:dyDescent="0.25">
      <c r="A47" s="32">
        <v>12</v>
      </c>
      <c r="B47" s="17">
        <v>45168</v>
      </c>
      <c r="C47" s="17"/>
      <c r="D47" s="16"/>
      <c r="E47" s="16"/>
      <c r="F47" s="16"/>
      <c r="G47" s="18"/>
      <c r="H47" s="18"/>
      <c r="I47" s="35">
        <v>60</v>
      </c>
      <c r="J47" s="20">
        <v>51</v>
      </c>
      <c r="K47" s="43"/>
      <c r="L47" s="21">
        <f t="shared" si="8"/>
        <v>111</v>
      </c>
      <c r="M47" s="21">
        <f t="shared" si="9"/>
        <v>-111</v>
      </c>
      <c r="N47" s="45"/>
      <c r="O47" s="44"/>
      <c r="P47" s="21">
        <f t="shared" si="10"/>
        <v>0</v>
      </c>
      <c r="Q47" s="45"/>
      <c r="R47" s="21">
        <f t="shared" si="11"/>
        <v>0</v>
      </c>
    </row>
    <row r="48" spans="1:18" x14ac:dyDescent="0.25">
      <c r="A48" s="32">
        <v>13</v>
      </c>
      <c r="B48" s="17">
        <v>45168</v>
      </c>
      <c r="C48" s="17"/>
      <c r="D48" s="16"/>
      <c r="E48" s="16"/>
      <c r="F48" s="16"/>
      <c r="G48" s="18"/>
      <c r="H48" s="18"/>
      <c r="I48" s="35"/>
      <c r="J48" s="108">
        <v>10</v>
      </c>
      <c r="K48" s="43">
        <v>10</v>
      </c>
      <c r="L48" s="43"/>
      <c r="M48" s="43"/>
      <c r="N48" s="43"/>
      <c r="O48" s="32"/>
      <c r="P48" s="21">
        <f t="shared" si="10"/>
        <v>0</v>
      </c>
      <c r="Q48" s="43"/>
      <c r="R48" s="21">
        <f t="shared" si="11"/>
        <v>0</v>
      </c>
    </row>
    <row r="49" spans="1:22" x14ac:dyDescent="0.25">
      <c r="A49" s="32">
        <v>14</v>
      </c>
      <c r="B49" s="17">
        <v>45168</v>
      </c>
      <c r="C49" s="96"/>
      <c r="D49" s="44"/>
      <c r="E49" s="44"/>
      <c r="F49" s="44"/>
      <c r="G49" s="33"/>
      <c r="H49" s="33"/>
      <c r="I49" s="38"/>
      <c r="J49" s="43">
        <v>10</v>
      </c>
      <c r="K49" s="43"/>
      <c r="L49" s="43"/>
      <c r="M49" s="43"/>
      <c r="N49" s="43"/>
      <c r="O49" s="43"/>
      <c r="P49" s="21">
        <f t="shared" si="10"/>
        <v>0</v>
      </c>
      <c r="Q49" s="43"/>
      <c r="R49" s="21">
        <f t="shared" si="11"/>
        <v>0</v>
      </c>
    </row>
    <row r="50" spans="1:22" x14ac:dyDescent="0.25">
      <c r="A50" s="32">
        <v>15</v>
      </c>
      <c r="B50" s="17">
        <v>45168</v>
      </c>
      <c r="C50" s="31"/>
      <c r="D50" s="32"/>
      <c r="E50" s="32"/>
      <c r="F50" s="32"/>
      <c r="G50" s="39"/>
      <c r="H50" s="39"/>
      <c r="I50" s="42"/>
      <c r="J50" s="43"/>
      <c r="K50" s="43"/>
      <c r="L50" s="43"/>
      <c r="M50" s="43"/>
      <c r="N50" s="43"/>
      <c r="O50" s="32"/>
      <c r="P50" s="21">
        <f t="shared" si="10"/>
        <v>0</v>
      </c>
      <c r="Q50" s="43"/>
      <c r="R50" s="21">
        <f t="shared" si="11"/>
        <v>0</v>
      </c>
    </row>
    <row r="51" spans="1:22" x14ac:dyDescent="0.25">
      <c r="A51" s="5">
        <v>0</v>
      </c>
      <c r="B51" s="53"/>
      <c r="C51" s="53"/>
      <c r="D51" s="5"/>
      <c r="E51" s="5"/>
      <c r="F51" s="5"/>
      <c r="G51" s="54"/>
      <c r="H51" s="54"/>
      <c r="I51" s="5"/>
      <c r="J51" s="5"/>
      <c r="K51" s="5"/>
      <c r="L51" s="5"/>
      <c r="M51" s="5"/>
      <c r="N51" s="22"/>
      <c r="O51" s="5"/>
      <c r="P51" s="5"/>
      <c r="Q51" s="5"/>
      <c r="R51" s="5"/>
    </row>
    <row r="56" spans="1:22" x14ac:dyDescent="0.25">
      <c r="A56" s="1" t="s">
        <v>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3" t="s">
        <v>1</v>
      </c>
      <c r="R56" s="4"/>
      <c r="S56" s="1"/>
      <c r="T56" s="1"/>
      <c r="U56" s="1"/>
      <c r="V56" s="5"/>
    </row>
    <row r="57" spans="1:22" ht="90" x14ac:dyDescent="0.25">
      <c r="A57" s="6" t="s">
        <v>2</v>
      </c>
      <c r="B57" s="7" t="s">
        <v>3</v>
      </c>
      <c r="C57" s="7" t="s">
        <v>4</v>
      </c>
      <c r="D57" s="6" t="s">
        <v>5</v>
      </c>
      <c r="E57" s="6" t="s">
        <v>6</v>
      </c>
      <c r="F57" s="6" t="s">
        <v>7</v>
      </c>
      <c r="G57" s="6" t="s">
        <v>8</v>
      </c>
      <c r="H57" s="8" t="s">
        <v>9</v>
      </c>
      <c r="I57" s="9" t="s">
        <v>10</v>
      </c>
      <c r="J57" s="8" t="s">
        <v>11</v>
      </c>
      <c r="K57" s="10" t="s">
        <v>12</v>
      </c>
      <c r="L57" s="10" t="s">
        <v>13</v>
      </c>
      <c r="M57" s="11" t="s">
        <v>14</v>
      </c>
      <c r="N57" s="10" t="s">
        <v>16</v>
      </c>
      <c r="O57" s="10" t="s">
        <v>17</v>
      </c>
      <c r="P57" s="10" t="s">
        <v>18</v>
      </c>
      <c r="Q57" s="10" t="s">
        <v>19</v>
      </c>
      <c r="R57" s="10" t="s">
        <v>20</v>
      </c>
      <c r="S57" s="14" t="s">
        <v>21</v>
      </c>
      <c r="T57" s="14" t="s">
        <v>22</v>
      </c>
      <c r="U57" s="15" t="s">
        <v>23</v>
      </c>
      <c r="V57" s="5"/>
    </row>
    <row r="58" spans="1:22" x14ac:dyDescent="0.25">
      <c r="A58" s="16">
        <v>1</v>
      </c>
      <c r="B58" s="17">
        <v>45169</v>
      </c>
      <c r="C58" s="17" t="s">
        <v>2494</v>
      </c>
      <c r="D58" s="16">
        <v>5569311730</v>
      </c>
      <c r="E58" s="16" t="s">
        <v>461</v>
      </c>
      <c r="F58" t="s">
        <v>462</v>
      </c>
      <c r="G58" s="36" t="s">
        <v>463</v>
      </c>
      <c r="H58" s="19">
        <v>461</v>
      </c>
      <c r="I58" s="16">
        <v>451</v>
      </c>
      <c r="J58" s="20">
        <v>10</v>
      </c>
      <c r="K58" s="21">
        <f>+R58-J58</f>
        <v>1</v>
      </c>
      <c r="L58" s="21">
        <f t="shared" ref="L58:L69" si="12">+I58+J58</f>
        <v>461</v>
      </c>
      <c r="M58" s="21">
        <f t="shared" ref="M58:M69" si="13">+H58-L58</f>
        <v>0</v>
      </c>
      <c r="N58" s="21">
        <v>460</v>
      </c>
      <c r="O58" s="16"/>
      <c r="P58" s="21">
        <f t="shared" ref="P58:P69" si="14">+N58+O58</f>
        <v>460</v>
      </c>
      <c r="Q58" s="21">
        <v>471</v>
      </c>
      <c r="R58" s="21">
        <f t="shared" ref="R58:R69" si="15">Q58-P58</f>
        <v>11</v>
      </c>
      <c r="S58" s="23"/>
      <c r="T58" s="23"/>
      <c r="U58" s="24"/>
      <c r="V58" s="5"/>
    </row>
    <row r="59" spans="1:22" x14ac:dyDescent="0.25">
      <c r="A59" s="16">
        <v>2</v>
      </c>
      <c r="B59" s="17">
        <v>45169</v>
      </c>
      <c r="C59" s="17" t="s">
        <v>2488</v>
      </c>
      <c r="D59" s="16">
        <v>5614683694</v>
      </c>
      <c r="E59" s="16" t="s">
        <v>145</v>
      </c>
      <c r="F59" s="16" t="s">
        <v>400</v>
      </c>
      <c r="G59" s="18" t="s">
        <v>464</v>
      </c>
      <c r="H59" s="19">
        <v>500</v>
      </c>
      <c r="I59" s="16">
        <v>132</v>
      </c>
      <c r="J59" s="20">
        <v>10</v>
      </c>
      <c r="K59" s="21">
        <f>+R59-J59</f>
        <v>0</v>
      </c>
      <c r="L59" s="21">
        <f t="shared" si="12"/>
        <v>142</v>
      </c>
      <c r="M59" s="21">
        <f t="shared" si="13"/>
        <v>358</v>
      </c>
      <c r="N59" s="21">
        <v>200</v>
      </c>
      <c r="O59" s="16">
        <v>250</v>
      </c>
      <c r="P59" s="21">
        <f t="shared" si="14"/>
        <v>450</v>
      </c>
      <c r="Q59" s="21">
        <v>460</v>
      </c>
      <c r="R59" s="21">
        <f t="shared" si="15"/>
        <v>10</v>
      </c>
      <c r="S59" s="23"/>
      <c r="T59" s="23"/>
      <c r="U59" s="25"/>
      <c r="V59" s="5"/>
    </row>
    <row r="60" spans="1:22" x14ac:dyDescent="0.25">
      <c r="A60" s="16">
        <v>3</v>
      </c>
      <c r="B60" s="17">
        <v>45169</v>
      </c>
      <c r="C60" t="s">
        <v>2493</v>
      </c>
      <c r="D60" s="16">
        <v>5591108521</v>
      </c>
      <c r="E60" s="26" t="s">
        <v>120</v>
      </c>
      <c r="F60" s="26" t="s">
        <v>465</v>
      </c>
      <c r="G60" s="18" t="s">
        <v>466</v>
      </c>
      <c r="H60" s="19">
        <v>100</v>
      </c>
      <c r="I60" s="16">
        <v>62</v>
      </c>
      <c r="J60" s="20">
        <v>10</v>
      </c>
      <c r="K60" s="21">
        <f>+R60-J60</f>
        <v>0</v>
      </c>
      <c r="L60" s="21">
        <f t="shared" si="12"/>
        <v>72</v>
      </c>
      <c r="M60" s="21">
        <f t="shared" si="13"/>
        <v>28</v>
      </c>
      <c r="N60" s="21">
        <v>128</v>
      </c>
      <c r="O60" s="16"/>
      <c r="P60" s="21">
        <f t="shared" si="14"/>
        <v>128</v>
      </c>
      <c r="Q60" s="21">
        <v>138</v>
      </c>
      <c r="R60" s="21">
        <f t="shared" si="15"/>
        <v>10</v>
      </c>
      <c r="S60" s="23"/>
      <c r="T60" s="23"/>
      <c r="U60" s="25"/>
      <c r="V60" s="5"/>
    </row>
    <row r="61" spans="1:22" x14ac:dyDescent="0.25">
      <c r="A61" s="16">
        <v>4</v>
      </c>
      <c r="B61" s="17">
        <v>45169</v>
      </c>
      <c r="C61" s="31" t="s">
        <v>921</v>
      </c>
      <c r="D61" s="32">
        <v>5625982564</v>
      </c>
      <c r="E61" s="32" t="s">
        <v>106</v>
      </c>
      <c r="F61" s="32" t="s">
        <v>331</v>
      </c>
      <c r="G61" s="36" t="s">
        <v>467</v>
      </c>
      <c r="H61" s="19">
        <v>210</v>
      </c>
      <c r="I61" s="16">
        <v>194</v>
      </c>
      <c r="J61" s="20">
        <v>10</v>
      </c>
      <c r="K61" s="21">
        <f>+R61-J61</f>
        <v>10</v>
      </c>
      <c r="L61" s="21">
        <f t="shared" si="12"/>
        <v>204</v>
      </c>
      <c r="M61" s="21">
        <f t="shared" si="13"/>
        <v>6</v>
      </c>
      <c r="N61" s="21">
        <v>200</v>
      </c>
      <c r="O61" s="16"/>
      <c r="P61" s="21">
        <f t="shared" si="14"/>
        <v>200</v>
      </c>
      <c r="Q61" s="21">
        <v>220</v>
      </c>
      <c r="R61" s="21">
        <f t="shared" si="15"/>
        <v>20</v>
      </c>
      <c r="S61" s="23"/>
      <c r="T61" s="23"/>
      <c r="U61" s="25"/>
      <c r="V61" s="5"/>
    </row>
    <row r="62" spans="1:22" x14ac:dyDescent="0.25">
      <c r="A62" s="16">
        <v>5</v>
      </c>
      <c r="B62" s="17">
        <v>45169</v>
      </c>
      <c r="C62" s="17" t="s">
        <v>468</v>
      </c>
      <c r="D62" s="16">
        <v>0</v>
      </c>
      <c r="E62" s="29" t="s">
        <v>469</v>
      </c>
      <c r="F62" s="29" t="s">
        <v>470</v>
      </c>
      <c r="G62" s="18" t="s">
        <v>471</v>
      </c>
      <c r="H62" s="19">
        <v>200</v>
      </c>
      <c r="I62" s="16">
        <v>42</v>
      </c>
      <c r="J62" s="20">
        <v>10</v>
      </c>
      <c r="K62" s="21">
        <f>+R62-J62</f>
        <v>5.5</v>
      </c>
      <c r="L62" s="21">
        <f t="shared" si="12"/>
        <v>52</v>
      </c>
      <c r="M62" s="21">
        <f t="shared" si="13"/>
        <v>148</v>
      </c>
      <c r="N62" s="16"/>
      <c r="O62" s="16"/>
      <c r="P62" s="21">
        <f t="shared" si="14"/>
        <v>0</v>
      </c>
      <c r="Q62" s="21">
        <v>15.5</v>
      </c>
      <c r="R62" s="21">
        <f t="shared" si="15"/>
        <v>15.5</v>
      </c>
      <c r="S62" s="23"/>
      <c r="T62" s="23"/>
      <c r="U62" s="25"/>
      <c r="V62" s="5"/>
    </row>
    <row r="63" spans="1:22" x14ac:dyDescent="0.25">
      <c r="A63" s="30">
        <v>6</v>
      </c>
      <c r="B63" s="17">
        <v>45169</v>
      </c>
      <c r="C63" s="98" t="s">
        <v>2529</v>
      </c>
      <c r="D63" s="104"/>
      <c r="E63" s="104" t="s">
        <v>106</v>
      </c>
      <c r="F63" s="104" t="s">
        <v>187</v>
      </c>
      <c r="G63" s="105" t="s">
        <v>472</v>
      </c>
      <c r="H63" s="99">
        <v>200</v>
      </c>
      <c r="I63" s="100">
        <v>134</v>
      </c>
      <c r="J63" s="20">
        <v>10</v>
      </c>
      <c r="K63" s="21">
        <v>10</v>
      </c>
      <c r="L63" s="21">
        <f t="shared" si="12"/>
        <v>144</v>
      </c>
      <c r="M63" s="21">
        <f t="shared" si="13"/>
        <v>56</v>
      </c>
      <c r="N63" s="16">
        <v>0</v>
      </c>
      <c r="O63" s="16">
        <v>206</v>
      </c>
      <c r="P63" s="21">
        <f t="shared" si="14"/>
        <v>206</v>
      </c>
      <c r="Q63" s="16">
        <v>216</v>
      </c>
      <c r="R63" s="21">
        <f t="shared" si="15"/>
        <v>10</v>
      </c>
      <c r="S63" s="23"/>
      <c r="T63" s="23"/>
      <c r="U63" s="25"/>
      <c r="V63" s="5"/>
    </row>
    <row r="64" spans="1:22" x14ac:dyDescent="0.25">
      <c r="A64" s="30">
        <v>6</v>
      </c>
      <c r="B64" s="17">
        <v>45169</v>
      </c>
      <c r="C64" s="17" t="s">
        <v>473</v>
      </c>
      <c r="D64" s="16">
        <v>5621699116</v>
      </c>
      <c r="E64" s="109" t="s">
        <v>106</v>
      </c>
      <c r="F64" s="16" t="s">
        <v>474</v>
      </c>
      <c r="G64" s="18" t="s">
        <v>475</v>
      </c>
      <c r="H64" s="93">
        <v>200</v>
      </c>
      <c r="I64" s="35">
        <v>125</v>
      </c>
      <c r="J64" s="20">
        <v>10</v>
      </c>
      <c r="K64" s="21">
        <v>10</v>
      </c>
      <c r="L64" s="21">
        <f t="shared" si="12"/>
        <v>135</v>
      </c>
      <c r="M64" s="21">
        <f t="shared" si="13"/>
        <v>65</v>
      </c>
      <c r="N64" s="16">
        <v>0</v>
      </c>
      <c r="O64" s="16">
        <v>200</v>
      </c>
      <c r="P64" s="21">
        <f t="shared" si="14"/>
        <v>200</v>
      </c>
      <c r="Q64" s="16">
        <v>210</v>
      </c>
      <c r="R64" s="21">
        <f t="shared" si="15"/>
        <v>10</v>
      </c>
      <c r="S64" s="23"/>
      <c r="T64" s="23"/>
      <c r="U64" s="25"/>
      <c r="V64" s="5"/>
    </row>
    <row r="65" spans="1:29" x14ac:dyDescent="0.25">
      <c r="A65" s="30">
        <v>7</v>
      </c>
      <c r="B65" s="17">
        <v>45169</v>
      </c>
      <c r="C65" s="17" t="s">
        <v>2488</v>
      </c>
      <c r="D65" s="16">
        <v>5614683694</v>
      </c>
      <c r="E65" s="16" t="s">
        <v>145</v>
      </c>
      <c r="F65" s="16" t="s">
        <v>476</v>
      </c>
      <c r="G65" s="18" t="s">
        <v>477</v>
      </c>
      <c r="H65" s="93">
        <v>200</v>
      </c>
      <c r="I65" s="16">
        <v>68</v>
      </c>
      <c r="J65" s="20">
        <v>10</v>
      </c>
      <c r="K65" s="21">
        <v>0</v>
      </c>
      <c r="L65" s="21">
        <f t="shared" si="12"/>
        <v>78</v>
      </c>
      <c r="M65" s="21">
        <f t="shared" si="13"/>
        <v>122</v>
      </c>
      <c r="N65" s="16">
        <v>200</v>
      </c>
      <c r="O65" s="16"/>
      <c r="P65" s="21">
        <f t="shared" si="14"/>
        <v>200</v>
      </c>
      <c r="Q65" s="16">
        <v>218</v>
      </c>
      <c r="R65" s="21">
        <f t="shared" si="15"/>
        <v>18</v>
      </c>
      <c r="S65" s="23"/>
      <c r="T65" s="23"/>
      <c r="U65" s="25"/>
      <c r="V65" s="5"/>
    </row>
    <row r="66" spans="1:29" x14ac:dyDescent="0.25">
      <c r="A66" s="32">
        <v>9</v>
      </c>
      <c r="B66" s="17">
        <v>45169</v>
      </c>
      <c r="C66" s="16" t="s">
        <v>2492</v>
      </c>
      <c r="D66" s="16">
        <v>5539323944</v>
      </c>
      <c r="E66" s="16" t="s">
        <v>478</v>
      </c>
      <c r="F66" s="18" t="s">
        <v>198</v>
      </c>
      <c r="G66" s="18" t="s">
        <v>479</v>
      </c>
      <c r="H66" s="18">
        <v>100</v>
      </c>
      <c r="I66" s="101">
        <v>10</v>
      </c>
      <c r="J66" s="20">
        <v>10</v>
      </c>
      <c r="K66" s="21">
        <v>0</v>
      </c>
      <c r="L66" s="21">
        <f t="shared" si="12"/>
        <v>20</v>
      </c>
      <c r="M66" s="21">
        <f t="shared" si="13"/>
        <v>80</v>
      </c>
      <c r="N66" s="16">
        <v>100</v>
      </c>
      <c r="O66" s="16"/>
      <c r="P66" s="21">
        <f t="shared" si="14"/>
        <v>100</v>
      </c>
      <c r="Q66" s="16">
        <v>110</v>
      </c>
      <c r="R66" s="21">
        <f t="shared" si="15"/>
        <v>10</v>
      </c>
      <c r="S66" s="23"/>
      <c r="T66" s="23"/>
      <c r="U66" s="25"/>
      <c r="V66" s="5"/>
    </row>
    <row r="67" spans="1:29" x14ac:dyDescent="0.25">
      <c r="A67" s="32">
        <v>10</v>
      </c>
      <c r="B67" s="17">
        <v>45169</v>
      </c>
      <c r="C67" s="17" t="s">
        <v>82</v>
      </c>
      <c r="D67" s="16">
        <v>5624838493</v>
      </c>
      <c r="E67" s="16" t="s">
        <v>480</v>
      </c>
      <c r="F67" s="16" t="s">
        <v>445</v>
      </c>
      <c r="G67" s="18" t="s">
        <v>459</v>
      </c>
      <c r="H67" s="18">
        <v>32</v>
      </c>
      <c r="I67" s="35">
        <v>22</v>
      </c>
      <c r="J67" s="20">
        <v>10</v>
      </c>
      <c r="K67" s="21" t="s">
        <v>148</v>
      </c>
      <c r="L67" s="21">
        <f t="shared" si="12"/>
        <v>32</v>
      </c>
      <c r="M67" s="21">
        <f t="shared" si="13"/>
        <v>0</v>
      </c>
      <c r="N67" s="21"/>
      <c r="O67" s="16"/>
      <c r="P67" s="21">
        <v>22</v>
      </c>
      <c r="Q67" s="16">
        <v>32</v>
      </c>
      <c r="R67" s="21">
        <f t="shared" si="15"/>
        <v>10</v>
      </c>
      <c r="S67" s="23"/>
      <c r="T67" s="23"/>
      <c r="U67" s="25"/>
      <c r="V67" s="5"/>
    </row>
    <row r="68" spans="1:29" x14ac:dyDescent="0.25">
      <c r="A68" s="32">
        <v>11</v>
      </c>
      <c r="B68" s="17">
        <v>45169</v>
      </c>
      <c r="C68" s="17" t="s">
        <v>481</v>
      </c>
      <c r="D68" s="16">
        <v>5572135350</v>
      </c>
      <c r="E68" s="17" t="s">
        <v>106</v>
      </c>
      <c r="F68" s="16" t="s">
        <v>482</v>
      </c>
      <c r="G68" s="18" t="s">
        <v>460</v>
      </c>
      <c r="H68" s="18">
        <v>150</v>
      </c>
      <c r="I68" s="35">
        <v>133</v>
      </c>
      <c r="J68" s="20">
        <v>10</v>
      </c>
      <c r="K68" s="21">
        <v>5</v>
      </c>
      <c r="L68" s="21">
        <f t="shared" si="12"/>
        <v>143</v>
      </c>
      <c r="M68" s="21">
        <f t="shared" si="13"/>
        <v>7</v>
      </c>
      <c r="N68" s="21">
        <v>0</v>
      </c>
      <c r="O68" s="16">
        <v>0</v>
      </c>
      <c r="P68" s="21">
        <v>133</v>
      </c>
      <c r="Q68" s="16">
        <v>150</v>
      </c>
      <c r="R68" s="21">
        <f t="shared" si="15"/>
        <v>17</v>
      </c>
      <c r="S68" s="23"/>
      <c r="T68" s="23"/>
      <c r="U68" s="25"/>
      <c r="V68" s="5"/>
    </row>
    <row r="69" spans="1:29" x14ac:dyDescent="0.25">
      <c r="A69" s="32">
        <v>12</v>
      </c>
      <c r="B69" s="17">
        <v>45169</v>
      </c>
      <c r="C69" s="17" t="s">
        <v>933</v>
      </c>
      <c r="D69" s="16"/>
      <c r="E69" s="16" t="s">
        <v>106</v>
      </c>
      <c r="F69" s="16" t="s">
        <v>220</v>
      </c>
      <c r="G69" s="18" t="s">
        <v>484</v>
      </c>
      <c r="H69" s="18">
        <v>70</v>
      </c>
      <c r="I69" s="35">
        <v>60</v>
      </c>
      <c r="J69" s="20">
        <v>10</v>
      </c>
      <c r="K69" s="43">
        <v>0</v>
      </c>
      <c r="L69" s="21">
        <f t="shared" si="12"/>
        <v>70</v>
      </c>
      <c r="M69" s="21">
        <f t="shared" si="13"/>
        <v>0</v>
      </c>
      <c r="N69" s="45"/>
      <c r="O69" s="44"/>
      <c r="P69" s="21">
        <f t="shared" si="14"/>
        <v>0</v>
      </c>
      <c r="Q69" s="45"/>
      <c r="R69" s="21">
        <f t="shared" si="15"/>
        <v>0</v>
      </c>
      <c r="S69" s="23"/>
      <c r="T69" s="23"/>
      <c r="U69" s="25"/>
      <c r="V69" s="5"/>
    </row>
    <row r="70" spans="1:29" x14ac:dyDescent="0.25">
      <c r="A70" s="368">
        <v>1</v>
      </c>
      <c r="B70" s="369">
        <v>45170</v>
      </c>
      <c r="C70" s="369" t="s">
        <v>920</v>
      </c>
      <c r="D70" s="368">
        <v>5527588597</v>
      </c>
      <c r="E70" s="368" t="s">
        <v>485</v>
      </c>
      <c r="F70" s="368" t="s">
        <v>121</v>
      </c>
      <c r="G70" s="370" t="s">
        <v>486</v>
      </c>
      <c r="H70" s="371">
        <v>125</v>
      </c>
      <c r="I70" s="368">
        <v>40</v>
      </c>
      <c r="J70" s="372">
        <v>10</v>
      </c>
      <c r="K70" s="373">
        <f>+R70-J70</f>
        <v>15</v>
      </c>
      <c r="L70" s="373">
        <f t="shared" ref="L70:L83" si="16">+I70+J70</f>
        <v>50</v>
      </c>
      <c r="M70" s="373">
        <f t="shared" ref="M70:M83" si="17">+H70-L70</f>
        <v>75</v>
      </c>
      <c r="N70" s="373">
        <v>100</v>
      </c>
      <c r="O70" s="368"/>
      <c r="P70" s="373">
        <f t="shared" ref="P70:P84" si="18">+N70+O70</f>
        <v>100</v>
      </c>
      <c r="Q70" s="373">
        <v>125</v>
      </c>
      <c r="R70" s="373">
        <f t="shared" ref="R70:R82" si="19">Q70-P70</f>
        <v>25</v>
      </c>
      <c r="S70" s="374"/>
      <c r="T70" s="374"/>
      <c r="U70" s="375"/>
      <c r="V70" s="367"/>
      <c r="W70" s="366"/>
      <c r="X70" s="366"/>
      <c r="Y70" s="366"/>
      <c r="Z70" s="366"/>
      <c r="AA70" s="366"/>
      <c r="AB70" s="366"/>
      <c r="AC70" s="366"/>
    </row>
    <row r="71" spans="1:29" x14ac:dyDescent="0.25">
      <c r="A71" s="368">
        <v>2</v>
      </c>
      <c r="B71" s="369">
        <v>45170</v>
      </c>
      <c r="C71" s="376" t="s">
        <v>48</v>
      </c>
      <c r="D71" s="377">
        <v>5530181574</v>
      </c>
      <c r="E71" s="377" t="s">
        <v>314</v>
      </c>
      <c r="F71" s="377" t="s">
        <v>315</v>
      </c>
      <c r="G71" s="370" t="s">
        <v>487</v>
      </c>
      <c r="H71" s="371">
        <v>175</v>
      </c>
      <c r="I71" s="368">
        <v>144</v>
      </c>
      <c r="J71" s="372">
        <v>10</v>
      </c>
      <c r="K71" s="373">
        <f>+R71-J71</f>
        <v>21</v>
      </c>
      <c r="L71" s="373">
        <f>+I71+J71</f>
        <v>154</v>
      </c>
      <c r="M71" s="373">
        <f t="shared" si="17"/>
        <v>21</v>
      </c>
      <c r="N71" s="373">
        <v>200</v>
      </c>
      <c r="O71" s="368"/>
      <c r="P71" s="373">
        <f t="shared" si="18"/>
        <v>200</v>
      </c>
      <c r="Q71" s="373">
        <v>231</v>
      </c>
      <c r="R71" s="373">
        <f>Q71-P71</f>
        <v>31</v>
      </c>
      <c r="S71" s="374"/>
      <c r="T71" s="374"/>
      <c r="U71" s="378"/>
      <c r="V71" s="367"/>
      <c r="W71" s="366"/>
      <c r="X71" s="366"/>
      <c r="Y71" s="366"/>
      <c r="Z71" s="366"/>
      <c r="AA71" s="366"/>
      <c r="AB71" s="366"/>
      <c r="AC71" s="366"/>
    </row>
    <row r="72" spans="1:29" x14ac:dyDescent="0.25">
      <c r="A72" s="368">
        <v>3</v>
      </c>
      <c r="B72" s="369">
        <v>45170</v>
      </c>
      <c r="C72" s="368" t="s">
        <v>2491</v>
      </c>
      <c r="D72" s="368">
        <v>5580208418</v>
      </c>
      <c r="E72" s="379" t="s">
        <v>79</v>
      </c>
      <c r="F72" s="379" t="s">
        <v>488</v>
      </c>
      <c r="G72" s="370" t="s">
        <v>489</v>
      </c>
      <c r="H72" s="371">
        <v>200</v>
      </c>
      <c r="I72" s="368">
        <v>197</v>
      </c>
      <c r="J72" s="372">
        <v>10</v>
      </c>
      <c r="K72" s="373">
        <f>+R72-J72</f>
        <v>23</v>
      </c>
      <c r="L72" s="373">
        <f t="shared" si="16"/>
        <v>207</v>
      </c>
      <c r="M72" s="373">
        <f>+H72-L72</f>
        <v>-7</v>
      </c>
      <c r="N72" s="373">
        <v>200</v>
      </c>
      <c r="O72" s="368"/>
      <c r="P72" s="373">
        <f t="shared" si="18"/>
        <v>200</v>
      </c>
      <c r="Q72" s="373">
        <v>233</v>
      </c>
      <c r="R72" s="373">
        <f t="shared" si="19"/>
        <v>33</v>
      </c>
      <c r="S72" s="374"/>
      <c r="T72" s="374"/>
      <c r="U72" s="378"/>
      <c r="V72" s="367"/>
      <c r="W72" s="366"/>
      <c r="X72" s="366"/>
      <c r="Y72" s="366"/>
      <c r="Z72" s="366"/>
      <c r="AA72" s="366"/>
      <c r="AB72" s="366"/>
      <c r="AC72" s="366"/>
    </row>
    <row r="73" spans="1:29" x14ac:dyDescent="0.25">
      <c r="A73" s="368">
        <v>4</v>
      </c>
      <c r="B73" s="369">
        <v>45170</v>
      </c>
      <c r="C73" s="380" t="s">
        <v>921</v>
      </c>
      <c r="D73" s="366">
        <v>5625982564</v>
      </c>
      <c r="E73" s="368" t="s">
        <v>76</v>
      </c>
      <c r="F73" s="368" t="s">
        <v>256</v>
      </c>
      <c r="G73" s="381" t="s">
        <v>490</v>
      </c>
      <c r="H73" s="371">
        <v>500</v>
      </c>
      <c r="I73" s="368">
        <v>169</v>
      </c>
      <c r="J73" s="372">
        <v>10</v>
      </c>
      <c r="K73" s="373">
        <f>+R73-J73</f>
        <v>10</v>
      </c>
      <c r="L73" s="373">
        <f t="shared" si="16"/>
        <v>179</v>
      </c>
      <c r="M73" s="373">
        <f t="shared" si="17"/>
        <v>321</v>
      </c>
      <c r="N73" s="373">
        <v>500</v>
      </c>
      <c r="O73" s="368"/>
      <c r="P73" s="373">
        <f t="shared" si="18"/>
        <v>500</v>
      </c>
      <c r="Q73" s="373">
        <v>520</v>
      </c>
      <c r="R73" s="373">
        <f>Q73-P73</f>
        <v>20</v>
      </c>
      <c r="S73" s="374"/>
      <c r="T73" s="374"/>
      <c r="U73" s="378"/>
      <c r="V73" s="367"/>
      <c r="W73" s="366"/>
      <c r="X73" s="366"/>
      <c r="Y73" s="366"/>
      <c r="Z73" s="366"/>
      <c r="AA73" s="366"/>
      <c r="AB73" s="366"/>
      <c r="AC73" s="366"/>
    </row>
    <row r="74" spans="1:29" x14ac:dyDescent="0.25">
      <c r="A74" s="16">
        <v>5</v>
      </c>
      <c r="B74" s="17">
        <v>45170</v>
      </c>
      <c r="C74" s="17" t="s">
        <v>2490</v>
      </c>
      <c r="D74" s="16">
        <v>5522167230</v>
      </c>
      <c r="E74" s="29" t="s">
        <v>106</v>
      </c>
      <c r="F74" s="29" t="s">
        <v>491</v>
      </c>
      <c r="G74" s="18" t="s">
        <v>492</v>
      </c>
      <c r="H74" s="19">
        <v>115</v>
      </c>
      <c r="I74" s="16">
        <v>98</v>
      </c>
      <c r="J74" s="20">
        <v>10</v>
      </c>
      <c r="K74" s="21">
        <f>+R74-J74</f>
        <v>105</v>
      </c>
      <c r="L74" s="21">
        <f t="shared" si="16"/>
        <v>108</v>
      </c>
      <c r="M74" s="21">
        <f t="shared" si="17"/>
        <v>7</v>
      </c>
      <c r="N74" s="16"/>
      <c r="O74" s="16"/>
      <c r="P74" s="21">
        <f t="shared" si="18"/>
        <v>0</v>
      </c>
      <c r="Q74" s="21">
        <v>115</v>
      </c>
      <c r="R74" s="21">
        <f t="shared" si="19"/>
        <v>115</v>
      </c>
      <c r="S74" s="23"/>
      <c r="T74" s="23"/>
      <c r="U74" s="25"/>
      <c r="V74" s="5"/>
      <c r="W74" s="366"/>
      <c r="X74" s="366"/>
      <c r="Y74" s="366"/>
      <c r="Z74" s="366"/>
      <c r="AA74" s="366"/>
      <c r="AB74" s="366"/>
      <c r="AC74" s="366"/>
    </row>
    <row r="75" spans="1:29" x14ac:dyDescent="0.25">
      <c r="A75" s="16">
        <v>6</v>
      </c>
      <c r="B75" s="17">
        <v>45170</v>
      </c>
      <c r="C75" s="98" t="s">
        <v>2488</v>
      </c>
      <c r="D75" s="104">
        <v>5614683694</v>
      </c>
      <c r="E75" s="104" t="s">
        <v>394</v>
      </c>
      <c r="F75" s="32" t="s">
        <v>285</v>
      </c>
      <c r="G75" s="105" t="s">
        <v>493</v>
      </c>
      <c r="H75" s="99">
        <v>201</v>
      </c>
      <c r="I75" s="100">
        <v>191</v>
      </c>
      <c r="J75" s="110">
        <v>10</v>
      </c>
      <c r="K75" s="21">
        <f>+R75-J75</f>
        <v>-510</v>
      </c>
      <c r="L75" s="21">
        <f t="shared" si="16"/>
        <v>201</v>
      </c>
      <c r="M75" s="21">
        <f t="shared" si="17"/>
        <v>0</v>
      </c>
      <c r="N75" s="16">
        <v>500</v>
      </c>
      <c r="O75" s="16"/>
      <c r="P75" s="21">
        <f t="shared" si="18"/>
        <v>500</v>
      </c>
      <c r="Q75" s="16"/>
      <c r="R75" s="21">
        <f t="shared" si="19"/>
        <v>-500</v>
      </c>
      <c r="S75" s="23"/>
      <c r="T75" s="23"/>
      <c r="U75" s="25"/>
      <c r="V75" s="5"/>
      <c r="W75" s="366"/>
      <c r="X75" s="366"/>
      <c r="Y75" s="366"/>
      <c r="Z75" s="366"/>
      <c r="AA75" s="366"/>
      <c r="AB75" s="366"/>
      <c r="AC75" s="366"/>
    </row>
    <row r="76" spans="1:29" x14ac:dyDescent="0.25">
      <c r="A76" s="16">
        <v>7</v>
      </c>
      <c r="B76" s="17">
        <v>45170</v>
      </c>
      <c r="C76" s="27" t="s">
        <v>330</v>
      </c>
      <c r="D76">
        <v>5625982564</v>
      </c>
      <c r="E76" s="16" t="s">
        <v>106</v>
      </c>
      <c r="F76" s="16" t="s">
        <v>256</v>
      </c>
      <c r="G76" s="18" t="s">
        <v>494</v>
      </c>
      <c r="H76" s="93">
        <v>200</v>
      </c>
      <c r="I76" s="35">
        <v>189</v>
      </c>
      <c r="J76" s="21">
        <v>10</v>
      </c>
      <c r="K76" s="20">
        <f>+R76-J76</f>
        <v>190</v>
      </c>
      <c r="L76" s="21">
        <f t="shared" si="16"/>
        <v>199</v>
      </c>
      <c r="M76" s="21">
        <f t="shared" si="17"/>
        <v>1</v>
      </c>
      <c r="N76" s="16"/>
      <c r="O76" s="16"/>
      <c r="P76" s="21">
        <f t="shared" si="18"/>
        <v>0</v>
      </c>
      <c r="Q76" s="16">
        <v>200</v>
      </c>
      <c r="R76" s="21">
        <f t="shared" si="19"/>
        <v>200</v>
      </c>
      <c r="S76" s="23"/>
      <c r="T76" s="23"/>
      <c r="U76" s="25"/>
      <c r="V76" s="5"/>
      <c r="W76" s="366"/>
      <c r="X76" s="366"/>
      <c r="Y76" s="366"/>
      <c r="Z76" s="366"/>
      <c r="AA76" s="366"/>
      <c r="AB76" s="366"/>
      <c r="AC76" s="366"/>
    </row>
    <row r="77" spans="1:29" x14ac:dyDescent="0.25">
      <c r="A77" s="16">
        <v>8</v>
      </c>
      <c r="B77" s="17">
        <v>45170</v>
      </c>
      <c r="C77" s="17" t="s">
        <v>2466</v>
      </c>
      <c r="D77" s="16">
        <v>5532536647</v>
      </c>
      <c r="E77" s="16" t="s">
        <v>106</v>
      </c>
      <c r="F77" s="16" t="s">
        <v>150</v>
      </c>
      <c r="G77" s="18" t="s">
        <v>495</v>
      </c>
      <c r="H77" s="93">
        <v>200</v>
      </c>
      <c r="I77" s="16">
        <v>104</v>
      </c>
      <c r="J77" s="21">
        <v>10</v>
      </c>
      <c r="K77" s="20">
        <f>+R77-J77</f>
        <v>104</v>
      </c>
      <c r="L77" s="21">
        <f t="shared" si="16"/>
        <v>114</v>
      </c>
      <c r="M77" s="21">
        <f t="shared" si="17"/>
        <v>86</v>
      </c>
      <c r="N77" s="16">
        <v>86</v>
      </c>
      <c r="O77" s="16"/>
      <c r="P77" s="21">
        <f t="shared" si="18"/>
        <v>86</v>
      </c>
      <c r="Q77" s="16">
        <v>200</v>
      </c>
      <c r="R77" s="21">
        <f t="shared" si="19"/>
        <v>114</v>
      </c>
      <c r="S77" s="23"/>
      <c r="T77" s="23"/>
      <c r="U77" s="25"/>
      <c r="V77" s="5"/>
    </row>
    <row r="78" spans="1:29" x14ac:dyDescent="0.25">
      <c r="A78" s="16">
        <v>9</v>
      </c>
      <c r="B78" s="17">
        <v>45170</v>
      </c>
      <c r="C78" s="17" t="s">
        <v>2489</v>
      </c>
      <c r="D78" s="16">
        <v>5553181275</v>
      </c>
      <c r="E78" s="16" t="s">
        <v>497</v>
      </c>
      <c r="F78" s="16" t="s">
        <v>498</v>
      </c>
      <c r="G78" s="18" t="s">
        <v>499</v>
      </c>
      <c r="H78" s="18">
        <v>210</v>
      </c>
      <c r="I78" s="101">
        <v>75</v>
      </c>
      <c r="J78" s="21">
        <v>10</v>
      </c>
      <c r="K78" s="20">
        <f>+R78-J78</f>
        <v>0</v>
      </c>
      <c r="L78" s="21">
        <f t="shared" si="16"/>
        <v>85</v>
      </c>
      <c r="M78" s="21">
        <f t="shared" si="17"/>
        <v>125</v>
      </c>
      <c r="N78" s="16">
        <v>200</v>
      </c>
      <c r="O78" s="16"/>
      <c r="P78" s="21">
        <f t="shared" si="18"/>
        <v>200</v>
      </c>
      <c r="Q78" s="16">
        <v>210</v>
      </c>
      <c r="R78" s="21">
        <f t="shared" si="19"/>
        <v>10</v>
      </c>
      <c r="S78" s="23"/>
      <c r="T78" s="23"/>
      <c r="U78" s="25"/>
      <c r="V78" s="5"/>
    </row>
    <row r="79" spans="1:29" x14ac:dyDescent="0.25">
      <c r="A79" s="16">
        <v>10</v>
      </c>
      <c r="B79" s="17">
        <v>45170</v>
      </c>
      <c r="C79" s="16" t="s">
        <v>721</v>
      </c>
      <c r="D79" s="16">
        <v>5625771181</v>
      </c>
      <c r="E79" s="16" t="s">
        <v>314</v>
      </c>
      <c r="F79" s="18" t="s">
        <v>500</v>
      </c>
      <c r="G79" s="18" t="s">
        <v>501</v>
      </c>
      <c r="H79" s="18">
        <v>200</v>
      </c>
      <c r="I79" s="35">
        <v>121</v>
      </c>
      <c r="J79" s="21">
        <v>10</v>
      </c>
      <c r="K79" s="20" t="s">
        <v>148</v>
      </c>
      <c r="L79" s="21">
        <f t="shared" si="16"/>
        <v>131</v>
      </c>
      <c r="M79" s="21">
        <f t="shared" si="17"/>
        <v>69</v>
      </c>
      <c r="N79" s="16">
        <v>140</v>
      </c>
      <c r="O79" s="16">
        <v>50</v>
      </c>
      <c r="P79" s="21">
        <f t="shared" si="18"/>
        <v>190</v>
      </c>
      <c r="Q79" s="16">
        <v>200</v>
      </c>
      <c r="R79" s="21">
        <f t="shared" si="19"/>
        <v>10</v>
      </c>
      <c r="S79" s="23"/>
      <c r="T79" s="23"/>
      <c r="U79" s="25"/>
      <c r="V79" s="5"/>
    </row>
    <row r="80" spans="1:29" x14ac:dyDescent="0.25">
      <c r="A80" s="16">
        <v>11</v>
      </c>
      <c r="B80" s="17">
        <v>45170</v>
      </c>
      <c r="C80" s="111" t="s">
        <v>721</v>
      </c>
      <c r="D80" s="111">
        <v>5625771181</v>
      </c>
      <c r="E80" s="112" t="s">
        <v>502</v>
      </c>
      <c r="F80" s="111" t="s">
        <v>503</v>
      </c>
      <c r="G80" s="113" t="s">
        <v>504</v>
      </c>
      <c r="H80" s="18"/>
      <c r="I80" s="35"/>
      <c r="J80" s="21">
        <v>10</v>
      </c>
      <c r="K80" s="20">
        <v>0</v>
      </c>
      <c r="L80" s="21">
        <f t="shared" si="16"/>
        <v>10</v>
      </c>
      <c r="M80" s="21">
        <f t="shared" si="17"/>
        <v>-10</v>
      </c>
      <c r="N80" s="16"/>
      <c r="O80" s="16"/>
      <c r="P80" s="21">
        <f t="shared" si="18"/>
        <v>0</v>
      </c>
      <c r="Q80" s="16"/>
      <c r="R80" s="21">
        <f>SUM(R70:R71)</f>
        <v>56</v>
      </c>
      <c r="S80" s="23"/>
      <c r="T80" s="23"/>
      <c r="U80" s="25"/>
      <c r="V80" s="5"/>
    </row>
    <row r="81" spans="1:24" x14ac:dyDescent="0.25">
      <c r="A81" s="16">
        <v>12</v>
      </c>
      <c r="B81" s="17">
        <v>45170</v>
      </c>
      <c r="C81" s="114" t="s">
        <v>114</v>
      </c>
      <c r="D81" s="115">
        <v>5570313539</v>
      </c>
      <c r="E81" s="115" t="s">
        <v>502</v>
      </c>
      <c r="F81" s="63" t="s">
        <v>505</v>
      </c>
      <c r="G81" s="113" t="s">
        <v>506</v>
      </c>
      <c r="H81" s="33"/>
      <c r="I81" s="38"/>
      <c r="J81" s="97">
        <v>51</v>
      </c>
      <c r="K81" s="43"/>
      <c r="L81" s="21">
        <f t="shared" si="16"/>
        <v>51</v>
      </c>
      <c r="M81" s="21">
        <f t="shared" si="17"/>
        <v>-51</v>
      </c>
      <c r="N81" s="45"/>
      <c r="O81" s="44"/>
      <c r="P81" s="21">
        <f t="shared" si="18"/>
        <v>0</v>
      </c>
      <c r="Q81" s="45"/>
      <c r="R81" s="21">
        <f>Q81-P81</f>
        <v>0</v>
      </c>
      <c r="S81" s="23"/>
      <c r="T81" s="23"/>
      <c r="U81" s="25"/>
      <c r="V81" s="5"/>
    </row>
    <row r="82" spans="1:24" x14ac:dyDescent="0.25">
      <c r="A82" s="16">
        <v>13</v>
      </c>
      <c r="B82" s="17">
        <v>45170</v>
      </c>
      <c r="C82" s="17" t="s">
        <v>473</v>
      </c>
      <c r="D82" s="16">
        <v>5621699116</v>
      </c>
      <c r="E82" s="109" t="s">
        <v>507</v>
      </c>
      <c r="F82" s="16" t="s">
        <v>474</v>
      </c>
      <c r="G82" s="39" t="s">
        <v>508</v>
      </c>
      <c r="H82" s="39">
        <v>100</v>
      </c>
      <c r="I82" s="42">
        <v>87</v>
      </c>
      <c r="J82" s="43">
        <v>10</v>
      </c>
      <c r="K82" s="43"/>
      <c r="L82" s="21">
        <f t="shared" si="16"/>
        <v>97</v>
      </c>
      <c r="M82" s="21">
        <f t="shared" si="17"/>
        <v>3</v>
      </c>
      <c r="N82" s="43"/>
      <c r="O82" s="32"/>
      <c r="P82" s="21">
        <f t="shared" si="18"/>
        <v>0</v>
      </c>
      <c r="Q82" s="43"/>
      <c r="R82" s="21">
        <f t="shared" si="19"/>
        <v>0</v>
      </c>
      <c r="S82" s="47"/>
      <c r="T82" s="22"/>
      <c r="U82" s="22"/>
      <c r="V82" s="5"/>
    </row>
    <row r="83" spans="1:24" x14ac:dyDescent="0.25">
      <c r="A83" s="16">
        <v>14</v>
      </c>
      <c r="B83" s="17">
        <v>45170</v>
      </c>
      <c r="C83" s="98" t="s">
        <v>2488</v>
      </c>
      <c r="D83" s="104">
        <v>5614683694</v>
      </c>
      <c r="E83" s="32" t="s">
        <v>509</v>
      </c>
      <c r="F83" s="16" t="s">
        <v>476</v>
      </c>
      <c r="G83" s="39" t="s">
        <v>510</v>
      </c>
      <c r="H83" s="39">
        <v>40</v>
      </c>
      <c r="I83" s="42">
        <v>30</v>
      </c>
      <c r="J83" s="43">
        <v>10</v>
      </c>
      <c r="K83" s="43"/>
      <c r="L83" s="21">
        <f t="shared" si="16"/>
        <v>40</v>
      </c>
      <c r="M83" s="21">
        <f t="shared" si="17"/>
        <v>0</v>
      </c>
      <c r="N83" s="43">
        <v>0</v>
      </c>
      <c r="O83" s="43">
        <v>0</v>
      </c>
      <c r="P83" s="21"/>
      <c r="Q83" s="43"/>
      <c r="R83" s="21"/>
      <c r="S83" s="5"/>
      <c r="T83" s="5"/>
      <c r="U83" s="5"/>
      <c r="V83" s="5"/>
    </row>
    <row r="84" spans="1:24" x14ac:dyDescent="0.25">
      <c r="A84" s="16">
        <v>15</v>
      </c>
      <c r="B84" s="17">
        <v>45170</v>
      </c>
      <c r="C84" s="31" t="s">
        <v>2482</v>
      </c>
      <c r="D84" s="32">
        <v>5566712323</v>
      </c>
      <c r="E84" s="32" t="s">
        <v>106</v>
      </c>
      <c r="F84" s="32" t="s">
        <v>511</v>
      </c>
      <c r="G84" s="39" t="s">
        <v>512</v>
      </c>
      <c r="H84" s="39">
        <v>117</v>
      </c>
      <c r="I84" s="42">
        <v>97</v>
      </c>
      <c r="J84" s="43">
        <v>10</v>
      </c>
      <c r="K84" s="43"/>
      <c r="L84" s="43">
        <v>117</v>
      </c>
      <c r="M84" s="43">
        <v>10</v>
      </c>
      <c r="N84" s="43"/>
      <c r="O84" s="32"/>
      <c r="P84" s="21">
        <f t="shared" si="18"/>
        <v>0</v>
      </c>
      <c r="Q84" s="43">
        <v>117</v>
      </c>
      <c r="R84" s="21">
        <v>20</v>
      </c>
      <c r="S84" s="5"/>
      <c r="T84" s="5"/>
      <c r="U84" s="5"/>
      <c r="V84" s="5"/>
    </row>
    <row r="85" spans="1:24" x14ac:dyDescent="0.25">
      <c r="A85" s="16">
        <v>1</v>
      </c>
      <c r="B85" s="17">
        <v>45171</v>
      </c>
      <c r="C85" s="17" t="s">
        <v>2487</v>
      </c>
      <c r="D85" s="16">
        <v>5525594341</v>
      </c>
      <c r="E85" s="16" t="s">
        <v>134</v>
      </c>
      <c r="F85" s="16" t="s">
        <v>514</v>
      </c>
      <c r="G85" s="18" t="s">
        <v>515</v>
      </c>
      <c r="H85" s="19">
        <v>500</v>
      </c>
      <c r="I85" s="16" t="s">
        <v>516</v>
      </c>
      <c r="J85" s="16">
        <v>182</v>
      </c>
      <c r="K85" s="20">
        <v>10</v>
      </c>
      <c r="L85" s="21"/>
      <c r="M85" s="21">
        <f t="shared" ref="M85:M94" si="20">+J85+K85</f>
        <v>192</v>
      </c>
      <c r="N85" s="21">
        <f t="shared" ref="N85:N92" si="21">+H85-M85</f>
        <v>308</v>
      </c>
      <c r="O85" s="21">
        <v>500</v>
      </c>
      <c r="P85" s="16"/>
      <c r="Q85" s="21">
        <v>508</v>
      </c>
      <c r="R85" s="21">
        <v>518</v>
      </c>
      <c r="S85" s="21">
        <f t="shared" ref="S85:S104" si="22">R85-Q85</f>
        <v>10</v>
      </c>
      <c r="T85" s="5"/>
      <c r="U85" s="22"/>
      <c r="V85" s="23"/>
    </row>
    <row r="86" spans="1:24" x14ac:dyDescent="0.25">
      <c r="A86" s="16">
        <v>2</v>
      </c>
      <c r="B86" s="17">
        <v>45171</v>
      </c>
      <c r="C86" s="17" t="s">
        <v>923</v>
      </c>
      <c r="D86" s="16">
        <v>5520954168</v>
      </c>
      <c r="E86" s="16" t="s">
        <v>517</v>
      </c>
      <c r="F86" s="26" t="s">
        <v>518</v>
      </c>
      <c r="G86" s="18" t="s">
        <v>519</v>
      </c>
      <c r="H86" s="19">
        <v>89</v>
      </c>
      <c r="I86" s="16"/>
      <c r="J86" s="16">
        <v>79</v>
      </c>
      <c r="K86" s="20">
        <v>10</v>
      </c>
      <c r="L86" s="21"/>
      <c r="M86" s="21">
        <f t="shared" si="20"/>
        <v>89</v>
      </c>
      <c r="N86" s="21">
        <f t="shared" si="21"/>
        <v>0</v>
      </c>
      <c r="O86" s="21">
        <v>500</v>
      </c>
      <c r="P86" s="16"/>
      <c r="Q86" s="21">
        <f t="shared" ref="Q86:Q104" si="23">+O86+P86</f>
        <v>500</v>
      </c>
      <c r="R86" s="21">
        <v>510</v>
      </c>
      <c r="S86" s="21">
        <f t="shared" si="22"/>
        <v>10</v>
      </c>
      <c r="T86" s="5"/>
      <c r="U86" s="22"/>
      <c r="V86" s="23"/>
      <c r="W86" s="1"/>
    </row>
    <row r="87" spans="1:24" x14ac:dyDescent="0.25">
      <c r="A87" s="16">
        <v>3</v>
      </c>
      <c r="B87" s="17">
        <v>45171</v>
      </c>
      <c r="C87" s="26" t="s">
        <v>24</v>
      </c>
      <c r="D87" s="26">
        <v>5562236073</v>
      </c>
      <c r="E87" s="26" t="s">
        <v>521</v>
      </c>
      <c r="F87" t="s">
        <v>522</v>
      </c>
      <c r="G87" s="18" t="s">
        <v>523</v>
      </c>
      <c r="H87" s="19">
        <v>500</v>
      </c>
      <c r="I87" s="16">
        <v>141</v>
      </c>
      <c r="J87" s="16">
        <v>441</v>
      </c>
      <c r="K87" s="20">
        <v>10</v>
      </c>
      <c r="L87" s="21"/>
      <c r="M87" s="21">
        <f t="shared" si="20"/>
        <v>451</v>
      </c>
      <c r="N87" s="21">
        <f t="shared" si="21"/>
        <v>49</v>
      </c>
      <c r="O87" s="21">
        <v>500</v>
      </c>
      <c r="P87" s="16"/>
      <c r="Q87" s="21">
        <f t="shared" si="23"/>
        <v>500</v>
      </c>
      <c r="R87" s="21">
        <v>510</v>
      </c>
      <c r="S87" s="21">
        <f t="shared" si="22"/>
        <v>10</v>
      </c>
      <c r="T87" s="5"/>
      <c r="U87" s="22"/>
      <c r="V87" s="23"/>
      <c r="W87" s="14" t="s">
        <v>22</v>
      </c>
    </row>
    <row r="88" spans="1:24" x14ac:dyDescent="0.25">
      <c r="A88" s="16">
        <v>4</v>
      </c>
      <c r="B88" s="17">
        <v>45171</v>
      </c>
      <c r="C88" s="17" t="s">
        <v>933</v>
      </c>
      <c r="D88" s="17"/>
      <c r="E88" s="102" t="s">
        <v>106</v>
      </c>
      <c r="F88" s="16" t="s">
        <v>524</v>
      </c>
      <c r="G88" s="28" t="s">
        <v>525</v>
      </c>
      <c r="H88" s="19"/>
      <c r="I88" s="16"/>
      <c r="J88" s="16">
        <v>168</v>
      </c>
      <c r="K88" s="20">
        <v>10</v>
      </c>
      <c r="L88" s="21"/>
      <c r="M88" s="21">
        <f t="shared" si="20"/>
        <v>178</v>
      </c>
      <c r="N88" s="21">
        <f t="shared" si="21"/>
        <v>-178</v>
      </c>
      <c r="O88" s="21"/>
      <c r="P88" s="16"/>
      <c r="Q88" s="21">
        <f t="shared" si="23"/>
        <v>0</v>
      </c>
      <c r="R88" s="21"/>
      <c r="S88" s="21">
        <f t="shared" si="22"/>
        <v>0</v>
      </c>
      <c r="T88" s="5"/>
      <c r="U88" s="22"/>
      <c r="V88" s="23"/>
      <c r="W88" s="23"/>
    </row>
    <row r="89" spans="1:24" x14ac:dyDescent="0.25">
      <c r="A89" s="16">
        <v>5</v>
      </c>
      <c r="B89" s="17">
        <v>45171</v>
      </c>
      <c r="C89" s="103" t="s">
        <v>933</v>
      </c>
      <c r="D89" s="29">
        <v>5613118467</v>
      </c>
      <c r="E89" s="29" t="s">
        <v>106</v>
      </c>
      <c r="F89" s="29" t="s">
        <v>524</v>
      </c>
      <c r="G89" s="18" t="s">
        <v>526</v>
      </c>
      <c r="H89" s="19">
        <v>178</v>
      </c>
      <c r="I89" s="16"/>
      <c r="J89" s="16">
        <v>168</v>
      </c>
      <c r="K89" s="20">
        <v>10</v>
      </c>
      <c r="L89" s="21"/>
      <c r="M89" s="21">
        <f t="shared" si="20"/>
        <v>178</v>
      </c>
      <c r="N89" s="21">
        <f t="shared" si="21"/>
        <v>0</v>
      </c>
      <c r="O89" s="16"/>
      <c r="P89" s="16"/>
      <c r="Q89" s="21">
        <f t="shared" si="23"/>
        <v>0</v>
      </c>
      <c r="R89" s="21"/>
      <c r="S89" s="21"/>
      <c r="T89" s="5"/>
      <c r="U89" s="5"/>
      <c r="V89" s="23"/>
      <c r="W89" s="23"/>
    </row>
    <row r="90" spans="1:24" x14ac:dyDescent="0.25">
      <c r="A90" s="30">
        <v>6</v>
      </c>
      <c r="B90" s="17">
        <v>45171</v>
      </c>
      <c r="C90" s="31" t="s">
        <v>2472</v>
      </c>
      <c r="D90" s="32"/>
      <c r="E90" s="32" t="s">
        <v>106</v>
      </c>
      <c r="F90" s="32" t="s">
        <v>139</v>
      </c>
      <c r="G90" s="33" t="s">
        <v>527</v>
      </c>
      <c r="H90" s="34">
        <v>188</v>
      </c>
      <c r="I90" s="16"/>
      <c r="J90" s="35">
        <v>178</v>
      </c>
      <c r="K90" s="20">
        <v>10</v>
      </c>
      <c r="L90" s="21"/>
      <c r="M90" s="21">
        <f t="shared" si="20"/>
        <v>188</v>
      </c>
      <c r="N90" s="21">
        <f t="shared" si="21"/>
        <v>0</v>
      </c>
      <c r="O90" s="16"/>
      <c r="P90" s="16"/>
      <c r="Q90" s="21">
        <f t="shared" si="23"/>
        <v>0</v>
      </c>
      <c r="R90" s="16">
        <v>142</v>
      </c>
      <c r="S90" s="21">
        <f t="shared" si="22"/>
        <v>142</v>
      </c>
      <c r="T90" s="5"/>
      <c r="U90" s="5"/>
      <c r="V90" s="23"/>
      <c r="W90" s="23"/>
    </row>
    <row r="91" spans="1:24" x14ac:dyDescent="0.25">
      <c r="A91" s="30">
        <v>6</v>
      </c>
      <c r="B91" s="17">
        <v>45171</v>
      </c>
      <c r="C91" s="31" t="s">
        <v>933</v>
      </c>
      <c r="D91" s="29">
        <v>5613118467</v>
      </c>
      <c r="E91" s="32" t="s">
        <v>528</v>
      </c>
      <c r="F91" s="32" t="s">
        <v>524</v>
      </c>
      <c r="G91" s="36" t="s">
        <v>529</v>
      </c>
      <c r="H91" s="37">
        <v>136</v>
      </c>
      <c r="I91" s="16"/>
      <c r="J91" s="38">
        <f>3*42</f>
        <v>126</v>
      </c>
      <c r="K91" s="20">
        <v>10</v>
      </c>
      <c r="L91" s="21"/>
      <c r="M91" s="21">
        <f t="shared" si="20"/>
        <v>136</v>
      </c>
      <c r="N91" s="21">
        <f t="shared" si="21"/>
        <v>0</v>
      </c>
      <c r="O91" s="16"/>
      <c r="P91" s="16"/>
      <c r="Q91" s="21">
        <f t="shared" si="23"/>
        <v>0</v>
      </c>
      <c r="R91" s="16">
        <v>100</v>
      </c>
      <c r="S91" s="21">
        <f t="shared" si="22"/>
        <v>100</v>
      </c>
      <c r="T91" s="5"/>
      <c r="U91" s="5"/>
      <c r="V91" s="23"/>
      <c r="W91" s="23"/>
    </row>
    <row r="92" spans="1:24" x14ac:dyDescent="0.25">
      <c r="A92" s="30">
        <v>7</v>
      </c>
      <c r="B92" s="17">
        <v>45171</v>
      </c>
      <c r="C92" s="27" t="s">
        <v>450</v>
      </c>
      <c r="D92">
        <v>5549468857</v>
      </c>
      <c r="E92" t="s">
        <v>106</v>
      </c>
      <c r="F92" t="s">
        <v>530</v>
      </c>
      <c r="G92" s="36" t="s">
        <v>531</v>
      </c>
      <c r="H92" s="37">
        <v>159</v>
      </c>
      <c r="I92" s="16"/>
      <c r="J92">
        <v>149</v>
      </c>
      <c r="K92" s="20">
        <v>10</v>
      </c>
      <c r="L92" s="21"/>
      <c r="M92" s="21">
        <f t="shared" si="20"/>
        <v>159</v>
      </c>
      <c r="N92" s="21">
        <f t="shared" si="21"/>
        <v>0</v>
      </c>
      <c r="O92" s="16"/>
      <c r="P92" s="16"/>
      <c r="Q92" s="21">
        <f t="shared" si="23"/>
        <v>0</v>
      </c>
      <c r="R92" s="16"/>
      <c r="S92" s="21">
        <f t="shared" si="22"/>
        <v>0</v>
      </c>
      <c r="T92" s="5"/>
      <c r="U92" s="5"/>
      <c r="V92" s="23"/>
      <c r="W92" s="23"/>
    </row>
    <row r="93" spans="1:24" x14ac:dyDescent="0.25">
      <c r="A93" s="32">
        <v>9</v>
      </c>
      <c r="B93" s="17">
        <v>45171</v>
      </c>
      <c r="C93" s="31" t="s">
        <v>923</v>
      </c>
      <c r="D93" s="32">
        <v>5520954168</v>
      </c>
      <c r="E93" s="32" t="s">
        <v>106</v>
      </c>
      <c r="F93" s="32" t="s">
        <v>533</v>
      </c>
      <c r="G93" s="36" t="s">
        <v>534</v>
      </c>
      <c r="H93" s="39">
        <v>165</v>
      </c>
      <c r="I93" s="16"/>
      <c r="J93" s="40">
        <v>143</v>
      </c>
      <c r="K93" s="20">
        <v>10</v>
      </c>
      <c r="L93" s="21"/>
      <c r="M93" s="21">
        <f t="shared" si="20"/>
        <v>153</v>
      </c>
      <c r="N93" s="21">
        <v>0</v>
      </c>
      <c r="O93" s="16"/>
      <c r="P93" s="16"/>
      <c r="Q93" s="21">
        <f t="shared" si="23"/>
        <v>0</v>
      </c>
      <c r="R93" s="16">
        <v>165</v>
      </c>
      <c r="S93" s="21">
        <f t="shared" si="22"/>
        <v>165</v>
      </c>
      <c r="T93" s="5"/>
      <c r="U93" s="5"/>
      <c r="V93" s="23"/>
      <c r="W93" s="23"/>
    </row>
    <row r="94" spans="1:24" x14ac:dyDescent="0.25">
      <c r="A94" s="32">
        <v>10</v>
      </c>
      <c r="B94" s="17">
        <v>45171</v>
      </c>
      <c r="C94" s="32" t="s">
        <v>933</v>
      </c>
      <c r="D94" s="32">
        <v>5559971116</v>
      </c>
      <c r="E94" s="32" t="s">
        <v>106</v>
      </c>
      <c r="F94" s="39" t="s">
        <v>220</v>
      </c>
      <c r="G94" s="36" t="s">
        <v>536</v>
      </c>
      <c r="H94" s="39">
        <v>190</v>
      </c>
      <c r="I94" s="16"/>
      <c r="J94" s="42">
        <v>168</v>
      </c>
      <c r="K94" s="20">
        <v>10</v>
      </c>
      <c r="L94" s="21"/>
      <c r="M94" s="21">
        <f t="shared" si="20"/>
        <v>178</v>
      </c>
      <c r="N94" s="21">
        <f>+H94-M94</f>
        <v>12</v>
      </c>
      <c r="O94" s="16">
        <v>0</v>
      </c>
      <c r="P94" s="16">
        <v>0</v>
      </c>
      <c r="Q94" s="21">
        <v>0</v>
      </c>
      <c r="R94" s="16">
        <v>190</v>
      </c>
      <c r="S94" s="21">
        <f t="shared" si="22"/>
        <v>190</v>
      </c>
      <c r="T94" s="5"/>
      <c r="U94" s="5"/>
      <c r="V94" s="23"/>
      <c r="W94" s="23"/>
    </row>
    <row r="95" spans="1:24" x14ac:dyDescent="0.25">
      <c r="A95" s="32">
        <v>11</v>
      </c>
      <c r="B95" s="17">
        <v>45171</v>
      </c>
      <c r="C95" s="31" t="s">
        <v>82</v>
      </c>
      <c r="D95" s="32">
        <v>5624838493</v>
      </c>
      <c r="E95" s="31" t="s">
        <v>538</v>
      </c>
      <c r="F95" s="32" t="s">
        <v>539</v>
      </c>
      <c r="G95" s="39" t="s">
        <v>540</v>
      </c>
      <c r="H95" s="39">
        <v>126</v>
      </c>
      <c r="I95" s="16"/>
      <c r="J95" s="42">
        <v>116</v>
      </c>
      <c r="K95" s="20">
        <v>10</v>
      </c>
      <c r="L95" s="21"/>
      <c r="M95" s="21">
        <v>0</v>
      </c>
      <c r="N95" s="21">
        <v>0</v>
      </c>
      <c r="O95" s="16"/>
      <c r="P95" s="16"/>
      <c r="Q95" s="21">
        <f t="shared" si="23"/>
        <v>0</v>
      </c>
      <c r="R95" s="16"/>
      <c r="S95" s="21">
        <f t="shared" si="22"/>
        <v>0</v>
      </c>
      <c r="T95" s="5"/>
      <c r="U95" s="5"/>
      <c r="V95" s="23"/>
      <c r="W95" s="23"/>
    </row>
    <row r="96" spans="1:24" x14ac:dyDescent="0.25">
      <c r="A96" s="32">
        <v>12</v>
      </c>
      <c r="B96" s="17">
        <v>45171</v>
      </c>
      <c r="C96" s="31" t="s">
        <v>542</v>
      </c>
      <c r="D96" s="32">
        <v>5617054776</v>
      </c>
      <c r="E96" s="31" t="s">
        <v>106</v>
      </c>
      <c r="F96" t="s">
        <v>543</v>
      </c>
      <c r="G96" s="39" t="s">
        <v>544</v>
      </c>
      <c r="H96" s="39">
        <v>129</v>
      </c>
      <c r="I96" s="16"/>
      <c r="J96" s="42">
        <v>119</v>
      </c>
      <c r="K96" s="20">
        <v>10</v>
      </c>
      <c r="L96" s="21"/>
      <c r="M96" s="21">
        <v>129</v>
      </c>
      <c r="N96" s="21">
        <v>10</v>
      </c>
      <c r="O96" s="45"/>
      <c r="P96" s="44"/>
      <c r="Q96" s="21">
        <f t="shared" si="23"/>
        <v>0</v>
      </c>
      <c r="R96" s="45"/>
      <c r="S96" s="21">
        <f t="shared" si="22"/>
        <v>0</v>
      </c>
      <c r="T96" s="5"/>
      <c r="U96" s="5"/>
      <c r="V96" s="23"/>
      <c r="W96" s="23"/>
      <c r="X96" s="1"/>
    </row>
    <row r="97" spans="1:26" x14ac:dyDescent="0.25">
      <c r="A97" s="32">
        <v>13</v>
      </c>
      <c r="B97" s="17">
        <v>45171</v>
      </c>
      <c r="C97" s="31" t="s">
        <v>230</v>
      </c>
      <c r="D97" s="32">
        <v>5579996920</v>
      </c>
      <c r="E97" s="32" t="s">
        <v>546</v>
      </c>
      <c r="F97" s="32" t="s">
        <v>362</v>
      </c>
      <c r="G97" s="39" t="s">
        <v>547</v>
      </c>
      <c r="H97" s="39">
        <v>525</v>
      </c>
      <c r="I97" s="16"/>
      <c r="J97" s="42">
        <v>432</v>
      </c>
      <c r="K97" s="43">
        <v>20</v>
      </c>
      <c r="L97" s="21"/>
      <c r="M97" s="21">
        <v>452</v>
      </c>
      <c r="N97" s="43">
        <v>0</v>
      </c>
      <c r="O97" s="43">
        <v>450</v>
      </c>
      <c r="P97" s="32"/>
      <c r="Q97" s="21">
        <f t="shared" si="23"/>
        <v>450</v>
      </c>
      <c r="R97" s="43">
        <v>493</v>
      </c>
      <c r="S97" s="21">
        <f t="shared" si="22"/>
        <v>43</v>
      </c>
      <c r="T97" s="5"/>
      <c r="U97" s="47"/>
      <c r="V97" s="47"/>
      <c r="W97" s="23"/>
      <c r="X97" s="15" t="s">
        <v>23</v>
      </c>
    </row>
    <row r="98" spans="1:26" x14ac:dyDescent="0.25">
      <c r="A98" s="32">
        <v>14</v>
      </c>
      <c r="B98" s="17">
        <v>45171</v>
      </c>
      <c r="C98" s="31" t="s">
        <v>2486</v>
      </c>
      <c r="D98" s="32">
        <v>5514732212</v>
      </c>
      <c r="E98" s="32" t="s">
        <v>52</v>
      </c>
      <c r="F98" s="32" t="s">
        <v>549</v>
      </c>
      <c r="G98" s="39" t="s">
        <v>550</v>
      </c>
      <c r="H98" s="39">
        <v>108</v>
      </c>
      <c r="I98" s="16"/>
      <c r="J98" s="42">
        <v>98</v>
      </c>
      <c r="K98" s="43">
        <v>10</v>
      </c>
      <c r="L98" s="21"/>
      <c r="M98" s="21">
        <f>K98+J98</f>
        <v>108</v>
      </c>
      <c r="N98" s="43">
        <f>M98-H98</f>
        <v>0</v>
      </c>
      <c r="O98" s="43"/>
      <c r="P98" s="43"/>
      <c r="Q98" s="21">
        <f t="shared" si="23"/>
        <v>0</v>
      </c>
      <c r="R98" s="43"/>
      <c r="S98" s="21">
        <f t="shared" si="22"/>
        <v>0</v>
      </c>
      <c r="T98" s="5"/>
      <c r="U98" s="5"/>
      <c r="V98" s="5"/>
      <c r="W98" s="23"/>
      <c r="X98" s="24"/>
    </row>
    <row r="99" spans="1:26" x14ac:dyDescent="0.25">
      <c r="A99" s="32">
        <v>15</v>
      </c>
      <c r="B99" s="17">
        <v>45171</v>
      </c>
      <c r="C99" s="31" t="s">
        <v>48</v>
      </c>
      <c r="D99" s="32">
        <v>5530181574</v>
      </c>
      <c r="E99" s="32" t="s">
        <v>552</v>
      </c>
      <c r="F99" s="32" t="s">
        <v>553</v>
      </c>
      <c r="G99" s="39" t="s">
        <v>554</v>
      </c>
      <c r="H99" s="39"/>
      <c r="I99" s="26"/>
      <c r="J99" s="42">
        <v>309</v>
      </c>
      <c r="K99" s="43">
        <v>10</v>
      </c>
      <c r="L99" s="21"/>
      <c r="M99" s="21">
        <f t="shared" ref="M99:M104" si="24">K99+J99</f>
        <v>319</v>
      </c>
      <c r="N99" s="43">
        <f t="shared" ref="N99:N104" si="25">M99-H99</f>
        <v>319</v>
      </c>
      <c r="O99" s="43">
        <v>300</v>
      </c>
      <c r="P99" s="43"/>
      <c r="Q99" s="21">
        <f t="shared" si="23"/>
        <v>300</v>
      </c>
      <c r="R99" s="43"/>
      <c r="S99" s="21">
        <f t="shared" si="22"/>
        <v>-300</v>
      </c>
      <c r="T99" s="5"/>
      <c r="U99" s="5"/>
      <c r="V99" s="5"/>
      <c r="W99" s="23"/>
      <c r="X99" s="25"/>
    </row>
    <row r="100" spans="1:26" x14ac:dyDescent="0.25">
      <c r="A100" s="32">
        <v>16</v>
      </c>
      <c r="B100" s="17">
        <v>45171</v>
      </c>
      <c r="C100" s="31" t="s">
        <v>2488</v>
      </c>
      <c r="D100" s="32">
        <v>5614683694</v>
      </c>
      <c r="E100" s="32" t="s">
        <v>28</v>
      </c>
      <c r="F100" s="32" t="s">
        <v>285</v>
      </c>
      <c r="G100" s="39" t="s">
        <v>556</v>
      </c>
      <c r="H100" s="73">
        <v>500</v>
      </c>
      <c r="I100" s="49"/>
      <c r="J100" s="117">
        <v>234</v>
      </c>
      <c r="K100" s="43">
        <v>10</v>
      </c>
      <c r="L100" s="21"/>
      <c r="M100" s="21">
        <f t="shared" si="24"/>
        <v>244</v>
      </c>
      <c r="N100" s="43">
        <f t="shared" si="25"/>
        <v>-256</v>
      </c>
      <c r="O100" s="43">
        <v>500</v>
      </c>
      <c r="P100" s="43"/>
      <c r="Q100" s="21">
        <f t="shared" si="23"/>
        <v>500</v>
      </c>
      <c r="R100" s="43">
        <v>510</v>
      </c>
      <c r="S100" s="21">
        <f t="shared" si="22"/>
        <v>10</v>
      </c>
      <c r="T100" s="5"/>
      <c r="U100" s="5"/>
      <c r="V100" s="5"/>
      <c r="W100" s="22"/>
      <c r="X100" s="25"/>
    </row>
    <row r="101" spans="1:26" x14ac:dyDescent="0.25">
      <c r="A101" s="32">
        <v>17</v>
      </c>
      <c r="B101" s="17">
        <v>45171</v>
      </c>
      <c r="C101" s="31" t="s">
        <v>350</v>
      </c>
      <c r="D101" s="32">
        <v>5543821818</v>
      </c>
      <c r="E101" s="32" t="s">
        <v>189</v>
      </c>
      <c r="F101" s="32" t="s">
        <v>558</v>
      </c>
      <c r="G101" s="39" t="s">
        <v>559</v>
      </c>
      <c r="H101" s="73">
        <v>236</v>
      </c>
      <c r="I101" s="49"/>
      <c r="J101" s="117">
        <v>216</v>
      </c>
      <c r="K101" s="43">
        <v>10</v>
      </c>
      <c r="L101" s="21">
        <f>+S101-K101</f>
        <v>226</v>
      </c>
      <c r="M101" s="21">
        <f t="shared" si="24"/>
        <v>226</v>
      </c>
      <c r="N101" s="43">
        <f t="shared" si="25"/>
        <v>-10</v>
      </c>
      <c r="O101" s="43"/>
      <c r="P101" s="43"/>
      <c r="Q101" s="21">
        <f t="shared" si="23"/>
        <v>0</v>
      </c>
      <c r="R101" s="43">
        <v>236</v>
      </c>
      <c r="S101" s="21">
        <f t="shared" si="22"/>
        <v>236</v>
      </c>
      <c r="T101" s="5"/>
      <c r="U101" s="5"/>
      <c r="V101" s="5"/>
      <c r="W101" s="5"/>
      <c r="X101" s="25"/>
    </row>
    <row r="102" spans="1:26" x14ac:dyDescent="0.25">
      <c r="A102" s="32">
        <v>18</v>
      </c>
      <c r="B102" s="17">
        <v>45171</v>
      </c>
      <c r="C102" s="31" t="s">
        <v>2485</v>
      </c>
      <c r="D102" s="32"/>
      <c r="E102" s="32" t="s">
        <v>106</v>
      </c>
      <c r="F102" s="32" t="s">
        <v>524</v>
      </c>
      <c r="G102" s="39" t="s">
        <v>561</v>
      </c>
      <c r="H102" s="73"/>
      <c r="I102" s="49"/>
      <c r="J102" s="117">
        <v>96</v>
      </c>
      <c r="K102" s="43">
        <v>10</v>
      </c>
      <c r="L102" s="21">
        <f>+S102-K102</f>
        <v>-10</v>
      </c>
      <c r="M102" s="21">
        <f t="shared" si="24"/>
        <v>106</v>
      </c>
      <c r="N102" s="43">
        <f t="shared" si="25"/>
        <v>106</v>
      </c>
      <c r="O102" s="43"/>
      <c r="P102" s="43"/>
      <c r="Q102" s="21">
        <f t="shared" si="23"/>
        <v>0</v>
      </c>
      <c r="R102" s="43"/>
      <c r="S102" s="21">
        <f t="shared" si="22"/>
        <v>0</v>
      </c>
      <c r="T102" s="5"/>
      <c r="U102" s="5"/>
      <c r="V102" s="5"/>
      <c r="W102" s="5"/>
      <c r="X102" s="25"/>
    </row>
    <row r="103" spans="1:26" x14ac:dyDescent="0.25">
      <c r="A103" s="32">
        <v>19</v>
      </c>
      <c r="B103" s="17">
        <v>45171</v>
      </c>
      <c r="C103" s="31" t="s">
        <v>2485</v>
      </c>
      <c r="D103" s="32"/>
      <c r="E103" s="32" t="s">
        <v>106</v>
      </c>
      <c r="F103" s="32" t="s">
        <v>524</v>
      </c>
      <c r="G103" s="39" t="s">
        <v>562</v>
      </c>
      <c r="H103" s="73"/>
      <c r="I103" s="49"/>
      <c r="J103" s="117">
        <v>84</v>
      </c>
      <c r="K103" s="43">
        <v>10</v>
      </c>
      <c r="L103" s="21">
        <f>+S103-K103</f>
        <v>-10</v>
      </c>
      <c r="M103" s="21">
        <f t="shared" si="24"/>
        <v>94</v>
      </c>
      <c r="N103" s="43">
        <f t="shared" si="25"/>
        <v>94</v>
      </c>
      <c r="O103" s="43"/>
      <c r="P103" s="43"/>
      <c r="Q103" s="21">
        <f t="shared" si="23"/>
        <v>0</v>
      </c>
      <c r="R103" s="43"/>
      <c r="S103" s="21">
        <f t="shared" si="22"/>
        <v>0</v>
      </c>
      <c r="T103" s="5"/>
      <c r="U103" s="5"/>
      <c r="V103" s="5"/>
      <c r="W103" s="5"/>
      <c r="X103" s="25"/>
      <c r="Y103" s="1"/>
      <c r="Z103" s="1"/>
    </row>
    <row r="104" spans="1:26" x14ac:dyDescent="0.25">
      <c r="A104" s="32">
        <v>20</v>
      </c>
      <c r="B104" s="17">
        <v>45171</v>
      </c>
      <c r="C104" s="31" t="s">
        <v>2484</v>
      </c>
      <c r="D104" s="32"/>
      <c r="E104" s="32"/>
      <c r="F104" s="32">
        <v>2</v>
      </c>
      <c r="G104" s="39" t="s">
        <v>563</v>
      </c>
      <c r="H104" s="73">
        <v>200</v>
      </c>
      <c r="I104" s="49"/>
      <c r="J104" s="117">
        <v>116</v>
      </c>
      <c r="K104" s="43">
        <v>10</v>
      </c>
      <c r="L104" s="21">
        <f>+S104-K104</f>
        <v>-150</v>
      </c>
      <c r="M104" s="21">
        <f t="shared" si="24"/>
        <v>126</v>
      </c>
      <c r="N104" s="43">
        <f t="shared" si="25"/>
        <v>-74</v>
      </c>
      <c r="O104" s="43">
        <v>140</v>
      </c>
      <c r="P104" s="32"/>
      <c r="Q104" s="21">
        <f t="shared" si="23"/>
        <v>140</v>
      </c>
      <c r="R104" s="43"/>
      <c r="S104" s="21">
        <f t="shared" si="22"/>
        <v>-140</v>
      </c>
      <c r="T104" s="5"/>
      <c r="U104" s="5"/>
      <c r="V104" s="5"/>
      <c r="W104" s="5"/>
      <c r="X104" s="25"/>
      <c r="Y104" s="116" t="s">
        <v>513</v>
      </c>
      <c r="Z104" s="12"/>
    </row>
    <row r="105" spans="1:26" x14ac:dyDescent="0.25">
      <c r="A105" s="16">
        <v>1</v>
      </c>
      <c r="B105" s="17">
        <v>45172</v>
      </c>
      <c r="C105" s="16" t="s">
        <v>2488</v>
      </c>
      <c r="D105" s="16">
        <v>5614683694</v>
      </c>
      <c r="E105" s="17"/>
      <c r="F105" s="16"/>
      <c r="G105" s="16" t="s">
        <v>565</v>
      </c>
      <c r="H105" s="59">
        <v>40</v>
      </c>
      <c r="I105" s="16" t="s">
        <v>566</v>
      </c>
      <c r="J105" s="28">
        <v>30</v>
      </c>
      <c r="K105" s="19">
        <v>10</v>
      </c>
      <c r="L105" s="94">
        <f>+T108-K105</f>
        <v>0</v>
      </c>
      <c r="M105" s="20">
        <f>+J105+K105</f>
        <v>40</v>
      </c>
      <c r="N105" s="21">
        <f>+H105-M105</f>
        <v>0</v>
      </c>
      <c r="O105" s="56"/>
      <c r="P105" s="21">
        <v>30</v>
      </c>
      <c r="Q105" s="16"/>
      <c r="R105" s="21">
        <f t="shared" ref="R105:R119" si="26">+P105+Q105</f>
        <v>30</v>
      </c>
      <c r="S105" s="21">
        <v>40</v>
      </c>
      <c r="U105" s="5"/>
      <c r="V105" t="s">
        <v>532</v>
      </c>
      <c r="W105" s="22">
        <v>149</v>
      </c>
    </row>
    <row r="106" spans="1:26" x14ac:dyDescent="0.25">
      <c r="A106" s="16">
        <v>2</v>
      </c>
      <c r="B106" s="17">
        <v>45172</v>
      </c>
      <c r="C106" s="31" t="s">
        <v>2488</v>
      </c>
      <c r="D106" s="32">
        <v>5614683694</v>
      </c>
      <c r="E106" s="32" t="s">
        <v>28</v>
      </c>
      <c r="F106" s="32" t="s">
        <v>285</v>
      </c>
      <c r="G106" s="16" t="s">
        <v>567</v>
      </c>
      <c r="H106" s="59"/>
      <c r="I106" s="16" t="s">
        <v>568</v>
      </c>
      <c r="J106" s="28">
        <v>51</v>
      </c>
      <c r="K106" s="19">
        <v>10</v>
      </c>
      <c r="L106" s="94">
        <f>+T109-K106</f>
        <v>0</v>
      </c>
      <c r="M106" s="20">
        <f t="shared" ref="M106:M119" si="27">+J106+K106</f>
        <v>61</v>
      </c>
      <c r="N106" s="21">
        <f t="shared" ref="N106:N119" si="28">+H106-M106</f>
        <v>-61</v>
      </c>
      <c r="O106" s="56"/>
      <c r="P106" s="21">
        <v>100</v>
      </c>
      <c r="Q106" s="16"/>
      <c r="R106" s="21">
        <f t="shared" si="26"/>
        <v>100</v>
      </c>
      <c r="S106" s="21">
        <v>110</v>
      </c>
      <c r="T106" s="4"/>
      <c r="U106" s="5"/>
      <c r="V106" s="22" t="s">
        <v>535</v>
      </c>
      <c r="W106" s="22">
        <v>143</v>
      </c>
    </row>
    <row r="107" spans="1:26" x14ac:dyDescent="0.25">
      <c r="A107" s="16">
        <v>3</v>
      </c>
      <c r="B107" s="17">
        <v>45172</v>
      </c>
      <c r="C107" s="16" t="s">
        <v>260</v>
      </c>
      <c r="D107" s="16">
        <v>5625880146</v>
      </c>
      <c r="E107" s="16" t="s">
        <v>106</v>
      </c>
      <c r="F107" s="16" t="s">
        <v>569</v>
      </c>
      <c r="G107" s="26" t="s">
        <v>570</v>
      </c>
      <c r="H107" s="118"/>
      <c r="I107" s="16" t="s">
        <v>568</v>
      </c>
      <c r="J107" s="28"/>
      <c r="K107" s="19">
        <v>10</v>
      </c>
      <c r="L107" s="94">
        <f>+T110-K107</f>
        <v>-5</v>
      </c>
      <c r="M107" s="20">
        <f t="shared" si="27"/>
        <v>10</v>
      </c>
      <c r="N107" s="21">
        <f t="shared" si="28"/>
        <v>-10</v>
      </c>
      <c r="O107" s="56"/>
      <c r="P107" s="21"/>
      <c r="Q107" s="16"/>
      <c r="R107" s="21">
        <f t="shared" si="26"/>
        <v>0</v>
      </c>
      <c r="S107" s="21" t="s">
        <v>148</v>
      </c>
      <c r="T107" s="10" t="s">
        <v>20</v>
      </c>
      <c r="U107" s="5"/>
      <c r="V107" s="22" t="s">
        <v>537</v>
      </c>
      <c r="W107" s="42">
        <v>119</v>
      </c>
    </row>
    <row r="108" spans="1:26" x14ac:dyDescent="0.25">
      <c r="A108" s="16">
        <v>4</v>
      </c>
      <c r="B108" s="17">
        <v>45172</v>
      </c>
      <c r="C108" s="16"/>
      <c r="D108" s="16"/>
      <c r="E108" s="27"/>
      <c r="G108" s="16"/>
      <c r="H108" s="59"/>
      <c r="I108" s="16"/>
      <c r="J108" s="28"/>
      <c r="K108" s="19">
        <v>10</v>
      </c>
      <c r="L108" s="94">
        <f>+T111-K108</f>
        <v>-10</v>
      </c>
      <c r="M108" s="20">
        <f t="shared" si="27"/>
        <v>10</v>
      </c>
      <c r="N108" s="21">
        <f t="shared" si="28"/>
        <v>-10</v>
      </c>
      <c r="O108" s="56"/>
      <c r="P108" s="21"/>
      <c r="Q108" s="16"/>
      <c r="R108" s="21">
        <f t="shared" si="26"/>
        <v>0</v>
      </c>
      <c r="S108" s="21"/>
      <c r="T108" s="21">
        <f>S105-R105</f>
        <v>10</v>
      </c>
      <c r="U108" s="5"/>
      <c r="V108" t="s">
        <v>541</v>
      </c>
      <c r="W108" s="42">
        <v>98</v>
      </c>
    </row>
    <row r="109" spans="1:26" x14ac:dyDescent="0.25">
      <c r="A109" s="16">
        <v>5</v>
      </c>
      <c r="B109" s="17">
        <v>45172</v>
      </c>
      <c r="C109" s="16" t="s">
        <v>2642</v>
      </c>
      <c r="D109" s="69">
        <v>5629985003</v>
      </c>
      <c r="E109" s="17" t="s">
        <v>106</v>
      </c>
      <c r="F109" s="16" t="s">
        <v>572</v>
      </c>
      <c r="G109" s="29" t="s">
        <v>573</v>
      </c>
      <c r="H109" s="119"/>
      <c r="I109" s="16" t="s">
        <v>574</v>
      </c>
      <c r="J109" s="28">
        <v>40</v>
      </c>
      <c r="K109" s="19">
        <v>10</v>
      </c>
      <c r="L109" s="94">
        <f>+T112-K109</f>
        <v>-10</v>
      </c>
      <c r="M109" s="20">
        <f t="shared" si="27"/>
        <v>50</v>
      </c>
      <c r="N109" s="21">
        <f t="shared" si="28"/>
        <v>-50</v>
      </c>
      <c r="O109" s="56" t="s">
        <v>575</v>
      </c>
      <c r="P109" s="16"/>
      <c r="Q109" s="16"/>
      <c r="R109" s="21">
        <f t="shared" si="26"/>
        <v>0</v>
      </c>
      <c r="S109" s="21"/>
      <c r="T109" s="21">
        <f>S106-R106</f>
        <v>10</v>
      </c>
      <c r="U109" s="5"/>
      <c r="V109" s="22" t="s">
        <v>545</v>
      </c>
      <c r="W109" s="22">
        <v>51</v>
      </c>
    </row>
    <row r="110" spans="1:26" x14ac:dyDescent="0.25">
      <c r="A110" s="30">
        <v>6</v>
      </c>
      <c r="B110" s="17">
        <v>45172</v>
      </c>
      <c r="C110" s="30" t="s">
        <v>2483</v>
      </c>
      <c r="D110" s="16">
        <v>5540567925</v>
      </c>
      <c r="E110" s="31" t="s">
        <v>28</v>
      </c>
      <c r="F110" s="32" t="s">
        <v>576</v>
      </c>
      <c r="G110" s="32" t="s">
        <v>526</v>
      </c>
      <c r="H110" s="71"/>
      <c r="I110" s="16" t="s">
        <v>568</v>
      </c>
      <c r="J110" s="120"/>
      <c r="K110" s="19">
        <v>10</v>
      </c>
      <c r="L110" s="94">
        <f>+T113-K110</f>
        <v>-10</v>
      </c>
      <c r="M110" s="20">
        <f t="shared" si="27"/>
        <v>10</v>
      </c>
      <c r="N110" s="21">
        <f t="shared" si="28"/>
        <v>-10</v>
      </c>
      <c r="O110" s="56" t="s">
        <v>575</v>
      </c>
      <c r="P110" s="16"/>
      <c r="Q110" s="16"/>
      <c r="R110" s="21">
        <f t="shared" si="26"/>
        <v>0</v>
      </c>
      <c r="S110" s="16"/>
      <c r="T110" s="21">
        <v>5</v>
      </c>
      <c r="U110" s="5"/>
      <c r="V110" s="22" t="s">
        <v>548</v>
      </c>
      <c r="W110" s="22">
        <v>27</v>
      </c>
    </row>
    <row r="111" spans="1:26" x14ac:dyDescent="0.25">
      <c r="A111" s="30">
        <v>6</v>
      </c>
      <c r="B111" s="17">
        <v>45172</v>
      </c>
      <c r="C111" s="30" t="s">
        <v>2482</v>
      </c>
      <c r="D111" s="16">
        <v>5566712323</v>
      </c>
      <c r="E111" s="31" t="s">
        <v>106</v>
      </c>
      <c r="F111" s="32" t="s">
        <v>577</v>
      </c>
      <c r="G111" s="32" t="s">
        <v>578</v>
      </c>
      <c r="H111" s="71"/>
      <c r="I111" s="16" t="s">
        <v>574</v>
      </c>
      <c r="J111" s="36">
        <v>200</v>
      </c>
      <c r="K111" s="19">
        <v>10</v>
      </c>
      <c r="L111" s="94">
        <v>0</v>
      </c>
      <c r="M111" s="20">
        <f t="shared" si="27"/>
        <v>210</v>
      </c>
      <c r="N111" s="21">
        <f t="shared" si="28"/>
        <v>-210</v>
      </c>
      <c r="O111" s="56" t="s">
        <v>579</v>
      </c>
      <c r="P111" s="16"/>
      <c r="Q111" s="16"/>
      <c r="R111" s="21">
        <f t="shared" si="26"/>
        <v>0</v>
      </c>
      <c r="S111" s="16"/>
      <c r="T111" s="21">
        <v>0</v>
      </c>
      <c r="U111" s="5"/>
      <c r="V111" s="22" t="s">
        <v>551</v>
      </c>
      <c r="W111" s="22">
        <v>30</v>
      </c>
    </row>
    <row r="112" spans="1:26" x14ac:dyDescent="0.25">
      <c r="A112" s="30">
        <v>7</v>
      </c>
      <c r="B112" s="17">
        <v>45172</v>
      </c>
      <c r="C112" s="30" t="s">
        <v>2485</v>
      </c>
      <c r="D112" s="16"/>
      <c r="E112" s="27" t="s">
        <v>580</v>
      </c>
      <c r="F112" t="s">
        <v>524</v>
      </c>
      <c r="G112" t="s">
        <v>581</v>
      </c>
      <c r="I112" s="16"/>
      <c r="J112" s="36">
        <v>193</v>
      </c>
      <c r="K112" s="19">
        <v>10</v>
      </c>
      <c r="L112" s="94">
        <f>+T115-K112</f>
        <v>-260</v>
      </c>
      <c r="M112" s="20">
        <f t="shared" si="27"/>
        <v>203</v>
      </c>
      <c r="N112" s="21">
        <f t="shared" si="28"/>
        <v>-203</v>
      </c>
      <c r="O112" s="56"/>
      <c r="P112" s="16">
        <v>250</v>
      </c>
      <c r="Q112" s="16"/>
      <c r="R112" s="21">
        <f t="shared" si="26"/>
        <v>250</v>
      </c>
      <c r="S112" s="16"/>
      <c r="T112" s="21">
        <f>S109-R109</f>
        <v>0</v>
      </c>
      <c r="V112" s="22" t="s">
        <v>555</v>
      </c>
      <c r="W112" s="22">
        <v>216</v>
      </c>
    </row>
    <row r="113" spans="1:29" x14ac:dyDescent="0.25">
      <c r="A113" s="32">
        <v>9</v>
      </c>
      <c r="B113" s="17">
        <v>45172</v>
      </c>
      <c r="C113" s="32" t="s">
        <v>2527</v>
      </c>
      <c r="D113" s="16">
        <v>5515915746</v>
      </c>
      <c r="E113" s="31" t="s">
        <v>28</v>
      </c>
      <c r="F113" s="32" t="s">
        <v>582</v>
      </c>
      <c r="G113" s="32"/>
      <c r="H113" s="71"/>
      <c r="I113" s="16"/>
      <c r="J113" s="36">
        <v>40</v>
      </c>
      <c r="K113" s="19">
        <v>10</v>
      </c>
      <c r="L113" s="94">
        <f>+T116-K113</f>
        <v>0</v>
      </c>
      <c r="M113" s="20">
        <f t="shared" si="27"/>
        <v>50</v>
      </c>
      <c r="N113" s="21">
        <f t="shared" si="28"/>
        <v>-50</v>
      </c>
      <c r="O113" s="56"/>
      <c r="P113" s="16">
        <v>50</v>
      </c>
      <c r="Q113" s="16"/>
      <c r="R113" s="21">
        <f t="shared" si="26"/>
        <v>50</v>
      </c>
      <c r="S113" s="16">
        <v>60</v>
      </c>
      <c r="T113" s="21">
        <f>S110-R110</f>
        <v>0</v>
      </c>
      <c r="V113" s="22"/>
      <c r="W113" s="22">
        <f>+SUM(Z105:Z112)</f>
        <v>0</v>
      </c>
    </row>
    <row r="114" spans="1:29" x14ac:dyDescent="0.25">
      <c r="A114" s="32">
        <v>10</v>
      </c>
      <c r="B114" s="17">
        <v>45172</v>
      </c>
      <c r="C114" s="32" t="s">
        <v>3382</v>
      </c>
      <c r="D114" s="16">
        <v>5613930730</v>
      </c>
      <c r="E114" s="32" t="s">
        <v>106</v>
      </c>
      <c r="F114" s="32" t="s">
        <v>583</v>
      </c>
      <c r="G114" s="32" t="s">
        <v>584</v>
      </c>
      <c r="H114" s="73">
        <v>290</v>
      </c>
      <c r="I114" s="16"/>
      <c r="J114" s="36">
        <v>267</v>
      </c>
      <c r="K114" s="19">
        <v>10</v>
      </c>
      <c r="L114" s="94">
        <f>+T117-K114</f>
        <v>280</v>
      </c>
      <c r="M114" s="20">
        <f t="shared" si="27"/>
        <v>277</v>
      </c>
      <c r="N114" s="21">
        <f t="shared" si="28"/>
        <v>13</v>
      </c>
      <c r="O114" s="56"/>
      <c r="P114" s="16"/>
      <c r="Q114" s="16"/>
      <c r="R114" s="21">
        <f t="shared" si="26"/>
        <v>0</v>
      </c>
      <c r="S114" s="16">
        <v>290</v>
      </c>
      <c r="T114" s="21">
        <v>10</v>
      </c>
      <c r="V114" s="22"/>
      <c r="W114" s="22"/>
    </row>
    <row r="115" spans="1:29" x14ac:dyDescent="0.25">
      <c r="A115" s="32">
        <v>11</v>
      </c>
      <c r="B115" s="17">
        <v>45172</v>
      </c>
      <c r="C115" s="32" t="s">
        <v>2526</v>
      </c>
      <c r="D115" s="16">
        <v>5579218468</v>
      </c>
      <c r="E115" s="31" t="s">
        <v>106</v>
      </c>
      <c r="F115" s="32" t="s">
        <v>585</v>
      </c>
      <c r="G115" s="31" t="s">
        <v>586</v>
      </c>
      <c r="H115" s="71"/>
      <c r="I115" s="16"/>
      <c r="J115" s="72">
        <v>72</v>
      </c>
      <c r="K115" s="19">
        <v>10</v>
      </c>
      <c r="L115" s="94">
        <f>+T118-K115</f>
        <v>-10</v>
      </c>
      <c r="M115" s="20">
        <f t="shared" si="27"/>
        <v>82</v>
      </c>
      <c r="N115" s="21">
        <f t="shared" si="28"/>
        <v>-82</v>
      </c>
      <c r="O115" s="56"/>
      <c r="P115" s="16"/>
      <c r="Q115" s="16"/>
      <c r="R115" s="21">
        <f t="shared" si="26"/>
        <v>0</v>
      </c>
      <c r="S115" s="16"/>
      <c r="T115" s="21">
        <f>S112-R112</f>
        <v>-250</v>
      </c>
      <c r="V115" s="22"/>
      <c r="W115" s="22"/>
    </row>
    <row r="116" spans="1:29" x14ac:dyDescent="0.25">
      <c r="A116" s="32">
        <v>12</v>
      </c>
      <c r="B116" s="17">
        <v>45172</v>
      </c>
      <c r="C116" s="32" t="s">
        <v>24</v>
      </c>
      <c r="D116" s="16">
        <v>5562236073</v>
      </c>
      <c r="E116" s="31" t="s">
        <v>145</v>
      </c>
      <c r="F116" s="32" t="s">
        <v>522</v>
      </c>
      <c r="G116" s="32" t="s">
        <v>587</v>
      </c>
      <c r="H116">
        <v>200</v>
      </c>
      <c r="I116" s="16"/>
      <c r="J116" s="72">
        <v>163</v>
      </c>
      <c r="K116" s="19">
        <v>10</v>
      </c>
      <c r="L116" s="94">
        <f>+T119-K116</f>
        <v>4</v>
      </c>
      <c r="M116" s="20">
        <f t="shared" si="27"/>
        <v>173</v>
      </c>
      <c r="N116" s="21">
        <f t="shared" si="28"/>
        <v>27</v>
      </c>
      <c r="O116" s="56"/>
      <c r="P116" s="45">
        <v>200</v>
      </c>
      <c r="Q116" s="44"/>
      <c r="R116" s="21">
        <f t="shared" si="26"/>
        <v>200</v>
      </c>
      <c r="S116" s="45">
        <v>214</v>
      </c>
      <c r="T116" s="21">
        <f>S113-R113</f>
        <v>10</v>
      </c>
      <c r="U116" s="5"/>
      <c r="V116" s="22"/>
      <c r="W116" s="22"/>
    </row>
    <row r="117" spans="1:29" x14ac:dyDescent="0.25">
      <c r="A117" s="32">
        <v>13</v>
      </c>
      <c r="B117" s="17">
        <v>45172</v>
      </c>
      <c r="C117" s="32" t="s">
        <v>24</v>
      </c>
      <c r="D117" s="16">
        <v>5562236073</v>
      </c>
      <c r="E117" s="31" t="s">
        <v>588</v>
      </c>
      <c r="F117" s="32" t="s">
        <v>522</v>
      </c>
      <c r="G117" s="32" t="s">
        <v>589</v>
      </c>
      <c r="H117" s="71"/>
      <c r="I117" s="16"/>
      <c r="J117" s="72">
        <v>117</v>
      </c>
      <c r="K117" s="19">
        <v>10</v>
      </c>
      <c r="L117" s="94">
        <v>0</v>
      </c>
      <c r="M117" s="20">
        <f t="shared" si="27"/>
        <v>127</v>
      </c>
      <c r="N117" s="21">
        <f t="shared" si="28"/>
        <v>-127</v>
      </c>
      <c r="O117" s="56" t="s">
        <v>590</v>
      </c>
      <c r="P117" s="43">
        <v>40</v>
      </c>
      <c r="Q117" s="32"/>
      <c r="R117" s="21">
        <f t="shared" si="26"/>
        <v>40</v>
      </c>
      <c r="S117" s="43">
        <v>267</v>
      </c>
      <c r="T117" s="21">
        <f>S114-R114</f>
        <v>290</v>
      </c>
      <c r="U117" s="5"/>
      <c r="V117" t="s">
        <v>564</v>
      </c>
      <c r="W117" s="22"/>
    </row>
    <row r="118" spans="1:29" x14ac:dyDescent="0.25">
      <c r="A118" s="32">
        <v>14</v>
      </c>
      <c r="B118" s="17">
        <v>45172</v>
      </c>
      <c r="C118" s="32"/>
      <c r="D118" s="16"/>
      <c r="E118" s="31"/>
      <c r="F118" s="32"/>
      <c r="G118" s="32"/>
      <c r="H118" s="71"/>
      <c r="I118" s="16"/>
      <c r="J118" s="72"/>
      <c r="K118" s="19">
        <v>10</v>
      </c>
      <c r="L118" s="94">
        <f>+T121-K118</f>
        <v>-10</v>
      </c>
      <c r="M118" s="20">
        <f t="shared" si="27"/>
        <v>10</v>
      </c>
      <c r="N118" s="21">
        <f t="shared" si="28"/>
        <v>-10</v>
      </c>
      <c r="O118" s="65"/>
      <c r="P118" s="43"/>
      <c r="Q118" s="43"/>
      <c r="R118" s="21">
        <f t="shared" si="26"/>
        <v>0</v>
      </c>
      <c r="S118" s="43"/>
      <c r="T118" s="21">
        <f>S115-R115</f>
        <v>0</v>
      </c>
      <c r="U118" s="5"/>
      <c r="V118" s="5"/>
      <c r="W118" s="5"/>
    </row>
    <row r="119" spans="1:29" x14ac:dyDescent="0.25">
      <c r="A119" s="32">
        <v>15</v>
      </c>
      <c r="B119" s="17">
        <v>45172</v>
      </c>
      <c r="C119" s="32"/>
      <c r="D119" s="16"/>
      <c r="E119" s="31"/>
      <c r="F119" s="32"/>
      <c r="G119" s="32"/>
      <c r="H119" s="71"/>
      <c r="I119" s="16"/>
      <c r="J119" s="72"/>
      <c r="K119" s="19">
        <v>10</v>
      </c>
      <c r="L119" s="94">
        <f>+T122-K119</f>
        <v>-10</v>
      </c>
      <c r="M119" s="20">
        <f t="shared" si="27"/>
        <v>10</v>
      </c>
      <c r="N119" s="21">
        <f t="shared" si="28"/>
        <v>-10</v>
      </c>
      <c r="O119" s="66"/>
      <c r="P119" s="43"/>
      <c r="Q119" s="32"/>
      <c r="R119" s="21">
        <f t="shared" si="26"/>
        <v>0</v>
      </c>
      <c r="S119" s="43"/>
      <c r="T119" s="21">
        <f>S116-R116</f>
        <v>14</v>
      </c>
      <c r="U119" s="5"/>
    </row>
    <row r="120" spans="1:29" x14ac:dyDescent="0.25">
      <c r="A120" s="5"/>
      <c r="B120" s="53"/>
      <c r="C120" s="5"/>
      <c r="D120" s="53"/>
      <c r="E120" s="53"/>
      <c r="F120" s="5"/>
      <c r="G120" s="5"/>
      <c r="H120" s="5"/>
      <c r="I120" s="5"/>
      <c r="J120" s="54"/>
      <c r="K120" s="54"/>
      <c r="L120" s="5"/>
      <c r="M120" s="5"/>
      <c r="N120" s="5"/>
      <c r="O120" s="5"/>
      <c r="P120" s="5"/>
      <c r="Q120" s="5"/>
      <c r="R120" s="5"/>
      <c r="S120" s="5"/>
      <c r="T120" s="21">
        <f>S117-R117</f>
        <v>227</v>
      </c>
      <c r="U120" s="5"/>
    </row>
    <row r="121" spans="1:29" x14ac:dyDescent="0.25">
      <c r="A121" s="5"/>
      <c r="B121" s="53"/>
      <c r="C121" s="53"/>
      <c r="D121" s="5"/>
      <c r="E121" s="5"/>
      <c r="F121" s="5"/>
      <c r="G121" s="54"/>
      <c r="H121" s="5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21">
        <f>S118-R118</f>
        <v>0</v>
      </c>
      <c r="U121" s="5"/>
    </row>
    <row r="122" spans="1:29" x14ac:dyDescent="0.25">
      <c r="T122" s="21">
        <f>S119-R119</f>
        <v>0</v>
      </c>
      <c r="U122" s="5"/>
    </row>
    <row r="123" spans="1:29" x14ac:dyDescent="0.25">
      <c r="T123" s="5"/>
      <c r="U123" s="5"/>
      <c r="V123" s="1"/>
      <c r="W123" s="1"/>
      <c r="X123" s="1"/>
      <c r="Y123" s="1"/>
      <c r="Z123" s="5"/>
    </row>
    <row r="124" spans="1:29" x14ac:dyDescent="0.25">
      <c r="T124" s="5"/>
      <c r="U124" s="5"/>
      <c r="V124" s="13"/>
      <c r="W124" s="14" t="s">
        <v>21</v>
      </c>
      <c r="X124" s="14" t="s">
        <v>22</v>
      </c>
      <c r="Y124" s="15" t="s">
        <v>23</v>
      </c>
      <c r="Z124" s="5"/>
    </row>
    <row r="125" spans="1:29" x14ac:dyDescent="0.25">
      <c r="X125" s="5"/>
      <c r="Y125" s="22"/>
      <c r="Z125" s="23"/>
      <c r="AA125" s="23"/>
      <c r="AB125" s="24"/>
      <c r="AC125" s="5"/>
    </row>
    <row r="126" spans="1:29" x14ac:dyDescent="0.25">
      <c r="X126" s="5"/>
      <c r="Y126" s="22"/>
      <c r="Z126" s="23"/>
      <c r="AA126" s="23"/>
      <c r="AB126" s="25"/>
      <c r="AC126" s="5"/>
    </row>
    <row r="127" spans="1:29" x14ac:dyDescent="0.25">
      <c r="X127" s="5"/>
      <c r="Y127" s="22"/>
      <c r="Z127" s="23"/>
      <c r="AA127" s="23"/>
      <c r="AB127" s="25"/>
      <c r="AC127" s="5"/>
    </row>
    <row r="128" spans="1:29" x14ac:dyDescent="0.25">
      <c r="X128" s="5"/>
      <c r="Y128" s="22"/>
      <c r="Z128" s="23"/>
      <c r="AA128" s="23"/>
      <c r="AB128" s="25"/>
      <c r="AC128" s="5"/>
    </row>
    <row r="129" spans="24:29" x14ac:dyDescent="0.25">
      <c r="X129" s="5"/>
      <c r="Y129" s="5"/>
      <c r="Z129" s="23"/>
      <c r="AA129" s="23"/>
      <c r="AB129" s="25"/>
      <c r="AC129" s="5"/>
    </row>
    <row r="130" spans="24:29" x14ac:dyDescent="0.25">
      <c r="X130" s="5"/>
      <c r="Y130" s="5"/>
      <c r="Z130" s="23"/>
      <c r="AA130" s="23"/>
      <c r="AB130" s="25"/>
      <c r="AC130" s="5"/>
    </row>
    <row r="131" spans="24:29" x14ac:dyDescent="0.25">
      <c r="X131" s="5"/>
      <c r="Y131" s="5"/>
      <c r="Z131" s="23"/>
      <c r="AA131" s="23"/>
      <c r="AB131" s="25"/>
      <c r="AC131" s="5"/>
    </row>
    <row r="132" spans="24:29" x14ac:dyDescent="0.25">
      <c r="X132" s="5"/>
      <c r="Y132" s="5"/>
      <c r="Z132" s="23"/>
      <c r="AA132" s="23"/>
      <c r="AB132" s="25"/>
      <c r="AC132" s="5"/>
    </row>
    <row r="133" spans="24:29" x14ac:dyDescent="0.25">
      <c r="X133" s="5"/>
      <c r="Y133" s="5"/>
      <c r="Z133" s="23"/>
      <c r="AA133" s="23"/>
      <c r="AB133" s="25"/>
      <c r="AC133" s="5"/>
    </row>
    <row r="134" spans="24:29" x14ac:dyDescent="0.25">
      <c r="X134" s="5"/>
      <c r="Y134" s="5"/>
      <c r="Z134" s="23"/>
      <c r="AA134" s="23"/>
      <c r="AB134" s="25"/>
      <c r="AC134" s="5"/>
    </row>
    <row r="135" spans="24:29" x14ac:dyDescent="0.25">
      <c r="Y135" s="5"/>
      <c r="Z135" s="23"/>
      <c r="AA135" s="23"/>
      <c r="AB135" s="25"/>
      <c r="AC135" s="5"/>
    </row>
    <row r="136" spans="24:29" x14ac:dyDescent="0.25">
      <c r="Y136" s="5"/>
      <c r="Z136" s="23"/>
      <c r="AA136" s="23"/>
      <c r="AB136" s="25"/>
      <c r="AC136" s="5"/>
    </row>
    <row r="137" spans="24:29" x14ac:dyDescent="0.25">
      <c r="Y137" s="47"/>
      <c r="Z137" s="47"/>
      <c r="AA137" s="22"/>
      <c r="AB137" s="22"/>
      <c r="AC137" s="5"/>
    </row>
    <row r="138" spans="24:29" x14ac:dyDescent="0.25">
      <c r="Y138" s="5"/>
      <c r="Z138" s="5"/>
      <c r="AA138" s="5"/>
      <c r="AB138" s="5"/>
      <c r="AC138" s="5"/>
    </row>
    <row r="139" spans="24:29" x14ac:dyDescent="0.25">
      <c r="Y139" s="5"/>
      <c r="Z139" s="5"/>
      <c r="AA139" s="5"/>
      <c r="AB139" s="5"/>
      <c r="AC139" s="5"/>
    </row>
    <row r="140" spans="24:29" x14ac:dyDescent="0.25">
      <c r="Y140" s="5"/>
      <c r="Z140" s="5"/>
      <c r="AA140" s="5"/>
      <c r="AB140" s="5"/>
      <c r="AC140" s="5"/>
    </row>
    <row r="141" spans="24:29" x14ac:dyDescent="0.25">
      <c r="Y141" s="5"/>
      <c r="Z141" s="5"/>
      <c r="AA141" s="5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0"/>
  <sheetViews>
    <sheetView topLeftCell="A26" workbookViewId="0">
      <selection activeCell="D34" sqref="D34"/>
    </sheetView>
  </sheetViews>
  <sheetFormatPr baseColWidth="10" defaultRowHeight="15" x14ac:dyDescent="0.25"/>
  <cols>
    <col min="3" max="3" width="12.42578125" bestFit="1" customWidth="1"/>
  </cols>
  <sheetData>
    <row r="1" spans="1:41" x14ac:dyDescent="0.25">
      <c r="G1">
        <v>192</v>
      </c>
      <c r="I1">
        <f>+G2+G1</f>
        <v>1079.5</v>
      </c>
    </row>
    <row r="2" spans="1:41" x14ac:dyDescent="0.25">
      <c r="G2">
        <v>887.5</v>
      </c>
    </row>
    <row r="3" spans="1:41" x14ac:dyDescent="0.25">
      <c r="A3" s="1" t="s">
        <v>0</v>
      </c>
      <c r="B3" s="1"/>
      <c r="C3" s="1"/>
      <c r="D3" s="1"/>
      <c r="E3" s="1"/>
      <c r="F3" s="1"/>
      <c r="G3" s="1" t="s">
        <v>3682</v>
      </c>
      <c r="H3" s="1"/>
      <c r="I3" s="1"/>
      <c r="J3" s="1" t="s">
        <v>148</v>
      </c>
      <c r="K3" s="1"/>
      <c r="L3" s="1"/>
      <c r="M3" s="1"/>
      <c r="N3" s="1"/>
      <c r="O3" s="1"/>
      <c r="P3" s="1"/>
      <c r="Q3" s="1"/>
      <c r="R3" s="1"/>
      <c r="S3" s="1"/>
      <c r="T3" s="342" t="s">
        <v>1</v>
      </c>
      <c r="U3" s="342"/>
      <c r="V3" s="5"/>
      <c r="W3" s="139"/>
      <c r="X3" s="1"/>
      <c r="Y3" s="5"/>
      <c r="AD3" s="335" t="s">
        <v>160</v>
      </c>
      <c r="AE3" s="336"/>
      <c r="AH3" s="335" t="s">
        <v>170</v>
      </c>
      <c r="AI3" s="336"/>
      <c r="AK3" s="337" t="s">
        <v>172</v>
      </c>
      <c r="AL3" s="337"/>
      <c r="AN3" s="337" t="s">
        <v>681</v>
      </c>
      <c r="AO3" s="337"/>
    </row>
    <row r="4" spans="1:41" ht="90" x14ac:dyDescent="0.25">
      <c r="A4" s="6" t="s">
        <v>2</v>
      </c>
      <c r="B4" s="7" t="s">
        <v>3</v>
      </c>
      <c r="C4" s="245" t="s">
        <v>688</v>
      </c>
      <c r="D4" s="7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8" t="s">
        <v>9</v>
      </c>
      <c r="J4" s="9" t="s">
        <v>10</v>
      </c>
      <c r="K4" s="8" t="s">
        <v>11</v>
      </c>
      <c r="L4" s="10" t="s">
        <v>12</v>
      </c>
      <c r="M4" s="10" t="s">
        <v>13</v>
      </c>
      <c r="N4" s="11" t="s">
        <v>14</v>
      </c>
      <c r="O4" s="10" t="s">
        <v>691</v>
      </c>
      <c r="P4" s="10" t="s">
        <v>28</v>
      </c>
      <c r="Q4" s="5"/>
      <c r="R4" s="10" t="s">
        <v>16</v>
      </c>
      <c r="S4" s="10" t="s">
        <v>17</v>
      </c>
      <c r="T4" s="10" t="s">
        <v>18</v>
      </c>
      <c r="U4" s="10" t="s">
        <v>19</v>
      </c>
      <c r="V4" s="10" t="s">
        <v>20</v>
      </c>
      <c r="W4" s="13"/>
      <c r="X4" s="15" t="s">
        <v>23</v>
      </c>
      <c r="Y4" s="5"/>
      <c r="AA4" s="251" t="s">
        <v>2554</v>
      </c>
      <c r="AC4">
        <v>1</v>
      </c>
      <c r="AD4" s="16" t="s">
        <v>161</v>
      </c>
      <c r="AE4" s="58">
        <f>+AC4*10</f>
        <v>10</v>
      </c>
      <c r="AG4">
        <v>3</v>
      </c>
      <c r="AH4" s="16" t="s">
        <v>161</v>
      </c>
      <c r="AI4" s="58">
        <f>+AG4*10</f>
        <v>30</v>
      </c>
      <c r="AK4" s="61" t="s">
        <v>173</v>
      </c>
      <c r="AL4" s="62" t="s">
        <v>174</v>
      </c>
      <c r="AN4" s="16" t="s">
        <v>161</v>
      </c>
      <c r="AO4" s="58">
        <f>+AM4*10</f>
        <v>0</v>
      </c>
    </row>
    <row r="5" spans="1:41" x14ac:dyDescent="0.25">
      <c r="A5" s="16">
        <v>1</v>
      </c>
      <c r="B5" s="92">
        <v>45286</v>
      </c>
      <c r="C5" s="23">
        <v>0.42222222222222222</v>
      </c>
      <c r="D5" s="31" t="s">
        <v>24</v>
      </c>
      <c r="E5" s="32">
        <v>5562236073</v>
      </c>
      <c r="F5" s="32" t="s">
        <v>2535</v>
      </c>
      <c r="G5" s="39" t="s">
        <v>522</v>
      </c>
      <c r="H5" s="39" t="s">
        <v>3663</v>
      </c>
      <c r="I5" s="122"/>
      <c r="J5" s="32">
        <v>45</v>
      </c>
      <c r="K5" s="20">
        <v>20</v>
      </c>
      <c r="L5" s="21"/>
      <c r="M5" s="21">
        <f t="shared" ref="M5:M23" si="0">+J5+K5</f>
        <v>65</v>
      </c>
      <c r="N5" s="21">
        <f t="shared" ref="N5:N23" si="1">+I5-M5</f>
        <v>-65</v>
      </c>
      <c r="O5" s="21"/>
      <c r="P5" s="21"/>
      <c r="Q5" s="5"/>
      <c r="R5" s="21">
        <v>70</v>
      </c>
      <c r="S5" s="16"/>
      <c r="T5" s="21">
        <f t="shared" ref="T5:T23" si="2">+R5+S5</f>
        <v>70</v>
      </c>
      <c r="U5" s="21">
        <v>90</v>
      </c>
      <c r="V5" s="78">
        <f>+U5-T5+O5+P5</f>
        <v>20</v>
      </c>
      <c r="W5" s="13"/>
      <c r="X5" s="333"/>
      <c r="Y5" s="5"/>
      <c r="AC5">
        <v>36</v>
      </c>
      <c r="AD5" s="59" t="s">
        <v>162</v>
      </c>
      <c r="AE5" s="18">
        <f>+AC5*1</f>
        <v>36</v>
      </c>
      <c r="AG5">
        <v>45</v>
      </c>
      <c r="AH5" s="59" t="s">
        <v>162</v>
      </c>
      <c r="AI5" s="18">
        <f>+AG5*1</f>
        <v>45</v>
      </c>
      <c r="AK5" s="16"/>
      <c r="AL5" s="16"/>
      <c r="AN5" s="59" t="s">
        <v>162</v>
      </c>
      <c r="AO5" s="18">
        <f>+AM5*1</f>
        <v>0</v>
      </c>
    </row>
    <row r="6" spans="1:41" x14ac:dyDescent="0.25">
      <c r="A6" s="26">
        <v>2</v>
      </c>
      <c r="B6" s="92">
        <v>45286</v>
      </c>
      <c r="C6" s="23">
        <v>0.43958333333333338</v>
      </c>
      <c r="D6" s="31" t="s">
        <v>3662</v>
      </c>
      <c r="E6" s="32">
        <v>5543926895</v>
      </c>
      <c r="F6" s="32" t="s">
        <v>114</v>
      </c>
      <c r="G6" s="32" t="s">
        <v>3664</v>
      </c>
      <c r="H6" s="39" t="s">
        <v>3665</v>
      </c>
      <c r="I6" s="122"/>
      <c r="J6" s="32">
        <v>48</v>
      </c>
      <c r="K6" s="20">
        <v>10</v>
      </c>
      <c r="L6" s="21"/>
      <c r="M6" s="21">
        <f t="shared" si="0"/>
        <v>58</v>
      </c>
      <c r="N6" s="21">
        <f t="shared" si="1"/>
        <v>-58</v>
      </c>
      <c r="O6" s="21"/>
      <c r="P6" s="21"/>
      <c r="Q6" s="5"/>
      <c r="R6" s="21"/>
      <c r="S6" s="16"/>
      <c r="T6" s="21">
        <f t="shared" si="2"/>
        <v>0</v>
      </c>
      <c r="U6" s="21">
        <v>10</v>
      </c>
      <c r="V6" s="78">
        <f t="shared" ref="V6:V23" si="3">+U6-T6+O6+P6</f>
        <v>10</v>
      </c>
      <c r="W6" s="140"/>
      <c r="X6" s="334"/>
      <c r="Y6" s="5"/>
      <c r="AC6">
        <v>3</v>
      </c>
      <c r="AD6" s="16" t="s">
        <v>163</v>
      </c>
      <c r="AE6" s="60">
        <f>+AC6*5</f>
        <v>15</v>
      </c>
      <c r="AG6">
        <v>12</v>
      </c>
      <c r="AH6" s="16" t="s">
        <v>163</v>
      </c>
      <c r="AI6" s="60">
        <f>+AG6*5</f>
        <v>60</v>
      </c>
      <c r="AK6" s="16"/>
      <c r="AL6" s="16"/>
      <c r="AN6" s="16" t="s">
        <v>163</v>
      </c>
      <c r="AO6" s="60">
        <f>+AM6*5</f>
        <v>0</v>
      </c>
    </row>
    <row r="7" spans="1:41" x14ac:dyDescent="0.25">
      <c r="A7" s="143">
        <v>3</v>
      </c>
      <c r="B7" s="92">
        <v>45286</v>
      </c>
      <c r="C7" s="23">
        <v>11.458333333333334</v>
      </c>
      <c r="D7" s="31" t="s">
        <v>921</v>
      </c>
      <c r="E7" s="32">
        <v>5625982564</v>
      </c>
      <c r="F7" s="32" t="s">
        <v>2939</v>
      </c>
      <c r="G7" s="32" t="s">
        <v>1651</v>
      </c>
      <c r="H7" s="39" t="s">
        <v>3681</v>
      </c>
      <c r="I7" s="122"/>
      <c r="J7" s="32">
        <v>218</v>
      </c>
      <c r="K7" s="20">
        <v>10</v>
      </c>
      <c r="L7" s="21"/>
      <c r="M7" s="21">
        <f t="shared" si="0"/>
        <v>228</v>
      </c>
      <c r="N7" s="21">
        <f t="shared" si="1"/>
        <v>-228</v>
      </c>
      <c r="O7" s="21"/>
      <c r="P7" s="21"/>
      <c r="Q7" s="5"/>
      <c r="R7" s="21">
        <v>1000</v>
      </c>
      <c r="S7" s="16"/>
      <c r="T7" s="21">
        <f t="shared" si="2"/>
        <v>1000</v>
      </c>
      <c r="U7" s="21">
        <v>1010</v>
      </c>
      <c r="V7" s="78">
        <f t="shared" si="3"/>
        <v>10</v>
      </c>
      <c r="W7" s="140"/>
      <c r="X7" s="334"/>
      <c r="Y7" s="5"/>
      <c r="AA7" t="s">
        <v>3692</v>
      </c>
      <c r="AC7">
        <v>1</v>
      </c>
      <c r="AD7" s="16" t="s">
        <v>164</v>
      </c>
      <c r="AE7" s="18">
        <f>+AC7*200</f>
        <v>200</v>
      </c>
      <c r="AG7">
        <v>1</v>
      </c>
      <c r="AH7" s="16" t="s">
        <v>164</v>
      </c>
      <c r="AI7" s="18">
        <f>+AG7*200</f>
        <v>200</v>
      </c>
      <c r="AK7" s="16"/>
      <c r="AL7" s="16"/>
      <c r="AN7" s="16" t="s">
        <v>164</v>
      </c>
      <c r="AO7" s="18">
        <f>+AM7*200</f>
        <v>0</v>
      </c>
    </row>
    <row r="8" spans="1:41" x14ac:dyDescent="0.25">
      <c r="A8" s="143">
        <v>4</v>
      </c>
      <c r="B8" s="92">
        <v>45286</v>
      </c>
      <c r="C8" s="23">
        <v>0.51388888888888895</v>
      </c>
      <c r="D8" s="31" t="s">
        <v>3031</v>
      </c>
      <c r="E8" s="32">
        <v>5568676408</v>
      </c>
      <c r="F8" s="32" t="s">
        <v>1806</v>
      </c>
      <c r="G8" s="32" t="s">
        <v>2653</v>
      </c>
      <c r="H8" s="39" t="s">
        <v>632</v>
      </c>
      <c r="I8" s="122"/>
      <c r="J8" s="32">
        <v>128</v>
      </c>
      <c r="K8" s="20">
        <v>10</v>
      </c>
      <c r="L8" s="21">
        <v>20</v>
      </c>
      <c r="M8" s="21">
        <f t="shared" si="0"/>
        <v>138</v>
      </c>
      <c r="N8" s="21">
        <f t="shared" si="1"/>
        <v>-138</v>
      </c>
      <c r="O8" s="21">
        <v>145</v>
      </c>
      <c r="P8" s="21"/>
      <c r="Q8" s="5"/>
      <c r="R8" s="21">
        <v>200</v>
      </c>
      <c r="S8" s="16"/>
      <c r="T8" s="21">
        <f t="shared" si="2"/>
        <v>200</v>
      </c>
      <c r="U8" s="21">
        <v>25</v>
      </c>
      <c r="V8" s="78">
        <f t="shared" si="3"/>
        <v>-30</v>
      </c>
      <c r="W8" s="140"/>
      <c r="X8" s="334"/>
      <c r="Y8" s="5"/>
      <c r="AC8">
        <v>1</v>
      </c>
      <c r="AD8" s="16" t="s">
        <v>165</v>
      </c>
      <c r="AE8" s="18">
        <f>+AC8*100</f>
        <v>100</v>
      </c>
      <c r="AG8">
        <v>1</v>
      </c>
      <c r="AH8" s="16" t="s">
        <v>165</v>
      </c>
      <c r="AI8" s="18">
        <f>+AG8*100</f>
        <v>100</v>
      </c>
      <c r="AK8" s="16"/>
      <c r="AL8" s="16"/>
      <c r="AN8" s="16" t="s">
        <v>165</v>
      </c>
      <c r="AO8" s="18">
        <f>+AM8*100</f>
        <v>0</v>
      </c>
    </row>
    <row r="9" spans="1:41" x14ac:dyDescent="0.25">
      <c r="A9" s="143">
        <v>5</v>
      </c>
      <c r="B9" s="92">
        <v>45286</v>
      </c>
      <c r="C9" s="23">
        <v>0.51458333333333328</v>
      </c>
      <c r="D9" s="31" t="s">
        <v>1806</v>
      </c>
      <c r="E9" s="32">
        <v>5529303704</v>
      </c>
      <c r="F9" s="32" t="s">
        <v>3683</v>
      </c>
      <c r="G9" s="32" t="s">
        <v>1806</v>
      </c>
      <c r="H9" s="32" t="s">
        <v>3684</v>
      </c>
      <c r="I9" s="122">
        <v>590</v>
      </c>
      <c r="J9" s="32">
        <v>550</v>
      </c>
      <c r="K9" s="20">
        <v>40</v>
      </c>
      <c r="L9" s="21">
        <v>20</v>
      </c>
      <c r="M9" s="21">
        <f t="shared" si="0"/>
        <v>590</v>
      </c>
      <c r="N9" s="21">
        <f t="shared" si="1"/>
        <v>0</v>
      </c>
      <c r="O9" s="21"/>
      <c r="P9" s="21"/>
      <c r="Q9" s="5"/>
      <c r="R9" s="16"/>
      <c r="S9" s="16"/>
      <c r="T9" s="21">
        <f t="shared" si="2"/>
        <v>0</v>
      </c>
      <c r="U9" s="21"/>
      <c r="V9" s="78">
        <f t="shared" si="3"/>
        <v>0</v>
      </c>
      <c r="W9" s="140"/>
      <c r="X9" s="334"/>
      <c r="Y9" s="5"/>
      <c r="AC9">
        <v>1</v>
      </c>
      <c r="AD9" s="16" t="s">
        <v>166</v>
      </c>
      <c r="AE9" s="18">
        <f>+AC9*50</f>
        <v>50</v>
      </c>
      <c r="AH9" s="16" t="s">
        <v>166</v>
      </c>
      <c r="AI9" s="18">
        <f>+AG9*50</f>
        <v>0</v>
      </c>
      <c r="AK9" s="16"/>
      <c r="AL9" s="16"/>
      <c r="AN9" s="16" t="s">
        <v>166</v>
      </c>
      <c r="AO9" s="18">
        <f>+AM9*50</f>
        <v>0</v>
      </c>
    </row>
    <row r="10" spans="1:41" x14ac:dyDescent="0.25">
      <c r="A10" s="143">
        <v>6</v>
      </c>
      <c r="B10" s="92">
        <v>45286</v>
      </c>
      <c r="C10" s="23">
        <v>9.0972222222222218E-2</v>
      </c>
      <c r="D10" s="31" t="s">
        <v>82</v>
      </c>
      <c r="E10" s="32">
        <v>5624838493</v>
      </c>
      <c r="F10" s="32" t="s">
        <v>788</v>
      </c>
      <c r="G10" s="32" t="s">
        <v>3685</v>
      </c>
      <c r="H10" s="39" t="s">
        <v>3686</v>
      </c>
      <c r="I10" s="39"/>
      <c r="J10" s="42">
        <v>98</v>
      </c>
      <c r="K10" s="20">
        <v>10</v>
      </c>
      <c r="L10" s="21"/>
      <c r="M10" s="21">
        <f t="shared" si="0"/>
        <v>108</v>
      </c>
      <c r="N10" s="21">
        <f t="shared" si="1"/>
        <v>-108</v>
      </c>
      <c r="O10" s="21"/>
      <c r="P10" s="21"/>
      <c r="Q10" s="5"/>
      <c r="R10" s="16"/>
      <c r="S10" s="16"/>
      <c r="T10" s="21">
        <f t="shared" si="2"/>
        <v>0</v>
      </c>
      <c r="U10" s="16"/>
      <c r="V10" s="78">
        <f t="shared" si="3"/>
        <v>0</v>
      </c>
      <c r="W10" s="140"/>
      <c r="X10" s="334"/>
      <c r="Y10" s="5"/>
      <c r="AC10">
        <v>2</v>
      </c>
      <c r="AD10" s="16" t="s">
        <v>167</v>
      </c>
      <c r="AE10" s="18">
        <f>+AC10*20</f>
        <v>40</v>
      </c>
      <c r="AG10">
        <v>1</v>
      </c>
      <c r="AH10" s="16" t="s">
        <v>167</v>
      </c>
      <c r="AI10" s="18">
        <f>+AG10*20</f>
        <v>20</v>
      </c>
      <c r="AK10" s="16"/>
      <c r="AL10" s="16"/>
      <c r="AN10" s="16" t="s">
        <v>167</v>
      </c>
      <c r="AO10" s="18">
        <f>+AM10*20</f>
        <v>0</v>
      </c>
    </row>
    <row r="11" spans="1:41" x14ac:dyDescent="0.25">
      <c r="A11" s="143">
        <v>7</v>
      </c>
      <c r="B11" s="92">
        <v>45286</v>
      </c>
      <c r="C11" s="23">
        <v>0.67291666666666661</v>
      </c>
      <c r="D11" s="31" t="s">
        <v>128</v>
      </c>
      <c r="E11" s="32">
        <v>5530181574</v>
      </c>
      <c r="F11" s="32" t="s">
        <v>3687</v>
      </c>
      <c r="G11" s="32" t="s">
        <v>3688</v>
      </c>
      <c r="H11" s="39" t="s">
        <v>3689</v>
      </c>
      <c r="I11" s="122">
        <v>172</v>
      </c>
      <c r="J11" s="42">
        <v>152</v>
      </c>
      <c r="K11" s="20">
        <v>10</v>
      </c>
      <c r="L11" s="21">
        <v>10</v>
      </c>
      <c r="M11" s="21">
        <f t="shared" si="0"/>
        <v>162</v>
      </c>
      <c r="N11" s="21">
        <f t="shared" si="1"/>
        <v>10</v>
      </c>
      <c r="O11" s="21"/>
      <c r="P11" s="21"/>
      <c r="Q11" s="5"/>
      <c r="R11" s="16"/>
      <c r="S11" s="16"/>
      <c r="T11" s="21">
        <f t="shared" si="2"/>
        <v>0</v>
      </c>
      <c r="U11" s="16"/>
      <c r="V11" s="78">
        <f t="shared" si="3"/>
        <v>0</v>
      </c>
      <c r="W11" s="140"/>
      <c r="X11" s="334"/>
      <c r="Y11" s="5"/>
      <c r="AC11">
        <v>1</v>
      </c>
      <c r="AD11" s="16" t="s">
        <v>171</v>
      </c>
      <c r="AE11" s="18">
        <f>+AC11*500</f>
        <v>500</v>
      </c>
      <c r="AH11" s="16" t="s">
        <v>171</v>
      </c>
      <c r="AI11" s="18">
        <f>+AG11*500</f>
        <v>0</v>
      </c>
      <c r="AK11" s="16"/>
      <c r="AL11" s="16"/>
      <c r="AN11" s="16" t="s">
        <v>171</v>
      </c>
      <c r="AO11" s="18">
        <f>+AM11*500</f>
        <v>0</v>
      </c>
    </row>
    <row r="12" spans="1:41" x14ac:dyDescent="0.25">
      <c r="A12" s="143">
        <v>8</v>
      </c>
      <c r="B12" s="92">
        <v>45286</v>
      </c>
      <c r="C12" s="23">
        <v>0.67291666666666661</v>
      </c>
      <c r="D12" s="31" t="s">
        <v>128</v>
      </c>
      <c r="E12" s="32">
        <v>5530181574</v>
      </c>
      <c r="F12" s="123" t="s">
        <v>38</v>
      </c>
      <c r="G12" s="32" t="s">
        <v>3688</v>
      </c>
      <c r="H12" s="39" t="s">
        <v>3690</v>
      </c>
      <c r="I12" s="122">
        <v>64</v>
      </c>
      <c r="J12" s="32">
        <v>54</v>
      </c>
      <c r="K12" s="20">
        <v>10</v>
      </c>
      <c r="L12" s="21"/>
      <c r="M12" s="21">
        <f t="shared" si="0"/>
        <v>64</v>
      </c>
      <c r="N12" s="21">
        <f t="shared" si="1"/>
        <v>0</v>
      </c>
      <c r="O12" s="21"/>
      <c r="P12" s="21"/>
      <c r="Q12" s="5"/>
      <c r="R12" s="16"/>
      <c r="S12" s="16"/>
      <c r="T12" s="21">
        <f t="shared" si="2"/>
        <v>0</v>
      </c>
      <c r="U12" s="16"/>
      <c r="V12" s="78">
        <f t="shared" si="3"/>
        <v>0</v>
      </c>
      <c r="W12" s="140"/>
      <c r="X12" s="334"/>
      <c r="Y12" s="5"/>
      <c r="AD12" s="16" t="s">
        <v>168</v>
      </c>
      <c r="AE12" s="18">
        <f>+AC12*1000</f>
        <v>0</v>
      </c>
      <c r="AH12" s="16" t="s">
        <v>168</v>
      </c>
      <c r="AI12" s="18">
        <f>+AG12*1000</f>
        <v>0</v>
      </c>
      <c r="AK12" s="16"/>
      <c r="AL12" s="16"/>
      <c r="AN12" s="16" t="s">
        <v>168</v>
      </c>
      <c r="AO12" s="18">
        <f>+AM12*1000</f>
        <v>0</v>
      </c>
    </row>
    <row r="13" spans="1:41" x14ac:dyDescent="0.25">
      <c r="A13" s="143">
        <v>9</v>
      </c>
      <c r="B13" s="92">
        <v>45286</v>
      </c>
      <c r="C13" s="23">
        <v>0.1875</v>
      </c>
      <c r="D13" s="31" t="s">
        <v>627</v>
      </c>
      <c r="E13" s="32">
        <v>5537803548</v>
      </c>
      <c r="F13" s="32" t="s">
        <v>52</v>
      </c>
      <c r="G13" s="32" t="s">
        <v>3241</v>
      </c>
      <c r="H13" s="39" t="s">
        <v>3691</v>
      </c>
      <c r="I13" s="39">
        <v>306</v>
      </c>
      <c r="J13" s="40">
        <v>286</v>
      </c>
      <c r="K13" s="20">
        <v>10</v>
      </c>
      <c r="L13" s="21">
        <v>10</v>
      </c>
      <c r="M13" s="21">
        <f t="shared" si="0"/>
        <v>296</v>
      </c>
      <c r="N13" s="21">
        <v>0</v>
      </c>
      <c r="O13" s="21">
        <v>306</v>
      </c>
      <c r="P13" s="21"/>
      <c r="Q13" s="5"/>
      <c r="R13" s="16">
        <v>500</v>
      </c>
      <c r="S13" s="16"/>
      <c r="T13" s="21">
        <f t="shared" si="2"/>
        <v>500</v>
      </c>
      <c r="U13" s="16">
        <v>520</v>
      </c>
      <c r="V13" s="78">
        <f t="shared" si="3"/>
        <v>326</v>
      </c>
      <c r="W13" s="140"/>
      <c r="X13" s="334"/>
      <c r="Y13" s="5"/>
      <c r="AD13" s="26"/>
      <c r="AE13" s="58"/>
      <c r="AH13" s="26"/>
      <c r="AI13" s="58"/>
      <c r="AK13" s="16"/>
      <c r="AL13" s="16"/>
      <c r="AN13" s="26"/>
      <c r="AO13" s="58"/>
    </row>
    <row r="14" spans="1:41" x14ac:dyDescent="0.25">
      <c r="A14" s="143">
        <v>10</v>
      </c>
      <c r="B14" s="92">
        <v>45286</v>
      </c>
      <c r="C14" s="23">
        <v>0.20833333333333334</v>
      </c>
      <c r="D14" s="31" t="s">
        <v>368</v>
      </c>
      <c r="E14" s="32">
        <v>5618718638</v>
      </c>
      <c r="F14" s="123" t="s">
        <v>3693</v>
      </c>
      <c r="G14" s="32" t="s">
        <v>3694</v>
      </c>
      <c r="H14" s="39" t="s">
        <v>3695</v>
      </c>
      <c r="I14" s="122">
        <v>160</v>
      </c>
      <c r="J14" s="42">
        <v>104</v>
      </c>
      <c r="K14" s="20">
        <v>20</v>
      </c>
      <c r="L14" s="21">
        <v>36</v>
      </c>
      <c r="M14" s="21">
        <f t="shared" si="0"/>
        <v>124</v>
      </c>
      <c r="N14" s="21">
        <v>0</v>
      </c>
      <c r="O14" s="21"/>
      <c r="P14" s="21"/>
      <c r="Q14" s="5"/>
      <c r="R14" s="16"/>
      <c r="S14" s="16"/>
      <c r="T14" s="21">
        <f t="shared" si="2"/>
        <v>0</v>
      </c>
      <c r="U14" s="16"/>
      <c r="V14" s="78">
        <f t="shared" si="3"/>
        <v>0</v>
      </c>
      <c r="W14" s="140"/>
      <c r="X14" s="334"/>
      <c r="Y14" s="5"/>
      <c r="AD14" s="16" t="s">
        <v>169</v>
      </c>
      <c r="AE14" s="18">
        <f>SUM(AE4:AE13)</f>
        <v>951</v>
      </c>
      <c r="AH14" s="16" t="s">
        <v>169</v>
      </c>
      <c r="AI14" s="18">
        <f>SUM(AI4:AI13)</f>
        <v>455</v>
      </c>
      <c r="AK14" s="16"/>
      <c r="AL14" s="16"/>
      <c r="AN14" s="16" t="s">
        <v>169</v>
      </c>
      <c r="AO14" s="18"/>
    </row>
    <row r="15" spans="1:41" x14ac:dyDescent="0.25">
      <c r="A15" s="143">
        <v>11</v>
      </c>
      <c r="B15" s="92">
        <v>45286</v>
      </c>
      <c r="C15" s="23">
        <v>0.22222222222222221</v>
      </c>
      <c r="D15" s="31" t="s">
        <v>24</v>
      </c>
      <c r="E15" s="124">
        <v>5562236073</v>
      </c>
      <c r="F15" s="123" t="s">
        <v>52</v>
      </c>
      <c r="G15" s="123" t="s">
        <v>26</v>
      </c>
      <c r="H15" s="39" t="s">
        <v>3696</v>
      </c>
      <c r="I15" s="122">
        <v>189</v>
      </c>
      <c r="J15" s="42">
        <v>169</v>
      </c>
      <c r="K15" s="20">
        <v>10</v>
      </c>
      <c r="L15" s="21">
        <v>10</v>
      </c>
      <c r="M15" s="21">
        <f t="shared" si="0"/>
        <v>179</v>
      </c>
      <c r="N15" s="21">
        <v>0</v>
      </c>
      <c r="O15" s="21">
        <v>189</v>
      </c>
      <c r="P15" s="21"/>
      <c r="Q15" s="5"/>
      <c r="R15" s="16"/>
      <c r="S15" s="16"/>
      <c r="T15" s="21">
        <f t="shared" si="2"/>
        <v>0</v>
      </c>
      <c r="U15" s="16"/>
      <c r="V15" s="78">
        <f t="shared" si="3"/>
        <v>189</v>
      </c>
      <c r="W15" s="140"/>
      <c r="X15" s="334"/>
      <c r="Y15" s="5"/>
      <c r="AE15">
        <v>86</v>
      </c>
      <c r="AK15" s="16"/>
      <c r="AL15" s="16"/>
      <c r="AN15" s="16"/>
      <c r="AO15" s="16"/>
    </row>
    <row r="16" spans="1:41" x14ac:dyDescent="0.25">
      <c r="A16" s="143">
        <v>12</v>
      </c>
      <c r="B16" s="92">
        <v>45286</v>
      </c>
      <c r="C16" s="23">
        <v>0.38194444444444442</v>
      </c>
      <c r="D16" s="32" t="s">
        <v>319</v>
      </c>
      <c r="E16" s="32">
        <v>5563345739</v>
      </c>
      <c r="F16" s="124" t="s">
        <v>3697</v>
      </c>
      <c r="G16" s="123" t="s">
        <v>61</v>
      </c>
      <c r="H16" s="39" t="s">
        <v>3698</v>
      </c>
      <c r="I16" s="39">
        <v>310</v>
      </c>
      <c r="J16" s="42">
        <v>290</v>
      </c>
      <c r="K16" s="20">
        <v>20</v>
      </c>
      <c r="L16" s="21"/>
      <c r="M16" s="21">
        <f t="shared" si="0"/>
        <v>310</v>
      </c>
      <c r="N16" s="21">
        <f t="shared" si="1"/>
        <v>0</v>
      </c>
      <c r="O16" s="21"/>
      <c r="P16" s="21"/>
      <c r="Q16" s="5"/>
      <c r="R16" s="45"/>
      <c r="S16" s="44"/>
      <c r="T16" s="21">
        <f t="shared" si="2"/>
        <v>0</v>
      </c>
      <c r="U16" s="45"/>
      <c r="V16" s="78">
        <f t="shared" si="3"/>
        <v>0</v>
      </c>
      <c r="W16" s="140"/>
      <c r="X16" s="334"/>
      <c r="Y16" s="5"/>
      <c r="AK16" s="63" t="s">
        <v>169</v>
      </c>
      <c r="AL16" s="63">
        <f>+SUM(AK5:AK15)-SUM(AL5:AL15)</f>
        <v>0</v>
      </c>
      <c r="AN16" s="63" t="s">
        <v>169</v>
      </c>
      <c r="AO16" s="85">
        <f>+SUM(AN4:AN15)-SUM(AO5:AO15)</f>
        <v>0</v>
      </c>
    </row>
    <row r="17" spans="1:40" x14ac:dyDescent="0.25">
      <c r="A17" s="143">
        <v>13</v>
      </c>
      <c r="B17" s="92">
        <v>45286</v>
      </c>
      <c r="C17" s="23"/>
      <c r="D17" s="31"/>
      <c r="E17" s="32"/>
      <c r="F17" s="32"/>
      <c r="G17" s="32"/>
      <c r="H17" s="39"/>
      <c r="I17" s="39"/>
      <c r="J17" s="42"/>
      <c r="K17" s="108">
        <v>10</v>
      </c>
      <c r="L17" s="21"/>
      <c r="M17" s="21">
        <f t="shared" si="0"/>
        <v>10</v>
      </c>
      <c r="N17" s="21">
        <f t="shared" si="1"/>
        <v>-10</v>
      </c>
      <c r="O17" s="21"/>
      <c r="P17" s="21"/>
      <c r="Q17" s="5"/>
      <c r="R17" s="43"/>
      <c r="S17" s="32"/>
      <c r="T17" s="21">
        <f t="shared" si="2"/>
        <v>0</v>
      </c>
      <c r="U17" s="43"/>
      <c r="V17" s="78">
        <f t="shared" si="3"/>
        <v>0</v>
      </c>
      <c r="W17" s="140"/>
      <c r="X17" s="334"/>
      <c r="Y17" s="5"/>
      <c r="AI17" s="83"/>
    </row>
    <row r="18" spans="1:40" x14ac:dyDescent="0.25">
      <c r="A18" s="143">
        <v>14</v>
      </c>
      <c r="B18" s="92">
        <v>45286</v>
      </c>
      <c r="C18" s="23"/>
      <c r="D18" s="31"/>
      <c r="E18" s="32"/>
      <c r="F18" s="32"/>
      <c r="G18" s="32"/>
      <c r="H18" s="39"/>
      <c r="I18" s="39"/>
      <c r="J18" s="42"/>
      <c r="K18" s="108">
        <v>10</v>
      </c>
      <c r="L18" s="21"/>
      <c r="M18" s="21">
        <f t="shared" si="0"/>
        <v>10</v>
      </c>
      <c r="N18" s="21">
        <f t="shared" si="1"/>
        <v>-10</v>
      </c>
      <c r="O18" s="21"/>
      <c r="P18" s="21"/>
      <c r="Q18" s="5"/>
      <c r="R18" s="43"/>
      <c r="S18" s="43"/>
      <c r="T18" s="21">
        <f t="shared" si="2"/>
        <v>0</v>
      </c>
      <c r="U18" s="43"/>
      <c r="V18" s="78">
        <f t="shared" si="3"/>
        <v>0</v>
      </c>
      <c r="W18" s="140"/>
      <c r="X18" s="334"/>
      <c r="Y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40" x14ac:dyDescent="0.25">
      <c r="A19" s="143">
        <v>15</v>
      </c>
      <c r="B19" s="92">
        <v>45286</v>
      </c>
      <c r="C19" s="23"/>
      <c r="D19" s="127"/>
      <c r="E19" s="32"/>
      <c r="F19" s="32"/>
      <c r="G19" s="128"/>
      <c r="H19" s="129"/>
      <c r="I19" s="39"/>
      <c r="J19" s="42"/>
      <c r="K19" s="108">
        <v>10</v>
      </c>
      <c r="L19" s="21"/>
      <c r="M19" s="21">
        <f t="shared" si="0"/>
        <v>10</v>
      </c>
      <c r="N19" s="21">
        <f t="shared" si="1"/>
        <v>-10</v>
      </c>
      <c r="O19" s="21"/>
      <c r="P19" s="21"/>
      <c r="Q19" s="5"/>
      <c r="R19" s="43"/>
      <c r="S19" s="43"/>
      <c r="T19" s="21">
        <f t="shared" si="2"/>
        <v>0</v>
      </c>
      <c r="U19" s="43"/>
      <c r="V19" s="78">
        <f t="shared" si="3"/>
        <v>0</v>
      </c>
      <c r="W19" s="140"/>
      <c r="X19" s="334"/>
      <c r="Y19" s="5"/>
      <c r="AD19" s="5"/>
      <c r="AE19" s="134" t="s">
        <v>20</v>
      </c>
      <c r="AF19" s="338"/>
      <c r="AG19" s="341" t="s">
        <v>686</v>
      </c>
      <c r="AH19" s="134" t="s">
        <v>20</v>
      </c>
      <c r="AI19" s="338"/>
      <c r="AJ19" s="341" t="s">
        <v>687</v>
      </c>
      <c r="AK19" s="134" t="s">
        <v>20</v>
      </c>
      <c r="AL19" s="338"/>
      <c r="AM19" s="5"/>
    </row>
    <row r="20" spans="1:40" x14ac:dyDescent="0.25">
      <c r="A20" s="143">
        <v>16</v>
      </c>
      <c r="B20" s="92">
        <v>45286</v>
      </c>
      <c r="C20" s="23"/>
      <c r="D20" s="31"/>
      <c r="E20" s="32"/>
      <c r="F20" s="32"/>
      <c r="G20" s="32"/>
      <c r="H20" s="39"/>
      <c r="I20" s="39"/>
      <c r="J20" s="42"/>
      <c r="K20" s="43">
        <v>10</v>
      </c>
      <c r="L20" s="21"/>
      <c r="M20" s="21">
        <f t="shared" si="0"/>
        <v>10</v>
      </c>
      <c r="N20" s="21">
        <f t="shared" si="1"/>
        <v>-10</v>
      </c>
      <c r="O20" s="21"/>
      <c r="P20" s="21"/>
      <c r="Q20" s="5"/>
      <c r="R20" s="43"/>
      <c r="S20" s="32"/>
      <c r="T20" s="21">
        <f t="shared" si="2"/>
        <v>0</v>
      </c>
      <c r="U20" s="131"/>
      <c r="V20" s="78">
        <f t="shared" si="3"/>
        <v>0</v>
      </c>
      <c r="W20" s="140"/>
      <c r="X20" s="334"/>
      <c r="Y20" s="5"/>
      <c r="AD20" s="5" t="s">
        <v>685</v>
      </c>
      <c r="AE20" s="115" t="s">
        <v>684</v>
      </c>
      <c r="AF20" s="339"/>
      <c r="AG20" s="341"/>
      <c r="AH20" s="115" t="s">
        <v>684</v>
      </c>
      <c r="AI20" s="339"/>
      <c r="AJ20" s="341"/>
      <c r="AK20" s="115" t="s">
        <v>684</v>
      </c>
      <c r="AL20" s="339"/>
      <c r="AM20" s="5"/>
    </row>
    <row r="21" spans="1:40" x14ac:dyDescent="0.25">
      <c r="A21" s="143">
        <v>17</v>
      </c>
      <c r="B21" s="92">
        <v>45286</v>
      </c>
      <c r="C21" s="23"/>
      <c r="D21" s="31"/>
      <c r="E21" s="32"/>
      <c r="F21" s="32"/>
      <c r="G21" s="32"/>
      <c r="H21" s="39"/>
      <c r="I21" s="39"/>
      <c r="J21" s="42"/>
      <c r="K21" s="43">
        <v>10</v>
      </c>
      <c r="L21" s="21"/>
      <c r="M21" s="21">
        <f t="shared" si="0"/>
        <v>10</v>
      </c>
      <c r="N21" s="21">
        <f t="shared" si="1"/>
        <v>-10</v>
      </c>
      <c r="O21" s="21"/>
      <c r="P21" s="21"/>
      <c r="Q21" s="5"/>
      <c r="R21" s="43"/>
      <c r="S21" s="32"/>
      <c r="T21" s="21">
        <f t="shared" si="2"/>
        <v>0</v>
      </c>
      <c r="U21" s="132"/>
      <c r="V21" s="78">
        <f t="shared" si="3"/>
        <v>0</v>
      </c>
      <c r="W21" s="140"/>
      <c r="X21" s="340"/>
      <c r="Y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40" x14ac:dyDescent="0.25">
      <c r="A22" s="143">
        <v>18</v>
      </c>
      <c r="B22" s="92">
        <v>45286</v>
      </c>
      <c r="C22" s="32"/>
      <c r="D22" s="31"/>
      <c r="E22" s="32"/>
      <c r="F22" s="32"/>
      <c r="G22" s="32"/>
      <c r="H22" s="39"/>
      <c r="I22" s="39"/>
      <c r="J22" s="42"/>
      <c r="K22" s="43">
        <v>10</v>
      </c>
      <c r="L22" s="21"/>
      <c r="M22" s="21">
        <f t="shared" si="0"/>
        <v>10</v>
      </c>
      <c r="N22" s="21">
        <f t="shared" si="1"/>
        <v>-10</v>
      </c>
      <c r="O22" s="21"/>
      <c r="P22" s="21"/>
      <c r="Q22" s="5"/>
      <c r="R22" s="135"/>
      <c r="S22" s="104"/>
      <c r="T22" s="21">
        <f t="shared" si="2"/>
        <v>0</v>
      </c>
      <c r="U22" s="131"/>
      <c r="V22" s="78">
        <f t="shared" si="3"/>
        <v>0</v>
      </c>
      <c r="W22" s="140"/>
      <c r="Y22" s="5"/>
    </row>
    <row r="23" spans="1:40" x14ac:dyDescent="0.25">
      <c r="A23" s="143">
        <v>19</v>
      </c>
      <c r="B23" s="92">
        <v>45286</v>
      </c>
      <c r="C23" s="32"/>
      <c r="D23" s="31"/>
      <c r="E23" s="32"/>
      <c r="F23" s="32"/>
      <c r="G23" s="32"/>
      <c r="H23" s="39"/>
      <c r="I23" s="39"/>
      <c r="J23" s="42"/>
      <c r="K23" s="43">
        <v>10</v>
      </c>
      <c r="L23" s="21"/>
      <c r="M23" s="21">
        <f t="shared" si="0"/>
        <v>10</v>
      </c>
      <c r="N23" s="21">
        <f t="shared" si="1"/>
        <v>-10</v>
      </c>
      <c r="O23" s="21"/>
      <c r="P23" s="21"/>
      <c r="Q23" s="5"/>
      <c r="R23" s="32"/>
      <c r="S23" s="32"/>
      <c r="T23" s="21">
        <f t="shared" si="2"/>
        <v>0</v>
      </c>
      <c r="U23" s="32"/>
      <c r="V23" s="78">
        <f t="shared" si="3"/>
        <v>0</v>
      </c>
      <c r="W23" s="140"/>
      <c r="Y23" s="5"/>
    </row>
    <row r="24" spans="1:4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141"/>
      <c r="X24" s="5"/>
      <c r="Y24" s="5"/>
    </row>
    <row r="27" spans="1:40" x14ac:dyDescent="0.25">
      <c r="I27" s="83"/>
      <c r="L27" s="83"/>
    </row>
    <row r="28" spans="1:40" x14ac:dyDescent="0.25">
      <c r="L28" s="83"/>
      <c r="AL28" s="185"/>
      <c r="AM28" s="185"/>
      <c r="AN28" s="185"/>
    </row>
    <row r="29" spans="1:40" ht="30" x14ac:dyDescent="0.25">
      <c r="A29" s="1" t="s">
        <v>0</v>
      </c>
      <c r="B29" s="1"/>
      <c r="C29" s="1"/>
      <c r="D29" s="1"/>
      <c r="E29" s="1"/>
      <c r="F29" s="1"/>
      <c r="G29" s="1"/>
      <c r="H29" s="1"/>
      <c r="I29" s="1"/>
      <c r="J29" s="1" t="s">
        <v>148</v>
      </c>
      <c r="K29" s="1"/>
      <c r="L29" s="1"/>
      <c r="M29" s="1"/>
      <c r="N29" s="1"/>
      <c r="O29" s="363" t="s">
        <v>3679</v>
      </c>
      <c r="P29" s="363"/>
      <c r="Q29" s="1"/>
      <c r="R29" s="1"/>
      <c r="S29" s="1"/>
      <c r="T29" s="1"/>
      <c r="U29" s="5"/>
      <c r="V29" s="5"/>
      <c r="W29" s="295" t="s">
        <v>1</v>
      </c>
      <c r="X29" s="139"/>
      <c r="Y29" s="1"/>
      <c r="Z29" s="5"/>
      <c r="AE29" s="335" t="s">
        <v>160</v>
      </c>
      <c r="AF29" s="336"/>
      <c r="AI29" s="335" t="s">
        <v>170</v>
      </c>
      <c r="AJ29" s="336"/>
      <c r="AL29" s="361"/>
      <c r="AM29" s="361"/>
      <c r="AN29" s="185"/>
    </row>
    <row r="30" spans="1:40" ht="90" x14ac:dyDescent="0.25">
      <c r="A30" s="6" t="s">
        <v>2</v>
      </c>
      <c r="B30" s="7" t="s">
        <v>3</v>
      </c>
      <c r="C30" s="245" t="s">
        <v>3675</v>
      </c>
      <c r="D30" s="7" t="s">
        <v>4</v>
      </c>
      <c r="E30" s="6" t="s">
        <v>5</v>
      </c>
      <c r="F30" s="6" t="s">
        <v>6</v>
      </c>
      <c r="G30" s="6" t="s">
        <v>7</v>
      </c>
      <c r="H30" s="6" t="s">
        <v>8</v>
      </c>
      <c r="I30" s="8" t="s">
        <v>9</v>
      </c>
      <c r="J30" s="8" t="s">
        <v>10</v>
      </c>
      <c r="K30" s="8" t="s">
        <v>11</v>
      </c>
      <c r="L30" s="76" t="s">
        <v>12</v>
      </c>
      <c r="M30" s="76" t="s">
        <v>13</v>
      </c>
      <c r="N30" s="15" t="s">
        <v>14</v>
      </c>
      <c r="O30" s="15" t="s">
        <v>173</v>
      </c>
      <c r="P30" s="15" t="s">
        <v>174</v>
      </c>
      <c r="Q30" s="76" t="s">
        <v>28</v>
      </c>
      <c r="R30" s="5"/>
      <c r="S30" s="76" t="s">
        <v>16</v>
      </c>
      <c r="T30" s="76" t="s">
        <v>17</v>
      </c>
      <c r="U30" s="76" t="s">
        <v>18</v>
      </c>
      <c r="V30" s="76" t="s">
        <v>19</v>
      </c>
      <c r="W30" s="76" t="s">
        <v>20</v>
      </c>
      <c r="X30" s="13"/>
      <c r="Y30" s="15" t="s">
        <v>23</v>
      </c>
      <c r="Z30" s="5"/>
      <c r="AB30" s="251" t="s">
        <v>2554</v>
      </c>
      <c r="AD30">
        <v>2</v>
      </c>
      <c r="AE30" s="16" t="s">
        <v>161</v>
      </c>
      <c r="AF30" s="58">
        <f>+AD30*10</f>
        <v>20</v>
      </c>
      <c r="AH30">
        <v>12</v>
      </c>
      <c r="AI30" s="16" t="s">
        <v>161</v>
      </c>
      <c r="AJ30" s="58">
        <f>+AH30*10</f>
        <v>120</v>
      </c>
      <c r="AL30" s="185"/>
      <c r="AM30" s="185"/>
      <c r="AN30" s="185"/>
    </row>
    <row r="31" spans="1:40" x14ac:dyDescent="0.25">
      <c r="A31" s="16">
        <v>1</v>
      </c>
      <c r="B31" s="92">
        <v>45287</v>
      </c>
      <c r="C31" s="23">
        <v>0.41597222222222219</v>
      </c>
      <c r="D31" s="31" t="s">
        <v>37</v>
      </c>
      <c r="E31" s="32">
        <v>5554180418</v>
      </c>
      <c r="F31" s="32" t="s">
        <v>3699</v>
      </c>
      <c r="G31" s="39" t="s">
        <v>1004</v>
      </c>
      <c r="H31" s="39" t="s">
        <v>3700</v>
      </c>
      <c r="I31" s="122">
        <v>200</v>
      </c>
      <c r="J31" s="32">
        <v>88</v>
      </c>
      <c r="K31" s="20">
        <v>10</v>
      </c>
      <c r="L31" s="50">
        <v>17</v>
      </c>
      <c r="M31" s="50">
        <f t="shared" ref="M31:M49" si="4">+J31+K31</f>
        <v>98</v>
      </c>
      <c r="N31" s="50">
        <f t="shared" ref="N31:N49" si="5">+I31-M31</f>
        <v>102</v>
      </c>
      <c r="O31" s="29"/>
      <c r="P31" s="29"/>
      <c r="Q31" s="50"/>
      <c r="R31" s="5"/>
      <c r="S31" s="50">
        <v>200</v>
      </c>
      <c r="T31" s="29"/>
      <c r="U31" s="50">
        <f t="shared" ref="U31:U49" si="6">+S31+T31</f>
        <v>200</v>
      </c>
      <c r="V31" s="50">
        <v>227</v>
      </c>
      <c r="W31" s="294">
        <f t="shared" ref="W31:W49" si="7">+V31-U31+O31+Q31</f>
        <v>27</v>
      </c>
      <c r="X31" s="13"/>
      <c r="Y31" s="333"/>
      <c r="Z31" s="5"/>
      <c r="AB31" t="s">
        <v>3716</v>
      </c>
      <c r="AD31">
        <v>45</v>
      </c>
      <c r="AE31" s="59" t="s">
        <v>162</v>
      </c>
      <c r="AF31" s="18">
        <f>+AD31*1</f>
        <v>45</v>
      </c>
      <c r="AH31">
        <v>63</v>
      </c>
      <c r="AI31" s="59" t="s">
        <v>162</v>
      </c>
      <c r="AJ31" s="18">
        <f>+AH31*1</f>
        <v>63</v>
      </c>
      <c r="AL31" s="185"/>
      <c r="AM31" s="185"/>
      <c r="AN31" s="185"/>
    </row>
    <row r="32" spans="1:40" x14ac:dyDescent="0.25">
      <c r="A32" s="26">
        <v>2</v>
      </c>
      <c r="B32" s="92">
        <v>45287</v>
      </c>
      <c r="C32" s="23">
        <v>0.51736111111111105</v>
      </c>
      <c r="D32" s="31" t="s">
        <v>24</v>
      </c>
      <c r="E32" s="32">
        <v>5562236073</v>
      </c>
      <c r="F32" s="32" t="s">
        <v>3701</v>
      </c>
      <c r="G32" s="32" t="s">
        <v>3346</v>
      </c>
      <c r="H32" s="39" t="s">
        <v>3702</v>
      </c>
      <c r="I32" s="122"/>
      <c r="J32" s="32">
        <v>182</v>
      </c>
      <c r="K32" s="20">
        <v>10</v>
      </c>
      <c r="L32" s="21">
        <v>15</v>
      </c>
      <c r="M32" s="21">
        <f t="shared" si="4"/>
        <v>192</v>
      </c>
      <c r="N32" s="21">
        <f t="shared" si="5"/>
        <v>-192</v>
      </c>
      <c r="O32" s="16"/>
      <c r="P32" s="16"/>
      <c r="Q32" s="21"/>
      <c r="R32" s="5"/>
      <c r="S32" s="21">
        <v>300</v>
      </c>
      <c r="T32" s="16"/>
      <c r="U32" s="21">
        <f t="shared" si="6"/>
        <v>300</v>
      </c>
      <c r="V32" s="21">
        <v>325</v>
      </c>
      <c r="W32" s="78">
        <f t="shared" si="7"/>
        <v>25</v>
      </c>
      <c r="X32" s="140"/>
      <c r="Y32" s="334"/>
      <c r="Z32" s="5"/>
      <c r="AD32">
        <v>2</v>
      </c>
      <c r="AE32" s="16" t="s">
        <v>163</v>
      </c>
      <c r="AF32" s="60">
        <f>+AD32*5</f>
        <v>10</v>
      </c>
      <c r="AH32">
        <v>16</v>
      </c>
      <c r="AI32" s="16" t="s">
        <v>163</v>
      </c>
      <c r="AJ32" s="60">
        <f>+AH32*5</f>
        <v>80</v>
      </c>
      <c r="AL32" s="185"/>
      <c r="AM32" s="185"/>
      <c r="AN32" s="185"/>
    </row>
    <row r="33" spans="1:40" x14ac:dyDescent="0.25">
      <c r="A33" s="143">
        <v>3</v>
      </c>
      <c r="B33" s="92">
        <v>45287</v>
      </c>
      <c r="C33" s="23">
        <v>7.2222222222222229E-2</v>
      </c>
      <c r="D33" s="31" t="s">
        <v>3708</v>
      </c>
      <c r="E33" s="32">
        <v>5511330620</v>
      </c>
      <c r="F33" s="32" t="s">
        <v>922</v>
      </c>
      <c r="G33" s="32" t="s">
        <v>3222</v>
      </c>
      <c r="H33" s="39" t="s">
        <v>3703</v>
      </c>
      <c r="I33" s="122"/>
      <c r="J33" s="32"/>
      <c r="K33" s="20">
        <v>10</v>
      </c>
      <c r="L33" s="21"/>
      <c r="M33" s="21">
        <f t="shared" si="4"/>
        <v>10</v>
      </c>
      <c r="N33" s="21">
        <f t="shared" si="5"/>
        <v>-10</v>
      </c>
      <c r="O33" s="16"/>
      <c r="P33" s="16"/>
      <c r="Q33" s="21"/>
      <c r="R33" s="5"/>
      <c r="S33" s="21">
        <v>300</v>
      </c>
      <c r="T33" s="16"/>
      <c r="U33" s="21">
        <f t="shared" si="6"/>
        <v>300</v>
      </c>
      <c r="V33" s="21">
        <v>325</v>
      </c>
      <c r="W33" s="78">
        <f t="shared" si="7"/>
        <v>25</v>
      </c>
      <c r="X33" s="140"/>
      <c r="Y33" s="334"/>
      <c r="Z33" s="5"/>
      <c r="AE33" s="16" t="s">
        <v>164</v>
      </c>
      <c r="AF33" s="18">
        <f>+AD33*200</f>
        <v>0</v>
      </c>
      <c r="AI33" s="16" t="s">
        <v>164</v>
      </c>
      <c r="AJ33" s="18">
        <f>+AH33*200</f>
        <v>0</v>
      </c>
      <c r="AL33" s="185"/>
      <c r="AM33" s="185"/>
      <c r="AN33" s="185"/>
    </row>
    <row r="34" spans="1:40" x14ac:dyDescent="0.25">
      <c r="A34" s="143">
        <v>4</v>
      </c>
      <c r="B34" s="92">
        <v>45287</v>
      </c>
      <c r="C34" s="23">
        <v>0.625</v>
      </c>
      <c r="D34" s="31" t="s">
        <v>2806</v>
      </c>
      <c r="E34" s="32">
        <v>5553181586</v>
      </c>
      <c r="F34" s="32" t="s">
        <v>788</v>
      </c>
      <c r="G34" s="32" t="s">
        <v>2572</v>
      </c>
      <c r="H34" s="39" t="s">
        <v>3704</v>
      </c>
      <c r="I34" s="122"/>
      <c r="J34" s="32">
        <v>266</v>
      </c>
      <c r="K34" s="20">
        <v>10</v>
      </c>
      <c r="L34" s="21">
        <v>24</v>
      </c>
      <c r="M34" s="21">
        <f t="shared" si="4"/>
        <v>276</v>
      </c>
      <c r="N34" s="21">
        <f t="shared" si="5"/>
        <v>-276</v>
      </c>
      <c r="O34" s="16"/>
      <c r="P34" s="16"/>
      <c r="Q34" s="21"/>
      <c r="R34" s="5"/>
      <c r="S34" s="21">
        <v>200</v>
      </c>
      <c r="T34" s="16"/>
      <c r="U34" s="21">
        <f t="shared" si="6"/>
        <v>200</v>
      </c>
      <c r="V34" s="21">
        <v>220</v>
      </c>
      <c r="W34" s="78">
        <f t="shared" si="7"/>
        <v>20</v>
      </c>
      <c r="X34" s="140"/>
      <c r="Y34" s="334"/>
      <c r="Z34" s="5"/>
      <c r="AD34">
        <v>1</v>
      </c>
      <c r="AE34" s="16" t="s">
        <v>165</v>
      </c>
      <c r="AF34" s="18">
        <f>+AD34*100</f>
        <v>100</v>
      </c>
      <c r="AH34">
        <v>1</v>
      </c>
      <c r="AI34" s="16" t="s">
        <v>165</v>
      </c>
      <c r="AJ34" s="18">
        <f>+AH34*100</f>
        <v>100</v>
      </c>
      <c r="AL34" s="185"/>
      <c r="AM34" s="185"/>
      <c r="AN34" s="185"/>
    </row>
    <row r="35" spans="1:40" x14ac:dyDescent="0.25">
      <c r="A35" s="143">
        <v>5</v>
      </c>
      <c r="B35" s="92">
        <v>45287</v>
      </c>
      <c r="C35" s="23">
        <v>0.63888888888888895</v>
      </c>
      <c r="D35" s="31" t="s">
        <v>627</v>
      </c>
      <c r="E35" s="32"/>
      <c r="F35" s="32" t="s">
        <v>799</v>
      </c>
      <c r="G35" s="32" t="s">
        <v>2613</v>
      </c>
      <c r="H35" s="32" t="s">
        <v>3425</v>
      </c>
      <c r="I35" s="122"/>
      <c r="J35" s="32">
        <v>198</v>
      </c>
      <c r="K35" s="20">
        <v>10</v>
      </c>
      <c r="L35" s="21"/>
      <c r="M35" s="21">
        <f t="shared" si="4"/>
        <v>208</v>
      </c>
      <c r="N35" s="21">
        <f t="shared" si="5"/>
        <v>-208</v>
      </c>
      <c r="O35" s="16"/>
      <c r="P35" s="16"/>
      <c r="Q35" s="21"/>
      <c r="R35" s="5"/>
      <c r="S35" s="16">
        <v>350</v>
      </c>
      <c r="T35" s="16"/>
      <c r="U35" s="21">
        <f t="shared" si="6"/>
        <v>350</v>
      </c>
      <c r="V35" s="21">
        <v>360</v>
      </c>
      <c r="W35" s="78">
        <f t="shared" si="7"/>
        <v>10</v>
      </c>
      <c r="X35" s="140"/>
      <c r="Y35" s="334"/>
      <c r="Z35" s="5"/>
      <c r="AD35">
        <v>2</v>
      </c>
      <c r="AE35" s="16" t="s">
        <v>166</v>
      </c>
      <c r="AF35" s="18">
        <f>+AD35*50</f>
        <v>100</v>
      </c>
      <c r="AH35">
        <v>2</v>
      </c>
      <c r="AI35" s="16" t="s">
        <v>166</v>
      </c>
      <c r="AJ35" s="18">
        <f>+AH35*50</f>
        <v>100</v>
      </c>
      <c r="AL35" s="185"/>
      <c r="AM35" s="185"/>
      <c r="AN35" s="185"/>
    </row>
    <row r="36" spans="1:40" x14ac:dyDescent="0.25">
      <c r="A36" s="143">
        <v>6</v>
      </c>
      <c r="B36" s="92">
        <v>45287</v>
      </c>
      <c r="C36" s="23">
        <v>0.64583333333333337</v>
      </c>
      <c r="D36" s="31" t="s">
        <v>3271</v>
      </c>
      <c r="E36" s="32">
        <v>5541902669</v>
      </c>
      <c r="F36" s="32" t="s">
        <v>28</v>
      </c>
      <c r="G36" s="32" t="s">
        <v>3010</v>
      </c>
      <c r="H36" s="39" t="s">
        <v>3705</v>
      </c>
      <c r="I36" s="39">
        <v>200</v>
      </c>
      <c r="J36" s="42">
        <v>147</v>
      </c>
      <c r="K36" s="20">
        <v>10</v>
      </c>
      <c r="L36" s="21">
        <v>2</v>
      </c>
      <c r="M36" s="21">
        <f t="shared" si="4"/>
        <v>157</v>
      </c>
      <c r="N36" s="21">
        <f t="shared" si="5"/>
        <v>43</v>
      </c>
      <c r="O36" s="16"/>
      <c r="P36" s="16"/>
      <c r="Q36" s="21"/>
      <c r="R36" s="5"/>
      <c r="S36" s="16"/>
      <c r="T36" s="16"/>
      <c r="U36" s="21">
        <f t="shared" si="6"/>
        <v>0</v>
      </c>
      <c r="V36" s="16">
        <v>10</v>
      </c>
      <c r="W36" s="78">
        <f t="shared" si="7"/>
        <v>10</v>
      </c>
      <c r="X36" s="140"/>
      <c r="Y36" s="334"/>
      <c r="Z36" s="5"/>
      <c r="AE36" s="16" t="s">
        <v>167</v>
      </c>
      <c r="AF36" s="18">
        <f>+AD36*20</f>
        <v>0</v>
      </c>
      <c r="AH36">
        <v>2</v>
      </c>
      <c r="AI36" s="16" t="s">
        <v>167</v>
      </c>
      <c r="AJ36" s="18">
        <f>+AH36*20</f>
        <v>40</v>
      </c>
      <c r="AL36" s="185"/>
      <c r="AM36" s="185"/>
      <c r="AN36" s="185"/>
    </row>
    <row r="37" spans="1:40" x14ac:dyDescent="0.25">
      <c r="A37" s="143">
        <v>7</v>
      </c>
      <c r="B37" s="92">
        <v>45287</v>
      </c>
      <c r="C37" s="23">
        <v>0.65277777777777779</v>
      </c>
      <c r="D37" s="31" t="s">
        <v>260</v>
      </c>
      <c r="E37" s="32"/>
      <c r="F37" s="32" t="s">
        <v>799</v>
      </c>
      <c r="G37" s="32" t="s">
        <v>3706</v>
      </c>
      <c r="H37" s="39"/>
      <c r="I37" s="122"/>
      <c r="J37" s="42">
        <v>225</v>
      </c>
      <c r="K37" s="20">
        <v>10</v>
      </c>
      <c r="L37" s="21"/>
      <c r="M37" s="21">
        <f t="shared" si="4"/>
        <v>235</v>
      </c>
      <c r="N37" s="21">
        <f t="shared" si="5"/>
        <v>-235</v>
      </c>
      <c r="O37" s="16"/>
      <c r="P37" s="16"/>
      <c r="Q37" s="21"/>
      <c r="R37" s="5"/>
      <c r="S37" s="16"/>
      <c r="T37" s="16"/>
      <c r="U37" s="21">
        <f t="shared" si="6"/>
        <v>0</v>
      </c>
      <c r="V37" s="16">
        <v>10</v>
      </c>
      <c r="W37" s="78">
        <f t="shared" si="7"/>
        <v>10</v>
      </c>
      <c r="X37" s="140"/>
      <c r="Y37" s="334"/>
      <c r="Z37" s="5"/>
      <c r="AD37">
        <v>1</v>
      </c>
      <c r="AE37" s="16" t="s">
        <v>171</v>
      </c>
      <c r="AF37" s="18">
        <f>+AD37*500</f>
        <v>500</v>
      </c>
      <c r="AH37">
        <v>1</v>
      </c>
      <c r="AI37" s="16" t="s">
        <v>171</v>
      </c>
      <c r="AJ37" s="18">
        <f>+AH37*500</f>
        <v>500</v>
      </c>
      <c r="AL37" s="185"/>
      <c r="AM37" s="185"/>
      <c r="AN37" s="185"/>
    </row>
    <row r="38" spans="1:40" x14ac:dyDescent="0.25">
      <c r="A38" s="143">
        <v>8</v>
      </c>
      <c r="B38" s="92">
        <v>45287</v>
      </c>
      <c r="C38" s="23">
        <v>0.65972222222222221</v>
      </c>
      <c r="D38" s="31" t="s">
        <v>3530</v>
      </c>
      <c r="E38" s="123">
        <v>9531286830</v>
      </c>
      <c r="F38" s="123" t="s">
        <v>3709</v>
      </c>
      <c r="G38" s="123" t="s">
        <v>1878</v>
      </c>
      <c r="H38" s="39" t="s">
        <v>3707</v>
      </c>
      <c r="I38" s="122"/>
      <c r="J38" s="32">
        <f>47+21+10</f>
        <v>78</v>
      </c>
      <c r="K38" s="20">
        <v>10</v>
      </c>
      <c r="L38" s="21">
        <v>12</v>
      </c>
      <c r="M38" s="21">
        <f t="shared" si="4"/>
        <v>88</v>
      </c>
      <c r="N38" s="21">
        <f t="shared" si="5"/>
        <v>-88</v>
      </c>
      <c r="O38" s="16"/>
      <c r="P38" s="16"/>
      <c r="Q38" s="21"/>
      <c r="R38" s="5"/>
      <c r="S38" s="16"/>
      <c r="T38" s="16"/>
      <c r="U38" s="21">
        <f t="shared" si="6"/>
        <v>0</v>
      </c>
      <c r="V38" s="16">
        <v>10</v>
      </c>
      <c r="W38" s="78">
        <f t="shared" si="7"/>
        <v>10</v>
      </c>
      <c r="X38" s="140"/>
      <c r="Y38" s="334"/>
      <c r="Z38" s="5"/>
      <c r="AE38" s="16" t="s">
        <v>168</v>
      </c>
      <c r="AF38" s="18">
        <f>+AD38*1000</f>
        <v>0</v>
      </c>
      <c r="AI38" s="16" t="s">
        <v>168</v>
      </c>
      <c r="AJ38" s="18">
        <f>+AH38*1000</f>
        <v>0</v>
      </c>
      <c r="AL38" s="185"/>
      <c r="AM38" s="185"/>
      <c r="AN38" s="185"/>
    </row>
    <row r="39" spans="1:40" x14ac:dyDescent="0.25">
      <c r="A39" s="143">
        <v>9</v>
      </c>
      <c r="B39" s="92">
        <v>45287</v>
      </c>
      <c r="C39" s="23">
        <v>0.17847222222222223</v>
      </c>
      <c r="D39" s="31" t="s">
        <v>3711</v>
      </c>
      <c r="E39" s="32">
        <v>5541902669</v>
      </c>
      <c r="F39" s="32" t="s">
        <v>952</v>
      </c>
      <c r="G39" s="32" t="s">
        <v>3010</v>
      </c>
      <c r="H39" s="39" t="s">
        <v>3710</v>
      </c>
      <c r="I39" s="39">
        <v>100</v>
      </c>
      <c r="J39" s="40">
        <v>27</v>
      </c>
      <c r="K39" s="20">
        <v>10</v>
      </c>
      <c r="L39" s="21">
        <v>5</v>
      </c>
      <c r="M39" s="21">
        <f t="shared" si="4"/>
        <v>37</v>
      </c>
      <c r="N39" s="21">
        <f t="shared" si="5"/>
        <v>63</v>
      </c>
      <c r="O39" s="16"/>
      <c r="P39" s="16"/>
      <c r="Q39" s="21"/>
      <c r="R39" s="5"/>
      <c r="S39" s="16"/>
      <c r="T39" s="16"/>
      <c r="U39" s="21">
        <f t="shared" si="6"/>
        <v>0</v>
      </c>
      <c r="V39" s="16"/>
      <c r="W39" s="78">
        <f t="shared" si="7"/>
        <v>0</v>
      </c>
      <c r="X39" s="140"/>
      <c r="Y39" s="334"/>
      <c r="Z39" s="5"/>
      <c r="AE39" s="26"/>
      <c r="AF39" s="58"/>
      <c r="AI39" s="26"/>
      <c r="AJ39" s="58"/>
      <c r="AL39" s="185"/>
      <c r="AM39" s="185"/>
      <c r="AN39" s="185"/>
    </row>
    <row r="40" spans="1:40" x14ac:dyDescent="0.25">
      <c r="A40" s="143">
        <v>10</v>
      </c>
      <c r="B40" s="92">
        <v>45287</v>
      </c>
      <c r="C40" s="23">
        <v>0.3125</v>
      </c>
      <c r="D40" s="31" t="s">
        <v>82</v>
      </c>
      <c r="E40" s="32">
        <v>5624838493</v>
      </c>
      <c r="F40" s="32" t="s">
        <v>952</v>
      </c>
      <c r="G40" s="32" t="s">
        <v>3712</v>
      </c>
      <c r="H40" s="39" t="s">
        <v>3713</v>
      </c>
      <c r="I40" s="122">
        <v>125</v>
      </c>
      <c r="J40" s="42">
        <v>114</v>
      </c>
      <c r="K40" s="20">
        <v>10</v>
      </c>
      <c r="L40" s="21">
        <v>1</v>
      </c>
      <c r="M40" s="21">
        <f t="shared" si="4"/>
        <v>124</v>
      </c>
      <c r="N40" s="21">
        <f t="shared" si="5"/>
        <v>1</v>
      </c>
      <c r="O40" s="16"/>
      <c r="P40" s="16"/>
      <c r="Q40" s="21"/>
      <c r="R40" s="5"/>
      <c r="S40" s="16"/>
      <c r="T40" s="16"/>
      <c r="U40" s="21">
        <f t="shared" si="6"/>
        <v>0</v>
      </c>
      <c r="V40" s="16"/>
      <c r="W40" s="78">
        <f t="shared" si="7"/>
        <v>0</v>
      </c>
      <c r="X40" s="140"/>
      <c r="Y40" s="334"/>
      <c r="Z40" s="5"/>
      <c r="AE40" s="16" t="s">
        <v>169</v>
      </c>
      <c r="AF40" s="18">
        <f>SUM(AF30:AF39)</f>
        <v>775</v>
      </c>
      <c r="AI40" s="16" t="s">
        <v>169</v>
      </c>
      <c r="AJ40" s="18">
        <f>SUM(AJ30:AJ39)</f>
        <v>1003</v>
      </c>
      <c r="AL40" s="185"/>
      <c r="AM40" s="185"/>
      <c r="AN40" s="185"/>
    </row>
    <row r="41" spans="1:40" x14ac:dyDescent="0.25">
      <c r="A41" s="143">
        <v>11</v>
      </c>
      <c r="B41" s="92">
        <v>45287</v>
      </c>
      <c r="C41" s="23">
        <v>0.31319444444444444</v>
      </c>
      <c r="D41" s="31" t="s">
        <v>319</v>
      </c>
      <c r="E41" s="124">
        <v>5567890987</v>
      </c>
      <c r="F41" s="123" t="s">
        <v>952</v>
      </c>
      <c r="G41" s="123" t="s">
        <v>267</v>
      </c>
      <c r="H41" s="39" t="s">
        <v>3714</v>
      </c>
      <c r="I41" s="122">
        <v>500</v>
      </c>
      <c r="J41" s="42">
        <v>114</v>
      </c>
      <c r="K41" s="20">
        <v>10</v>
      </c>
      <c r="L41" s="21"/>
      <c r="M41" s="21">
        <f t="shared" si="4"/>
        <v>124</v>
      </c>
      <c r="N41" s="21">
        <f t="shared" si="5"/>
        <v>376</v>
      </c>
      <c r="O41" s="16"/>
      <c r="P41" s="16"/>
      <c r="Q41" s="21"/>
      <c r="R41" s="5"/>
      <c r="S41" s="16"/>
      <c r="T41" s="16"/>
      <c r="U41" s="21">
        <f t="shared" si="6"/>
        <v>0</v>
      </c>
      <c r="V41" s="16"/>
      <c r="W41" s="78">
        <f t="shared" si="7"/>
        <v>0</v>
      </c>
      <c r="X41" s="140"/>
      <c r="Y41" s="334"/>
      <c r="Z41" s="5"/>
      <c r="AF41">
        <v>455</v>
      </c>
      <c r="AL41" s="185"/>
      <c r="AM41" s="185"/>
      <c r="AN41" s="185"/>
    </row>
    <row r="42" spans="1:40" x14ac:dyDescent="0.25">
      <c r="A42" s="143">
        <v>12</v>
      </c>
      <c r="B42" s="92">
        <v>45287</v>
      </c>
      <c r="C42" s="23">
        <v>0.375</v>
      </c>
      <c r="D42" s="31" t="s">
        <v>319</v>
      </c>
      <c r="E42" s="124">
        <v>5567890987</v>
      </c>
      <c r="F42" s="123" t="s">
        <v>952</v>
      </c>
      <c r="G42" s="123" t="s">
        <v>267</v>
      </c>
      <c r="H42" s="39" t="s">
        <v>3715</v>
      </c>
      <c r="I42" s="122">
        <v>200</v>
      </c>
      <c r="J42" s="42">
        <v>188</v>
      </c>
      <c r="K42" s="20">
        <v>20</v>
      </c>
      <c r="L42" s="21">
        <v>5</v>
      </c>
      <c r="M42" s="21">
        <f t="shared" si="4"/>
        <v>208</v>
      </c>
      <c r="N42" s="21">
        <f t="shared" si="5"/>
        <v>-8</v>
      </c>
      <c r="O42" s="26"/>
      <c r="P42" s="26"/>
      <c r="Q42" s="21"/>
      <c r="R42" s="5"/>
      <c r="S42" s="45"/>
      <c r="T42" s="44"/>
      <c r="U42" s="21">
        <f t="shared" si="6"/>
        <v>0</v>
      </c>
      <c r="V42" s="45"/>
      <c r="W42" s="78">
        <f t="shared" si="7"/>
        <v>0</v>
      </c>
      <c r="X42" s="140"/>
      <c r="Y42" s="334"/>
      <c r="Z42" s="5"/>
      <c r="AL42" s="185"/>
      <c r="AM42" s="185"/>
      <c r="AN42" s="185"/>
    </row>
    <row r="43" spans="1:40" x14ac:dyDescent="0.25">
      <c r="A43" s="143">
        <v>13</v>
      </c>
      <c r="B43" s="92">
        <v>45287</v>
      </c>
      <c r="C43" s="23"/>
      <c r="D43" s="31"/>
      <c r="E43" s="32"/>
      <c r="F43" s="32"/>
      <c r="G43" s="32"/>
      <c r="H43" s="39"/>
      <c r="I43" s="39"/>
      <c r="J43" s="42"/>
      <c r="K43" s="108">
        <v>10</v>
      </c>
      <c r="L43" s="21"/>
      <c r="M43" s="21">
        <f t="shared" si="4"/>
        <v>10</v>
      </c>
      <c r="N43" s="78">
        <f t="shared" si="5"/>
        <v>-10</v>
      </c>
      <c r="O43" s="143"/>
      <c r="P43" s="143"/>
      <c r="Q43" s="20"/>
      <c r="R43" s="5"/>
      <c r="S43" s="43"/>
      <c r="T43" s="32"/>
      <c r="U43" s="21">
        <f t="shared" si="6"/>
        <v>0</v>
      </c>
      <c r="V43" s="43"/>
      <c r="W43" s="78">
        <f t="shared" si="7"/>
        <v>0</v>
      </c>
      <c r="X43" s="140"/>
      <c r="Y43" s="334"/>
      <c r="Z43" s="5"/>
      <c r="AJ43" s="83"/>
    </row>
    <row r="44" spans="1:40" x14ac:dyDescent="0.25">
      <c r="A44" s="143">
        <v>14</v>
      </c>
      <c r="B44" s="92">
        <v>45287</v>
      </c>
      <c r="C44" s="23"/>
      <c r="D44" s="31"/>
      <c r="E44" s="32"/>
      <c r="F44" s="32"/>
      <c r="G44" s="32"/>
      <c r="H44" s="39"/>
      <c r="I44" s="39"/>
      <c r="J44" s="42"/>
      <c r="K44" s="108">
        <v>10</v>
      </c>
      <c r="L44" s="21"/>
      <c r="M44" s="21">
        <f t="shared" si="4"/>
        <v>10</v>
      </c>
      <c r="N44" s="21">
        <f t="shared" si="5"/>
        <v>-10</v>
      </c>
      <c r="O44" s="50"/>
      <c r="P44" s="50"/>
      <c r="Q44" s="21"/>
      <c r="R44" s="5"/>
      <c r="S44" s="43"/>
      <c r="T44" s="43"/>
      <c r="U44" s="21">
        <f t="shared" si="6"/>
        <v>0</v>
      </c>
      <c r="V44" s="43"/>
      <c r="W44" s="78">
        <f t="shared" si="7"/>
        <v>0</v>
      </c>
      <c r="X44" s="140"/>
      <c r="Y44" s="334"/>
      <c r="Z44" s="5"/>
      <c r="AE44" s="5"/>
      <c r="AF44" s="5"/>
      <c r="AG44" s="5"/>
      <c r="AH44" s="5"/>
      <c r="AI44" s="5"/>
      <c r="AJ44" s="5"/>
      <c r="AK44" s="5"/>
    </row>
    <row r="45" spans="1:40" x14ac:dyDescent="0.25">
      <c r="A45" s="143">
        <v>15</v>
      </c>
      <c r="B45" s="92">
        <v>45287</v>
      </c>
      <c r="C45" s="23"/>
      <c r="D45" s="127"/>
      <c r="E45" s="32"/>
      <c r="F45" s="32"/>
      <c r="G45" s="128"/>
      <c r="H45" s="129"/>
      <c r="I45" s="39"/>
      <c r="J45" s="42"/>
      <c r="K45" s="108">
        <v>10</v>
      </c>
      <c r="L45" s="21"/>
      <c r="M45" s="21">
        <f t="shared" si="4"/>
        <v>10</v>
      </c>
      <c r="N45" s="21">
        <f t="shared" si="5"/>
        <v>-10</v>
      </c>
      <c r="O45" s="21"/>
      <c r="P45" s="21"/>
      <c r="Q45" s="21"/>
      <c r="R45" s="5"/>
      <c r="S45" s="43"/>
      <c r="T45" s="43"/>
      <c r="U45" s="21">
        <f t="shared" si="6"/>
        <v>0</v>
      </c>
      <c r="V45" s="43"/>
      <c r="W45" s="78">
        <f t="shared" si="7"/>
        <v>0</v>
      </c>
      <c r="X45" s="140"/>
      <c r="Y45" s="334"/>
      <c r="Z45" s="5"/>
      <c r="AE45" s="5"/>
      <c r="AF45" s="134" t="s">
        <v>20</v>
      </c>
      <c r="AG45" s="362">
        <f>+AJ45+AF41</f>
        <v>1230</v>
      </c>
      <c r="AH45" s="341" t="s">
        <v>686</v>
      </c>
      <c r="AI45" s="134" t="s">
        <v>20</v>
      </c>
      <c r="AJ45" s="358">
        <f>+AF40</f>
        <v>775</v>
      </c>
      <c r="AK45" s="5"/>
    </row>
    <row r="46" spans="1:40" x14ac:dyDescent="0.25">
      <c r="A46" s="143">
        <v>16</v>
      </c>
      <c r="B46" s="92">
        <v>45287</v>
      </c>
      <c r="C46" s="23"/>
      <c r="D46" s="31"/>
      <c r="E46" s="32"/>
      <c r="F46" s="32"/>
      <c r="G46" s="32"/>
      <c r="H46" s="39"/>
      <c r="I46" s="39"/>
      <c r="J46" s="42"/>
      <c r="K46" s="43">
        <v>10</v>
      </c>
      <c r="L46" s="21"/>
      <c r="M46" s="21">
        <f t="shared" si="4"/>
        <v>10</v>
      </c>
      <c r="N46" s="21">
        <f t="shared" si="5"/>
        <v>-10</v>
      </c>
      <c r="O46" s="21"/>
      <c r="P46" s="21"/>
      <c r="Q46" s="21"/>
      <c r="R46" s="5"/>
      <c r="S46" s="43"/>
      <c r="T46" s="32"/>
      <c r="U46" s="21">
        <f t="shared" si="6"/>
        <v>0</v>
      </c>
      <c r="V46" s="131"/>
      <c r="W46" s="78">
        <f t="shared" si="7"/>
        <v>0</v>
      </c>
      <c r="X46" s="140"/>
      <c r="Y46" s="334"/>
      <c r="Z46" s="5"/>
      <c r="AE46" s="5" t="s">
        <v>685</v>
      </c>
      <c r="AF46" s="115" t="s">
        <v>3676</v>
      </c>
      <c r="AG46" s="360"/>
      <c r="AH46" s="341"/>
      <c r="AI46" s="115" t="s">
        <v>684</v>
      </c>
      <c r="AJ46" s="360"/>
      <c r="AK46" s="5"/>
    </row>
    <row r="47" spans="1:40" x14ac:dyDescent="0.25">
      <c r="A47" s="143">
        <v>17</v>
      </c>
      <c r="B47" s="92">
        <v>45287</v>
      </c>
      <c r="C47" s="23"/>
      <c r="D47" s="31"/>
      <c r="E47" s="32"/>
      <c r="F47" s="32"/>
      <c r="G47" s="32"/>
      <c r="H47" s="39"/>
      <c r="I47" s="39"/>
      <c r="J47" s="42"/>
      <c r="K47" s="43">
        <v>10</v>
      </c>
      <c r="L47" s="21"/>
      <c r="M47" s="21">
        <f t="shared" si="4"/>
        <v>10</v>
      </c>
      <c r="N47" s="21">
        <f t="shared" si="5"/>
        <v>-10</v>
      </c>
      <c r="O47" s="21"/>
      <c r="P47" s="21"/>
      <c r="Q47" s="21"/>
      <c r="R47" s="5"/>
      <c r="S47" s="43"/>
      <c r="T47" s="32"/>
      <c r="U47" s="21">
        <f t="shared" si="6"/>
        <v>0</v>
      </c>
      <c r="V47" s="132"/>
      <c r="W47" s="78">
        <f t="shared" si="7"/>
        <v>0</v>
      </c>
      <c r="X47" s="140"/>
      <c r="Y47" s="340"/>
      <c r="Z47" s="5"/>
      <c r="AE47" s="5"/>
      <c r="AF47" s="5"/>
      <c r="AG47" s="5"/>
      <c r="AH47" s="5" t="s">
        <v>3677</v>
      </c>
      <c r="AI47" s="5"/>
      <c r="AJ47" s="5"/>
      <c r="AK47" s="5"/>
    </row>
    <row r="48" spans="1:40" x14ac:dyDescent="0.25">
      <c r="A48" s="143">
        <v>18</v>
      </c>
      <c r="B48" s="92">
        <v>45287</v>
      </c>
      <c r="C48" s="32"/>
      <c r="D48" s="31"/>
      <c r="E48" s="32"/>
      <c r="F48" s="32"/>
      <c r="G48" s="32"/>
      <c r="H48" s="39"/>
      <c r="I48" s="39"/>
      <c r="J48" s="42"/>
      <c r="K48" s="43">
        <v>10</v>
      </c>
      <c r="L48" s="21"/>
      <c r="M48" s="21">
        <f t="shared" si="4"/>
        <v>10</v>
      </c>
      <c r="N48" s="21">
        <f t="shared" si="5"/>
        <v>-10</v>
      </c>
      <c r="O48" s="21"/>
      <c r="P48" s="21"/>
      <c r="Q48" s="21"/>
      <c r="R48" s="5"/>
      <c r="S48" s="135"/>
      <c r="T48" s="104"/>
      <c r="U48" s="21">
        <f t="shared" si="6"/>
        <v>0</v>
      </c>
      <c r="V48" s="131"/>
      <c r="W48" s="78">
        <f t="shared" si="7"/>
        <v>0</v>
      </c>
      <c r="X48" s="140"/>
      <c r="Z48" s="5"/>
    </row>
    <row r="49" spans="1:40" x14ac:dyDescent="0.25">
      <c r="A49" s="143">
        <v>19</v>
      </c>
      <c r="B49" s="92">
        <v>45287</v>
      </c>
      <c r="C49" s="32"/>
      <c r="D49" s="31"/>
      <c r="E49" s="32"/>
      <c r="F49" s="32"/>
      <c r="G49" s="32"/>
      <c r="H49" s="39"/>
      <c r="I49" s="39"/>
      <c r="J49" s="42"/>
      <c r="K49" s="43">
        <v>10</v>
      </c>
      <c r="L49" s="21"/>
      <c r="M49" s="21">
        <f t="shared" si="4"/>
        <v>10</v>
      </c>
      <c r="N49" s="21">
        <f t="shared" si="5"/>
        <v>-10</v>
      </c>
      <c r="O49" s="21"/>
      <c r="P49" s="21"/>
      <c r="Q49" s="21"/>
      <c r="R49" s="5"/>
      <c r="S49" s="32"/>
      <c r="T49" s="32"/>
      <c r="U49" s="21">
        <f t="shared" si="6"/>
        <v>0</v>
      </c>
      <c r="V49" s="32"/>
      <c r="W49" s="78">
        <f t="shared" si="7"/>
        <v>0</v>
      </c>
      <c r="X49" s="140"/>
      <c r="Z49" s="5"/>
      <c r="AE49" s="5"/>
      <c r="AF49" s="5"/>
      <c r="AG49" s="5"/>
      <c r="AH49" s="5"/>
      <c r="AI49" s="5"/>
      <c r="AJ49" s="5"/>
      <c r="AK49" s="5"/>
    </row>
    <row r="50" spans="1:40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>
        <f>+((SUM(O31:O49))-(SUM(P31:P49)))</f>
        <v>0</v>
      </c>
      <c r="Q50" s="5"/>
      <c r="R50" s="5"/>
      <c r="S50" s="5"/>
      <c r="T50" s="5"/>
      <c r="U50" s="5"/>
      <c r="V50" s="5"/>
      <c r="W50" s="5"/>
      <c r="X50" s="141"/>
      <c r="Y50" s="5"/>
      <c r="Z50" s="5"/>
      <c r="AE50" s="5"/>
      <c r="AF50" s="134" t="s">
        <v>20</v>
      </c>
      <c r="AG50" s="358">
        <f>P50</f>
        <v>0</v>
      </c>
      <c r="AH50" s="341" t="s">
        <v>687</v>
      </c>
      <c r="AI50" s="134" t="s">
        <v>20</v>
      </c>
      <c r="AJ50" s="358">
        <f>+AJ40</f>
        <v>1003</v>
      </c>
      <c r="AK50" s="5"/>
    </row>
    <row r="51" spans="1:40" x14ac:dyDescent="0.25">
      <c r="AE51" s="5" t="s">
        <v>3679</v>
      </c>
      <c r="AF51" s="115" t="s">
        <v>684</v>
      </c>
      <c r="AG51" s="359"/>
      <c r="AH51" s="341"/>
      <c r="AI51" s="115" t="s">
        <v>684</v>
      </c>
      <c r="AJ51" s="360"/>
      <c r="AK51" s="5"/>
    </row>
    <row r="52" spans="1:40" x14ac:dyDescent="0.25">
      <c r="AE52" s="5"/>
      <c r="AF52" s="5"/>
      <c r="AG52" s="5"/>
      <c r="AH52" s="5" t="s">
        <v>3678</v>
      </c>
      <c r="AI52" s="5"/>
      <c r="AJ52" s="5"/>
      <c r="AK52" s="5"/>
    </row>
    <row r="56" spans="1:40" x14ac:dyDescent="0.25">
      <c r="S56">
        <f>739-700-O63+J63</f>
        <v>28</v>
      </c>
    </row>
    <row r="57" spans="1:40" x14ac:dyDescent="0.25">
      <c r="J57" s="83">
        <f>+SUM(K62:K64)</f>
        <v>60</v>
      </c>
    </row>
    <row r="58" spans="1:40" x14ac:dyDescent="0.25">
      <c r="AL58" s="185"/>
      <c r="AM58" s="185"/>
      <c r="AN58" s="185"/>
    </row>
    <row r="59" spans="1:40" ht="30" x14ac:dyDescent="0.25">
      <c r="A59" s="1" t="s">
        <v>0</v>
      </c>
      <c r="B59" s="1"/>
      <c r="C59" s="1"/>
      <c r="D59" s="1"/>
      <c r="E59" s="1"/>
      <c r="F59" s="1"/>
      <c r="G59" s="1"/>
      <c r="H59" s="1"/>
      <c r="I59" s="1"/>
      <c r="J59" s="1" t="s">
        <v>148</v>
      </c>
      <c r="K59" s="1"/>
      <c r="L59" s="1"/>
      <c r="M59" s="1"/>
      <c r="N59" s="1"/>
      <c r="O59" s="363" t="s">
        <v>3679</v>
      </c>
      <c r="P59" s="363"/>
      <c r="Q59" s="1"/>
      <c r="R59" s="1"/>
      <c r="S59" s="1"/>
      <c r="T59" s="1"/>
      <c r="U59" s="5"/>
      <c r="V59" s="5"/>
      <c r="W59" s="295" t="s">
        <v>1</v>
      </c>
      <c r="X59" s="139"/>
      <c r="Y59" s="1"/>
      <c r="Z59" s="5"/>
      <c r="AE59" s="335" t="s">
        <v>160</v>
      </c>
      <c r="AF59" s="336"/>
      <c r="AI59" s="335" t="s">
        <v>170</v>
      </c>
      <c r="AJ59" s="336"/>
      <c r="AL59" s="361"/>
      <c r="AM59" s="361"/>
      <c r="AN59" s="185"/>
    </row>
    <row r="60" spans="1:40" ht="90" x14ac:dyDescent="0.25">
      <c r="A60" s="6" t="s">
        <v>2</v>
      </c>
      <c r="B60" s="7" t="s">
        <v>3</v>
      </c>
      <c r="C60" s="245" t="s">
        <v>3675</v>
      </c>
      <c r="D60" s="7" t="s">
        <v>4</v>
      </c>
      <c r="E60" s="6" t="s">
        <v>5</v>
      </c>
      <c r="F60" s="6" t="s">
        <v>6</v>
      </c>
      <c r="G60" s="6" t="s">
        <v>7</v>
      </c>
      <c r="H60" s="6" t="s">
        <v>8</v>
      </c>
      <c r="I60" s="8" t="s">
        <v>9</v>
      </c>
      <c r="J60" s="8" t="s">
        <v>10</v>
      </c>
      <c r="K60" s="8" t="s">
        <v>11</v>
      </c>
      <c r="L60" s="76" t="s">
        <v>12</v>
      </c>
      <c r="M60" s="76" t="s">
        <v>13</v>
      </c>
      <c r="N60" s="15" t="s">
        <v>14</v>
      </c>
      <c r="O60" s="15" t="s">
        <v>173</v>
      </c>
      <c r="P60" s="15" t="s">
        <v>174</v>
      </c>
      <c r="Q60" s="76" t="s">
        <v>28</v>
      </c>
      <c r="R60" s="5"/>
      <c r="S60" s="76" t="s">
        <v>16</v>
      </c>
      <c r="T60" s="76" t="s">
        <v>17</v>
      </c>
      <c r="U60" s="76" t="s">
        <v>18</v>
      </c>
      <c r="V60" s="76" t="s">
        <v>19</v>
      </c>
      <c r="W60" s="76" t="s">
        <v>20</v>
      </c>
      <c r="X60" s="13"/>
      <c r="Y60" s="15" t="s">
        <v>23</v>
      </c>
      <c r="Z60" s="5"/>
      <c r="AB60" s="251" t="s">
        <v>2554</v>
      </c>
      <c r="AD60">
        <v>14</v>
      </c>
      <c r="AE60" s="16" t="s">
        <v>161</v>
      </c>
      <c r="AF60" s="58">
        <f>+AD60*10</f>
        <v>140</v>
      </c>
      <c r="AH60">
        <v>11</v>
      </c>
      <c r="AI60" s="16" t="s">
        <v>161</v>
      </c>
      <c r="AJ60" s="58">
        <f>+AH60*10</f>
        <v>110</v>
      </c>
      <c r="AL60" s="185"/>
      <c r="AM60" s="185"/>
      <c r="AN60" s="185"/>
    </row>
    <row r="61" spans="1:40" x14ac:dyDescent="0.25">
      <c r="A61" s="16">
        <v>1</v>
      </c>
      <c r="B61" s="92">
        <v>45288</v>
      </c>
      <c r="C61" s="23">
        <v>0.43124999999999997</v>
      </c>
      <c r="D61" s="31" t="s">
        <v>3717</v>
      </c>
      <c r="E61" s="32">
        <v>5578854401</v>
      </c>
      <c r="F61" s="32" t="s">
        <v>3720</v>
      </c>
      <c r="G61" s="39" t="s">
        <v>3719</v>
      </c>
      <c r="H61" s="39" t="s">
        <v>3718</v>
      </c>
      <c r="I61" s="122">
        <v>200</v>
      </c>
      <c r="J61" s="32">
        <v>90</v>
      </c>
      <c r="K61" s="20">
        <v>40</v>
      </c>
      <c r="L61" s="50"/>
      <c r="M61" s="50">
        <f t="shared" ref="M61:M79" si="8">+J61+K61</f>
        <v>130</v>
      </c>
      <c r="N61" s="50">
        <f t="shared" ref="N61:N79" si="9">+I61-M61</f>
        <v>70</v>
      </c>
      <c r="O61" s="29"/>
      <c r="P61" s="29"/>
      <c r="Q61" s="50"/>
      <c r="R61" s="5"/>
      <c r="S61" s="50">
        <v>200</v>
      </c>
      <c r="T61" s="29"/>
      <c r="U61" s="50">
        <f t="shared" ref="U61:U79" si="10">+S61+T61</f>
        <v>200</v>
      </c>
      <c r="V61" s="50">
        <v>240</v>
      </c>
      <c r="W61" s="294">
        <f t="shared" ref="W61:W79" si="11">+V61-U61+O61+Q61</f>
        <v>40</v>
      </c>
      <c r="X61" s="13"/>
      <c r="Y61" s="333"/>
      <c r="Z61" s="5"/>
      <c r="AD61">
        <v>68</v>
      </c>
      <c r="AE61" s="59" t="s">
        <v>162</v>
      </c>
      <c r="AF61" s="18">
        <f>+AD61*1</f>
        <v>68</v>
      </c>
      <c r="AH61">
        <v>64</v>
      </c>
      <c r="AI61" s="59" t="s">
        <v>162</v>
      </c>
      <c r="AJ61" s="18">
        <f>+AH61*1</f>
        <v>64</v>
      </c>
      <c r="AL61" s="185"/>
      <c r="AM61" s="185"/>
      <c r="AN61" s="185"/>
    </row>
    <row r="62" spans="1:40" x14ac:dyDescent="0.25">
      <c r="A62" s="26">
        <v>2</v>
      </c>
      <c r="B62" s="92">
        <v>45288</v>
      </c>
      <c r="C62" s="23">
        <v>0.48680555555555555</v>
      </c>
      <c r="D62" s="31" t="s">
        <v>1806</v>
      </c>
      <c r="E62" s="32">
        <v>5529303704</v>
      </c>
      <c r="F62" s="32" t="s">
        <v>1997</v>
      </c>
      <c r="G62" s="32" t="s">
        <v>1806</v>
      </c>
      <c r="H62" s="39" t="s">
        <v>3723</v>
      </c>
      <c r="I62" s="122"/>
      <c r="J62" s="32">
        <v>416</v>
      </c>
      <c r="K62" s="20">
        <v>40</v>
      </c>
      <c r="L62" s="21"/>
      <c r="M62" s="21">
        <f t="shared" si="8"/>
        <v>456</v>
      </c>
      <c r="N62" s="21">
        <f t="shared" si="9"/>
        <v>-456</v>
      </c>
      <c r="O62" s="16"/>
      <c r="P62" s="16"/>
      <c r="Q62" s="21"/>
      <c r="R62" s="5"/>
      <c r="S62" s="21">
        <v>700</v>
      </c>
      <c r="T62" s="16"/>
      <c r="U62" s="21">
        <f t="shared" si="10"/>
        <v>700</v>
      </c>
      <c r="V62" s="21"/>
      <c r="W62" s="78">
        <f t="shared" si="11"/>
        <v>-700</v>
      </c>
      <c r="X62" s="140"/>
      <c r="Y62" s="334"/>
      <c r="Z62" s="5"/>
      <c r="AD62">
        <v>16</v>
      </c>
      <c r="AE62" s="16" t="s">
        <v>163</v>
      </c>
      <c r="AF62" s="60">
        <f>+AD62*5</f>
        <v>80</v>
      </c>
      <c r="AH62">
        <v>1</v>
      </c>
      <c r="AI62" s="16" t="s">
        <v>163</v>
      </c>
      <c r="AJ62" s="60">
        <f>+AH62*5</f>
        <v>5</v>
      </c>
      <c r="AL62" s="185"/>
      <c r="AM62" s="185"/>
      <c r="AN62" s="185"/>
    </row>
    <row r="63" spans="1:40" x14ac:dyDescent="0.25">
      <c r="A63" s="143">
        <v>3</v>
      </c>
      <c r="B63" s="92">
        <v>45288</v>
      </c>
      <c r="C63" s="23">
        <v>0.49444444444444446</v>
      </c>
      <c r="D63" s="31" t="s">
        <v>2644</v>
      </c>
      <c r="E63" s="32">
        <v>5537803548</v>
      </c>
      <c r="F63" s="32" t="s">
        <v>114</v>
      </c>
      <c r="G63" s="32" t="s">
        <v>3724</v>
      </c>
      <c r="H63" s="39" t="s">
        <v>3722</v>
      </c>
      <c r="I63" s="122"/>
      <c r="J63" s="32">
        <v>149</v>
      </c>
      <c r="K63" s="20">
        <v>10</v>
      </c>
      <c r="L63" s="21">
        <v>11</v>
      </c>
      <c r="M63" s="21">
        <f t="shared" si="8"/>
        <v>159</v>
      </c>
      <c r="N63" s="21">
        <f t="shared" si="9"/>
        <v>-159</v>
      </c>
      <c r="O63" s="16">
        <v>160</v>
      </c>
      <c r="P63" s="16"/>
      <c r="Q63" s="21"/>
      <c r="R63" s="5"/>
      <c r="S63" s="21"/>
      <c r="T63" s="16"/>
      <c r="U63" s="21">
        <f t="shared" si="10"/>
        <v>0</v>
      </c>
      <c r="V63" s="21"/>
      <c r="W63" s="78">
        <f t="shared" si="11"/>
        <v>160</v>
      </c>
      <c r="X63" s="140"/>
      <c r="Y63" s="334"/>
      <c r="Z63" s="5"/>
      <c r="AD63">
        <v>1</v>
      </c>
      <c r="AE63" s="16" t="s">
        <v>164</v>
      </c>
      <c r="AF63" s="18">
        <f>+AD63*200</f>
        <v>200</v>
      </c>
      <c r="AH63">
        <v>2</v>
      </c>
      <c r="AI63" s="16" t="s">
        <v>164</v>
      </c>
      <c r="AJ63" s="18">
        <f>+AH63*200</f>
        <v>400</v>
      </c>
      <c r="AL63" s="185"/>
      <c r="AM63" s="185"/>
      <c r="AN63" s="185"/>
    </row>
    <row r="64" spans="1:40" x14ac:dyDescent="0.25">
      <c r="A64" s="143">
        <v>4</v>
      </c>
      <c r="B64" s="92">
        <v>45288</v>
      </c>
      <c r="C64" s="23">
        <v>0.50624999999999998</v>
      </c>
      <c r="D64" s="31" t="s">
        <v>2489</v>
      </c>
      <c r="E64" s="32">
        <v>553181275</v>
      </c>
      <c r="F64" s="32" t="s">
        <v>1806</v>
      </c>
      <c r="G64" s="32" t="s">
        <v>2259</v>
      </c>
      <c r="H64" s="39" t="s">
        <v>3721</v>
      </c>
      <c r="I64" s="122"/>
      <c r="J64" s="32">
        <v>128</v>
      </c>
      <c r="K64" s="20">
        <v>10</v>
      </c>
      <c r="L64" s="21">
        <v>11</v>
      </c>
      <c r="M64" s="21">
        <f t="shared" si="8"/>
        <v>138</v>
      </c>
      <c r="N64" s="21">
        <f t="shared" si="9"/>
        <v>-138</v>
      </c>
      <c r="O64" s="16"/>
      <c r="P64" s="16"/>
      <c r="Q64" s="21"/>
      <c r="R64" s="5"/>
      <c r="S64" s="21"/>
      <c r="T64" s="16"/>
      <c r="U64" s="21">
        <f t="shared" si="10"/>
        <v>0</v>
      </c>
      <c r="V64" s="21"/>
      <c r="W64" s="78">
        <f t="shared" si="11"/>
        <v>0</v>
      </c>
      <c r="X64" s="140"/>
      <c r="Y64" s="334"/>
      <c r="Z64" s="5"/>
      <c r="AE64" s="16" t="s">
        <v>165</v>
      </c>
      <c r="AF64" s="18">
        <f>+AD64*100</f>
        <v>0</v>
      </c>
      <c r="AI64" s="16" t="s">
        <v>165</v>
      </c>
      <c r="AJ64" s="18">
        <f>+AH64*100</f>
        <v>0</v>
      </c>
      <c r="AL64" s="185"/>
      <c r="AM64" s="185"/>
      <c r="AN64" s="185"/>
    </row>
    <row r="65" spans="1:40" x14ac:dyDescent="0.25">
      <c r="A65" s="143">
        <v>5</v>
      </c>
      <c r="B65" s="92">
        <v>45288</v>
      </c>
      <c r="C65" s="23">
        <v>0.60486111111111118</v>
      </c>
      <c r="D65" s="31" t="s">
        <v>2008</v>
      </c>
      <c r="E65" s="32">
        <v>5535975295</v>
      </c>
      <c r="F65" s="32" t="s">
        <v>3468</v>
      </c>
      <c r="G65" s="32" t="s">
        <v>2072</v>
      </c>
      <c r="H65" s="32"/>
      <c r="I65" s="122" t="s">
        <v>3725</v>
      </c>
      <c r="J65" s="32">
        <v>48</v>
      </c>
      <c r="K65" s="20">
        <v>10</v>
      </c>
      <c r="L65" s="21"/>
      <c r="M65" s="21">
        <f t="shared" si="8"/>
        <v>58</v>
      </c>
      <c r="N65" s="21" t="e">
        <f t="shared" si="9"/>
        <v>#VALUE!</v>
      </c>
      <c r="O65" s="16"/>
      <c r="P65" s="16"/>
      <c r="Q65" s="21"/>
      <c r="R65" s="5"/>
      <c r="S65" s="16">
        <v>250</v>
      </c>
      <c r="T65" s="16"/>
      <c r="U65" s="21">
        <f t="shared" si="10"/>
        <v>250</v>
      </c>
      <c r="V65" s="21"/>
      <c r="W65" s="78">
        <f t="shared" si="11"/>
        <v>-250</v>
      </c>
      <c r="X65" s="140"/>
      <c r="Y65" s="334"/>
      <c r="Z65" s="5"/>
      <c r="AD65">
        <v>3</v>
      </c>
      <c r="AE65" s="16" t="s">
        <v>166</v>
      </c>
      <c r="AF65" s="18">
        <f>+AD65*50</f>
        <v>150</v>
      </c>
      <c r="AH65">
        <v>0</v>
      </c>
      <c r="AI65" s="16" t="s">
        <v>166</v>
      </c>
      <c r="AJ65" s="18">
        <f>+AH65*50</f>
        <v>0</v>
      </c>
      <c r="AL65" s="185"/>
      <c r="AM65" s="185"/>
      <c r="AN65" s="185"/>
    </row>
    <row r="66" spans="1:40" x14ac:dyDescent="0.25">
      <c r="A66" s="143">
        <v>6</v>
      </c>
      <c r="B66" s="92">
        <v>45288</v>
      </c>
      <c r="C66" s="23">
        <v>0.625</v>
      </c>
      <c r="D66" s="31" t="s">
        <v>255</v>
      </c>
      <c r="E66" s="32">
        <v>5625982564</v>
      </c>
      <c r="F66" s="32" t="s">
        <v>1806</v>
      </c>
      <c r="G66" s="32" t="s">
        <v>1651</v>
      </c>
      <c r="H66" s="39" t="s">
        <v>3726</v>
      </c>
      <c r="I66" s="122"/>
      <c r="J66" s="42"/>
      <c r="K66" s="20">
        <v>40</v>
      </c>
      <c r="L66" s="21"/>
      <c r="M66" s="21">
        <f t="shared" si="8"/>
        <v>40</v>
      </c>
      <c r="N66" s="21">
        <f t="shared" si="9"/>
        <v>-40</v>
      </c>
      <c r="O66" s="16"/>
      <c r="P66" s="16"/>
      <c r="Q66" s="21"/>
      <c r="R66" s="5"/>
      <c r="S66" s="16">
        <v>500</v>
      </c>
      <c r="T66" s="16"/>
      <c r="U66" s="21">
        <f t="shared" si="10"/>
        <v>500</v>
      </c>
      <c r="V66" s="16">
        <v>429</v>
      </c>
      <c r="W66" s="78">
        <f t="shared" si="11"/>
        <v>-71</v>
      </c>
      <c r="X66" s="140"/>
      <c r="Y66" s="334"/>
      <c r="Z66" s="5"/>
      <c r="AD66">
        <v>3</v>
      </c>
      <c r="AE66" s="16" t="s">
        <v>167</v>
      </c>
      <c r="AF66" s="18">
        <f>+AD66*20</f>
        <v>60</v>
      </c>
      <c r="AH66">
        <v>2</v>
      </c>
      <c r="AI66" s="16" t="s">
        <v>167</v>
      </c>
      <c r="AJ66" s="18">
        <f>+AH66*20</f>
        <v>40</v>
      </c>
      <c r="AL66" s="185"/>
      <c r="AM66" s="185"/>
      <c r="AN66" s="185"/>
    </row>
    <row r="67" spans="1:40" x14ac:dyDescent="0.25">
      <c r="A67" s="143">
        <v>7</v>
      </c>
      <c r="B67" s="92">
        <v>45288</v>
      </c>
      <c r="C67" s="23">
        <v>0.15277777777777776</v>
      </c>
      <c r="D67" s="31" t="s">
        <v>141</v>
      </c>
      <c r="E67" s="32"/>
      <c r="F67" s="32" t="s">
        <v>52</v>
      </c>
      <c r="G67" s="32" t="s">
        <v>61</v>
      </c>
      <c r="H67" s="23" t="s">
        <v>379</v>
      </c>
      <c r="I67" s="23"/>
      <c r="J67" s="31"/>
      <c r="K67" s="32">
        <v>553181275</v>
      </c>
      <c r="L67" s="32"/>
      <c r="M67" s="32"/>
      <c r="N67" s="39"/>
      <c r="O67" s="16"/>
      <c r="P67" s="16"/>
      <c r="Q67" s="21"/>
      <c r="R67" s="5"/>
      <c r="S67" s="16"/>
      <c r="T67" s="16"/>
      <c r="U67" s="21">
        <f t="shared" si="10"/>
        <v>0</v>
      </c>
      <c r="V67" s="16"/>
      <c r="W67" s="78">
        <f t="shared" si="11"/>
        <v>0</v>
      </c>
      <c r="X67" s="140"/>
      <c r="Y67" s="334"/>
      <c r="Z67" s="5"/>
      <c r="AB67">
        <v>5552262663</v>
      </c>
      <c r="AE67" s="16" t="s">
        <v>171</v>
      </c>
      <c r="AF67" s="18">
        <f>+AD67*500</f>
        <v>0</v>
      </c>
      <c r="AI67" s="16" t="s">
        <v>171</v>
      </c>
      <c r="AJ67" s="18">
        <f>+AH67*500</f>
        <v>0</v>
      </c>
      <c r="AL67" s="185"/>
      <c r="AM67" s="185"/>
      <c r="AN67" s="185"/>
    </row>
    <row r="68" spans="1:40" x14ac:dyDescent="0.25">
      <c r="A68" s="143">
        <v>8</v>
      </c>
      <c r="B68" s="92">
        <v>45288</v>
      </c>
      <c r="C68" s="23">
        <v>0.18611111111111112</v>
      </c>
      <c r="D68" s="31" t="s">
        <v>3735</v>
      </c>
      <c r="E68" s="123"/>
      <c r="F68" s="123" t="s">
        <v>52</v>
      </c>
      <c r="G68" s="123" t="s">
        <v>3728</v>
      </c>
      <c r="H68" s="39" t="s">
        <v>3727</v>
      </c>
      <c r="I68" s="122">
        <v>50</v>
      </c>
      <c r="J68" s="32">
        <v>34</v>
      </c>
      <c r="K68" s="20">
        <v>10</v>
      </c>
      <c r="L68" s="21">
        <v>6</v>
      </c>
      <c r="M68" s="21">
        <f t="shared" si="8"/>
        <v>44</v>
      </c>
      <c r="N68" s="21">
        <f t="shared" si="9"/>
        <v>6</v>
      </c>
      <c r="O68" s="16"/>
      <c r="P68" s="16"/>
      <c r="Q68" s="21"/>
      <c r="R68" s="5"/>
      <c r="S68" s="16"/>
      <c r="T68" s="16"/>
      <c r="U68" s="21">
        <f t="shared" si="10"/>
        <v>0</v>
      </c>
      <c r="V68" s="16"/>
      <c r="W68" s="78">
        <f t="shared" si="11"/>
        <v>0</v>
      </c>
      <c r="X68" s="140"/>
      <c r="Y68" s="334"/>
      <c r="Z68" s="5"/>
      <c r="AE68" s="16" t="s">
        <v>168</v>
      </c>
      <c r="AF68" s="18">
        <f>+AD68*1000</f>
        <v>0</v>
      </c>
      <c r="AI68" s="16" t="s">
        <v>168</v>
      </c>
      <c r="AJ68" s="18">
        <f>+AH68*1000</f>
        <v>0</v>
      </c>
      <c r="AL68" s="185"/>
      <c r="AM68" s="185"/>
      <c r="AN68" s="185"/>
    </row>
    <row r="69" spans="1:40" x14ac:dyDescent="0.25">
      <c r="A69" s="143">
        <v>9</v>
      </c>
      <c r="B69" s="92">
        <v>45288</v>
      </c>
      <c r="C69" s="23" t="s">
        <v>3736</v>
      </c>
      <c r="D69" s="31" t="s">
        <v>3100</v>
      </c>
      <c r="E69" s="32"/>
      <c r="F69" s="32" t="s">
        <v>38</v>
      </c>
      <c r="G69" s="32" t="s">
        <v>2975</v>
      </c>
      <c r="H69" s="39" t="s">
        <v>3730</v>
      </c>
      <c r="I69" s="39">
        <v>500</v>
      </c>
      <c r="J69" s="40"/>
      <c r="K69" s="20">
        <v>10</v>
      </c>
      <c r="L69" s="21"/>
      <c r="M69" s="21">
        <f t="shared" si="8"/>
        <v>10</v>
      </c>
      <c r="N69" s="21">
        <f t="shared" si="9"/>
        <v>490</v>
      </c>
      <c r="O69" s="16"/>
      <c r="P69" s="16"/>
      <c r="Q69" s="21"/>
      <c r="R69" s="5"/>
      <c r="S69" s="16"/>
      <c r="T69" s="16"/>
      <c r="U69" s="21">
        <f t="shared" si="10"/>
        <v>0</v>
      </c>
      <c r="V69" s="16"/>
      <c r="W69" s="78">
        <f t="shared" si="11"/>
        <v>0</v>
      </c>
      <c r="X69" s="140"/>
      <c r="Y69" s="334"/>
      <c r="Z69" s="5"/>
      <c r="AE69" s="26"/>
      <c r="AF69" s="58"/>
      <c r="AI69" s="26"/>
      <c r="AJ69" s="58"/>
      <c r="AL69" s="185"/>
      <c r="AM69" s="185"/>
      <c r="AN69" s="185"/>
    </row>
    <row r="70" spans="1:40" x14ac:dyDescent="0.25">
      <c r="A70" s="143">
        <v>10</v>
      </c>
      <c r="B70" s="92">
        <v>45288</v>
      </c>
      <c r="C70" s="23">
        <v>0.33263888888888887</v>
      </c>
      <c r="D70" s="31" t="s">
        <v>2355</v>
      </c>
      <c r="E70" s="32"/>
      <c r="F70" s="32" t="s">
        <v>38</v>
      </c>
      <c r="G70" s="32" t="s">
        <v>220</v>
      </c>
      <c r="H70" s="39" t="s">
        <v>3729</v>
      </c>
      <c r="I70" s="122">
        <v>500</v>
      </c>
      <c r="J70" s="42"/>
      <c r="K70" s="20">
        <v>10</v>
      </c>
      <c r="L70" s="21"/>
      <c r="M70" s="21">
        <f t="shared" si="8"/>
        <v>10</v>
      </c>
      <c r="N70" s="21">
        <f t="shared" si="9"/>
        <v>490</v>
      </c>
      <c r="O70" s="16"/>
      <c r="P70" s="16"/>
      <c r="Q70" s="21"/>
      <c r="R70" s="5"/>
      <c r="S70" s="16"/>
      <c r="T70" s="16"/>
      <c r="U70" s="21">
        <f t="shared" si="10"/>
        <v>0</v>
      </c>
      <c r="V70" s="16"/>
      <c r="W70" s="78">
        <f t="shared" si="11"/>
        <v>0</v>
      </c>
      <c r="X70" s="140"/>
      <c r="Y70" s="334"/>
      <c r="Z70" s="5"/>
      <c r="AE70" s="16" t="s">
        <v>169</v>
      </c>
      <c r="AF70" s="18">
        <f>SUM(AF60:AF69)</f>
        <v>698</v>
      </c>
      <c r="AI70" s="16" t="s">
        <v>169</v>
      </c>
      <c r="AJ70" s="18">
        <f>SUM(AJ60:AJ69)</f>
        <v>619</v>
      </c>
      <c r="AL70" s="185"/>
      <c r="AM70" s="185"/>
      <c r="AN70" s="185"/>
    </row>
    <row r="71" spans="1:40" x14ac:dyDescent="0.25">
      <c r="A71" s="143">
        <v>11</v>
      </c>
      <c r="B71" s="92">
        <v>45288</v>
      </c>
      <c r="C71" s="23">
        <v>0.3576388888888889</v>
      </c>
      <c r="D71" s="31" t="s">
        <v>1324</v>
      </c>
      <c r="E71" s="124"/>
      <c r="F71" s="123" t="s">
        <v>52</v>
      </c>
      <c r="G71" s="123" t="s">
        <v>26</v>
      </c>
      <c r="H71" s="39" t="s">
        <v>3731</v>
      </c>
      <c r="I71" s="122">
        <v>500</v>
      </c>
      <c r="J71" s="42"/>
      <c r="K71" s="20">
        <v>20</v>
      </c>
      <c r="L71" s="21"/>
      <c r="M71" s="21">
        <f t="shared" si="8"/>
        <v>20</v>
      </c>
      <c r="N71" s="21">
        <f t="shared" si="9"/>
        <v>480</v>
      </c>
      <c r="O71" s="16"/>
      <c r="P71" s="16"/>
      <c r="Q71" s="21"/>
      <c r="R71" s="5"/>
      <c r="S71" s="16"/>
      <c r="T71" s="16"/>
      <c r="U71" s="21">
        <f t="shared" si="10"/>
        <v>0</v>
      </c>
      <c r="V71" s="16"/>
      <c r="W71" s="78">
        <f t="shared" si="11"/>
        <v>0</v>
      </c>
      <c r="X71" s="140"/>
      <c r="Y71" s="334"/>
      <c r="Z71" s="5"/>
      <c r="AF71">
        <v>1016</v>
      </c>
      <c r="AL71" s="185"/>
      <c r="AM71" s="185"/>
      <c r="AN71" s="185"/>
    </row>
    <row r="72" spans="1:40" x14ac:dyDescent="0.25">
      <c r="A72" s="143">
        <v>12</v>
      </c>
      <c r="B72" s="92">
        <v>45288</v>
      </c>
      <c r="C72" s="23">
        <v>0.375</v>
      </c>
      <c r="D72" s="32" t="s">
        <v>1061</v>
      </c>
      <c r="E72" s="32"/>
      <c r="F72" s="124" t="s">
        <v>3732</v>
      </c>
      <c r="G72" s="123" t="s">
        <v>3733</v>
      </c>
      <c r="H72" s="39" t="s">
        <v>3734</v>
      </c>
      <c r="I72" s="39">
        <v>500</v>
      </c>
      <c r="J72" s="42">
        <v>218</v>
      </c>
      <c r="K72" s="20">
        <v>10</v>
      </c>
      <c r="L72" s="21">
        <v>10</v>
      </c>
      <c r="M72" s="21">
        <f t="shared" si="8"/>
        <v>228</v>
      </c>
      <c r="N72" s="21">
        <f t="shared" si="9"/>
        <v>272</v>
      </c>
      <c r="O72" s="26">
        <v>245</v>
      </c>
      <c r="P72" s="26"/>
      <c r="Q72" s="21"/>
      <c r="R72" s="5"/>
      <c r="S72" s="45"/>
      <c r="T72" s="44"/>
      <c r="U72" s="21">
        <f t="shared" si="10"/>
        <v>0</v>
      </c>
      <c r="V72" s="45"/>
      <c r="W72" s="78">
        <f t="shared" si="11"/>
        <v>245</v>
      </c>
      <c r="X72" s="140"/>
      <c r="Y72" s="334"/>
      <c r="Z72" s="5"/>
      <c r="AL72" s="185"/>
      <c r="AM72" s="185"/>
      <c r="AN72" s="185"/>
    </row>
    <row r="73" spans="1:40" x14ac:dyDescent="0.25">
      <c r="A73" s="143">
        <v>13</v>
      </c>
      <c r="B73" s="92">
        <v>45288</v>
      </c>
      <c r="C73" s="23">
        <v>0.41666666666666669</v>
      </c>
      <c r="D73" s="31" t="s">
        <v>1843</v>
      </c>
      <c r="E73" s="32"/>
      <c r="F73" s="32" t="s">
        <v>3737</v>
      </c>
      <c r="G73" s="32" t="s">
        <v>61</v>
      </c>
      <c r="H73" s="39" t="s">
        <v>3738</v>
      </c>
      <c r="I73" s="39">
        <v>400</v>
      </c>
      <c r="J73" s="42">
        <v>380</v>
      </c>
      <c r="K73" s="108">
        <v>20</v>
      </c>
      <c r="L73" s="21"/>
      <c r="M73" s="21">
        <f t="shared" si="8"/>
        <v>400</v>
      </c>
      <c r="N73" s="78">
        <f t="shared" si="9"/>
        <v>0</v>
      </c>
      <c r="O73" s="143"/>
      <c r="P73" s="143"/>
      <c r="Q73" s="20"/>
      <c r="R73" s="5"/>
      <c r="S73" s="43"/>
      <c r="T73" s="32"/>
      <c r="U73" s="21">
        <f t="shared" si="10"/>
        <v>0</v>
      </c>
      <c r="V73" s="43"/>
      <c r="W73" s="78">
        <f t="shared" si="11"/>
        <v>0</v>
      </c>
      <c r="X73" s="140"/>
      <c r="Y73" s="334"/>
      <c r="Z73" s="5"/>
      <c r="AJ73" s="83"/>
    </row>
    <row r="74" spans="1:40" x14ac:dyDescent="0.25">
      <c r="A74" s="143">
        <v>14</v>
      </c>
      <c r="B74" s="92">
        <v>45288</v>
      </c>
      <c r="C74" s="23"/>
      <c r="D74" s="31"/>
      <c r="E74" s="32"/>
      <c r="F74" s="32"/>
      <c r="G74" s="32"/>
      <c r="H74" s="39"/>
      <c r="I74" s="39"/>
      <c r="J74" s="42"/>
      <c r="K74" s="108">
        <v>10</v>
      </c>
      <c r="L74" s="21"/>
      <c r="M74" s="21">
        <f t="shared" si="8"/>
        <v>10</v>
      </c>
      <c r="N74" s="21">
        <f t="shared" si="9"/>
        <v>-10</v>
      </c>
      <c r="O74" s="50"/>
      <c r="P74" s="50"/>
      <c r="Q74" s="21"/>
      <c r="R74" s="5"/>
      <c r="S74" s="43"/>
      <c r="T74" s="43"/>
      <c r="U74" s="21">
        <f t="shared" si="10"/>
        <v>0</v>
      </c>
      <c r="V74" s="43"/>
      <c r="W74" s="78">
        <f t="shared" si="11"/>
        <v>0</v>
      </c>
      <c r="X74" s="140"/>
      <c r="Y74" s="334"/>
      <c r="Z74" s="5"/>
      <c r="AE74" s="5"/>
      <c r="AF74" s="5"/>
      <c r="AG74" s="5"/>
      <c r="AH74" s="5"/>
      <c r="AI74" s="5"/>
      <c r="AJ74" s="5"/>
      <c r="AK74" s="5"/>
    </row>
    <row r="75" spans="1:40" x14ac:dyDescent="0.25">
      <c r="A75" s="143">
        <v>15</v>
      </c>
      <c r="B75" s="92">
        <v>45288</v>
      </c>
      <c r="C75" s="23"/>
      <c r="D75" s="127"/>
      <c r="E75" s="32"/>
      <c r="F75" s="32"/>
      <c r="G75" s="128"/>
      <c r="H75" s="129"/>
      <c r="I75" s="39"/>
      <c r="J75" s="42"/>
      <c r="K75" s="108">
        <v>10</v>
      </c>
      <c r="L75" s="21"/>
      <c r="M75" s="21">
        <f t="shared" si="8"/>
        <v>10</v>
      </c>
      <c r="N75" s="21">
        <f t="shared" si="9"/>
        <v>-10</v>
      </c>
      <c r="O75" s="21"/>
      <c r="P75" s="21"/>
      <c r="Q75" s="21"/>
      <c r="R75" s="5"/>
      <c r="S75" s="43"/>
      <c r="T75" s="43"/>
      <c r="U75" s="21">
        <f t="shared" si="10"/>
        <v>0</v>
      </c>
      <c r="V75" s="43"/>
      <c r="W75" s="78">
        <f t="shared" si="11"/>
        <v>0</v>
      </c>
      <c r="X75" s="140"/>
      <c r="Y75" s="334"/>
      <c r="Z75" s="5"/>
      <c r="AE75" s="5"/>
      <c r="AF75" s="134" t="s">
        <v>20</v>
      </c>
      <c r="AG75" s="358">
        <f>+AJ75+AF71</f>
        <v>1714</v>
      </c>
      <c r="AH75" s="341" t="s">
        <v>686</v>
      </c>
      <c r="AI75" s="134" t="s">
        <v>20</v>
      </c>
      <c r="AJ75" s="358">
        <f>+AF70</f>
        <v>698</v>
      </c>
      <c r="AK75" s="5"/>
    </row>
    <row r="76" spans="1:40" x14ac:dyDescent="0.25">
      <c r="A76" s="143">
        <v>16</v>
      </c>
      <c r="B76" s="92">
        <v>45288</v>
      </c>
      <c r="C76" s="23"/>
      <c r="D76" s="31"/>
      <c r="E76" s="32"/>
      <c r="F76" s="32"/>
      <c r="G76" s="32"/>
      <c r="H76" s="39"/>
      <c r="I76" s="39"/>
      <c r="J76" s="42"/>
      <c r="K76" s="43">
        <v>10</v>
      </c>
      <c r="L76" s="21"/>
      <c r="M76" s="21">
        <f t="shared" si="8"/>
        <v>10</v>
      </c>
      <c r="N76" s="21">
        <f t="shared" si="9"/>
        <v>-10</v>
      </c>
      <c r="O76" s="21"/>
      <c r="P76" s="21"/>
      <c r="Q76" s="21"/>
      <c r="R76" s="5"/>
      <c r="S76" s="43"/>
      <c r="T76" s="32"/>
      <c r="U76" s="21">
        <f t="shared" si="10"/>
        <v>0</v>
      </c>
      <c r="V76" s="131"/>
      <c r="W76" s="78">
        <f t="shared" si="11"/>
        <v>0</v>
      </c>
      <c r="X76" s="140"/>
      <c r="Y76" s="334"/>
      <c r="Z76" s="5"/>
      <c r="AE76" s="5" t="s">
        <v>685</v>
      </c>
      <c r="AF76" s="115" t="s">
        <v>3676</v>
      </c>
      <c r="AG76" s="360"/>
      <c r="AH76" s="341"/>
      <c r="AI76" s="115" t="s">
        <v>684</v>
      </c>
      <c r="AJ76" s="360"/>
      <c r="AK76" s="5"/>
    </row>
    <row r="77" spans="1:40" x14ac:dyDescent="0.25">
      <c r="A77" s="143">
        <v>17</v>
      </c>
      <c r="B77" s="92">
        <v>45288</v>
      </c>
      <c r="C77" s="23"/>
      <c r="D77" s="31"/>
      <c r="E77" s="32"/>
      <c r="F77" s="32"/>
      <c r="G77" s="32"/>
      <c r="H77" s="39"/>
      <c r="I77" s="39"/>
      <c r="J77" s="42"/>
      <c r="K77" s="43">
        <v>10</v>
      </c>
      <c r="L77" s="21"/>
      <c r="M77" s="21">
        <f t="shared" si="8"/>
        <v>10</v>
      </c>
      <c r="N77" s="21">
        <f t="shared" si="9"/>
        <v>-10</v>
      </c>
      <c r="O77" s="21"/>
      <c r="P77" s="21"/>
      <c r="Q77" s="21"/>
      <c r="R77" s="5"/>
      <c r="S77" s="43"/>
      <c r="T77" s="32"/>
      <c r="U77" s="21">
        <f t="shared" si="10"/>
        <v>0</v>
      </c>
      <c r="V77" s="132"/>
      <c r="W77" s="78">
        <f t="shared" si="11"/>
        <v>0</v>
      </c>
      <c r="X77" s="140"/>
      <c r="Y77" s="340"/>
      <c r="Z77" s="5"/>
      <c r="AE77" s="5"/>
      <c r="AF77" s="5"/>
      <c r="AG77" s="5"/>
      <c r="AH77" s="5" t="s">
        <v>3677</v>
      </c>
      <c r="AI77" s="5"/>
      <c r="AJ77" s="5"/>
      <c r="AK77" s="5"/>
      <c r="AM77" t="s">
        <v>3739</v>
      </c>
      <c r="AN77" s="83">
        <f>+AJ75+AG75+AG80</f>
        <v>2817</v>
      </c>
    </row>
    <row r="78" spans="1:40" x14ac:dyDescent="0.25">
      <c r="A78" s="143">
        <v>18</v>
      </c>
      <c r="B78" s="92">
        <v>45288</v>
      </c>
      <c r="C78" s="32"/>
      <c r="D78" s="31"/>
      <c r="E78" s="32"/>
      <c r="F78" s="32"/>
      <c r="G78" s="32"/>
      <c r="H78" s="39"/>
      <c r="I78" s="39"/>
      <c r="J78" s="42"/>
      <c r="K78" s="43">
        <v>10</v>
      </c>
      <c r="L78" s="21"/>
      <c r="M78" s="21">
        <f t="shared" si="8"/>
        <v>10</v>
      </c>
      <c r="N78" s="21">
        <f t="shared" si="9"/>
        <v>-10</v>
      </c>
      <c r="O78" s="21"/>
      <c r="P78" s="21"/>
      <c r="Q78" s="21"/>
      <c r="R78" s="5"/>
      <c r="S78" s="135"/>
      <c r="T78" s="104"/>
      <c r="U78" s="21">
        <f t="shared" si="10"/>
        <v>0</v>
      </c>
      <c r="V78" s="131"/>
      <c r="W78" s="78">
        <f t="shared" si="11"/>
        <v>0</v>
      </c>
      <c r="X78" s="140"/>
      <c r="Z78" s="5"/>
    </row>
    <row r="79" spans="1:40" x14ac:dyDescent="0.25">
      <c r="A79" s="143">
        <v>19</v>
      </c>
      <c r="B79" s="92">
        <v>45288</v>
      </c>
      <c r="C79" s="32"/>
      <c r="D79" s="31"/>
      <c r="E79" s="32"/>
      <c r="F79" s="32"/>
      <c r="G79" s="32"/>
      <c r="H79" s="39"/>
      <c r="I79" s="39"/>
      <c r="J79" s="42"/>
      <c r="K79" s="43">
        <v>10</v>
      </c>
      <c r="L79" s="21"/>
      <c r="M79" s="21">
        <f t="shared" si="8"/>
        <v>10</v>
      </c>
      <c r="N79" s="21">
        <f t="shared" si="9"/>
        <v>-10</v>
      </c>
      <c r="O79" s="21"/>
      <c r="P79" s="21"/>
      <c r="Q79" s="21"/>
      <c r="R79" s="5"/>
      <c r="S79" s="32"/>
      <c r="T79" s="32"/>
      <c r="U79" s="21">
        <f t="shared" si="10"/>
        <v>0</v>
      </c>
      <c r="V79" s="32"/>
      <c r="W79" s="78">
        <f t="shared" si="11"/>
        <v>0</v>
      </c>
      <c r="X79" s="140"/>
      <c r="Z79" s="5"/>
      <c r="AE79" s="5"/>
      <c r="AF79" s="5"/>
      <c r="AG79" s="5"/>
      <c r="AH79" s="5"/>
      <c r="AI79" s="5"/>
      <c r="AJ79" s="5"/>
      <c r="AK79" s="5"/>
    </row>
    <row r="80" spans="1:40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>
        <f>+((SUM(O61:O79))-(SUM(P61:P79)))</f>
        <v>405</v>
      </c>
      <c r="Q80" s="5"/>
      <c r="R80" s="5"/>
      <c r="S80" s="5"/>
      <c r="T80" s="5"/>
      <c r="U80" s="5"/>
      <c r="V80" s="5"/>
      <c r="W80" s="5"/>
      <c r="X80" s="141"/>
      <c r="Y80" s="5"/>
      <c r="Z80" s="5"/>
      <c r="AE80" s="5"/>
      <c r="AF80" s="134" t="s">
        <v>20</v>
      </c>
      <c r="AG80" s="358">
        <f>P80</f>
        <v>405</v>
      </c>
      <c r="AH80" s="341" t="s">
        <v>687</v>
      </c>
      <c r="AI80" s="134" t="s">
        <v>20</v>
      </c>
      <c r="AJ80" s="358">
        <f>+AJ70</f>
        <v>619</v>
      </c>
      <c r="AK80" s="5"/>
    </row>
    <row r="81" spans="1:40" x14ac:dyDescent="0.25">
      <c r="AE81" s="5" t="s">
        <v>3679</v>
      </c>
      <c r="AF81" s="115" t="s">
        <v>684</v>
      </c>
      <c r="AG81" s="359"/>
      <c r="AH81" s="341"/>
      <c r="AI81" s="115" t="s">
        <v>684</v>
      </c>
      <c r="AJ81" s="360"/>
      <c r="AK81" s="5"/>
    </row>
    <row r="82" spans="1:40" x14ac:dyDescent="0.25">
      <c r="AE82" s="5"/>
      <c r="AF82" s="5"/>
      <c r="AG82" s="5"/>
      <c r="AH82" s="5" t="s">
        <v>3678</v>
      </c>
      <c r="AI82" s="5"/>
      <c r="AJ82" s="5"/>
      <c r="AK82" s="5"/>
    </row>
    <row r="84" spans="1:40" x14ac:dyDescent="0.25">
      <c r="S84">
        <v>45</v>
      </c>
      <c r="T84">
        <v>100</v>
      </c>
    </row>
    <row r="85" spans="1:40" x14ac:dyDescent="0.25">
      <c r="S85">
        <v>16</v>
      </c>
      <c r="T85">
        <v>20</v>
      </c>
    </row>
    <row r="86" spans="1:40" x14ac:dyDescent="0.25">
      <c r="T86">
        <f>+S84+S85+T84+T85+100</f>
        <v>281</v>
      </c>
      <c r="AL86" s="185"/>
      <c r="AM86" s="185"/>
      <c r="AN86" s="185"/>
    </row>
    <row r="87" spans="1:40" ht="30" x14ac:dyDescent="0.25">
      <c r="A87" s="1" t="s">
        <v>0</v>
      </c>
      <c r="B87" s="1"/>
      <c r="C87" s="1"/>
      <c r="D87" s="1"/>
      <c r="E87" s="1"/>
      <c r="F87" s="1"/>
      <c r="G87" s="1"/>
      <c r="H87" s="1"/>
      <c r="I87" s="1"/>
      <c r="J87" s="1" t="s">
        <v>148</v>
      </c>
      <c r="K87" s="1"/>
      <c r="L87" s="1"/>
      <c r="M87" s="1"/>
      <c r="N87" s="1"/>
      <c r="O87" s="363" t="s">
        <v>3679</v>
      </c>
      <c r="P87" s="363"/>
      <c r="Q87" s="1"/>
      <c r="R87" s="1"/>
      <c r="S87" s="1"/>
      <c r="T87" s="1"/>
      <c r="U87" s="5"/>
      <c r="V87" s="5"/>
      <c r="W87" s="295" t="s">
        <v>1</v>
      </c>
      <c r="X87" s="139"/>
      <c r="Y87" s="1"/>
      <c r="Z87" s="5"/>
      <c r="AE87" s="335" t="s">
        <v>160</v>
      </c>
      <c r="AF87" s="336"/>
      <c r="AI87" s="335" t="s">
        <v>170</v>
      </c>
      <c r="AJ87" s="336"/>
      <c r="AL87" s="361"/>
      <c r="AM87" s="361"/>
      <c r="AN87" s="185"/>
    </row>
    <row r="88" spans="1:40" ht="90" x14ac:dyDescent="0.25">
      <c r="A88" s="6" t="s">
        <v>2</v>
      </c>
      <c r="B88" s="7" t="s">
        <v>3</v>
      </c>
      <c r="C88" s="245" t="s">
        <v>3675</v>
      </c>
      <c r="D88" s="7" t="s">
        <v>4</v>
      </c>
      <c r="E88" s="6" t="s">
        <v>5</v>
      </c>
      <c r="F88" s="6" t="s">
        <v>6</v>
      </c>
      <c r="G88" s="6" t="s">
        <v>7</v>
      </c>
      <c r="H88" s="6" t="s">
        <v>8</v>
      </c>
      <c r="I88" s="8" t="s">
        <v>9</v>
      </c>
      <c r="J88" s="8" t="s">
        <v>10</v>
      </c>
      <c r="K88" s="8" t="s">
        <v>11</v>
      </c>
      <c r="L88" s="76" t="s">
        <v>12</v>
      </c>
      <c r="M88" s="76" t="s">
        <v>13</v>
      </c>
      <c r="N88" s="15" t="s">
        <v>14</v>
      </c>
      <c r="O88" s="15" t="s">
        <v>173</v>
      </c>
      <c r="P88" s="15" t="s">
        <v>174</v>
      </c>
      <c r="Q88" s="76" t="s">
        <v>28</v>
      </c>
      <c r="R88" s="5"/>
      <c r="S88" s="76" t="s">
        <v>16</v>
      </c>
      <c r="T88" s="76" t="s">
        <v>17</v>
      </c>
      <c r="U88" s="76" t="s">
        <v>18</v>
      </c>
      <c r="V88" s="76" t="s">
        <v>19</v>
      </c>
      <c r="W88" s="76" t="s">
        <v>20</v>
      </c>
      <c r="X88" s="13"/>
      <c r="Y88" s="15" t="s">
        <v>23</v>
      </c>
      <c r="Z88" s="5"/>
      <c r="AB88" s="251" t="s">
        <v>2554</v>
      </c>
      <c r="AD88">
        <v>20</v>
      </c>
      <c r="AE88" s="16" t="s">
        <v>161</v>
      </c>
      <c r="AF88" s="58">
        <f>+AD88*10</f>
        <v>200</v>
      </c>
      <c r="AH88">
        <v>14</v>
      </c>
      <c r="AI88" s="16" t="s">
        <v>161</v>
      </c>
      <c r="AJ88" s="58">
        <f>+AH88*10</f>
        <v>140</v>
      </c>
      <c r="AL88" s="185"/>
      <c r="AM88" s="185"/>
      <c r="AN88" s="185"/>
    </row>
    <row r="89" spans="1:40" x14ac:dyDescent="0.25">
      <c r="A89" s="16">
        <v>1</v>
      </c>
      <c r="B89" s="92">
        <v>45182</v>
      </c>
      <c r="C89" s="23">
        <v>0.4381944444444445</v>
      </c>
      <c r="D89" s="31" t="s">
        <v>3742</v>
      </c>
      <c r="E89" s="32">
        <v>5510466400</v>
      </c>
      <c r="F89" s="32" t="s">
        <v>114</v>
      </c>
      <c r="G89" s="39" t="s">
        <v>3743</v>
      </c>
      <c r="H89" s="39" t="s">
        <v>3763</v>
      </c>
      <c r="I89" s="122"/>
      <c r="J89" s="32">
        <v>87</v>
      </c>
      <c r="K89" s="20">
        <v>10</v>
      </c>
      <c r="L89" s="50"/>
      <c r="M89" s="50">
        <f t="shared" ref="M89:M107" si="12">+J89+K89</f>
        <v>97</v>
      </c>
      <c r="N89" s="50">
        <f t="shared" ref="N89:N107" si="13">+I89-M89</f>
        <v>-97</v>
      </c>
      <c r="O89" s="29">
        <v>97</v>
      </c>
      <c r="P89" s="29"/>
      <c r="Q89" s="50"/>
      <c r="R89" s="5"/>
      <c r="S89" s="50">
        <v>200</v>
      </c>
      <c r="T89" s="29"/>
      <c r="U89" s="50">
        <f t="shared" ref="U89:U107" si="14">+S89+T89</f>
        <v>200</v>
      </c>
      <c r="V89" s="50"/>
      <c r="W89" s="294">
        <f t="shared" ref="W89:W107" si="15">+V89-U89+O89+Q89</f>
        <v>-103</v>
      </c>
      <c r="X89" s="13"/>
      <c r="Y89" s="333"/>
      <c r="Z89" s="5"/>
      <c r="AD89">
        <v>74</v>
      </c>
      <c r="AE89" s="59" t="s">
        <v>162</v>
      </c>
      <c r="AF89" s="18">
        <f>+AD89*1</f>
        <v>74</v>
      </c>
      <c r="AH89">
        <v>80</v>
      </c>
      <c r="AI89" s="59" t="s">
        <v>162</v>
      </c>
      <c r="AJ89" s="18">
        <f>+AH89*1</f>
        <v>80</v>
      </c>
      <c r="AL89" s="185" t="s">
        <v>3775</v>
      </c>
      <c r="AM89" s="185"/>
      <c r="AN89" s="185"/>
    </row>
    <row r="90" spans="1:40" x14ac:dyDescent="0.25">
      <c r="A90" s="26">
        <v>2</v>
      </c>
      <c r="B90" s="92">
        <v>45182</v>
      </c>
      <c r="C90" s="23"/>
      <c r="D90" s="31" t="s">
        <v>3752</v>
      </c>
      <c r="E90" s="32"/>
      <c r="F90" s="32" t="s">
        <v>114</v>
      </c>
      <c r="G90" s="32" t="s">
        <v>3761</v>
      </c>
      <c r="H90" s="32" t="s">
        <v>3762</v>
      </c>
      <c r="I90" s="122"/>
      <c r="J90" s="32">
        <v>145</v>
      </c>
      <c r="K90" s="20">
        <v>10</v>
      </c>
      <c r="L90" s="21">
        <v>5</v>
      </c>
      <c r="M90" s="21">
        <f t="shared" si="12"/>
        <v>155</v>
      </c>
      <c r="N90" s="21">
        <f t="shared" si="13"/>
        <v>-155</v>
      </c>
      <c r="O90" s="16"/>
      <c r="P90" s="16"/>
      <c r="Q90" s="21"/>
      <c r="R90" s="5"/>
      <c r="S90" s="21">
        <v>200</v>
      </c>
      <c r="T90" s="16"/>
      <c r="U90" s="21">
        <f t="shared" si="14"/>
        <v>200</v>
      </c>
      <c r="V90" s="21">
        <v>215</v>
      </c>
      <c r="W90" s="78">
        <f t="shared" si="15"/>
        <v>15</v>
      </c>
      <c r="X90" s="140"/>
      <c r="Y90" s="334"/>
      <c r="Z90" s="5"/>
      <c r="AD90">
        <v>28</v>
      </c>
      <c r="AE90" s="16" t="s">
        <v>163</v>
      </c>
      <c r="AF90" s="60">
        <f>+AD90*5</f>
        <v>140</v>
      </c>
      <c r="AH90">
        <v>27</v>
      </c>
      <c r="AI90" s="16" t="s">
        <v>163</v>
      </c>
      <c r="AJ90" s="60">
        <f>+AH90*5</f>
        <v>135</v>
      </c>
      <c r="AL90" s="185">
        <v>802</v>
      </c>
      <c r="AM90" s="185"/>
      <c r="AN90" s="185"/>
    </row>
    <row r="91" spans="1:40" x14ac:dyDescent="0.25">
      <c r="A91" s="143">
        <v>3</v>
      </c>
      <c r="B91" s="142">
        <v>45182</v>
      </c>
      <c r="C91" s="23"/>
      <c r="D91" s="31" t="s">
        <v>1194</v>
      </c>
      <c r="E91" s="32"/>
      <c r="F91" s="32" t="s">
        <v>114</v>
      </c>
      <c r="G91" s="32" t="s">
        <v>2518</v>
      </c>
      <c r="H91" s="32" t="s">
        <v>3756</v>
      </c>
      <c r="I91" s="122"/>
      <c r="J91" s="32">
        <f>96+12</f>
        <v>108</v>
      </c>
      <c r="K91" s="20">
        <v>10</v>
      </c>
      <c r="L91" s="21"/>
      <c r="M91" s="21">
        <f t="shared" si="12"/>
        <v>118</v>
      </c>
      <c r="N91" s="21">
        <f t="shared" si="13"/>
        <v>-118</v>
      </c>
      <c r="O91" s="16"/>
      <c r="P91" s="16"/>
      <c r="Q91" s="21"/>
      <c r="R91" s="5"/>
      <c r="S91" s="21">
        <v>200</v>
      </c>
      <c r="T91" s="16"/>
      <c r="U91" s="21">
        <f t="shared" si="14"/>
        <v>200</v>
      </c>
      <c r="V91" s="21">
        <v>210</v>
      </c>
      <c r="W91" s="78">
        <f t="shared" si="15"/>
        <v>10</v>
      </c>
      <c r="X91" s="140"/>
      <c r="Y91" s="334"/>
      <c r="Z91" s="5"/>
      <c r="AE91" s="16" t="s">
        <v>164</v>
      </c>
      <c r="AF91" s="18">
        <f>+AD91*200</f>
        <v>0</v>
      </c>
      <c r="AI91" s="16" t="s">
        <v>164</v>
      </c>
      <c r="AJ91" s="18">
        <f>+AH91*200</f>
        <v>0</v>
      </c>
      <c r="AL91" s="185"/>
      <c r="AM91" s="185"/>
      <c r="AN91" s="185"/>
    </row>
    <row r="92" spans="1:40" x14ac:dyDescent="0.25">
      <c r="A92" s="143">
        <v>4</v>
      </c>
      <c r="B92" s="142">
        <v>45182</v>
      </c>
      <c r="C92" s="23"/>
      <c r="D92" s="31" t="s">
        <v>3754</v>
      </c>
      <c r="E92" s="32"/>
      <c r="F92" s="32" t="s">
        <v>3764</v>
      </c>
      <c r="G92" s="32" t="s">
        <v>3271</v>
      </c>
      <c r="H92" s="39" t="s">
        <v>3755</v>
      </c>
      <c r="I92" s="122"/>
      <c r="J92" s="32">
        <v>112</v>
      </c>
      <c r="K92" s="20">
        <v>10</v>
      </c>
      <c r="L92" s="21">
        <v>11</v>
      </c>
      <c r="M92" s="21">
        <f t="shared" si="12"/>
        <v>122</v>
      </c>
      <c r="N92" s="21">
        <f t="shared" si="13"/>
        <v>-122</v>
      </c>
      <c r="O92" s="16"/>
      <c r="P92" s="16"/>
      <c r="Q92" s="21"/>
      <c r="R92" s="5"/>
      <c r="S92" s="21"/>
      <c r="T92" s="16"/>
      <c r="U92" s="21">
        <f t="shared" si="14"/>
        <v>0</v>
      </c>
      <c r="V92" s="21">
        <v>21</v>
      </c>
      <c r="W92" s="78">
        <f t="shared" si="15"/>
        <v>21</v>
      </c>
      <c r="X92" s="140"/>
      <c r="Y92" s="334"/>
      <c r="Z92" s="5"/>
      <c r="AD92">
        <v>1</v>
      </c>
      <c r="AE92" s="16" t="s">
        <v>165</v>
      </c>
      <c r="AF92" s="18">
        <f>+AD92*100</f>
        <v>100</v>
      </c>
      <c r="AH92">
        <v>1</v>
      </c>
      <c r="AI92" s="16" t="s">
        <v>165</v>
      </c>
      <c r="AJ92" s="18">
        <f>+AH92*100</f>
        <v>100</v>
      </c>
      <c r="AL92" s="185"/>
      <c r="AM92" s="185"/>
      <c r="AN92" s="185"/>
    </row>
    <row r="93" spans="1:40" x14ac:dyDescent="0.25">
      <c r="A93" s="143">
        <v>5</v>
      </c>
      <c r="B93" s="142">
        <v>45182</v>
      </c>
      <c r="C93" s="23"/>
      <c r="D93" s="31" t="s">
        <v>3753</v>
      </c>
      <c r="E93" s="32"/>
      <c r="F93" s="32" t="s">
        <v>28</v>
      </c>
      <c r="G93" s="32" t="s">
        <v>1651</v>
      </c>
      <c r="H93" s="32" t="s">
        <v>3757</v>
      </c>
      <c r="I93" s="122"/>
      <c r="J93" s="32">
        <f>21+35+60</f>
        <v>116</v>
      </c>
      <c r="K93" s="20">
        <v>10</v>
      </c>
      <c r="L93" s="21">
        <v>10</v>
      </c>
      <c r="M93" s="21">
        <f t="shared" si="12"/>
        <v>126</v>
      </c>
      <c r="N93" s="21">
        <f t="shared" si="13"/>
        <v>-126</v>
      </c>
      <c r="O93" s="16"/>
      <c r="P93" s="16"/>
      <c r="Q93" s="21"/>
      <c r="R93" s="5"/>
      <c r="S93" s="16"/>
      <c r="T93" s="16"/>
      <c r="U93" s="21">
        <f t="shared" si="14"/>
        <v>0</v>
      </c>
      <c r="V93" s="21">
        <v>20</v>
      </c>
      <c r="W93" s="78">
        <f t="shared" si="15"/>
        <v>20</v>
      </c>
      <c r="X93" s="140"/>
      <c r="Y93" s="334"/>
      <c r="Z93" s="5"/>
      <c r="AE93" s="16" t="s">
        <v>166</v>
      </c>
      <c r="AF93" s="18">
        <f>+AD93*50</f>
        <v>0</v>
      </c>
      <c r="AH93">
        <v>1</v>
      </c>
      <c r="AI93" s="16" t="s">
        <v>166</v>
      </c>
      <c r="AJ93" s="18">
        <f>+AH93*50</f>
        <v>50</v>
      </c>
      <c r="AL93" s="185"/>
      <c r="AM93" s="185"/>
      <c r="AN93" s="185"/>
    </row>
    <row r="94" spans="1:40" x14ac:dyDescent="0.25">
      <c r="A94" s="143">
        <v>6</v>
      </c>
      <c r="B94" s="142">
        <v>45182</v>
      </c>
      <c r="C94" s="23"/>
      <c r="D94" s="31" t="s">
        <v>2483</v>
      </c>
      <c r="E94" s="32"/>
      <c r="F94" s="32" t="s">
        <v>749</v>
      </c>
      <c r="G94" s="32" t="s">
        <v>1480</v>
      </c>
      <c r="H94" s="39" t="s">
        <v>3758</v>
      </c>
      <c r="I94" s="39"/>
      <c r="J94" s="42">
        <f>21+25</f>
        <v>46</v>
      </c>
      <c r="K94" s="20">
        <v>10</v>
      </c>
      <c r="L94" s="21">
        <v>10</v>
      </c>
      <c r="M94" s="21">
        <f t="shared" si="12"/>
        <v>56</v>
      </c>
      <c r="N94" s="21">
        <f t="shared" si="13"/>
        <v>-56</v>
      </c>
      <c r="O94" s="16"/>
      <c r="P94" s="16"/>
      <c r="Q94" s="21"/>
      <c r="R94" s="5"/>
      <c r="S94" s="16"/>
      <c r="T94" s="16"/>
      <c r="U94" s="21">
        <f t="shared" si="14"/>
        <v>0</v>
      </c>
      <c r="V94" s="16">
        <v>20</v>
      </c>
      <c r="W94" s="78">
        <f t="shared" si="15"/>
        <v>20</v>
      </c>
      <c r="X94" s="140"/>
      <c r="Y94" s="334"/>
      <c r="Z94" s="5"/>
      <c r="AD94">
        <v>1</v>
      </c>
      <c r="AE94" s="16" t="s">
        <v>167</v>
      </c>
      <c r="AF94" s="18">
        <f>+AD94*20</f>
        <v>20</v>
      </c>
      <c r="AH94">
        <v>2</v>
      </c>
      <c r="AI94" s="16" t="s">
        <v>167</v>
      </c>
      <c r="AJ94" s="18">
        <f>+AH94*20</f>
        <v>40</v>
      </c>
      <c r="AL94" s="185"/>
      <c r="AM94" s="185"/>
      <c r="AN94" s="185"/>
    </row>
    <row r="95" spans="1:40" x14ac:dyDescent="0.25">
      <c r="A95" s="143">
        <v>7</v>
      </c>
      <c r="B95" s="142">
        <v>45182</v>
      </c>
      <c r="C95" s="23"/>
      <c r="D95" s="31" t="s">
        <v>2672</v>
      </c>
      <c r="E95" s="32"/>
      <c r="F95" s="32" t="s">
        <v>3612</v>
      </c>
      <c r="G95" s="32" t="s">
        <v>3760</v>
      </c>
      <c r="H95" s="39" t="s">
        <v>3759</v>
      </c>
      <c r="I95" s="122"/>
      <c r="J95" s="42">
        <v>17</v>
      </c>
      <c r="K95" s="20">
        <v>10</v>
      </c>
      <c r="L95" s="21"/>
      <c r="M95" s="21">
        <f t="shared" si="12"/>
        <v>27</v>
      </c>
      <c r="N95" s="21">
        <f t="shared" si="13"/>
        <v>-27</v>
      </c>
      <c r="O95" s="16"/>
      <c r="P95" s="16"/>
      <c r="Q95" s="21"/>
      <c r="R95" s="5"/>
      <c r="S95" s="16"/>
      <c r="T95" s="16"/>
      <c r="U95" s="21">
        <f t="shared" si="14"/>
        <v>0</v>
      </c>
      <c r="V95" s="16">
        <v>10</v>
      </c>
      <c r="W95" s="78">
        <f t="shared" si="15"/>
        <v>10</v>
      </c>
      <c r="X95" s="140"/>
      <c r="Y95" s="334"/>
      <c r="Z95" s="5"/>
      <c r="AE95" s="16" t="s">
        <v>171</v>
      </c>
      <c r="AF95" s="18">
        <f>+AD95*500</f>
        <v>0</v>
      </c>
      <c r="AI95" s="16" t="s">
        <v>171</v>
      </c>
      <c r="AJ95" s="18">
        <f>+AH95*500</f>
        <v>0</v>
      </c>
      <c r="AL95" s="185"/>
      <c r="AM95" s="185"/>
      <c r="AN95" s="185"/>
    </row>
    <row r="96" spans="1:40" x14ac:dyDescent="0.25">
      <c r="A96" s="143">
        <v>8</v>
      </c>
      <c r="B96" s="142">
        <v>45182</v>
      </c>
      <c r="C96" s="23">
        <v>0.19375000000000001</v>
      </c>
      <c r="D96" s="31" t="s">
        <v>1518</v>
      </c>
      <c r="E96" s="123"/>
      <c r="F96" s="123" t="s">
        <v>2273</v>
      </c>
      <c r="G96" s="123" t="s">
        <v>220</v>
      </c>
      <c r="H96" s="39" t="s">
        <v>379</v>
      </c>
      <c r="I96" s="122">
        <v>100</v>
      </c>
      <c r="J96" s="32">
        <v>88</v>
      </c>
      <c r="K96" s="20">
        <v>10</v>
      </c>
      <c r="L96" s="21"/>
      <c r="M96" s="21">
        <f t="shared" si="12"/>
        <v>98</v>
      </c>
      <c r="N96" s="21">
        <f t="shared" si="13"/>
        <v>2</v>
      </c>
      <c r="O96" s="16"/>
      <c r="P96" s="16"/>
      <c r="Q96" s="21"/>
      <c r="R96" s="5"/>
      <c r="S96" s="16">
        <v>200</v>
      </c>
      <c r="T96" s="16"/>
      <c r="U96" s="21">
        <f t="shared" si="14"/>
        <v>200</v>
      </c>
      <c r="V96" s="16">
        <v>210</v>
      </c>
      <c r="W96" s="78">
        <f t="shared" si="15"/>
        <v>10</v>
      </c>
      <c r="X96" s="140"/>
      <c r="Y96" s="334"/>
      <c r="Z96" s="5"/>
      <c r="AE96" s="16" t="s">
        <v>168</v>
      </c>
      <c r="AF96" s="18">
        <f>+AD96*1000</f>
        <v>0</v>
      </c>
      <c r="AI96" s="16" t="s">
        <v>168</v>
      </c>
      <c r="AJ96" s="18">
        <f>+AH96*1000</f>
        <v>0</v>
      </c>
      <c r="AL96" s="185"/>
      <c r="AM96" s="185"/>
      <c r="AN96" s="185"/>
    </row>
    <row r="97" spans="1:40" x14ac:dyDescent="0.25">
      <c r="A97" s="143">
        <v>9</v>
      </c>
      <c r="B97" s="142">
        <v>45182</v>
      </c>
      <c r="C97" s="23">
        <v>0.25</v>
      </c>
      <c r="D97" s="31" t="s">
        <v>2287</v>
      </c>
      <c r="E97" s="32"/>
      <c r="F97" s="123" t="s">
        <v>2273</v>
      </c>
      <c r="G97" s="32" t="s">
        <v>220</v>
      </c>
      <c r="H97" s="39" t="s">
        <v>379</v>
      </c>
      <c r="I97" s="39">
        <v>100</v>
      </c>
      <c r="J97" s="40">
        <v>88</v>
      </c>
      <c r="K97" s="20">
        <v>10</v>
      </c>
      <c r="L97" s="21"/>
      <c r="M97" s="21">
        <f t="shared" si="12"/>
        <v>98</v>
      </c>
      <c r="N97" s="21">
        <f t="shared" si="13"/>
        <v>2</v>
      </c>
      <c r="O97" s="16"/>
      <c r="P97" s="16"/>
      <c r="Q97" s="21"/>
      <c r="R97" s="5"/>
      <c r="S97" s="16"/>
      <c r="T97" s="16"/>
      <c r="U97" s="21">
        <f t="shared" si="14"/>
        <v>0</v>
      </c>
      <c r="V97" s="16"/>
      <c r="W97" s="78">
        <f t="shared" si="15"/>
        <v>0</v>
      </c>
      <c r="X97" s="140"/>
      <c r="Y97" s="334"/>
      <c r="Z97" s="5"/>
      <c r="AE97" s="26"/>
      <c r="AF97" s="58"/>
      <c r="AI97" s="26"/>
      <c r="AJ97" s="58"/>
      <c r="AL97" s="185"/>
      <c r="AM97" s="185"/>
      <c r="AN97" s="185"/>
    </row>
    <row r="98" spans="1:40" x14ac:dyDescent="0.25">
      <c r="A98" s="143">
        <v>10</v>
      </c>
      <c r="B98" s="142">
        <v>45182</v>
      </c>
      <c r="C98" s="23">
        <v>0.27430555555555552</v>
      </c>
      <c r="D98" s="31" t="s">
        <v>2287</v>
      </c>
      <c r="E98" s="32"/>
      <c r="F98" s="123" t="s">
        <v>2273</v>
      </c>
      <c r="G98" s="32" t="s">
        <v>220</v>
      </c>
      <c r="H98" s="39" t="s">
        <v>379</v>
      </c>
      <c r="I98" s="122">
        <v>100</v>
      </c>
      <c r="J98" s="42">
        <v>88</v>
      </c>
      <c r="K98" s="20">
        <v>10</v>
      </c>
      <c r="L98" s="21"/>
      <c r="M98" s="21">
        <f t="shared" si="12"/>
        <v>98</v>
      </c>
      <c r="N98" s="21">
        <f t="shared" si="13"/>
        <v>2</v>
      </c>
      <c r="O98" s="16">
        <v>100</v>
      </c>
      <c r="P98" s="16"/>
      <c r="Q98" s="21"/>
      <c r="R98" s="5"/>
      <c r="S98" s="16"/>
      <c r="T98" s="16"/>
      <c r="U98" s="21">
        <f t="shared" si="14"/>
        <v>0</v>
      </c>
      <c r="V98" s="16"/>
      <c r="W98" s="78">
        <f t="shared" si="15"/>
        <v>100</v>
      </c>
      <c r="X98" s="140"/>
      <c r="Y98" s="334"/>
      <c r="Z98" s="5"/>
      <c r="AE98" s="16" t="s">
        <v>169</v>
      </c>
      <c r="AF98" s="18">
        <f>SUM(AF88:AF97)</f>
        <v>534</v>
      </c>
      <c r="AI98" s="16" t="s">
        <v>169</v>
      </c>
      <c r="AJ98" s="18">
        <f>SUM(AJ88:AJ97)</f>
        <v>545</v>
      </c>
      <c r="AL98" s="185"/>
      <c r="AM98" s="185"/>
      <c r="AN98" s="185"/>
    </row>
    <row r="99" spans="1:40" x14ac:dyDescent="0.25">
      <c r="A99" s="143">
        <v>11</v>
      </c>
      <c r="B99" s="142">
        <v>45182</v>
      </c>
      <c r="C99" s="23">
        <v>0.28472222222222221</v>
      </c>
      <c r="D99" s="31" t="s">
        <v>3765</v>
      </c>
      <c r="E99" s="124"/>
      <c r="F99" s="123" t="s">
        <v>52</v>
      </c>
      <c r="G99" s="123" t="s">
        <v>220</v>
      </c>
      <c r="H99" s="39" t="s">
        <v>3767</v>
      </c>
      <c r="I99" s="122">
        <v>28</v>
      </c>
      <c r="J99" s="42">
        <v>18</v>
      </c>
      <c r="K99" s="20">
        <v>10</v>
      </c>
      <c r="L99" s="21"/>
      <c r="M99" s="21">
        <f t="shared" si="12"/>
        <v>28</v>
      </c>
      <c r="N99" s="21">
        <f t="shared" si="13"/>
        <v>0</v>
      </c>
      <c r="O99" s="16"/>
      <c r="P99" s="16"/>
      <c r="Q99" s="21"/>
      <c r="R99" s="5"/>
      <c r="S99" s="16"/>
      <c r="T99" s="16"/>
      <c r="U99" s="21">
        <f t="shared" si="14"/>
        <v>0</v>
      </c>
      <c r="V99" s="16"/>
      <c r="W99" s="78">
        <f t="shared" si="15"/>
        <v>0</v>
      </c>
      <c r="X99" s="140"/>
      <c r="Y99" s="334"/>
      <c r="Z99" s="5"/>
      <c r="AF99">
        <v>636</v>
      </c>
      <c r="AL99" s="185"/>
      <c r="AM99" s="185"/>
      <c r="AN99" s="185"/>
    </row>
    <row r="100" spans="1:40" x14ac:dyDescent="0.25">
      <c r="A100" s="143">
        <v>12</v>
      </c>
      <c r="B100" s="142">
        <v>45182</v>
      </c>
      <c r="C100" s="23">
        <v>0.29166666666666669</v>
      </c>
      <c r="D100" s="32" t="s">
        <v>344</v>
      </c>
      <c r="E100" s="32"/>
      <c r="F100" s="124" t="s">
        <v>52</v>
      </c>
      <c r="G100" s="123" t="s">
        <v>3766</v>
      </c>
      <c r="H100" s="39" t="s">
        <v>3768</v>
      </c>
      <c r="I100" s="39">
        <v>160</v>
      </c>
      <c r="J100" s="42">
        <v>145</v>
      </c>
      <c r="K100" s="20">
        <v>10</v>
      </c>
      <c r="L100" s="21"/>
      <c r="M100" s="21">
        <f t="shared" si="12"/>
        <v>155</v>
      </c>
      <c r="N100" s="21">
        <f t="shared" si="13"/>
        <v>5</v>
      </c>
      <c r="O100" s="26"/>
      <c r="P100" s="26"/>
      <c r="Q100" s="21"/>
      <c r="R100" s="5"/>
      <c r="S100" s="45"/>
      <c r="T100" s="44"/>
      <c r="U100" s="21">
        <f t="shared" si="14"/>
        <v>0</v>
      </c>
      <c r="V100" s="45"/>
      <c r="W100" s="78">
        <f t="shared" si="15"/>
        <v>0</v>
      </c>
      <c r="X100" s="140"/>
      <c r="Y100" s="334"/>
      <c r="Z100" s="5"/>
      <c r="AL100" s="185"/>
      <c r="AM100" s="185"/>
      <c r="AN100" s="185"/>
    </row>
    <row r="101" spans="1:40" x14ac:dyDescent="0.25">
      <c r="A101" s="143">
        <v>13</v>
      </c>
      <c r="B101" s="142">
        <v>45182</v>
      </c>
      <c r="C101" s="23">
        <v>0.33333333333333331</v>
      </c>
      <c r="D101" s="31" t="s">
        <v>3774</v>
      </c>
      <c r="E101" s="32"/>
      <c r="F101" s="32" t="s">
        <v>3771</v>
      </c>
      <c r="G101" s="32" t="s">
        <v>3770</v>
      </c>
      <c r="H101" s="39" t="s">
        <v>3769</v>
      </c>
      <c r="I101" s="39">
        <v>46</v>
      </c>
      <c r="J101" s="42">
        <v>36</v>
      </c>
      <c r="K101" s="108">
        <v>10</v>
      </c>
      <c r="L101" s="21"/>
      <c r="M101" s="21">
        <f t="shared" si="12"/>
        <v>46</v>
      </c>
      <c r="N101" s="78">
        <f t="shared" si="13"/>
        <v>0</v>
      </c>
      <c r="O101" s="143"/>
      <c r="P101" s="143"/>
      <c r="Q101" s="20"/>
      <c r="R101" s="5"/>
      <c r="S101" s="43"/>
      <c r="T101" s="32"/>
      <c r="U101" s="21">
        <f t="shared" si="14"/>
        <v>0</v>
      </c>
      <c r="V101" s="43"/>
      <c r="W101" s="78">
        <f t="shared" si="15"/>
        <v>0</v>
      </c>
      <c r="X101" s="140"/>
      <c r="Y101" s="334"/>
      <c r="Z101" s="5"/>
      <c r="AJ101" s="83"/>
    </row>
    <row r="102" spans="1:40" x14ac:dyDescent="0.25">
      <c r="A102" s="143">
        <v>14</v>
      </c>
      <c r="B102" s="142">
        <v>45182</v>
      </c>
      <c r="C102" s="23">
        <v>0.39583333333333331</v>
      </c>
      <c r="D102" s="31" t="s">
        <v>860</v>
      </c>
      <c r="E102" s="32"/>
      <c r="F102" s="32" t="s">
        <v>38</v>
      </c>
      <c r="G102" s="32" t="s">
        <v>3773</v>
      </c>
      <c r="H102" s="39" t="s">
        <v>3772</v>
      </c>
      <c r="I102" s="39">
        <v>182</v>
      </c>
      <c r="J102" s="42">
        <v>172</v>
      </c>
      <c r="K102" s="108">
        <v>10</v>
      </c>
      <c r="L102" s="21"/>
      <c r="M102" s="21">
        <f t="shared" si="12"/>
        <v>182</v>
      </c>
      <c r="N102" s="21">
        <f t="shared" si="13"/>
        <v>0</v>
      </c>
      <c r="O102" s="50"/>
      <c r="P102" s="50"/>
      <c r="Q102" s="21"/>
      <c r="R102" s="5"/>
      <c r="S102" s="43"/>
      <c r="T102" s="43"/>
      <c r="U102" s="21">
        <f t="shared" si="14"/>
        <v>0</v>
      </c>
      <c r="V102" s="43"/>
      <c r="W102" s="78">
        <f t="shared" si="15"/>
        <v>0</v>
      </c>
      <c r="X102" s="140"/>
      <c r="Y102" s="334"/>
      <c r="Z102" s="5"/>
      <c r="AE102" s="5"/>
      <c r="AF102" s="5"/>
      <c r="AG102" s="5"/>
      <c r="AH102" s="5"/>
      <c r="AI102" s="5"/>
      <c r="AJ102" s="5"/>
      <c r="AK102" s="5"/>
    </row>
    <row r="103" spans="1:40" x14ac:dyDescent="0.25">
      <c r="A103" s="143">
        <v>15</v>
      </c>
      <c r="B103" s="142">
        <v>45182</v>
      </c>
      <c r="C103" s="23"/>
      <c r="D103" s="127"/>
      <c r="E103" s="32"/>
      <c r="F103" s="32"/>
      <c r="G103" s="128"/>
      <c r="H103" s="129"/>
      <c r="I103" s="39"/>
      <c r="J103" s="42"/>
      <c r="K103" s="108">
        <v>10</v>
      </c>
      <c r="L103" s="21"/>
      <c r="M103" s="21">
        <f t="shared" si="12"/>
        <v>10</v>
      </c>
      <c r="N103" s="21">
        <f t="shared" si="13"/>
        <v>-10</v>
      </c>
      <c r="O103" s="21"/>
      <c r="P103" s="21"/>
      <c r="Q103" s="21"/>
      <c r="R103" s="5"/>
      <c r="S103" s="43"/>
      <c r="T103" s="43"/>
      <c r="U103" s="21">
        <f t="shared" si="14"/>
        <v>0</v>
      </c>
      <c r="V103" s="43"/>
      <c r="W103" s="78">
        <f t="shared" si="15"/>
        <v>0</v>
      </c>
      <c r="X103" s="140"/>
      <c r="Y103" s="334"/>
      <c r="Z103" s="5"/>
      <c r="AE103" s="5"/>
      <c r="AF103" s="134" t="s">
        <v>20</v>
      </c>
      <c r="AG103" s="362">
        <f>+AJ103+AF99</f>
        <v>1170</v>
      </c>
      <c r="AH103" s="341" t="s">
        <v>686</v>
      </c>
      <c r="AI103" s="134" t="s">
        <v>20</v>
      </c>
      <c r="AJ103" s="358">
        <f>+AF98</f>
        <v>534</v>
      </c>
      <c r="AK103" s="5"/>
      <c r="AL103" t="s">
        <v>3740</v>
      </c>
      <c r="AM103" s="83">
        <f>+AJ103+AG108-AG103</f>
        <v>-439</v>
      </c>
    </row>
    <row r="104" spans="1:40" x14ac:dyDescent="0.25">
      <c r="A104" s="143">
        <v>16</v>
      </c>
      <c r="B104" s="142">
        <v>45182</v>
      </c>
      <c r="C104" s="23"/>
      <c r="D104" s="31"/>
      <c r="E104" s="32"/>
      <c r="F104" s="32"/>
      <c r="G104" s="32"/>
      <c r="H104" s="39"/>
      <c r="I104" s="39"/>
      <c r="J104" s="42"/>
      <c r="K104" s="43">
        <v>10</v>
      </c>
      <c r="L104" s="21"/>
      <c r="M104" s="21">
        <f t="shared" si="12"/>
        <v>10</v>
      </c>
      <c r="N104" s="21">
        <f t="shared" si="13"/>
        <v>-10</v>
      </c>
      <c r="O104" s="21"/>
      <c r="P104" s="21"/>
      <c r="Q104" s="21"/>
      <c r="R104" s="5"/>
      <c r="S104" s="43"/>
      <c r="T104" s="32"/>
      <c r="U104" s="21">
        <f t="shared" si="14"/>
        <v>0</v>
      </c>
      <c r="V104" s="131"/>
      <c r="W104" s="78">
        <f t="shared" si="15"/>
        <v>0</v>
      </c>
      <c r="X104" s="140"/>
      <c r="Y104" s="334"/>
      <c r="Z104" s="5"/>
      <c r="AE104" s="5" t="s">
        <v>685</v>
      </c>
      <c r="AF104" s="115" t="s">
        <v>3676</v>
      </c>
      <c r="AG104" s="360"/>
      <c r="AH104" s="341"/>
      <c r="AI104" s="115" t="s">
        <v>684</v>
      </c>
      <c r="AJ104" s="360"/>
      <c r="AK104" s="5"/>
      <c r="AL104" t="s">
        <v>3741</v>
      </c>
      <c r="AM104" s="83">
        <f>+AJ108+AG108-AG103</f>
        <v>-428</v>
      </c>
    </row>
    <row r="105" spans="1:40" x14ac:dyDescent="0.25">
      <c r="A105" s="143">
        <v>17</v>
      </c>
      <c r="B105" s="142">
        <v>45182</v>
      </c>
      <c r="C105" s="23"/>
      <c r="D105" s="31"/>
      <c r="E105" s="32"/>
      <c r="F105" s="32"/>
      <c r="G105" s="32"/>
      <c r="H105" s="39"/>
      <c r="I105" s="39"/>
      <c r="J105" s="42"/>
      <c r="K105" s="43">
        <v>10</v>
      </c>
      <c r="L105" s="21"/>
      <c r="M105" s="21">
        <f t="shared" si="12"/>
        <v>10</v>
      </c>
      <c r="N105" s="21">
        <f t="shared" si="13"/>
        <v>-10</v>
      </c>
      <c r="O105" s="21"/>
      <c r="P105" s="21"/>
      <c r="Q105" s="21"/>
      <c r="R105" s="5"/>
      <c r="S105" s="43"/>
      <c r="T105" s="32"/>
      <c r="U105" s="21">
        <f t="shared" si="14"/>
        <v>0</v>
      </c>
      <c r="V105" s="132"/>
      <c r="W105" s="78">
        <f t="shared" si="15"/>
        <v>0</v>
      </c>
      <c r="X105" s="140"/>
      <c r="Y105" s="340"/>
      <c r="Z105" s="5"/>
      <c r="AE105" s="5"/>
      <c r="AF105" s="5"/>
      <c r="AG105" s="5"/>
      <c r="AH105" s="5" t="s">
        <v>3677</v>
      </c>
      <c r="AI105" s="5"/>
      <c r="AJ105" s="5"/>
      <c r="AK105" s="5"/>
    </row>
    <row r="106" spans="1:40" x14ac:dyDescent="0.25">
      <c r="A106" s="143">
        <v>18</v>
      </c>
      <c r="B106" s="142">
        <v>45182</v>
      </c>
      <c r="C106" s="32"/>
      <c r="D106" s="31"/>
      <c r="E106" s="32"/>
      <c r="F106" s="32"/>
      <c r="G106" s="32"/>
      <c r="H106" s="39"/>
      <c r="I106" s="39"/>
      <c r="J106" s="42"/>
      <c r="K106" s="43">
        <v>10</v>
      </c>
      <c r="L106" s="21"/>
      <c r="M106" s="21">
        <f t="shared" si="12"/>
        <v>10</v>
      </c>
      <c r="N106" s="21">
        <f t="shared" si="13"/>
        <v>-10</v>
      </c>
      <c r="O106" s="21"/>
      <c r="P106" s="21"/>
      <c r="Q106" s="21"/>
      <c r="R106" s="5"/>
      <c r="S106" s="135"/>
      <c r="T106" s="104"/>
      <c r="U106" s="21">
        <f t="shared" si="14"/>
        <v>0</v>
      </c>
      <c r="V106" s="131"/>
      <c r="W106" s="78">
        <f t="shared" si="15"/>
        <v>0</v>
      </c>
      <c r="X106" s="140"/>
      <c r="Z106" s="5"/>
    </row>
    <row r="107" spans="1:40" x14ac:dyDescent="0.25">
      <c r="A107" s="143">
        <v>19</v>
      </c>
      <c r="B107" s="142">
        <v>45182</v>
      </c>
      <c r="C107" s="32"/>
      <c r="D107" s="31"/>
      <c r="E107" s="32"/>
      <c r="F107" s="32"/>
      <c r="G107" s="32"/>
      <c r="H107" s="39"/>
      <c r="I107" s="39"/>
      <c r="J107" s="42"/>
      <c r="K107" s="43">
        <v>10</v>
      </c>
      <c r="L107" s="21"/>
      <c r="M107" s="21">
        <f t="shared" si="12"/>
        <v>10</v>
      </c>
      <c r="N107" s="21">
        <f t="shared" si="13"/>
        <v>-10</v>
      </c>
      <c r="O107" s="21"/>
      <c r="P107" s="21"/>
      <c r="Q107" s="21"/>
      <c r="R107" s="5"/>
      <c r="S107" s="32"/>
      <c r="T107" s="32"/>
      <c r="U107" s="21">
        <f t="shared" si="14"/>
        <v>0</v>
      </c>
      <c r="V107" s="32"/>
      <c r="W107" s="78">
        <f t="shared" si="15"/>
        <v>0</v>
      </c>
      <c r="X107" s="140"/>
      <c r="Z107" s="5"/>
      <c r="AE107" s="5"/>
      <c r="AF107" s="5"/>
      <c r="AG107" s="5"/>
      <c r="AH107" s="5"/>
      <c r="AI107" s="5"/>
      <c r="AJ107" s="5"/>
      <c r="AK107" s="5"/>
    </row>
    <row r="108" spans="1:40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>
        <f>+((SUM(O89:O107))-(SUM(P89:P107)))</f>
        <v>197</v>
      </c>
      <c r="Q108" s="5"/>
      <c r="R108" s="5"/>
      <c r="S108" s="5"/>
      <c r="T108" s="5"/>
      <c r="U108" s="5"/>
      <c r="V108" s="5"/>
      <c r="W108" s="5"/>
      <c r="X108" s="141"/>
      <c r="Y108" s="5"/>
      <c r="Z108" s="5"/>
      <c r="AE108" s="5"/>
      <c r="AF108" s="134" t="s">
        <v>20</v>
      </c>
      <c r="AG108" s="358">
        <f>P108</f>
        <v>197</v>
      </c>
      <c r="AH108" s="341" t="s">
        <v>687</v>
      </c>
      <c r="AI108" s="134" t="s">
        <v>20</v>
      </c>
      <c r="AJ108" s="358">
        <f>+AJ98</f>
        <v>545</v>
      </c>
      <c r="AK108" s="5"/>
    </row>
    <row r="109" spans="1:40" x14ac:dyDescent="0.25">
      <c r="AE109" s="5" t="s">
        <v>3679</v>
      </c>
      <c r="AF109" s="115" t="s">
        <v>684</v>
      </c>
      <c r="AG109" s="359"/>
      <c r="AH109" s="341"/>
      <c r="AI109" s="115" t="s">
        <v>684</v>
      </c>
      <c r="AJ109" s="360"/>
      <c r="AK109" s="5"/>
    </row>
    <row r="110" spans="1:40" x14ac:dyDescent="0.25">
      <c r="AE110" s="5"/>
      <c r="AF110" s="5"/>
      <c r="AG110" s="5"/>
      <c r="AH110" s="5" t="s">
        <v>3678</v>
      </c>
      <c r="AI110" s="5"/>
      <c r="AJ110" s="5"/>
      <c r="AK110" s="5"/>
    </row>
  </sheetData>
  <mergeCells count="44">
    <mergeCell ref="T3:U3"/>
    <mergeCell ref="AD3:AE3"/>
    <mergeCell ref="AH3:AI3"/>
    <mergeCell ref="AK3:AL3"/>
    <mergeCell ref="O59:P59"/>
    <mergeCell ref="AE59:AF59"/>
    <mergeCell ref="AI59:AJ59"/>
    <mergeCell ref="AL59:AM59"/>
    <mergeCell ref="AL29:AM29"/>
    <mergeCell ref="Y31:Y47"/>
    <mergeCell ref="AG45:AG46"/>
    <mergeCell ref="AH45:AH46"/>
    <mergeCell ref="AJ45:AJ46"/>
    <mergeCell ref="AG50:AG51"/>
    <mergeCell ref="AH50:AH51"/>
    <mergeCell ref="AJ50:AJ51"/>
    <mergeCell ref="AN3:AO3"/>
    <mergeCell ref="X5:X21"/>
    <mergeCell ref="AF19:AF20"/>
    <mergeCell ref="AG19:AG20"/>
    <mergeCell ref="AI19:AI20"/>
    <mergeCell ref="AJ19:AJ20"/>
    <mergeCell ref="AL19:AL20"/>
    <mergeCell ref="O29:P29"/>
    <mergeCell ref="AE29:AF29"/>
    <mergeCell ref="AI29:AJ29"/>
    <mergeCell ref="O87:P87"/>
    <mergeCell ref="AE87:AF87"/>
    <mergeCell ref="AI87:AJ87"/>
    <mergeCell ref="Y61:Y77"/>
    <mergeCell ref="AG75:AG76"/>
    <mergeCell ref="AH75:AH76"/>
    <mergeCell ref="AJ75:AJ76"/>
    <mergeCell ref="AG80:AG81"/>
    <mergeCell ref="AH80:AH81"/>
    <mergeCell ref="AJ80:AJ81"/>
    <mergeCell ref="AG108:AG109"/>
    <mergeCell ref="AH108:AH109"/>
    <mergeCell ref="AJ108:AJ109"/>
    <mergeCell ref="AL87:AM87"/>
    <mergeCell ref="Y89:Y105"/>
    <mergeCell ref="AG103:AG104"/>
    <mergeCell ref="AH103:AH104"/>
    <mergeCell ref="AJ103:AJ10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2"/>
  <sheetViews>
    <sheetView topLeftCell="K140" workbookViewId="0">
      <selection activeCell="W152" sqref="W152"/>
    </sheetView>
  </sheetViews>
  <sheetFormatPr baseColWidth="10" defaultRowHeight="15" x14ac:dyDescent="0.25"/>
  <cols>
    <col min="3" max="3" width="12.5703125" bestFit="1" customWidth="1"/>
    <col min="5" max="5" width="14.5703125" bestFit="1" customWidth="1"/>
    <col min="18" max="18" width="11.85546875" bestFit="1" customWidth="1"/>
  </cols>
  <sheetData>
    <row r="1" spans="1:40" x14ac:dyDescent="0.25">
      <c r="V1">
        <f>114+150</f>
        <v>264</v>
      </c>
      <c r="AL1" s="185"/>
      <c r="AM1" s="185"/>
      <c r="AN1" s="185"/>
    </row>
    <row r="2" spans="1:40" ht="30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 t="s">
        <v>148</v>
      </c>
      <c r="K2" s="1"/>
      <c r="L2" s="1"/>
      <c r="M2" s="1"/>
      <c r="N2" s="1"/>
      <c r="O2" s="363" t="s">
        <v>3679</v>
      </c>
      <c r="P2" s="363"/>
      <c r="Q2" s="1"/>
      <c r="R2" s="1"/>
      <c r="S2" s="1"/>
      <c r="T2" s="1"/>
      <c r="U2" s="5"/>
      <c r="V2" s="5"/>
      <c r="W2" s="295" t="s">
        <v>1</v>
      </c>
      <c r="X2" s="139"/>
      <c r="Y2" s="1"/>
      <c r="Z2" s="5"/>
      <c r="AE2" s="335" t="s">
        <v>160</v>
      </c>
      <c r="AF2" s="336"/>
      <c r="AI2" s="335" t="s">
        <v>170</v>
      </c>
      <c r="AJ2" s="336"/>
      <c r="AL2" s="361"/>
      <c r="AM2" s="361"/>
      <c r="AN2" s="185"/>
    </row>
    <row r="3" spans="1:40" ht="90" x14ac:dyDescent="0.25">
      <c r="A3" s="6" t="s">
        <v>2</v>
      </c>
      <c r="B3" s="7" t="s">
        <v>3</v>
      </c>
      <c r="C3" s="245" t="s">
        <v>3675</v>
      </c>
      <c r="D3" s="7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8" t="s">
        <v>9</v>
      </c>
      <c r="J3" s="8" t="s">
        <v>10</v>
      </c>
      <c r="K3" s="8" t="s">
        <v>11</v>
      </c>
      <c r="L3" s="76" t="s">
        <v>12</v>
      </c>
      <c r="M3" s="76" t="s">
        <v>13</v>
      </c>
      <c r="N3" s="15" t="s">
        <v>14</v>
      </c>
      <c r="O3" s="15" t="s">
        <v>173</v>
      </c>
      <c r="P3" s="15" t="s">
        <v>174</v>
      </c>
      <c r="Q3" s="76" t="s">
        <v>28</v>
      </c>
      <c r="R3" s="5"/>
      <c r="S3" s="76" t="s">
        <v>16</v>
      </c>
      <c r="T3" s="76" t="s">
        <v>17</v>
      </c>
      <c r="U3" s="76" t="s">
        <v>18</v>
      </c>
      <c r="V3" s="76" t="s">
        <v>19</v>
      </c>
      <c r="W3" s="76" t="s">
        <v>20</v>
      </c>
      <c r="X3" s="13"/>
      <c r="Y3" s="15" t="s">
        <v>23</v>
      </c>
      <c r="Z3" s="5"/>
      <c r="AB3" s="251" t="s">
        <v>2554</v>
      </c>
      <c r="AE3" s="16" t="s">
        <v>161</v>
      </c>
      <c r="AF3" s="58">
        <f>+AD3*10</f>
        <v>0</v>
      </c>
      <c r="AH3">
        <v>10</v>
      </c>
      <c r="AI3" s="16" t="s">
        <v>161</v>
      </c>
      <c r="AJ3" s="58">
        <f>+AH3*10</f>
        <v>100</v>
      </c>
      <c r="AL3" s="185"/>
      <c r="AM3" s="185"/>
      <c r="AN3" s="185"/>
    </row>
    <row r="4" spans="1:40" x14ac:dyDescent="0.25">
      <c r="A4" s="16">
        <v>1</v>
      </c>
      <c r="B4" s="92">
        <v>44928</v>
      </c>
      <c r="C4" s="23">
        <v>0.51388888888888895</v>
      </c>
      <c r="D4" s="31" t="s">
        <v>3791</v>
      </c>
      <c r="E4" s="309">
        <v>5537809805</v>
      </c>
      <c r="F4" s="32" t="s">
        <v>3792</v>
      </c>
      <c r="G4" s="31" t="s">
        <v>3791</v>
      </c>
      <c r="H4" s="39" t="s">
        <v>3793</v>
      </c>
      <c r="I4" s="122">
        <v>200</v>
      </c>
      <c r="J4" s="32">
        <v>166</v>
      </c>
      <c r="K4" s="20">
        <v>10</v>
      </c>
      <c r="L4" s="50">
        <v>14</v>
      </c>
      <c r="M4" s="50">
        <f t="shared" ref="M4:M22" si="0">+J4+K4</f>
        <v>176</v>
      </c>
      <c r="N4" s="50">
        <f t="shared" ref="N4:N22" si="1">+I4-M4</f>
        <v>24</v>
      </c>
      <c r="O4" s="29"/>
      <c r="P4" s="29">
        <v>114</v>
      </c>
      <c r="Q4" s="50"/>
      <c r="R4" s="5"/>
      <c r="S4" s="50">
        <v>120</v>
      </c>
      <c r="T4" s="29"/>
      <c r="U4" s="50">
        <f t="shared" ref="U4:U22" si="2">+S4+T4</f>
        <v>120</v>
      </c>
      <c r="V4" s="50">
        <v>270</v>
      </c>
      <c r="W4" s="294">
        <f>+V4-U4+O4+Q4-P4</f>
        <v>36</v>
      </c>
      <c r="X4" s="13"/>
      <c r="Y4" s="333"/>
      <c r="Z4" s="5"/>
      <c r="AD4">
        <v>4</v>
      </c>
      <c r="AE4" s="59" t="s">
        <v>162</v>
      </c>
      <c r="AF4" s="18">
        <f>+AD4*1</f>
        <v>4</v>
      </c>
      <c r="AH4">
        <v>21</v>
      </c>
      <c r="AI4" s="59" t="s">
        <v>162</v>
      </c>
      <c r="AJ4" s="18">
        <f>+AH4*1</f>
        <v>21</v>
      </c>
      <c r="AL4" s="185"/>
      <c r="AM4" s="185"/>
      <c r="AN4" s="185"/>
    </row>
    <row r="5" spans="1:40" x14ac:dyDescent="0.25">
      <c r="A5" s="26">
        <v>2</v>
      </c>
      <c r="B5" s="92">
        <v>44928</v>
      </c>
      <c r="C5" s="23">
        <v>0.25</v>
      </c>
      <c r="D5" s="31" t="s">
        <v>2974</v>
      </c>
      <c r="E5" s="32">
        <v>5564121405</v>
      </c>
      <c r="F5" s="32" t="s">
        <v>3796</v>
      </c>
      <c r="G5" s="32" t="s">
        <v>3795</v>
      </c>
      <c r="H5" s="39" t="s">
        <v>3794</v>
      </c>
      <c r="I5" s="122">
        <v>232</v>
      </c>
      <c r="J5" s="32">
        <v>202</v>
      </c>
      <c r="K5" s="20">
        <v>10</v>
      </c>
      <c r="L5" s="21">
        <v>10</v>
      </c>
      <c r="M5" s="21">
        <f t="shared" si="0"/>
        <v>212</v>
      </c>
      <c r="N5" s="21">
        <f t="shared" si="1"/>
        <v>20</v>
      </c>
      <c r="O5" s="16"/>
      <c r="P5" s="16"/>
      <c r="Q5" s="21"/>
      <c r="R5" s="5"/>
      <c r="S5" s="21"/>
      <c r="T5" s="16"/>
      <c r="U5" s="21">
        <f t="shared" si="2"/>
        <v>0</v>
      </c>
      <c r="V5" s="21"/>
      <c r="W5" s="294">
        <f t="shared" ref="W5:W22" si="3">+V5-U5+O5+Q5-P5</f>
        <v>0</v>
      </c>
      <c r="X5" s="140"/>
      <c r="Y5" s="334"/>
      <c r="Z5" s="5"/>
      <c r="AB5" t="s">
        <v>3805</v>
      </c>
      <c r="AD5">
        <v>2</v>
      </c>
      <c r="AE5" s="16" t="s">
        <v>163</v>
      </c>
      <c r="AF5" s="60">
        <f>+AD5*5</f>
        <v>10</v>
      </c>
      <c r="AH5">
        <v>9</v>
      </c>
      <c r="AI5" s="16" t="s">
        <v>163</v>
      </c>
      <c r="AJ5" s="60">
        <f>+AH5*5</f>
        <v>45</v>
      </c>
      <c r="AL5" s="185"/>
      <c r="AM5" s="185"/>
      <c r="AN5" s="185"/>
    </row>
    <row r="6" spans="1:40" x14ac:dyDescent="0.25">
      <c r="A6" s="143">
        <v>3</v>
      </c>
      <c r="B6" s="92">
        <v>44928</v>
      </c>
      <c r="C6" s="23">
        <v>0.32430555555555557</v>
      </c>
      <c r="D6" s="31" t="s">
        <v>3799</v>
      </c>
      <c r="E6" s="32">
        <v>5553181275</v>
      </c>
      <c r="F6" s="32" t="s">
        <v>134</v>
      </c>
      <c r="G6" s="32" t="s">
        <v>3798</v>
      </c>
      <c r="H6" s="39" t="s">
        <v>3797</v>
      </c>
      <c r="I6" s="122">
        <v>200</v>
      </c>
      <c r="J6" s="32">
        <v>74</v>
      </c>
      <c r="K6" s="20">
        <v>12</v>
      </c>
      <c r="L6" s="21"/>
      <c r="M6" s="21">
        <f t="shared" si="0"/>
        <v>86</v>
      </c>
      <c r="N6" s="21">
        <f t="shared" si="1"/>
        <v>114</v>
      </c>
      <c r="O6" s="16"/>
      <c r="P6" s="16"/>
      <c r="Q6" s="21"/>
      <c r="R6" s="5"/>
      <c r="S6" s="21"/>
      <c r="T6" s="16"/>
      <c r="U6" s="21">
        <f t="shared" si="2"/>
        <v>0</v>
      </c>
      <c r="V6" s="21"/>
      <c r="W6" s="294">
        <f t="shared" si="3"/>
        <v>0</v>
      </c>
      <c r="X6" s="140"/>
      <c r="Y6" s="334"/>
      <c r="Z6" s="5"/>
      <c r="AB6" t="s">
        <v>3804</v>
      </c>
      <c r="AD6">
        <v>1</v>
      </c>
      <c r="AE6" s="16" t="s">
        <v>164</v>
      </c>
      <c r="AF6" s="18">
        <f>+AD6*200</f>
        <v>200</v>
      </c>
      <c r="AI6" s="16" t="s">
        <v>164</v>
      </c>
      <c r="AJ6" s="18">
        <f>+AH6*200</f>
        <v>0</v>
      </c>
      <c r="AL6" s="185"/>
      <c r="AM6" s="185"/>
      <c r="AN6" s="185"/>
    </row>
    <row r="7" spans="1:40" x14ac:dyDescent="0.25">
      <c r="A7" s="143">
        <v>4</v>
      </c>
      <c r="B7" s="92">
        <v>44928</v>
      </c>
      <c r="C7" s="23">
        <v>0.32430555555555557</v>
      </c>
      <c r="D7" s="31" t="s">
        <v>2486</v>
      </c>
      <c r="E7" s="32">
        <v>5520873875</v>
      </c>
      <c r="F7" s="32" t="s">
        <v>52</v>
      </c>
      <c r="G7" s="32" t="s">
        <v>388</v>
      </c>
      <c r="H7" s="39" t="s">
        <v>3800</v>
      </c>
      <c r="I7" s="122">
        <v>100</v>
      </c>
      <c r="J7" s="32">
        <v>87</v>
      </c>
      <c r="K7" s="20">
        <v>12</v>
      </c>
      <c r="L7" s="21">
        <v>1</v>
      </c>
      <c r="M7" s="21">
        <f t="shared" si="0"/>
        <v>99</v>
      </c>
      <c r="N7" s="21">
        <f t="shared" si="1"/>
        <v>1</v>
      </c>
      <c r="O7" s="16"/>
      <c r="P7" s="16"/>
      <c r="Q7" s="21"/>
      <c r="R7" s="5"/>
      <c r="S7" s="21"/>
      <c r="T7" s="16"/>
      <c r="U7" s="21">
        <f t="shared" si="2"/>
        <v>0</v>
      </c>
      <c r="V7" s="21"/>
      <c r="W7" s="294">
        <f t="shared" si="3"/>
        <v>0</v>
      </c>
      <c r="X7" s="140"/>
      <c r="Y7" s="334"/>
      <c r="Z7" s="5"/>
      <c r="AD7">
        <v>2</v>
      </c>
      <c r="AE7" s="16" t="s">
        <v>165</v>
      </c>
      <c r="AF7" s="18">
        <f>+AD7*100</f>
        <v>200</v>
      </c>
      <c r="AI7" s="16" t="s">
        <v>165</v>
      </c>
      <c r="AJ7" s="18">
        <f>+AH7*100</f>
        <v>0</v>
      </c>
      <c r="AL7" s="185"/>
      <c r="AM7" s="185"/>
      <c r="AN7" s="185"/>
    </row>
    <row r="8" spans="1:40" x14ac:dyDescent="0.25">
      <c r="A8" s="143">
        <v>5</v>
      </c>
      <c r="B8" s="92">
        <v>44928</v>
      </c>
      <c r="C8" s="23">
        <v>0.33333333333333331</v>
      </c>
      <c r="D8" s="31" t="s">
        <v>3034</v>
      </c>
      <c r="E8" s="32">
        <v>5624436149</v>
      </c>
      <c r="F8" s="32" t="s">
        <v>28</v>
      </c>
      <c r="G8" s="32" t="s">
        <v>3040</v>
      </c>
      <c r="H8" s="32" t="s">
        <v>3801</v>
      </c>
      <c r="I8" s="122">
        <v>150</v>
      </c>
      <c r="J8" s="32">
        <v>132</v>
      </c>
      <c r="K8" s="20">
        <v>12</v>
      </c>
      <c r="L8" s="21">
        <v>8</v>
      </c>
      <c r="M8" s="21">
        <f t="shared" si="0"/>
        <v>144</v>
      </c>
      <c r="N8" s="21">
        <v>0</v>
      </c>
      <c r="O8" s="16"/>
      <c r="P8" s="16"/>
      <c r="Q8" s="21"/>
      <c r="R8" s="5"/>
      <c r="S8" s="16"/>
      <c r="T8" s="16"/>
      <c r="U8" s="21">
        <f t="shared" si="2"/>
        <v>0</v>
      </c>
      <c r="V8" s="21"/>
      <c r="W8" s="294">
        <f t="shared" si="3"/>
        <v>0</v>
      </c>
      <c r="X8" s="140"/>
      <c r="Y8" s="334"/>
      <c r="Z8" s="5"/>
      <c r="AD8">
        <v>1</v>
      </c>
      <c r="AE8" s="16" t="s">
        <v>166</v>
      </c>
      <c r="AF8" s="18">
        <f>+AD8*50</f>
        <v>50</v>
      </c>
      <c r="AH8">
        <v>3</v>
      </c>
      <c r="AI8" s="16" t="s">
        <v>166</v>
      </c>
      <c r="AJ8" s="18">
        <f>+AH8*50</f>
        <v>150</v>
      </c>
      <c r="AK8" t="s">
        <v>3806</v>
      </c>
      <c r="AL8" s="185"/>
      <c r="AM8" s="185"/>
      <c r="AN8" s="185"/>
    </row>
    <row r="9" spans="1:40" x14ac:dyDescent="0.25">
      <c r="A9" s="143">
        <v>6</v>
      </c>
      <c r="B9" s="92">
        <v>44928</v>
      </c>
      <c r="C9" s="23">
        <v>0.40277777777777773</v>
      </c>
      <c r="D9" s="31" t="s">
        <v>105</v>
      </c>
      <c r="E9" s="32">
        <v>5564436783</v>
      </c>
      <c r="F9" s="32" t="s">
        <v>134</v>
      </c>
      <c r="G9" s="32" t="s">
        <v>3155</v>
      </c>
      <c r="H9" s="39" t="s">
        <v>3802</v>
      </c>
      <c r="I9" s="39">
        <v>116</v>
      </c>
      <c r="J9" s="42">
        <v>106</v>
      </c>
      <c r="K9" s="20">
        <v>10</v>
      </c>
      <c r="L9" s="21"/>
      <c r="M9" s="21">
        <f t="shared" si="0"/>
        <v>116</v>
      </c>
      <c r="N9" s="21">
        <f t="shared" si="1"/>
        <v>0</v>
      </c>
      <c r="O9" s="16"/>
      <c r="P9" s="16"/>
      <c r="Q9" s="21"/>
      <c r="R9" s="5"/>
      <c r="S9" s="16"/>
      <c r="T9" s="16"/>
      <c r="U9" s="21">
        <f t="shared" si="2"/>
        <v>0</v>
      </c>
      <c r="V9" s="16"/>
      <c r="W9" s="294">
        <f t="shared" si="3"/>
        <v>0</v>
      </c>
      <c r="X9" s="140"/>
      <c r="Y9" s="334"/>
      <c r="Z9" s="5"/>
      <c r="AE9" s="16" t="s">
        <v>167</v>
      </c>
      <c r="AF9" s="18">
        <f>+AD9*20</f>
        <v>0</v>
      </c>
      <c r="AH9">
        <v>1</v>
      </c>
      <c r="AI9" s="16" t="s">
        <v>167</v>
      </c>
      <c r="AJ9" s="18">
        <f>+AH9*20</f>
        <v>20</v>
      </c>
      <c r="AL9" s="185"/>
      <c r="AM9" s="185"/>
      <c r="AN9" s="185"/>
    </row>
    <row r="10" spans="1:40" x14ac:dyDescent="0.25">
      <c r="A10" s="143">
        <v>7</v>
      </c>
      <c r="B10" s="92">
        <v>44928</v>
      </c>
      <c r="C10" s="23">
        <v>0.41666666666666669</v>
      </c>
      <c r="D10" s="31" t="s">
        <v>3544</v>
      </c>
      <c r="E10" s="32">
        <v>55276144858</v>
      </c>
      <c r="F10" s="32" t="s">
        <v>134</v>
      </c>
      <c r="G10" s="32" t="s">
        <v>3165</v>
      </c>
      <c r="H10" s="39" t="s">
        <v>3803</v>
      </c>
      <c r="I10" s="122">
        <v>170</v>
      </c>
      <c r="J10" s="42">
        <v>158</v>
      </c>
      <c r="K10" s="20">
        <v>12</v>
      </c>
      <c r="L10" s="21"/>
      <c r="M10" s="21">
        <f t="shared" si="0"/>
        <v>170</v>
      </c>
      <c r="N10" s="21">
        <f t="shared" si="1"/>
        <v>0</v>
      </c>
      <c r="O10" s="16">
        <v>100</v>
      </c>
      <c r="P10" s="16"/>
      <c r="Q10" s="21"/>
      <c r="R10" s="5"/>
      <c r="S10" s="16"/>
      <c r="T10" s="16"/>
      <c r="U10" s="21">
        <f t="shared" si="2"/>
        <v>0</v>
      </c>
      <c r="V10" s="16"/>
      <c r="W10" s="294">
        <f t="shared" si="3"/>
        <v>100</v>
      </c>
      <c r="X10" s="140"/>
      <c r="Y10" s="334"/>
      <c r="Z10" s="5"/>
      <c r="AE10" s="16" t="s">
        <v>171</v>
      </c>
      <c r="AF10" s="18">
        <f>+AD10*500</f>
        <v>0</v>
      </c>
      <c r="AI10" s="16" t="s">
        <v>171</v>
      </c>
      <c r="AJ10" s="18">
        <f>+AH10*500</f>
        <v>0</v>
      </c>
      <c r="AL10" s="185"/>
      <c r="AM10" s="185"/>
      <c r="AN10" s="185"/>
    </row>
    <row r="11" spans="1:40" x14ac:dyDescent="0.25">
      <c r="A11" s="143">
        <v>8</v>
      </c>
      <c r="B11" s="92">
        <v>44928</v>
      </c>
      <c r="C11" s="23"/>
      <c r="D11" s="31"/>
      <c r="E11" s="123"/>
      <c r="F11" s="123"/>
      <c r="G11" s="123"/>
      <c r="H11" s="39"/>
      <c r="I11" s="122"/>
      <c r="J11" s="32"/>
      <c r="K11" s="20">
        <v>10</v>
      </c>
      <c r="L11" s="21"/>
      <c r="M11" s="21">
        <f t="shared" si="0"/>
        <v>10</v>
      </c>
      <c r="N11" s="21">
        <f t="shared" si="1"/>
        <v>-10</v>
      </c>
      <c r="O11" s="16"/>
      <c r="P11" s="16"/>
      <c r="Q11" s="21"/>
      <c r="R11" s="5"/>
      <c r="S11" s="16"/>
      <c r="T11" s="16"/>
      <c r="U11" s="21">
        <f t="shared" si="2"/>
        <v>0</v>
      </c>
      <c r="V11" s="16"/>
      <c r="W11" s="294">
        <f t="shared" si="3"/>
        <v>0</v>
      </c>
      <c r="X11" s="140"/>
      <c r="Y11" s="334"/>
      <c r="Z11" s="5"/>
      <c r="AE11" s="16" t="s">
        <v>168</v>
      </c>
      <c r="AF11" s="18">
        <f>+AD11*1000</f>
        <v>0</v>
      </c>
      <c r="AI11" s="16" t="s">
        <v>168</v>
      </c>
      <c r="AJ11" s="18">
        <f>+AH11*1000</f>
        <v>0</v>
      </c>
      <c r="AL11" s="185"/>
      <c r="AM11" s="185"/>
      <c r="AN11" s="185"/>
    </row>
    <row r="12" spans="1:40" x14ac:dyDescent="0.25">
      <c r="A12" s="143">
        <v>9</v>
      </c>
      <c r="B12" s="92">
        <v>44928</v>
      </c>
      <c r="C12" s="23"/>
      <c r="D12" s="31"/>
      <c r="E12" s="32"/>
      <c r="F12" s="32"/>
      <c r="G12" s="32"/>
      <c r="H12" s="39"/>
      <c r="I12" s="39"/>
      <c r="J12" s="40"/>
      <c r="K12" s="20">
        <v>10</v>
      </c>
      <c r="L12" s="21"/>
      <c r="M12" s="21">
        <f t="shared" si="0"/>
        <v>10</v>
      </c>
      <c r="N12" s="21">
        <f t="shared" si="1"/>
        <v>-10</v>
      </c>
      <c r="O12" s="16"/>
      <c r="P12" s="16"/>
      <c r="Q12" s="21"/>
      <c r="R12" s="5"/>
      <c r="S12" s="16"/>
      <c r="T12" s="16"/>
      <c r="U12" s="21">
        <f t="shared" si="2"/>
        <v>0</v>
      </c>
      <c r="V12" s="16"/>
      <c r="W12" s="294">
        <f t="shared" si="3"/>
        <v>0</v>
      </c>
      <c r="X12" s="140"/>
      <c r="Y12" s="334"/>
      <c r="Z12" s="5"/>
      <c r="AE12" s="26"/>
      <c r="AF12" s="58"/>
      <c r="AI12" s="26"/>
      <c r="AJ12" s="58"/>
      <c r="AL12" s="185"/>
      <c r="AM12" s="185"/>
      <c r="AN12" s="185"/>
    </row>
    <row r="13" spans="1:40" x14ac:dyDescent="0.25">
      <c r="A13" s="143">
        <v>10</v>
      </c>
      <c r="B13" s="92">
        <v>44928</v>
      </c>
      <c r="C13" s="23"/>
      <c r="D13" s="31"/>
      <c r="E13" s="32"/>
      <c r="F13" s="32"/>
      <c r="G13" s="32"/>
      <c r="H13" s="39"/>
      <c r="I13" s="122"/>
      <c r="J13" s="42"/>
      <c r="K13" s="20">
        <v>10</v>
      </c>
      <c r="L13" s="21"/>
      <c r="M13" s="21">
        <f t="shared" si="0"/>
        <v>10</v>
      </c>
      <c r="N13" s="21">
        <f t="shared" si="1"/>
        <v>-10</v>
      </c>
      <c r="O13" s="16"/>
      <c r="P13" s="16"/>
      <c r="Q13" s="21"/>
      <c r="R13" s="5"/>
      <c r="S13" s="16"/>
      <c r="T13" s="16"/>
      <c r="U13" s="21">
        <f t="shared" si="2"/>
        <v>0</v>
      </c>
      <c r="V13" s="16"/>
      <c r="W13" s="294">
        <f t="shared" si="3"/>
        <v>0</v>
      </c>
      <c r="X13" s="140"/>
      <c r="Y13" s="334"/>
      <c r="Z13" s="5"/>
      <c r="AE13" s="16" t="s">
        <v>169</v>
      </c>
      <c r="AF13" s="18">
        <f>SUM(AF3:AF12)</f>
        <v>464</v>
      </c>
      <c r="AI13" s="16" t="s">
        <v>169</v>
      </c>
      <c r="AJ13" s="18">
        <f>SUM(AJ3:AJ12)</f>
        <v>336</v>
      </c>
      <c r="AL13" s="185"/>
      <c r="AM13" s="185"/>
      <c r="AN13" s="185"/>
    </row>
    <row r="14" spans="1:40" x14ac:dyDescent="0.25">
      <c r="A14" s="143">
        <v>11</v>
      </c>
      <c r="B14" s="92">
        <v>44928</v>
      </c>
      <c r="C14" s="23"/>
      <c r="D14" s="31"/>
      <c r="E14" s="124"/>
      <c r="F14" s="123"/>
      <c r="G14" s="123"/>
      <c r="H14" s="39"/>
      <c r="I14" s="122"/>
      <c r="J14" s="42"/>
      <c r="K14" s="20">
        <v>10</v>
      </c>
      <c r="L14" s="21"/>
      <c r="M14" s="21">
        <f t="shared" si="0"/>
        <v>10</v>
      </c>
      <c r="N14" s="21">
        <f t="shared" si="1"/>
        <v>-10</v>
      </c>
      <c r="O14" s="16"/>
      <c r="P14" s="16"/>
      <c r="Q14" s="21"/>
      <c r="R14" s="5"/>
      <c r="S14" s="16"/>
      <c r="T14" s="16"/>
      <c r="U14" s="21">
        <f t="shared" si="2"/>
        <v>0</v>
      </c>
      <c r="V14" s="16"/>
      <c r="W14" s="294">
        <f t="shared" si="3"/>
        <v>0</v>
      </c>
      <c r="X14" s="140"/>
      <c r="Y14" s="334"/>
      <c r="Z14" s="5"/>
      <c r="AF14">
        <v>333</v>
      </c>
      <c r="AL14" s="185"/>
      <c r="AM14" s="185"/>
      <c r="AN14" s="185"/>
    </row>
    <row r="15" spans="1:40" x14ac:dyDescent="0.25">
      <c r="A15" s="143">
        <v>12</v>
      </c>
      <c r="B15" s="92">
        <v>44928</v>
      </c>
      <c r="C15" s="23"/>
      <c r="D15" s="32"/>
      <c r="E15" s="32"/>
      <c r="F15" s="124"/>
      <c r="G15" s="123"/>
      <c r="H15" s="39"/>
      <c r="I15" s="39"/>
      <c r="J15" s="42"/>
      <c r="K15" s="20">
        <v>10</v>
      </c>
      <c r="L15" s="21"/>
      <c r="M15" s="21">
        <f t="shared" si="0"/>
        <v>10</v>
      </c>
      <c r="N15" s="21">
        <f t="shared" si="1"/>
        <v>-10</v>
      </c>
      <c r="O15" s="26"/>
      <c r="P15" s="26"/>
      <c r="Q15" s="21"/>
      <c r="R15" s="5"/>
      <c r="S15" s="45"/>
      <c r="T15" s="44"/>
      <c r="U15" s="21">
        <f t="shared" si="2"/>
        <v>0</v>
      </c>
      <c r="V15" s="45"/>
      <c r="W15" s="294">
        <f t="shared" si="3"/>
        <v>0</v>
      </c>
      <c r="X15" s="140"/>
      <c r="Y15" s="334"/>
      <c r="Z15" s="5"/>
      <c r="AL15" s="185"/>
      <c r="AM15" s="185"/>
      <c r="AN15" s="185"/>
    </row>
    <row r="16" spans="1:40" x14ac:dyDescent="0.25">
      <c r="A16" s="143">
        <v>13</v>
      </c>
      <c r="B16" s="92">
        <v>44928</v>
      </c>
      <c r="C16" s="23"/>
      <c r="D16" s="31"/>
      <c r="E16" s="32"/>
      <c r="F16" s="32"/>
      <c r="G16" s="32"/>
      <c r="H16" s="39"/>
      <c r="I16" s="39"/>
      <c r="J16" s="42"/>
      <c r="K16" s="108">
        <v>10</v>
      </c>
      <c r="L16" s="21"/>
      <c r="M16" s="21">
        <f t="shared" si="0"/>
        <v>10</v>
      </c>
      <c r="N16" s="78">
        <f t="shared" si="1"/>
        <v>-10</v>
      </c>
      <c r="O16" s="143"/>
      <c r="P16" s="143"/>
      <c r="Q16" s="20"/>
      <c r="R16" s="5"/>
      <c r="S16" s="43"/>
      <c r="T16" s="32"/>
      <c r="U16" s="21">
        <f t="shared" si="2"/>
        <v>0</v>
      </c>
      <c r="V16" s="43"/>
      <c r="W16" s="294">
        <f t="shared" si="3"/>
        <v>0</v>
      </c>
      <c r="X16" s="140"/>
      <c r="Y16" s="334"/>
      <c r="Z16" s="5"/>
      <c r="AJ16" s="83"/>
    </row>
    <row r="17" spans="1:43" x14ac:dyDescent="0.25">
      <c r="A17" s="143">
        <v>14</v>
      </c>
      <c r="B17" s="92">
        <v>44928</v>
      </c>
      <c r="C17" s="23"/>
      <c r="D17" s="31"/>
      <c r="E17" s="32"/>
      <c r="F17" s="32"/>
      <c r="G17" s="32"/>
      <c r="H17" s="39"/>
      <c r="I17" s="39"/>
      <c r="J17" s="42"/>
      <c r="K17" s="108">
        <v>10</v>
      </c>
      <c r="L17" s="21"/>
      <c r="M17" s="21">
        <f t="shared" si="0"/>
        <v>10</v>
      </c>
      <c r="N17" s="21">
        <f t="shared" si="1"/>
        <v>-10</v>
      </c>
      <c r="O17" s="50"/>
      <c r="P17" s="50"/>
      <c r="Q17" s="21"/>
      <c r="R17" s="5"/>
      <c r="S17" s="43"/>
      <c r="T17" s="43"/>
      <c r="U17" s="21">
        <f t="shared" si="2"/>
        <v>0</v>
      </c>
      <c r="V17" s="43"/>
      <c r="W17" s="294">
        <f t="shared" si="3"/>
        <v>0</v>
      </c>
      <c r="X17" s="140"/>
      <c r="Y17" s="334"/>
      <c r="Z17" s="5"/>
      <c r="AE17" s="5"/>
      <c r="AF17" s="5"/>
      <c r="AG17" s="5"/>
      <c r="AH17" s="5"/>
      <c r="AI17" s="5"/>
      <c r="AJ17" s="5"/>
      <c r="AK17" s="5"/>
    </row>
    <row r="18" spans="1:43" x14ac:dyDescent="0.25">
      <c r="A18" s="143">
        <v>15</v>
      </c>
      <c r="B18" s="92">
        <v>44928</v>
      </c>
      <c r="C18" s="23"/>
      <c r="D18" s="127"/>
      <c r="E18" s="32"/>
      <c r="F18" s="32"/>
      <c r="G18" s="128"/>
      <c r="H18" s="129"/>
      <c r="I18" s="39"/>
      <c r="J18" s="42"/>
      <c r="K18" s="108">
        <v>10</v>
      </c>
      <c r="L18" s="21"/>
      <c r="M18" s="21">
        <f t="shared" si="0"/>
        <v>10</v>
      </c>
      <c r="N18" s="21">
        <f t="shared" si="1"/>
        <v>-10</v>
      </c>
      <c r="O18" s="21"/>
      <c r="P18" s="21"/>
      <c r="Q18" s="21"/>
      <c r="R18" s="5"/>
      <c r="S18" s="43"/>
      <c r="T18" s="43"/>
      <c r="U18" s="21">
        <f t="shared" si="2"/>
        <v>0</v>
      </c>
      <c r="V18" s="43"/>
      <c r="W18" s="294">
        <f t="shared" si="3"/>
        <v>0</v>
      </c>
      <c r="X18" s="140"/>
      <c r="Y18" s="334"/>
      <c r="Z18" s="5"/>
      <c r="AE18" s="5"/>
      <c r="AF18" s="134" t="s">
        <v>20</v>
      </c>
      <c r="AG18" s="362">
        <f>+AJ18+AF14</f>
        <v>797</v>
      </c>
      <c r="AH18" s="341" t="s">
        <v>686</v>
      </c>
      <c r="AI18" s="134" t="s">
        <v>20</v>
      </c>
      <c r="AJ18" s="358">
        <f>+AF13</f>
        <v>464</v>
      </c>
      <c r="AK18" s="5"/>
    </row>
    <row r="19" spans="1:43" x14ac:dyDescent="0.25">
      <c r="A19" s="143">
        <v>16</v>
      </c>
      <c r="B19" s="92">
        <v>44928</v>
      </c>
      <c r="C19" s="23"/>
      <c r="D19" s="31"/>
      <c r="E19" s="32"/>
      <c r="F19" s="32"/>
      <c r="G19" s="32"/>
      <c r="H19" s="39"/>
      <c r="I19" s="39"/>
      <c r="J19" s="42"/>
      <c r="K19" s="43">
        <v>10</v>
      </c>
      <c r="L19" s="21"/>
      <c r="M19" s="21">
        <f t="shared" si="0"/>
        <v>10</v>
      </c>
      <c r="N19" s="21">
        <f t="shared" si="1"/>
        <v>-10</v>
      </c>
      <c r="O19" s="21"/>
      <c r="P19" s="21"/>
      <c r="Q19" s="21"/>
      <c r="R19" s="5"/>
      <c r="S19" s="43"/>
      <c r="T19" s="32"/>
      <c r="U19" s="21">
        <f t="shared" si="2"/>
        <v>0</v>
      </c>
      <c r="V19" s="131"/>
      <c r="W19" s="294">
        <f t="shared" si="3"/>
        <v>0</v>
      </c>
      <c r="X19" s="140"/>
      <c r="Y19" s="334"/>
      <c r="Z19" s="5"/>
      <c r="AE19" s="5" t="s">
        <v>685</v>
      </c>
      <c r="AF19" s="115" t="s">
        <v>3676</v>
      </c>
      <c r="AG19" s="360"/>
      <c r="AH19" s="341"/>
      <c r="AI19" s="115" t="s">
        <v>684</v>
      </c>
      <c r="AJ19" s="360"/>
      <c r="AK19" s="5"/>
    </row>
    <row r="20" spans="1:43" x14ac:dyDescent="0.25">
      <c r="A20" s="143">
        <v>17</v>
      </c>
      <c r="B20" s="92">
        <v>44928</v>
      </c>
      <c r="C20" s="23"/>
      <c r="D20" s="31"/>
      <c r="E20" s="32"/>
      <c r="F20" s="32"/>
      <c r="G20" s="32"/>
      <c r="H20" s="39"/>
      <c r="I20" s="39"/>
      <c r="J20" s="42"/>
      <c r="K20" s="43">
        <v>10</v>
      </c>
      <c r="L20" s="21"/>
      <c r="M20" s="21">
        <f t="shared" si="0"/>
        <v>10</v>
      </c>
      <c r="N20" s="21">
        <f t="shared" si="1"/>
        <v>-10</v>
      </c>
      <c r="O20" s="21"/>
      <c r="P20" s="21"/>
      <c r="Q20" s="21"/>
      <c r="R20" s="5"/>
      <c r="S20" s="43"/>
      <c r="T20" s="32"/>
      <c r="U20" s="21">
        <f t="shared" si="2"/>
        <v>0</v>
      </c>
      <c r="V20" s="132"/>
      <c r="W20" s="294">
        <f t="shared" si="3"/>
        <v>0</v>
      </c>
      <c r="X20" s="140"/>
      <c r="Y20" s="340"/>
      <c r="Z20" s="5"/>
      <c r="AE20" s="5"/>
      <c r="AF20" s="5"/>
      <c r="AG20" s="5"/>
      <c r="AH20" s="5" t="s">
        <v>3677</v>
      </c>
      <c r="AI20" s="5"/>
      <c r="AJ20" s="5"/>
      <c r="AK20" s="5"/>
    </row>
    <row r="21" spans="1:43" x14ac:dyDescent="0.25">
      <c r="A21" s="143">
        <v>18</v>
      </c>
      <c r="B21" s="92">
        <v>44928</v>
      </c>
      <c r="C21" s="32"/>
      <c r="D21" s="31"/>
      <c r="E21" s="32"/>
      <c r="F21" s="32"/>
      <c r="G21" s="32"/>
      <c r="H21" s="39"/>
      <c r="I21" s="39"/>
      <c r="J21" s="42"/>
      <c r="K21" s="43">
        <v>10</v>
      </c>
      <c r="L21" s="21"/>
      <c r="M21" s="21">
        <f t="shared" si="0"/>
        <v>10</v>
      </c>
      <c r="N21" s="21">
        <f t="shared" si="1"/>
        <v>-10</v>
      </c>
      <c r="O21" s="21"/>
      <c r="P21" s="21"/>
      <c r="Q21" s="21"/>
      <c r="R21" s="5"/>
      <c r="S21" s="135"/>
      <c r="T21" s="104"/>
      <c r="U21" s="21">
        <f t="shared" si="2"/>
        <v>0</v>
      </c>
      <c r="V21" s="131"/>
      <c r="W21" s="294">
        <f t="shared" si="3"/>
        <v>0</v>
      </c>
      <c r="X21" s="140"/>
      <c r="Z21" s="5"/>
    </row>
    <row r="22" spans="1:43" x14ac:dyDescent="0.25">
      <c r="A22" s="143">
        <v>19</v>
      </c>
      <c r="B22" s="92">
        <v>44928</v>
      </c>
      <c r="C22" s="32"/>
      <c r="D22" s="31"/>
      <c r="E22" s="32"/>
      <c r="F22" s="32"/>
      <c r="G22" s="32"/>
      <c r="H22" s="39"/>
      <c r="I22" s="39"/>
      <c r="J22" s="42"/>
      <c r="K22" s="43">
        <v>10</v>
      </c>
      <c r="L22" s="21"/>
      <c r="M22" s="21">
        <f t="shared" si="0"/>
        <v>10</v>
      </c>
      <c r="N22" s="21">
        <f t="shared" si="1"/>
        <v>-10</v>
      </c>
      <c r="O22" s="21"/>
      <c r="P22" s="21"/>
      <c r="Q22" s="21"/>
      <c r="R22" s="5"/>
      <c r="S22" s="32"/>
      <c r="T22" s="32"/>
      <c r="U22" s="21">
        <f t="shared" si="2"/>
        <v>0</v>
      </c>
      <c r="V22" s="32"/>
      <c r="W22" s="294">
        <f t="shared" si="3"/>
        <v>0</v>
      </c>
      <c r="X22" s="140"/>
      <c r="Z22" s="5"/>
      <c r="AE22" s="5"/>
      <c r="AF22" s="5"/>
      <c r="AG22" s="5"/>
      <c r="AH22" s="5"/>
      <c r="AI22" s="5"/>
      <c r="AJ22" s="5"/>
      <c r="AK22" s="5"/>
    </row>
    <row r="23" spans="1:4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>
        <f>+((SUM(O4:O22))-(SUM(P4:P22)))</f>
        <v>-14</v>
      </c>
      <c r="Q23" s="5"/>
      <c r="R23" s="5"/>
      <c r="S23" s="5"/>
      <c r="T23" s="5"/>
      <c r="U23" s="5"/>
      <c r="V23" s="5"/>
      <c r="W23" s="5"/>
      <c r="X23" s="141"/>
      <c r="Y23" s="5"/>
      <c r="Z23" s="5"/>
      <c r="AE23" s="5"/>
      <c r="AF23" s="134" t="s">
        <v>20</v>
      </c>
      <c r="AG23" s="358">
        <f>P23</f>
        <v>-14</v>
      </c>
      <c r="AH23" s="341" t="s">
        <v>687</v>
      </c>
      <c r="AI23" s="134" t="s">
        <v>20</v>
      </c>
      <c r="AJ23" s="358">
        <f>+AJ13</f>
        <v>336</v>
      </c>
      <c r="AK23" s="5"/>
    </row>
    <row r="24" spans="1:43" x14ac:dyDescent="0.25">
      <c r="AE24" s="5" t="s">
        <v>3679</v>
      </c>
      <c r="AF24" s="115" t="s">
        <v>684</v>
      </c>
      <c r="AG24" s="359"/>
      <c r="AH24" s="341"/>
      <c r="AI24" s="115" t="s">
        <v>684</v>
      </c>
      <c r="AJ24" s="360"/>
      <c r="AK24" s="5"/>
    </row>
    <row r="25" spans="1:43" x14ac:dyDescent="0.25">
      <c r="AE25" s="5"/>
      <c r="AF25" s="5"/>
      <c r="AG25" s="5"/>
      <c r="AH25" s="5" t="s">
        <v>3678</v>
      </c>
      <c r="AI25" s="5"/>
      <c r="AJ25" s="5"/>
      <c r="AK25" s="5"/>
    </row>
    <row r="28" spans="1:43" x14ac:dyDescent="0.25">
      <c r="AL28" s="185"/>
      <c r="AM28" s="185"/>
      <c r="AN28" s="185"/>
      <c r="AO28" s="185"/>
      <c r="AP28" s="185"/>
      <c r="AQ28" s="185"/>
    </row>
    <row r="29" spans="1:43" ht="30" x14ac:dyDescent="0.25">
      <c r="A29" s="1" t="s">
        <v>0</v>
      </c>
      <c r="B29" s="1"/>
      <c r="C29" s="1"/>
      <c r="D29" s="1"/>
      <c r="E29" s="1"/>
      <c r="F29" s="1"/>
      <c r="G29" s="1"/>
      <c r="H29" s="1"/>
      <c r="I29" s="1"/>
      <c r="J29" s="1" t="s">
        <v>148</v>
      </c>
      <c r="K29" s="1"/>
      <c r="L29" s="1"/>
      <c r="M29" s="1"/>
      <c r="N29" s="1"/>
      <c r="O29" s="363" t="s">
        <v>3679</v>
      </c>
      <c r="P29" s="363"/>
      <c r="Q29" s="1"/>
      <c r="R29" s="1"/>
      <c r="S29" s="1"/>
      <c r="T29" s="1"/>
      <c r="U29" s="5"/>
      <c r="V29" s="5"/>
      <c r="W29" s="295" t="s">
        <v>1</v>
      </c>
      <c r="X29" s="139"/>
      <c r="Y29" s="1"/>
      <c r="Z29" s="5"/>
      <c r="AE29" s="335" t="s">
        <v>160</v>
      </c>
      <c r="AF29" s="336"/>
      <c r="AI29" s="335" t="s">
        <v>170</v>
      </c>
      <c r="AJ29" s="336"/>
      <c r="AM29" s="315" t="s">
        <v>173</v>
      </c>
      <c r="AN29" s="316" t="s">
        <v>174</v>
      </c>
      <c r="AO29" s="361"/>
      <c r="AP29" s="361"/>
      <c r="AQ29" s="185"/>
    </row>
    <row r="30" spans="1:43" ht="90" x14ac:dyDescent="0.25">
      <c r="A30" s="6" t="s">
        <v>2</v>
      </c>
      <c r="B30" s="7" t="s">
        <v>3</v>
      </c>
      <c r="C30" s="245" t="s">
        <v>3675</v>
      </c>
      <c r="D30" s="7" t="s">
        <v>4</v>
      </c>
      <c r="E30" s="6" t="s">
        <v>5</v>
      </c>
      <c r="F30" s="6" t="s">
        <v>6</v>
      </c>
      <c r="G30" s="6" t="s">
        <v>7</v>
      </c>
      <c r="H30" s="6" t="s">
        <v>8</v>
      </c>
      <c r="I30" s="8" t="s">
        <v>9</v>
      </c>
      <c r="J30" s="8" t="s">
        <v>10</v>
      </c>
      <c r="K30" s="8" t="s">
        <v>11</v>
      </c>
      <c r="L30" s="76" t="s">
        <v>12</v>
      </c>
      <c r="M30" s="76" t="s">
        <v>13</v>
      </c>
      <c r="N30" s="15" t="s">
        <v>14</v>
      </c>
      <c r="O30" s="15" t="s">
        <v>173</v>
      </c>
      <c r="P30" s="15" t="s">
        <v>174</v>
      </c>
      <c r="Q30" s="76" t="s">
        <v>28</v>
      </c>
      <c r="R30" s="5"/>
      <c r="S30" s="76" t="s">
        <v>16</v>
      </c>
      <c r="T30" s="76" t="s">
        <v>17</v>
      </c>
      <c r="U30" s="76" t="s">
        <v>18</v>
      </c>
      <c r="V30" s="76" t="s">
        <v>19</v>
      </c>
      <c r="W30" s="76" t="s">
        <v>20</v>
      </c>
      <c r="X30" s="13"/>
      <c r="Y30" s="15" t="s">
        <v>23</v>
      </c>
      <c r="Z30" s="5"/>
      <c r="AB30" s="251" t="s">
        <v>2554</v>
      </c>
      <c r="AD30">
        <v>10</v>
      </c>
      <c r="AE30" s="16" t="s">
        <v>161</v>
      </c>
      <c r="AF30" s="58">
        <f>+AD30*10</f>
        <v>100</v>
      </c>
      <c r="AH30">
        <v>10</v>
      </c>
      <c r="AI30" s="16" t="s">
        <v>161</v>
      </c>
      <c r="AJ30" s="58">
        <f>+AH30*10</f>
        <v>100</v>
      </c>
      <c r="AM30" s="16"/>
      <c r="AN30" s="58"/>
      <c r="AO30" s="185"/>
      <c r="AP30" s="296"/>
      <c r="AQ30" s="185"/>
    </row>
    <row r="31" spans="1:43" x14ac:dyDescent="0.25">
      <c r="A31" s="16">
        <v>1</v>
      </c>
      <c r="B31" s="92">
        <v>45294</v>
      </c>
      <c r="C31" s="23">
        <v>0.43472222222222223</v>
      </c>
      <c r="D31" s="31" t="s">
        <v>3823</v>
      </c>
      <c r="E31" s="32">
        <v>5539182910</v>
      </c>
      <c r="F31" s="32" t="s">
        <v>114</v>
      </c>
      <c r="G31" s="39" t="s">
        <v>3819</v>
      </c>
      <c r="H31" s="39" t="s">
        <v>3815</v>
      </c>
      <c r="I31" s="122"/>
      <c r="J31" s="32">
        <v>126</v>
      </c>
      <c r="K31" s="20">
        <v>10</v>
      </c>
      <c r="L31" s="50">
        <v>24</v>
      </c>
      <c r="M31" s="50">
        <f t="shared" ref="M31:M49" si="4">+J31+K31</f>
        <v>136</v>
      </c>
      <c r="N31" s="50">
        <f t="shared" ref="N31:N49" si="5">+I31-M31</f>
        <v>-136</v>
      </c>
      <c r="O31" s="29"/>
      <c r="P31" s="29"/>
      <c r="Q31" s="50"/>
      <c r="R31" s="5"/>
      <c r="S31" s="50">
        <v>250</v>
      </c>
      <c r="T31" s="29"/>
      <c r="U31" s="50">
        <f t="shared" ref="U31:U49" si="6">+S31+T31</f>
        <v>250</v>
      </c>
      <c r="V31" s="50">
        <v>284</v>
      </c>
      <c r="W31" s="294">
        <f>+V31-U31+O31+Q31-P31</f>
        <v>34</v>
      </c>
      <c r="X31" s="13"/>
      <c r="Y31" s="333"/>
      <c r="Z31" s="5"/>
      <c r="AD31">
        <v>20</v>
      </c>
      <c r="AE31" s="59" t="s">
        <v>162</v>
      </c>
      <c r="AF31" s="18">
        <f>+AD31*1</f>
        <v>20</v>
      </c>
      <c r="AH31">
        <v>43</v>
      </c>
      <c r="AI31" s="59" t="s">
        <v>162</v>
      </c>
      <c r="AJ31" s="18">
        <f>+AH31*1</f>
        <v>43</v>
      </c>
      <c r="AM31" s="59">
        <v>100</v>
      </c>
      <c r="AN31" s="18">
        <v>500</v>
      </c>
      <c r="AO31" s="185"/>
      <c r="AP31" s="296"/>
      <c r="AQ31" s="185"/>
    </row>
    <row r="32" spans="1:43" x14ac:dyDescent="0.25">
      <c r="A32" s="26">
        <v>2</v>
      </c>
      <c r="B32" s="92">
        <v>45294</v>
      </c>
      <c r="C32" s="23">
        <v>0.53125</v>
      </c>
      <c r="D32" s="31" t="s">
        <v>3319</v>
      </c>
      <c r="E32" s="32">
        <v>5560555623</v>
      </c>
      <c r="F32" s="32" t="s">
        <v>242</v>
      </c>
      <c r="G32" s="32" t="s">
        <v>3817</v>
      </c>
      <c r="H32" s="39" t="s">
        <v>3813</v>
      </c>
      <c r="I32" s="122"/>
      <c r="J32" s="32">
        <f>76+67</f>
        <v>143</v>
      </c>
      <c r="K32" s="20">
        <v>10</v>
      </c>
      <c r="L32" s="21"/>
      <c r="M32" s="21">
        <f t="shared" si="4"/>
        <v>153</v>
      </c>
      <c r="N32" s="21">
        <f t="shared" si="5"/>
        <v>-153</v>
      </c>
      <c r="O32" s="16"/>
      <c r="P32" s="16"/>
      <c r="Q32" s="21"/>
      <c r="R32" s="5"/>
      <c r="S32" s="21">
        <v>200</v>
      </c>
      <c r="T32" s="16"/>
      <c r="U32" s="21">
        <f t="shared" si="6"/>
        <v>200</v>
      </c>
      <c r="V32" s="21">
        <v>210</v>
      </c>
      <c r="W32" s="294">
        <f t="shared" ref="W32:W49" si="7">+V32-U32+O32+Q32-P32</f>
        <v>10</v>
      </c>
      <c r="X32" s="140"/>
      <c r="Y32" s="334"/>
      <c r="Z32" s="5"/>
      <c r="AD32">
        <v>9</v>
      </c>
      <c r="AE32" s="16" t="s">
        <v>163</v>
      </c>
      <c r="AF32" s="60">
        <f>+AD32*5</f>
        <v>45</v>
      </c>
      <c r="AH32">
        <v>27</v>
      </c>
      <c r="AI32" s="16" t="s">
        <v>163</v>
      </c>
      <c r="AJ32" s="60">
        <f>+AH32*5</f>
        <v>135</v>
      </c>
      <c r="AM32" s="16"/>
      <c r="AN32" s="60"/>
      <c r="AO32" s="185"/>
      <c r="AP32" s="296"/>
      <c r="AQ32" s="185"/>
    </row>
    <row r="33" spans="1:43" x14ac:dyDescent="0.25">
      <c r="A33" s="197">
        <v>3</v>
      </c>
      <c r="B33" s="198">
        <v>45294</v>
      </c>
      <c r="C33" s="255">
        <v>5537803548</v>
      </c>
      <c r="D33" s="199" t="s">
        <v>2644</v>
      </c>
      <c r="E33" s="207">
        <v>5537803548</v>
      </c>
      <c r="F33" s="207" t="s">
        <v>3816</v>
      </c>
      <c r="G33" s="207" t="s">
        <v>3818</v>
      </c>
      <c r="H33" s="202" t="s">
        <v>3814</v>
      </c>
      <c r="I33" s="203"/>
      <c r="J33" s="207">
        <v>269</v>
      </c>
      <c r="K33" s="205">
        <v>10</v>
      </c>
      <c r="L33" s="206"/>
      <c r="M33" s="206">
        <f t="shared" si="4"/>
        <v>279</v>
      </c>
      <c r="N33" s="206">
        <f t="shared" si="5"/>
        <v>-279</v>
      </c>
      <c r="O33" s="209">
        <v>300</v>
      </c>
      <c r="P33" s="209"/>
      <c r="Q33" s="206"/>
      <c r="R33" s="208"/>
      <c r="S33" s="206">
        <v>300</v>
      </c>
      <c r="T33" s="209"/>
      <c r="U33" s="206">
        <f t="shared" si="6"/>
        <v>300</v>
      </c>
      <c r="V33" s="206">
        <v>31</v>
      </c>
      <c r="W33" s="314">
        <f t="shared" si="7"/>
        <v>31</v>
      </c>
      <c r="X33" s="140"/>
      <c r="Y33" s="334"/>
      <c r="Z33" s="5"/>
      <c r="AE33" s="16" t="s">
        <v>164</v>
      </c>
      <c r="AF33" s="18">
        <f>+AD33*200</f>
        <v>0</v>
      </c>
      <c r="AI33" s="16" t="s">
        <v>164</v>
      </c>
      <c r="AJ33" s="18">
        <f>+AH33*200</f>
        <v>0</v>
      </c>
      <c r="AM33" s="16"/>
      <c r="AN33" s="18"/>
      <c r="AO33" s="185"/>
      <c r="AP33" s="296"/>
      <c r="AQ33" s="185"/>
    </row>
    <row r="34" spans="1:43" x14ac:dyDescent="0.25">
      <c r="A34" s="143">
        <v>4</v>
      </c>
      <c r="B34" s="92">
        <v>45294</v>
      </c>
      <c r="C34" s="23"/>
      <c r="D34" s="31" t="s">
        <v>2478</v>
      </c>
      <c r="E34" s="32"/>
      <c r="F34" s="32" t="s">
        <v>28</v>
      </c>
      <c r="G34" s="32" t="s">
        <v>1350</v>
      </c>
      <c r="H34" s="39" t="s">
        <v>3821</v>
      </c>
      <c r="I34" s="122"/>
      <c r="J34" s="32">
        <v>59</v>
      </c>
      <c r="K34" s="20">
        <v>10</v>
      </c>
      <c r="L34" s="21"/>
      <c r="M34" s="21">
        <f t="shared" si="4"/>
        <v>69</v>
      </c>
      <c r="N34" s="21">
        <f t="shared" si="5"/>
        <v>-69</v>
      </c>
      <c r="O34" s="16"/>
      <c r="P34" s="16"/>
      <c r="Q34" s="21">
        <v>241</v>
      </c>
      <c r="R34" s="5"/>
      <c r="S34" s="21"/>
      <c r="T34" s="16"/>
      <c r="U34" s="21">
        <f t="shared" si="6"/>
        <v>0</v>
      </c>
      <c r="V34" s="21"/>
      <c r="W34" s="294">
        <f t="shared" si="7"/>
        <v>241</v>
      </c>
      <c r="X34" s="140"/>
      <c r="Y34" s="334"/>
      <c r="Z34" s="5"/>
      <c r="AE34" s="16" t="s">
        <v>165</v>
      </c>
      <c r="AF34" s="18">
        <f>+AD34*100</f>
        <v>0</v>
      </c>
      <c r="AH34">
        <v>1</v>
      </c>
      <c r="AI34" s="16" t="s">
        <v>165</v>
      </c>
      <c r="AJ34" s="18">
        <f>+AH34*100</f>
        <v>100</v>
      </c>
      <c r="AM34" s="16"/>
      <c r="AN34" s="18"/>
      <c r="AO34" s="185"/>
      <c r="AP34" s="296"/>
      <c r="AQ34" s="185"/>
    </row>
    <row r="35" spans="1:43" x14ac:dyDescent="0.25">
      <c r="A35" s="143">
        <v>5</v>
      </c>
      <c r="B35" s="92">
        <v>45294</v>
      </c>
      <c r="C35" s="23">
        <v>0.62708333333333333</v>
      </c>
      <c r="D35" s="31" t="s">
        <v>255</v>
      </c>
      <c r="E35" s="32">
        <v>5625982564</v>
      </c>
      <c r="F35" s="32" t="s">
        <v>3822</v>
      </c>
      <c r="G35" s="32" t="s">
        <v>1651</v>
      </c>
      <c r="H35" s="32" t="s">
        <v>3820</v>
      </c>
      <c r="I35" s="122"/>
      <c r="J35" s="32">
        <v>81</v>
      </c>
      <c r="K35" s="20">
        <v>10</v>
      </c>
      <c r="L35" s="21"/>
      <c r="M35" s="21">
        <f t="shared" si="4"/>
        <v>91</v>
      </c>
      <c r="N35" s="21">
        <f t="shared" si="5"/>
        <v>-91</v>
      </c>
      <c r="O35" s="16"/>
      <c r="P35" s="16"/>
      <c r="Q35" s="21"/>
      <c r="R35" s="5"/>
      <c r="S35" s="16"/>
      <c r="T35" s="16"/>
      <c r="U35" s="21">
        <f t="shared" si="6"/>
        <v>0</v>
      </c>
      <c r="V35" s="21">
        <v>10</v>
      </c>
      <c r="W35" s="294">
        <f t="shared" si="7"/>
        <v>10</v>
      </c>
      <c r="X35" s="140"/>
      <c r="Y35" s="334"/>
      <c r="Z35" s="5"/>
      <c r="AD35">
        <v>3</v>
      </c>
      <c r="AE35" s="16" t="s">
        <v>166</v>
      </c>
      <c r="AF35" s="18">
        <f>+AD35*50</f>
        <v>150</v>
      </c>
      <c r="AI35" s="16" t="s">
        <v>166</v>
      </c>
      <c r="AJ35" s="18">
        <f>+AH35*50</f>
        <v>0</v>
      </c>
      <c r="AM35" s="16"/>
      <c r="AN35" s="18"/>
      <c r="AO35" s="185"/>
      <c r="AP35" s="296"/>
      <c r="AQ35" s="185"/>
    </row>
    <row r="36" spans="1:43" x14ac:dyDescent="0.25">
      <c r="A36" s="143">
        <v>6</v>
      </c>
      <c r="B36" s="92">
        <v>45294</v>
      </c>
      <c r="C36" s="23"/>
      <c r="D36" s="31" t="s">
        <v>48</v>
      </c>
      <c r="E36" s="32"/>
      <c r="F36" s="32" t="s">
        <v>922</v>
      </c>
      <c r="G36" s="32">
        <v>844</v>
      </c>
      <c r="H36" s="39" t="s">
        <v>3824</v>
      </c>
      <c r="I36" s="39"/>
      <c r="J36" s="42"/>
      <c r="K36" s="20">
        <v>10</v>
      </c>
      <c r="L36" s="21"/>
      <c r="M36" s="21">
        <f t="shared" si="4"/>
        <v>10</v>
      </c>
      <c r="N36" s="21">
        <f t="shared" si="5"/>
        <v>-10</v>
      </c>
      <c r="O36" s="16"/>
      <c r="P36" s="16">
        <v>500</v>
      </c>
      <c r="Q36" s="21"/>
      <c r="R36" s="5"/>
      <c r="S36" s="16"/>
      <c r="T36" s="16"/>
      <c r="U36" s="21">
        <f t="shared" si="6"/>
        <v>0</v>
      </c>
      <c r="V36" s="16">
        <v>466</v>
      </c>
      <c r="W36" s="294">
        <f t="shared" si="7"/>
        <v>-34</v>
      </c>
      <c r="X36" s="140"/>
      <c r="Y36" s="334"/>
      <c r="Z36" s="5"/>
      <c r="AD36">
        <v>1</v>
      </c>
      <c r="AE36" s="16" t="s">
        <v>167</v>
      </c>
      <c r="AF36" s="18">
        <f>+AD36*20</f>
        <v>20</v>
      </c>
      <c r="AH36">
        <v>5</v>
      </c>
      <c r="AI36" s="16" t="s">
        <v>167</v>
      </c>
      <c r="AJ36" s="18">
        <f>+AH36*20</f>
        <v>100</v>
      </c>
      <c r="AM36" s="16"/>
      <c r="AN36" s="18"/>
      <c r="AO36" s="185"/>
      <c r="AP36" s="296"/>
      <c r="AQ36" s="185"/>
    </row>
    <row r="37" spans="1:43" x14ac:dyDescent="0.25">
      <c r="A37" s="143">
        <v>7</v>
      </c>
      <c r="B37" s="92">
        <v>45294</v>
      </c>
      <c r="C37" s="23"/>
      <c r="D37" s="31" t="s">
        <v>2578</v>
      </c>
      <c r="E37" s="32"/>
      <c r="F37" s="32" t="s">
        <v>145</v>
      </c>
      <c r="G37" s="32" t="s">
        <v>3829</v>
      </c>
      <c r="H37" s="39" t="s">
        <v>3287</v>
      </c>
      <c r="I37" s="122"/>
      <c r="J37" s="42"/>
      <c r="K37" s="20">
        <v>10</v>
      </c>
      <c r="L37" s="21"/>
      <c r="M37" s="21">
        <f t="shared" si="4"/>
        <v>10</v>
      </c>
      <c r="N37" s="21">
        <f t="shared" si="5"/>
        <v>-10</v>
      </c>
      <c r="O37" s="16"/>
      <c r="P37" s="16"/>
      <c r="Q37" s="21"/>
      <c r="R37" s="5"/>
      <c r="S37" s="16"/>
      <c r="T37" s="16"/>
      <c r="U37" s="21">
        <f t="shared" si="6"/>
        <v>0</v>
      </c>
      <c r="V37" s="16"/>
      <c r="W37" s="294">
        <f t="shared" si="7"/>
        <v>0</v>
      </c>
      <c r="X37" s="140"/>
      <c r="Y37" s="334"/>
      <c r="Z37" s="5"/>
      <c r="AE37" s="16" t="s">
        <v>171</v>
      </c>
      <c r="AF37" s="18">
        <f>+AD37*500</f>
        <v>0</v>
      </c>
      <c r="AI37" s="16" t="s">
        <v>171</v>
      </c>
      <c r="AJ37" s="18">
        <f>+AH37*500</f>
        <v>0</v>
      </c>
      <c r="AM37" s="16"/>
      <c r="AN37" s="18"/>
      <c r="AO37" s="185"/>
      <c r="AP37" s="296"/>
      <c r="AQ37" s="185"/>
    </row>
    <row r="38" spans="1:43" x14ac:dyDescent="0.25">
      <c r="A38" s="143">
        <v>8</v>
      </c>
      <c r="B38" s="92">
        <v>45294</v>
      </c>
      <c r="C38" s="23"/>
      <c r="D38" s="31" t="s">
        <v>44</v>
      </c>
      <c r="E38" s="123"/>
      <c r="F38" s="123" t="s">
        <v>52</v>
      </c>
      <c r="G38" s="123" t="s">
        <v>267</v>
      </c>
      <c r="H38" s="39" t="s">
        <v>3831</v>
      </c>
      <c r="I38" s="122">
        <v>119</v>
      </c>
      <c r="J38" s="32">
        <v>109</v>
      </c>
      <c r="K38" s="20">
        <v>10</v>
      </c>
      <c r="L38" s="21"/>
      <c r="M38" s="21">
        <f t="shared" si="4"/>
        <v>119</v>
      </c>
      <c r="N38" s="21">
        <f t="shared" si="5"/>
        <v>0</v>
      </c>
      <c r="O38" s="16"/>
      <c r="P38" s="16"/>
      <c r="Q38" s="21">
        <v>109</v>
      </c>
      <c r="R38" s="5"/>
      <c r="S38" s="16"/>
      <c r="T38" s="16"/>
      <c r="U38" s="21">
        <f t="shared" si="6"/>
        <v>0</v>
      </c>
      <c r="V38" s="16"/>
      <c r="W38" s="294">
        <f t="shared" si="7"/>
        <v>109</v>
      </c>
      <c r="X38" s="140"/>
      <c r="Y38" s="334"/>
      <c r="Z38" s="5"/>
      <c r="AE38" s="16" t="s">
        <v>168</v>
      </c>
      <c r="AF38" s="18">
        <f>+AD38*1000</f>
        <v>0</v>
      </c>
      <c r="AI38" s="16" t="s">
        <v>168</v>
      </c>
      <c r="AJ38" s="18">
        <f>+AH38*1000</f>
        <v>0</v>
      </c>
      <c r="AM38" s="16"/>
      <c r="AN38" s="18"/>
      <c r="AO38" s="185"/>
      <c r="AP38" s="296"/>
      <c r="AQ38" s="185"/>
    </row>
    <row r="39" spans="1:43" x14ac:dyDescent="0.25">
      <c r="A39" s="143">
        <v>9</v>
      </c>
      <c r="B39" s="92">
        <v>45294</v>
      </c>
      <c r="C39" s="23"/>
      <c r="D39" s="31" t="s">
        <v>3825</v>
      </c>
      <c r="E39" s="32"/>
      <c r="F39" s="32" t="s">
        <v>52</v>
      </c>
      <c r="G39" s="32" t="s">
        <v>3019</v>
      </c>
      <c r="H39" s="39" t="s">
        <v>3832</v>
      </c>
      <c r="I39" s="39">
        <v>115</v>
      </c>
      <c r="J39" s="42">
        <v>105</v>
      </c>
      <c r="K39" s="20">
        <v>10</v>
      </c>
      <c r="L39" s="21"/>
      <c r="M39" s="21">
        <f t="shared" si="4"/>
        <v>115</v>
      </c>
      <c r="N39" s="21">
        <f t="shared" si="5"/>
        <v>0</v>
      </c>
      <c r="O39" s="16">
        <v>115</v>
      </c>
      <c r="P39" s="16"/>
      <c r="Q39" s="21"/>
      <c r="R39" s="5"/>
      <c r="S39" s="16"/>
      <c r="T39" s="16"/>
      <c r="U39" s="21">
        <f t="shared" si="6"/>
        <v>0</v>
      </c>
      <c r="V39" s="16"/>
      <c r="W39" s="294">
        <f t="shared" si="7"/>
        <v>115</v>
      </c>
      <c r="X39" s="140"/>
      <c r="Y39" s="334"/>
      <c r="Z39" s="5"/>
      <c r="AE39" s="26"/>
      <c r="AF39" s="58"/>
      <c r="AI39" s="26"/>
      <c r="AJ39" s="58"/>
      <c r="AM39" s="26"/>
      <c r="AN39" s="58"/>
      <c r="AO39" s="185"/>
      <c r="AP39" s="296"/>
      <c r="AQ39" s="185"/>
    </row>
    <row r="40" spans="1:43" x14ac:dyDescent="0.25">
      <c r="A40" s="143">
        <v>10</v>
      </c>
      <c r="B40" s="92">
        <v>45294</v>
      </c>
      <c r="C40" s="23"/>
      <c r="D40" s="31" t="s">
        <v>3826</v>
      </c>
      <c r="E40" s="32"/>
      <c r="F40" s="32" t="s">
        <v>3827</v>
      </c>
      <c r="G40" s="32" t="s">
        <v>3830</v>
      </c>
      <c r="H40" s="39" t="s">
        <v>3833</v>
      </c>
      <c r="I40" s="122">
        <v>130</v>
      </c>
      <c r="J40" s="42">
        <v>120</v>
      </c>
      <c r="K40" s="20">
        <v>10</v>
      </c>
      <c r="L40" s="21"/>
      <c r="M40" s="21">
        <f t="shared" si="4"/>
        <v>130</v>
      </c>
      <c r="N40" s="21">
        <f t="shared" si="5"/>
        <v>0</v>
      </c>
      <c r="O40" s="16"/>
      <c r="P40" s="16"/>
      <c r="Q40" s="21"/>
      <c r="R40" s="5"/>
      <c r="S40" s="16"/>
      <c r="T40" s="16"/>
      <c r="U40" s="21">
        <f t="shared" si="6"/>
        <v>0</v>
      </c>
      <c r="V40" s="16"/>
      <c r="W40" s="294">
        <f t="shared" si="7"/>
        <v>0</v>
      </c>
      <c r="X40" s="140"/>
      <c r="Y40" s="334"/>
      <c r="Z40" s="5"/>
      <c r="AE40" s="16" t="s">
        <v>169</v>
      </c>
      <c r="AF40" s="18">
        <f>SUM(AF30:AF39)</f>
        <v>335</v>
      </c>
      <c r="AI40" s="16" t="s">
        <v>169</v>
      </c>
      <c r="AJ40" s="18">
        <f>SUM(AJ30:AJ39)</f>
        <v>478</v>
      </c>
      <c r="AM40" s="16" t="s">
        <v>169</v>
      </c>
      <c r="AN40" s="18">
        <f>AM31+AM32+AM33+AM34+AM35+AM36+AM37+AM38+AM39</f>
        <v>100</v>
      </c>
      <c r="AO40" s="185"/>
      <c r="AP40" s="296"/>
      <c r="AQ40" s="185"/>
    </row>
    <row r="41" spans="1:43" x14ac:dyDescent="0.25">
      <c r="A41" s="143">
        <v>11</v>
      </c>
      <c r="B41" s="92">
        <v>45294</v>
      </c>
      <c r="C41" s="23"/>
      <c r="D41" s="31" t="s">
        <v>829</v>
      </c>
      <c r="E41" s="124"/>
      <c r="F41" s="123" t="s">
        <v>38</v>
      </c>
      <c r="G41" s="123" t="s">
        <v>2829</v>
      </c>
      <c r="H41" s="39" t="s">
        <v>3834</v>
      </c>
      <c r="I41" s="122">
        <v>71</v>
      </c>
      <c r="J41" s="42">
        <v>56</v>
      </c>
      <c r="K41" s="20">
        <v>13</v>
      </c>
      <c r="L41" s="21"/>
      <c r="M41" s="21">
        <f t="shared" si="4"/>
        <v>69</v>
      </c>
      <c r="N41" s="21">
        <f t="shared" si="5"/>
        <v>2</v>
      </c>
      <c r="O41" s="16"/>
      <c r="P41" s="16"/>
      <c r="Q41" s="21"/>
      <c r="R41" s="5"/>
      <c r="S41" s="16"/>
      <c r="T41" s="16"/>
      <c r="U41" s="21">
        <f t="shared" si="6"/>
        <v>0</v>
      </c>
      <c r="V41" s="16"/>
      <c r="W41" s="294">
        <f t="shared" si="7"/>
        <v>0</v>
      </c>
      <c r="X41" s="140"/>
      <c r="Y41" s="334"/>
      <c r="Z41" s="5"/>
      <c r="AL41" s="185"/>
      <c r="AM41" s="185"/>
      <c r="AN41" s="185"/>
      <c r="AO41" s="185"/>
      <c r="AP41" s="185"/>
      <c r="AQ41" s="185"/>
    </row>
    <row r="42" spans="1:43" x14ac:dyDescent="0.25">
      <c r="A42" s="143">
        <v>12</v>
      </c>
      <c r="B42" s="92">
        <v>45294</v>
      </c>
      <c r="C42" s="23"/>
      <c r="D42" s="32" t="s">
        <v>319</v>
      </c>
      <c r="E42" s="32"/>
      <c r="F42" s="124" t="s">
        <v>38</v>
      </c>
      <c r="G42" s="123" t="s">
        <v>267</v>
      </c>
      <c r="H42" s="39" t="s">
        <v>3835</v>
      </c>
      <c r="I42" s="39">
        <v>500</v>
      </c>
      <c r="J42" s="42">
        <v>239</v>
      </c>
      <c r="K42" s="20">
        <v>12</v>
      </c>
      <c r="L42" s="21"/>
      <c r="M42" s="21">
        <f t="shared" si="4"/>
        <v>251</v>
      </c>
      <c r="N42" s="21">
        <f t="shared" si="5"/>
        <v>249</v>
      </c>
      <c r="O42" s="26"/>
      <c r="P42" s="26"/>
      <c r="Q42" s="21"/>
      <c r="R42" s="5"/>
      <c r="S42" s="45"/>
      <c r="T42" s="44"/>
      <c r="U42" s="21">
        <f t="shared" si="6"/>
        <v>0</v>
      </c>
      <c r="V42" s="45"/>
      <c r="W42" s="294">
        <f t="shared" si="7"/>
        <v>0</v>
      </c>
      <c r="X42" s="140"/>
      <c r="Y42" s="334"/>
      <c r="Z42" s="5"/>
      <c r="AL42" s="185"/>
      <c r="AM42" s="185"/>
      <c r="AN42" s="185"/>
      <c r="AO42" s="185"/>
      <c r="AP42" s="297"/>
      <c r="AQ42" s="185"/>
    </row>
    <row r="43" spans="1:43" x14ac:dyDescent="0.25">
      <c r="A43" s="143">
        <v>13</v>
      </c>
      <c r="B43" s="92">
        <v>45294</v>
      </c>
      <c r="C43" s="23"/>
      <c r="D43" s="31" t="s">
        <v>3281</v>
      </c>
      <c r="E43" s="32"/>
      <c r="F43" s="32" t="s">
        <v>3828</v>
      </c>
      <c r="G43" s="32" t="s">
        <v>3281</v>
      </c>
      <c r="H43" s="39" t="s">
        <v>3836</v>
      </c>
      <c r="I43" s="39">
        <v>150</v>
      </c>
      <c r="J43" s="42">
        <v>120</v>
      </c>
      <c r="K43" s="108">
        <v>20</v>
      </c>
      <c r="L43" s="21">
        <v>10</v>
      </c>
      <c r="M43" s="21">
        <f t="shared" si="4"/>
        <v>140</v>
      </c>
      <c r="N43" s="78">
        <v>0</v>
      </c>
      <c r="O43" s="143"/>
      <c r="P43" s="143"/>
      <c r="Q43" s="20"/>
      <c r="R43" s="5"/>
      <c r="S43" s="43"/>
      <c r="T43" s="32"/>
      <c r="U43" s="21">
        <f t="shared" si="6"/>
        <v>0</v>
      </c>
      <c r="V43" s="43"/>
      <c r="W43" s="294">
        <f t="shared" si="7"/>
        <v>0</v>
      </c>
      <c r="X43" s="140"/>
      <c r="Y43" s="334"/>
      <c r="Z43" s="5"/>
      <c r="AJ43" s="83"/>
    </row>
    <row r="44" spans="1:43" x14ac:dyDescent="0.25">
      <c r="A44" s="143">
        <v>14</v>
      </c>
      <c r="B44" s="92">
        <v>45294</v>
      </c>
      <c r="C44" s="23"/>
      <c r="D44" s="31"/>
      <c r="E44" s="32"/>
      <c r="F44" s="32"/>
      <c r="G44" s="32"/>
      <c r="H44" s="39"/>
      <c r="I44" s="39"/>
      <c r="J44" s="42"/>
      <c r="K44" s="108">
        <v>10</v>
      </c>
      <c r="L44" s="21"/>
      <c r="M44" s="21">
        <f t="shared" si="4"/>
        <v>10</v>
      </c>
      <c r="N44" s="21">
        <f t="shared" si="5"/>
        <v>-10</v>
      </c>
      <c r="O44" s="50"/>
      <c r="P44" s="50"/>
      <c r="Q44" s="21"/>
      <c r="R44" s="5"/>
      <c r="S44" s="43"/>
      <c r="T44" s="43"/>
      <c r="U44" s="21">
        <f t="shared" si="6"/>
        <v>0</v>
      </c>
      <c r="V44" s="43"/>
      <c r="W44" s="294">
        <f t="shared" si="7"/>
        <v>0</v>
      </c>
      <c r="X44" s="140"/>
      <c r="Y44" s="334"/>
      <c r="Z44" s="5"/>
      <c r="AE44" s="5"/>
      <c r="AF44" s="5"/>
      <c r="AG44" s="5"/>
      <c r="AH44" s="5"/>
      <c r="AI44" s="5"/>
      <c r="AJ44" s="5"/>
      <c r="AK44" s="5"/>
    </row>
    <row r="45" spans="1:43" x14ac:dyDescent="0.25">
      <c r="A45" s="143">
        <v>15</v>
      </c>
      <c r="B45" s="92">
        <v>45294</v>
      </c>
      <c r="C45" s="23"/>
      <c r="D45" s="127"/>
      <c r="E45" s="32"/>
      <c r="F45" s="32"/>
      <c r="G45" s="128"/>
      <c r="H45" s="129"/>
      <c r="I45" s="39"/>
      <c r="J45" s="42"/>
      <c r="K45" s="108">
        <v>10</v>
      </c>
      <c r="L45" s="21"/>
      <c r="M45" s="21">
        <f t="shared" si="4"/>
        <v>10</v>
      </c>
      <c r="N45" s="21">
        <f t="shared" si="5"/>
        <v>-10</v>
      </c>
      <c r="O45" s="21"/>
      <c r="P45" s="21"/>
      <c r="Q45" s="21"/>
      <c r="R45" s="5"/>
      <c r="S45" s="43"/>
      <c r="T45" s="43"/>
      <c r="U45" s="21">
        <f t="shared" si="6"/>
        <v>0</v>
      </c>
      <c r="V45" s="43"/>
      <c r="W45" s="294">
        <f t="shared" si="7"/>
        <v>0</v>
      </c>
      <c r="X45" s="140"/>
      <c r="Y45" s="334"/>
      <c r="Z45" s="5"/>
      <c r="AE45" s="5"/>
      <c r="AF45" s="134" t="s">
        <v>20</v>
      </c>
      <c r="AG45" s="362">
        <f>+AJ45+AF41</f>
        <v>335</v>
      </c>
      <c r="AH45" s="341" t="s">
        <v>686</v>
      </c>
      <c r="AI45" s="134" t="s">
        <v>20</v>
      </c>
      <c r="AJ45" s="358">
        <f>+AF40</f>
        <v>335</v>
      </c>
      <c r="AK45" s="5"/>
    </row>
    <row r="46" spans="1:43" x14ac:dyDescent="0.25">
      <c r="A46" s="143">
        <v>16</v>
      </c>
      <c r="B46" s="92">
        <v>45294</v>
      </c>
      <c r="C46" s="23"/>
      <c r="D46" s="31"/>
      <c r="E46" s="32"/>
      <c r="F46" s="32"/>
      <c r="G46" s="32"/>
      <c r="H46" s="39"/>
      <c r="I46" s="39"/>
      <c r="J46" s="42"/>
      <c r="K46" s="43">
        <v>10</v>
      </c>
      <c r="L46" s="21"/>
      <c r="M46" s="21">
        <f t="shared" si="4"/>
        <v>10</v>
      </c>
      <c r="N46" s="21">
        <f t="shared" si="5"/>
        <v>-10</v>
      </c>
      <c r="O46" s="21"/>
      <c r="P46" s="21"/>
      <c r="Q46" s="21"/>
      <c r="R46" s="5"/>
      <c r="S46" s="43"/>
      <c r="T46" s="32"/>
      <c r="U46" s="21">
        <f t="shared" si="6"/>
        <v>0</v>
      </c>
      <c r="V46" s="131"/>
      <c r="W46" s="294">
        <f t="shared" si="7"/>
        <v>0</v>
      </c>
      <c r="X46" s="140"/>
      <c r="Y46" s="334"/>
      <c r="Z46" s="5"/>
      <c r="AE46" s="5" t="s">
        <v>685</v>
      </c>
      <c r="AF46" s="115" t="s">
        <v>3676</v>
      </c>
      <c r="AG46" s="360"/>
      <c r="AH46" s="341"/>
      <c r="AI46" s="115" t="s">
        <v>684</v>
      </c>
      <c r="AJ46" s="360"/>
      <c r="AK46" s="5"/>
    </row>
    <row r="47" spans="1:43" x14ac:dyDescent="0.25">
      <c r="A47" s="143">
        <v>17</v>
      </c>
      <c r="B47" s="92">
        <v>45294</v>
      </c>
      <c r="C47" s="23"/>
      <c r="D47" s="31"/>
      <c r="E47" s="32"/>
      <c r="F47" s="32"/>
      <c r="G47" s="32"/>
      <c r="H47" s="39"/>
      <c r="I47" s="39"/>
      <c r="J47" s="42"/>
      <c r="K47" s="43">
        <v>10</v>
      </c>
      <c r="L47" s="21"/>
      <c r="M47" s="21">
        <f t="shared" si="4"/>
        <v>10</v>
      </c>
      <c r="N47" s="21">
        <f t="shared" si="5"/>
        <v>-10</v>
      </c>
      <c r="O47" s="21"/>
      <c r="P47" s="21"/>
      <c r="Q47" s="21"/>
      <c r="R47" s="5"/>
      <c r="S47" s="43"/>
      <c r="T47" s="32"/>
      <c r="U47" s="21">
        <f t="shared" si="6"/>
        <v>0</v>
      </c>
      <c r="V47" s="132"/>
      <c r="W47" s="294">
        <f t="shared" si="7"/>
        <v>0</v>
      </c>
      <c r="X47" s="140"/>
      <c r="Y47" s="340"/>
      <c r="Z47" s="5"/>
      <c r="AE47" s="5"/>
      <c r="AF47" s="5"/>
      <c r="AG47" s="5"/>
      <c r="AH47" s="5" t="s">
        <v>3677</v>
      </c>
      <c r="AI47" s="5"/>
      <c r="AJ47" s="5"/>
      <c r="AK47" s="5"/>
    </row>
    <row r="48" spans="1:43" x14ac:dyDescent="0.25">
      <c r="A48" s="143">
        <v>18</v>
      </c>
      <c r="B48" s="92">
        <v>45294</v>
      </c>
      <c r="C48" s="32"/>
      <c r="D48" s="31"/>
      <c r="E48" s="32"/>
      <c r="F48" s="32"/>
      <c r="G48" s="32"/>
      <c r="H48" s="39"/>
      <c r="I48" s="39"/>
      <c r="J48" s="42"/>
      <c r="K48" s="43">
        <v>10</v>
      </c>
      <c r="L48" s="21"/>
      <c r="M48" s="21">
        <f t="shared" si="4"/>
        <v>10</v>
      </c>
      <c r="N48" s="21">
        <f t="shared" si="5"/>
        <v>-10</v>
      </c>
      <c r="O48" s="21"/>
      <c r="P48" s="21"/>
      <c r="Q48" s="21"/>
      <c r="R48" s="5"/>
      <c r="S48" s="135"/>
      <c r="T48" s="104"/>
      <c r="U48" s="21">
        <f t="shared" si="6"/>
        <v>0</v>
      </c>
      <c r="V48" s="131"/>
      <c r="W48" s="294">
        <f t="shared" si="7"/>
        <v>0</v>
      </c>
      <c r="X48" s="140"/>
      <c r="Z48" s="5"/>
    </row>
    <row r="49" spans="1:43" x14ac:dyDescent="0.25">
      <c r="A49" s="143">
        <v>19</v>
      </c>
      <c r="B49" s="92">
        <v>45294</v>
      </c>
      <c r="C49" s="32"/>
      <c r="D49" s="31"/>
      <c r="E49" s="32"/>
      <c r="F49" s="32"/>
      <c r="G49" s="32"/>
      <c r="H49" s="39"/>
      <c r="I49" s="39"/>
      <c r="J49" s="42"/>
      <c r="K49" s="43">
        <v>10</v>
      </c>
      <c r="L49" s="21"/>
      <c r="M49" s="21">
        <f t="shared" si="4"/>
        <v>10</v>
      </c>
      <c r="N49" s="21">
        <f t="shared" si="5"/>
        <v>-10</v>
      </c>
      <c r="O49" s="21"/>
      <c r="P49" s="21"/>
      <c r="Q49" s="21"/>
      <c r="R49" s="5"/>
      <c r="S49" s="32"/>
      <c r="T49" s="32"/>
      <c r="U49" s="21">
        <f t="shared" si="6"/>
        <v>0</v>
      </c>
      <c r="V49" s="32"/>
      <c r="W49" s="294">
        <f t="shared" si="7"/>
        <v>0</v>
      </c>
      <c r="X49" s="140"/>
      <c r="Z49" s="5"/>
      <c r="AE49" s="5"/>
      <c r="AF49" s="5"/>
      <c r="AG49" s="5"/>
      <c r="AH49" s="5"/>
      <c r="AI49" s="5"/>
      <c r="AJ49" s="5"/>
      <c r="AK49" s="5"/>
    </row>
    <row r="50" spans="1:4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>
        <f>+((SUM(O31:O49))-(SUM(P31:P49)))</f>
        <v>-85</v>
      </c>
      <c r="Q50" s="5"/>
      <c r="R50" s="5"/>
      <c r="S50" s="5"/>
      <c r="T50" s="5"/>
      <c r="U50" s="5"/>
      <c r="V50" s="5"/>
      <c r="W50" s="5"/>
      <c r="X50" s="141"/>
      <c r="Y50" s="5"/>
      <c r="Z50" s="5"/>
      <c r="AE50" s="5"/>
      <c r="AF50" s="134" t="s">
        <v>20</v>
      </c>
      <c r="AG50" s="358">
        <f>P50</f>
        <v>-85</v>
      </c>
      <c r="AH50" s="341" t="s">
        <v>687</v>
      </c>
      <c r="AI50" s="134" t="s">
        <v>20</v>
      </c>
      <c r="AJ50" s="358">
        <f>+AJ40</f>
        <v>478</v>
      </c>
      <c r="AK50" s="5"/>
    </row>
    <row r="51" spans="1:43" x14ac:dyDescent="0.25">
      <c r="AE51" s="5" t="s">
        <v>3679</v>
      </c>
      <c r="AF51" s="115" t="s">
        <v>684</v>
      </c>
      <c r="AG51" s="359"/>
      <c r="AH51" s="341"/>
      <c r="AI51" s="115" t="s">
        <v>684</v>
      </c>
      <c r="AJ51" s="360"/>
      <c r="AK51" s="5"/>
    </row>
    <row r="52" spans="1:43" x14ac:dyDescent="0.25">
      <c r="AE52" s="5"/>
      <c r="AF52" s="5"/>
      <c r="AG52" s="5"/>
      <c r="AH52" s="5" t="s">
        <v>3678</v>
      </c>
      <c r="AI52" s="5"/>
      <c r="AJ52" s="5"/>
      <c r="AK52" s="5"/>
    </row>
    <row r="56" spans="1:43" x14ac:dyDescent="0.25">
      <c r="AL56" s="185"/>
      <c r="AM56" s="185"/>
      <c r="AN56" s="185"/>
      <c r="AO56" s="185"/>
      <c r="AP56" s="185"/>
      <c r="AQ56" s="185"/>
    </row>
    <row r="57" spans="1:43" ht="30" x14ac:dyDescent="0.25">
      <c r="A57" s="1" t="s">
        <v>0</v>
      </c>
      <c r="B57" s="1"/>
      <c r="C57" s="1"/>
      <c r="D57" s="1"/>
      <c r="E57" s="1"/>
      <c r="F57" s="1"/>
      <c r="G57" s="1"/>
      <c r="H57" s="1"/>
      <c r="I57" s="1"/>
      <c r="J57" s="1" t="s">
        <v>148</v>
      </c>
      <c r="K57" s="1"/>
      <c r="L57" s="1"/>
      <c r="M57" s="1"/>
      <c r="N57" s="1"/>
      <c r="O57" s="363" t="s">
        <v>3679</v>
      </c>
      <c r="P57" s="363"/>
      <c r="Q57" s="1"/>
      <c r="R57" s="1"/>
      <c r="S57" s="1"/>
      <c r="T57" s="1"/>
      <c r="U57" s="5"/>
      <c r="V57" s="5"/>
      <c r="W57" s="295" t="s">
        <v>1</v>
      </c>
      <c r="X57" s="139"/>
      <c r="Y57" s="1"/>
      <c r="Z57" s="5"/>
      <c r="AE57" s="335" t="s">
        <v>160</v>
      </c>
      <c r="AF57" s="336"/>
      <c r="AI57" s="335" t="s">
        <v>170</v>
      </c>
      <c r="AJ57" s="336"/>
      <c r="AL57" s="361"/>
      <c r="AM57" s="361"/>
      <c r="AN57" s="185"/>
      <c r="AO57" s="361"/>
      <c r="AP57" s="361"/>
      <c r="AQ57" s="185"/>
    </row>
    <row r="58" spans="1:43" ht="90" x14ac:dyDescent="0.25">
      <c r="A58" s="6" t="s">
        <v>2</v>
      </c>
      <c r="B58" s="7" t="s">
        <v>3</v>
      </c>
      <c r="C58" s="245" t="s">
        <v>3675</v>
      </c>
      <c r="D58" s="7" t="s">
        <v>4</v>
      </c>
      <c r="E58" s="6" t="s">
        <v>5</v>
      </c>
      <c r="F58" s="6" t="s">
        <v>6</v>
      </c>
      <c r="G58" s="6" t="s">
        <v>7</v>
      </c>
      <c r="H58" s="6" t="s">
        <v>8</v>
      </c>
      <c r="I58" s="8" t="s">
        <v>9</v>
      </c>
      <c r="J58" s="8" t="s">
        <v>10</v>
      </c>
      <c r="K58" s="8" t="s">
        <v>11</v>
      </c>
      <c r="L58" s="76" t="s">
        <v>12</v>
      </c>
      <c r="M58" s="76" t="s">
        <v>13</v>
      </c>
      <c r="N58" s="15" t="s">
        <v>14</v>
      </c>
      <c r="O58" s="15" t="s">
        <v>173</v>
      </c>
      <c r="P58" s="15" t="s">
        <v>174</v>
      </c>
      <c r="Q58" s="76" t="s">
        <v>28</v>
      </c>
      <c r="R58" s="5"/>
      <c r="S58" s="76" t="s">
        <v>16</v>
      </c>
      <c r="T58" s="76" t="s">
        <v>17</v>
      </c>
      <c r="U58" s="76" t="s">
        <v>18</v>
      </c>
      <c r="V58" s="76" t="s">
        <v>19</v>
      </c>
      <c r="W58" s="76" t="s">
        <v>20</v>
      </c>
      <c r="X58" s="13"/>
      <c r="Y58" s="15" t="s">
        <v>23</v>
      </c>
      <c r="Z58" s="5"/>
      <c r="AB58" s="251" t="s">
        <v>2554</v>
      </c>
      <c r="AD58">
        <v>15</v>
      </c>
      <c r="AE58" s="16" t="s">
        <v>161</v>
      </c>
      <c r="AF58" s="58">
        <f>+AD58*10</f>
        <v>150</v>
      </c>
      <c r="AH58">
        <v>16</v>
      </c>
      <c r="AI58" s="16" t="s">
        <v>161</v>
      </c>
      <c r="AJ58" s="58">
        <f>+AH58*10</f>
        <v>160</v>
      </c>
      <c r="AL58" s="185"/>
      <c r="AM58" s="185"/>
      <c r="AN58" s="185"/>
      <c r="AO58" s="185"/>
      <c r="AP58" s="296"/>
      <c r="AQ58" s="185"/>
    </row>
    <row r="59" spans="1:43" x14ac:dyDescent="0.25">
      <c r="A59" s="16">
        <v>1</v>
      </c>
      <c r="B59" s="92">
        <v>45295</v>
      </c>
      <c r="C59" s="23">
        <v>0.4513888888888889</v>
      </c>
      <c r="D59" s="31" t="s">
        <v>1806</v>
      </c>
      <c r="E59" s="32">
        <v>5529303704</v>
      </c>
      <c r="F59" s="32" t="s">
        <v>1997</v>
      </c>
      <c r="G59" s="39" t="s">
        <v>1806</v>
      </c>
      <c r="H59" s="39" t="s">
        <v>3837</v>
      </c>
      <c r="I59" s="122"/>
      <c r="J59" s="32">
        <f>233-40</f>
        <v>193</v>
      </c>
      <c r="K59" s="20">
        <v>40</v>
      </c>
      <c r="L59" s="50"/>
      <c r="M59" s="50">
        <f t="shared" ref="M59:M77" si="8">+J59+K59</f>
        <v>233</v>
      </c>
      <c r="N59" s="50">
        <f t="shared" ref="N59:N77" si="9">+I59-M59</f>
        <v>-233</v>
      </c>
      <c r="O59" s="29"/>
      <c r="P59" s="29"/>
      <c r="Q59" s="50"/>
      <c r="R59" s="5"/>
      <c r="S59" s="50">
        <v>500</v>
      </c>
      <c r="T59" s="29"/>
      <c r="U59" s="50">
        <f t="shared" ref="U59:U77" si="10">+S59+T59</f>
        <v>500</v>
      </c>
      <c r="V59" s="50">
        <v>530</v>
      </c>
      <c r="W59" s="294">
        <f>+V59-U59+O59+Q59-P59</f>
        <v>30</v>
      </c>
      <c r="X59" s="13"/>
      <c r="Y59" s="333"/>
      <c r="Z59" s="5"/>
      <c r="AD59">
        <v>95.5</v>
      </c>
      <c r="AE59" s="59" t="s">
        <v>162</v>
      </c>
      <c r="AF59" s="18">
        <f>+AD59*1</f>
        <v>95.5</v>
      </c>
      <c r="AH59">
        <v>89.5</v>
      </c>
      <c r="AI59" s="59" t="s">
        <v>162</v>
      </c>
      <c r="AJ59" s="18">
        <f>+AH59*1</f>
        <v>89.5</v>
      </c>
      <c r="AL59" s="185"/>
      <c r="AM59" s="185"/>
      <c r="AN59" s="185"/>
      <c r="AO59" s="185"/>
      <c r="AP59" s="296"/>
      <c r="AQ59" s="185"/>
    </row>
    <row r="60" spans="1:43" x14ac:dyDescent="0.25">
      <c r="A60" s="26">
        <v>2</v>
      </c>
      <c r="B60" s="92">
        <v>45295</v>
      </c>
      <c r="C60" s="23">
        <v>0.47916666666666669</v>
      </c>
      <c r="D60" s="31" t="s">
        <v>2672</v>
      </c>
      <c r="E60" s="32">
        <v>5578861024</v>
      </c>
      <c r="F60" s="32" t="s">
        <v>3840</v>
      </c>
      <c r="G60" s="32" t="s">
        <v>3839</v>
      </c>
      <c r="H60" s="32" t="s">
        <v>3838</v>
      </c>
      <c r="I60" s="122"/>
      <c r="J60" s="32">
        <f>112+77</f>
        <v>189</v>
      </c>
      <c r="K60" s="20">
        <v>10</v>
      </c>
      <c r="L60" s="21"/>
      <c r="M60" s="21">
        <f t="shared" si="8"/>
        <v>199</v>
      </c>
      <c r="N60" s="21">
        <f t="shared" si="9"/>
        <v>-199</v>
      </c>
      <c r="O60" s="16"/>
      <c r="P60" s="16"/>
      <c r="Q60" s="21"/>
      <c r="R60" s="5"/>
      <c r="S60" s="21">
        <v>100</v>
      </c>
      <c r="T60" s="16"/>
      <c r="U60" s="21">
        <f t="shared" si="10"/>
        <v>100</v>
      </c>
      <c r="V60" s="21">
        <v>110</v>
      </c>
      <c r="W60" s="294">
        <f t="shared" ref="W60:W77" si="11">+V60-U60+O60+Q60-P60</f>
        <v>10</v>
      </c>
      <c r="X60" s="140"/>
      <c r="Y60" s="334"/>
      <c r="Z60" s="5"/>
      <c r="AB60" t="s">
        <v>3852</v>
      </c>
      <c r="AD60">
        <v>25</v>
      </c>
      <c r="AE60" s="16" t="s">
        <v>163</v>
      </c>
      <c r="AF60" s="60">
        <f>+AD60*5</f>
        <v>125</v>
      </c>
      <c r="AH60">
        <v>21</v>
      </c>
      <c r="AI60" s="16" t="s">
        <v>163</v>
      </c>
      <c r="AJ60" s="60">
        <f>+AH60*5</f>
        <v>105</v>
      </c>
      <c r="AL60" s="185"/>
      <c r="AM60" s="185"/>
      <c r="AN60" s="185"/>
      <c r="AO60" s="185"/>
      <c r="AP60" s="296"/>
      <c r="AQ60" s="185"/>
    </row>
    <row r="61" spans="1:43" x14ac:dyDescent="0.25">
      <c r="A61" s="143">
        <v>3</v>
      </c>
      <c r="B61" s="92">
        <v>45295</v>
      </c>
      <c r="C61" s="23">
        <v>12.5</v>
      </c>
      <c r="D61" s="31" t="s">
        <v>2669</v>
      </c>
      <c r="E61" s="32">
        <v>5567561157</v>
      </c>
      <c r="F61" s="32" t="s">
        <v>28</v>
      </c>
      <c r="G61" s="32" t="s">
        <v>875</v>
      </c>
      <c r="H61" s="39" t="s">
        <v>3841</v>
      </c>
      <c r="I61" s="122"/>
      <c r="J61" s="32">
        <f>93+15</f>
        <v>108</v>
      </c>
      <c r="K61" s="20">
        <v>10</v>
      </c>
      <c r="L61" s="21"/>
      <c r="M61" s="21">
        <f t="shared" si="8"/>
        <v>118</v>
      </c>
      <c r="N61" s="21">
        <f t="shared" si="9"/>
        <v>-118</v>
      </c>
      <c r="O61" s="16"/>
      <c r="P61" s="16"/>
      <c r="Q61" s="21"/>
      <c r="R61" s="5"/>
      <c r="S61" s="21">
        <v>200</v>
      </c>
      <c r="T61" s="16"/>
      <c r="U61" s="21">
        <f t="shared" si="10"/>
        <v>200</v>
      </c>
      <c r="V61" s="21">
        <v>210</v>
      </c>
      <c r="W61" s="294">
        <f t="shared" si="11"/>
        <v>10</v>
      </c>
      <c r="X61" s="140"/>
      <c r="Y61" s="334"/>
      <c r="Z61" s="5"/>
      <c r="AB61" t="s">
        <v>3853</v>
      </c>
      <c r="AD61">
        <v>2</v>
      </c>
      <c r="AE61" s="16" t="s">
        <v>164</v>
      </c>
      <c r="AF61" s="18">
        <f>+AD61*200</f>
        <v>400</v>
      </c>
      <c r="AI61" s="16" t="s">
        <v>164</v>
      </c>
      <c r="AJ61" s="18">
        <f>+AH61*200</f>
        <v>0</v>
      </c>
      <c r="AL61" s="185"/>
      <c r="AM61" s="185"/>
      <c r="AN61" s="185"/>
      <c r="AO61" s="185"/>
      <c r="AP61" s="296"/>
      <c r="AQ61" s="185"/>
    </row>
    <row r="62" spans="1:43" x14ac:dyDescent="0.25">
      <c r="A62" s="143">
        <v>4</v>
      </c>
      <c r="B62" s="92">
        <v>45295</v>
      </c>
      <c r="C62" s="23">
        <v>0.66666666666666663</v>
      </c>
      <c r="D62" s="31" t="s">
        <v>2669</v>
      </c>
      <c r="E62" s="32">
        <v>5567561157</v>
      </c>
      <c r="F62" s="32" t="s">
        <v>28</v>
      </c>
      <c r="G62" s="32" t="s">
        <v>875</v>
      </c>
      <c r="H62" s="39" t="s">
        <v>3847</v>
      </c>
      <c r="I62" s="122"/>
      <c r="J62" s="32">
        <v>54</v>
      </c>
      <c r="K62" s="20">
        <v>10</v>
      </c>
      <c r="L62" s="21"/>
      <c r="M62" s="21">
        <f t="shared" si="8"/>
        <v>64</v>
      </c>
      <c r="N62" s="21">
        <f t="shared" si="9"/>
        <v>-64</v>
      </c>
      <c r="O62" s="16"/>
      <c r="P62" s="16"/>
      <c r="Q62" s="21"/>
      <c r="R62" s="5"/>
      <c r="S62" s="21">
        <v>200</v>
      </c>
      <c r="T62" s="16"/>
      <c r="U62" s="21">
        <f t="shared" si="10"/>
        <v>200</v>
      </c>
      <c r="V62" s="21">
        <v>521</v>
      </c>
      <c r="W62" s="294">
        <f t="shared" si="11"/>
        <v>321</v>
      </c>
      <c r="X62" s="140"/>
      <c r="Y62" s="334"/>
      <c r="Z62" s="5"/>
      <c r="AD62">
        <v>2</v>
      </c>
      <c r="AE62" s="16" t="s">
        <v>165</v>
      </c>
      <c r="AF62" s="18">
        <f>+AD62*100</f>
        <v>200</v>
      </c>
      <c r="AI62" s="16" t="s">
        <v>165</v>
      </c>
      <c r="AJ62" s="18">
        <f>+AH62*100</f>
        <v>0</v>
      </c>
      <c r="AL62" s="185"/>
      <c r="AM62" s="185"/>
      <c r="AN62" s="185"/>
      <c r="AO62" s="185"/>
      <c r="AP62" s="296"/>
      <c r="AQ62" s="185"/>
    </row>
    <row r="63" spans="1:43" x14ac:dyDescent="0.25">
      <c r="A63" s="143">
        <v>5</v>
      </c>
      <c r="B63" s="92">
        <v>45295</v>
      </c>
      <c r="C63" s="23">
        <v>0.33333333333333331</v>
      </c>
      <c r="D63" s="31" t="s">
        <v>542</v>
      </c>
      <c r="E63" s="32">
        <v>5543685576</v>
      </c>
      <c r="F63" s="32" t="s">
        <v>52</v>
      </c>
      <c r="G63" s="31" t="s">
        <v>3848</v>
      </c>
      <c r="H63" s="32" t="s">
        <v>3849</v>
      </c>
      <c r="I63" s="122">
        <v>200</v>
      </c>
      <c r="J63" s="32">
        <v>110</v>
      </c>
      <c r="K63" s="20">
        <v>12</v>
      </c>
      <c r="L63" s="21">
        <v>10</v>
      </c>
      <c r="M63" s="21">
        <f t="shared" si="8"/>
        <v>122</v>
      </c>
      <c r="N63" s="21">
        <f t="shared" si="9"/>
        <v>78</v>
      </c>
      <c r="O63" s="16"/>
      <c r="P63" s="16"/>
      <c r="Q63" s="21"/>
      <c r="R63" s="5"/>
      <c r="S63" s="16">
        <v>300</v>
      </c>
      <c r="T63" s="16"/>
      <c r="U63" s="21">
        <f t="shared" si="10"/>
        <v>300</v>
      </c>
      <c r="V63" s="21">
        <v>310</v>
      </c>
      <c r="W63" s="294">
        <f t="shared" si="11"/>
        <v>10</v>
      </c>
      <c r="X63" s="140"/>
      <c r="Y63" s="334"/>
      <c r="Z63" s="5"/>
      <c r="AD63">
        <v>3</v>
      </c>
      <c r="AE63" s="16" t="s">
        <v>166</v>
      </c>
      <c r="AF63" s="18">
        <f>+AD63*50</f>
        <v>150</v>
      </c>
      <c r="AI63" s="16" t="s">
        <v>166</v>
      </c>
      <c r="AJ63" s="18">
        <f>+AH63*50</f>
        <v>0</v>
      </c>
      <c r="AL63" s="185"/>
      <c r="AM63" s="185"/>
      <c r="AN63" s="185"/>
      <c r="AO63" s="185"/>
      <c r="AP63" s="296"/>
      <c r="AQ63" s="185"/>
    </row>
    <row r="64" spans="1:43" x14ac:dyDescent="0.25">
      <c r="A64" s="143">
        <v>6</v>
      </c>
      <c r="B64" s="92">
        <v>45295</v>
      </c>
      <c r="C64" s="23">
        <v>0.35347222222222219</v>
      </c>
      <c r="D64" s="31" t="s">
        <v>1866</v>
      </c>
      <c r="E64" s="32">
        <v>5620167396</v>
      </c>
      <c r="F64" s="32" t="s">
        <v>52</v>
      </c>
      <c r="G64" s="32" t="s">
        <v>3019</v>
      </c>
      <c r="H64" s="39" t="s">
        <v>3850</v>
      </c>
      <c r="I64" s="39">
        <v>70</v>
      </c>
      <c r="J64" s="42">
        <v>54</v>
      </c>
      <c r="K64" s="20">
        <v>13</v>
      </c>
      <c r="L64" s="21"/>
      <c r="M64" s="21">
        <f t="shared" si="8"/>
        <v>67</v>
      </c>
      <c r="N64" s="21">
        <f t="shared" si="9"/>
        <v>3</v>
      </c>
      <c r="O64" s="16"/>
      <c r="P64" s="16"/>
      <c r="Q64" s="21"/>
      <c r="R64" s="5"/>
      <c r="S64" s="16"/>
      <c r="T64" s="16"/>
      <c r="U64" s="21">
        <f t="shared" si="10"/>
        <v>0</v>
      </c>
      <c r="V64" s="16"/>
      <c r="W64" s="294">
        <f t="shared" si="11"/>
        <v>0</v>
      </c>
      <c r="X64" s="140"/>
      <c r="Y64" s="334"/>
      <c r="Z64" s="5"/>
      <c r="AD64">
        <v>1</v>
      </c>
      <c r="AE64" s="16" t="s">
        <v>167</v>
      </c>
      <c r="AF64" s="18">
        <f>+AD64*20</f>
        <v>20</v>
      </c>
      <c r="AH64">
        <v>4</v>
      </c>
      <c r="AI64" s="16" t="s">
        <v>167</v>
      </c>
      <c r="AJ64" s="18">
        <f>+AH64*20</f>
        <v>80</v>
      </c>
      <c r="AL64" s="185"/>
      <c r="AM64" s="185"/>
      <c r="AN64" s="185"/>
      <c r="AO64" s="185"/>
      <c r="AP64" s="296"/>
      <c r="AQ64" s="185"/>
    </row>
    <row r="65" spans="1:43" x14ac:dyDescent="0.25">
      <c r="A65" s="143">
        <v>7</v>
      </c>
      <c r="B65" s="92">
        <v>45295</v>
      </c>
      <c r="C65" s="23">
        <v>0.39583333333333331</v>
      </c>
      <c r="D65" s="31" t="s">
        <v>319</v>
      </c>
      <c r="E65" s="32">
        <v>5567438775</v>
      </c>
      <c r="F65" s="32" t="s">
        <v>52</v>
      </c>
      <c r="G65" s="32" t="s">
        <v>267</v>
      </c>
      <c r="H65" s="39" t="s">
        <v>3851</v>
      </c>
      <c r="I65" s="122">
        <v>500</v>
      </c>
      <c r="J65" s="42">
        <v>233</v>
      </c>
      <c r="K65" s="20">
        <v>15</v>
      </c>
      <c r="L65" s="21"/>
      <c r="M65" s="21">
        <f t="shared" si="8"/>
        <v>248</v>
      </c>
      <c r="N65" s="21">
        <f t="shared" si="9"/>
        <v>252</v>
      </c>
      <c r="O65" s="16"/>
      <c r="P65" s="16"/>
      <c r="Q65" s="21"/>
      <c r="R65" s="5"/>
      <c r="S65" s="16"/>
      <c r="T65" s="16"/>
      <c r="U65" s="21">
        <f t="shared" si="10"/>
        <v>0</v>
      </c>
      <c r="V65" s="16"/>
      <c r="W65" s="294">
        <f t="shared" si="11"/>
        <v>0</v>
      </c>
      <c r="X65" s="140"/>
      <c r="Y65" s="334"/>
      <c r="Z65" s="5"/>
      <c r="AE65" s="16" t="s">
        <v>171</v>
      </c>
      <c r="AF65" s="18">
        <f>+AD65*500</f>
        <v>0</v>
      </c>
      <c r="AI65" s="16" t="s">
        <v>171</v>
      </c>
      <c r="AJ65" s="18">
        <f>+AH65*500</f>
        <v>0</v>
      </c>
      <c r="AL65" s="185"/>
      <c r="AM65" s="185"/>
      <c r="AN65" s="185"/>
      <c r="AO65" s="185"/>
      <c r="AP65" s="296"/>
      <c r="AQ65" s="185"/>
    </row>
    <row r="66" spans="1:43" x14ac:dyDescent="0.25">
      <c r="A66" s="143">
        <v>8</v>
      </c>
      <c r="B66" s="92">
        <v>45295</v>
      </c>
      <c r="C66" s="23"/>
      <c r="D66" s="31"/>
      <c r="E66" s="123"/>
      <c r="F66" s="123"/>
      <c r="G66" s="123"/>
      <c r="H66" s="39"/>
      <c r="I66" s="122"/>
      <c r="J66" s="32"/>
      <c r="K66" s="20">
        <v>10</v>
      </c>
      <c r="L66" s="21"/>
      <c r="M66" s="21">
        <f t="shared" si="8"/>
        <v>10</v>
      </c>
      <c r="N66" s="21">
        <f t="shared" si="9"/>
        <v>-10</v>
      </c>
      <c r="O66" s="16"/>
      <c r="P66" s="16"/>
      <c r="Q66" s="21"/>
      <c r="R66" s="5"/>
      <c r="S66" s="16"/>
      <c r="T66" s="16"/>
      <c r="U66" s="21">
        <f t="shared" si="10"/>
        <v>0</v>
      </c>
      <c r="V66" s="16"/>
      <c r="W66" s="294">
        <f t="shared" si="11"/>
        <v>0</v>
      </c>
      <c r="X66" s="140"/>
      <c r="Y66" s="334"/>
      <c r="Z66" s="5"/>
      <c r="AE66" s="16" t="s">
        <v>168</v>
      </c>
      <c r="AF66" s="18">
        <f>+AD66*1000</f>
        <v>0</v>
      </c>
      <c r="AI66" s="16" t="s">
        <v>168</v>
      </c>
      <c r="AJ66" s="18">
        <f>+AH66*1000</f>
        <v>0</v>
      </c>
      <c r="AL66" s="185"/>
      <c r="AM66" s="185"/>
      <c r="AN66" s="185"/>
      <c r="AO66" s="185"/>
      <c r="AP66" s="296"/>
      <c r="AQ66" s="185"/>
    </row>
    <row r="67" spans="1:43" x14ac:dyDescent="0.25">
      <c r="A67" s="143">
        <v>9</v>
      </c>
      <c r="B67" s="92">
        <v>45295</v>
      </c>
      <c r="C67" s="23"/>
      <c r="D67" s="31"/>
      <c r="E67" s="32"/>
      <c r="F67" s="32"/>
      <c r="G67" s="32"/>
      <c r="H67" s="39"/>
      <c r="I67" s="39"/>
      <c r="J67" s="40"/>
      <c r="K67" s="20">
        <v>10</v>
      </c>
      <c r="L67" s="21"/>
      <c r="M67" s="21">
        <f t="shared" si="8"/>
        <v>10</v>
      </c>
      <c r="N67" s="21">
        <f t="shared" si="9"/>
        <v>-10</v>
      </c>
      <c r="O67" s="16"/>
      <c r="P67" s="16"/>
      <c r="Q67" s="21"/>
      <c r="R67" s="5"/>
      <c r="S67" s="16"/>
      <c r="T67" s="16"/>
      <c r="U67" s="21">
        <f t="shared" si="10"/>
        <v>0</v>
      </c>
      <c r="V67" s="16"/>
      <c r="W67" s="294">
        <f t="shared" si="11"/>
        <v>0</v>
      </c>
      <c r="X67" s="140"/>
      <c r="Y67" s="334"/>
      <c r="Z67" s="5"/>
      <c r="AE67" s="26"/>
      <c r="AF67" s="58"/>
      <c r="AI67" s="26"/>
      <c r="AJ67" s="58"/>
      <c r="AL67" s="185"/>
      <c r="AM67" s="185"/>
      <c r="AN67" s="185"/>
      <c r="AO67" s="185"/>
      <c r="AP67" s="296"/>
      <c r="AQ67" s="185"/>
    </row>
    <row r="68" spans="1:43" x14ac:dyDescent="0.25">
      <c r="A68" s="143">
        <v>10</v>
      </c>
      <c r="B68" s="92">
        <v>45295</v>
      </c>
      <c r="C68" s="23"/>
      <c r="D68" s="31"/>
      <c r="E68" s="32"/>
      <c r="F68" s="32"/>
      <c r="G68" s="32"/>
      <c r="H68" s="39"/>
      <c r="I68" s="122"/>
      <c r="J68" s="42"/>
      <c r="K68" s="20">
        <v>10</v>
      </c>
      <c r="L68" s="21"/>
      <c r="M68" s="21">
        <f t="shared" si="8"/>
        <v>10</v>
      </c>
      <c r="N68" s="21">
        <f t="shared" si="9"/>
        <v>-10</v>
      </c>
      <c r="O68" s="16"/>
      <c r="P68" s="16"/>
      <c r="Q68" s="21"/>
      <c r="R68" s="5"/>
      <c r="S68" s="16"/>
      <c r="T68" s="16"/>
      <c r="U68" s="21">
        <f t="shared" si="10"/>
        <v>0</v>
      </c>
      <c r="V68" s="16"/>
      <c r="W68" s="294">
        <f t="shared" si="11"/>
        <v>0</v>
      </c>
      <c r="X68" s="140"/>
      <c r="Y68" s="334"/>
      <c r="Z68" s="5"/>
      <c r="AE68" s="16" t="s">
        <v>169</v>
      </c>
      <c r="AF68" s="18">
        <f>SUM(AF58:AF67)</f>
        <v>1140.5</v>
      </c>
      <c r="AI68" s="16" t="s">
        <v>169</v>
      </c>
      <c r="AJ68" s="18">
        <f>SUM(AJ58:AJ67)</f>
        <v>434.5</v>
      </c>
      <c r="AL68" s="185"/>
      <c r="AM68" s="185"/>
      <c r="AN68" s="185"/>
      <c r="AO68" s="185"/>
      <c r="AP68" s="296"/>
      <c r="AQ68" s="185"/>
    </row>
    <row r="69" spans="1:43" x14ac:dyDescent="0.25">
      <c r="A69" s="143">
        <v>11</v>
      </c>
      <c r="B69" s="92">
        <v>45295</v>
      </c>
      <c r="C69" s="23"/>
      <c r="D69" s="31"/>
      <c r="E69" s="124"/>
      <c r="F69" s="123"/>
      <c r="G69" s="123"/>
      <c r="H69" s="39"/>
      <c r="I69" s="122"/>
      <c r="J69" s="42"/>
      <c r="K69" s="20">
        <v>10</v>
      </c>
      <c r="L69" s="21"/>
      <c r="M69" s="21">
        <f t="shared" si="8"/>
        <v>10</v>
      </c>
      <c r="N69" s="21">
        <f t="shared" si="9"/>
        <v>-10</v>
      </c>
      <c r="O69" s="16"/>
      <c r="P69" s="16"/>
      <c r="Q69" s="21"/>
      <c r="R69" s="5"/>
      <c r="S69" s="16"/>
      <c r="T69" s="16"/>
      <c r="U69" s="21">
        <f t="shared" si="10"/>
        <v>0</v>
      </c>
      <c r="V69" s="16"/>
      <c r="W69" s="294">
        <f t="shared" si="11"/>
        <v>0</v>
      </c>
      <c r="X69" s="140"/>
      <c r="Y69" s="334"/>
      <c r="Z69" s="5"/>
      <c r="AL69" s="185"/>
      <c r="AM69" s="185"/>
      <c r="AN69" s="185"/>
      <c r="AO69" s="185"/>
      <c r="AP69" s="185"/>
      <c r="AQ69" s="185"/>
    </row>
    <row r="70" spans="1:43" x14ac:dyDescent="0.25">
      <c r="A70" s="143">
        <v>12</v>
      </c>
      <c r="B70" s="92">
        <v>45295</v>
      </c>
      <c r="C70" s="23"/>
      <c r="D70" s="32"/>
      <c r="E70" s="32"/>
      <c r="F70" s="124"/>
      <c r="G70" s="123"/>
      <c r="H70" s="39"/>
      <c r="I70" s="39"/>
      <c r="J70" s="42"/>
      <c r="K70" s="20">
        <v>10</v>
      </c>
      <c r="L70" s="21"/>
      <c r="M70" s="21">
        <f t="shared" si="8"/>
        <v>10</v>
      </c>
      <c r="N70" s="21">
        <f t="shared" si="9"/>
        <v>-10</v>
      </c>
      <c r="O70" s="26"/>
      <c r="P70" s="26"/>
      <c r="Q70" s="21"/>
      <c r="R70" s="5"/>
      <c r="S70" s="45"/>
      <c r="T70" s="44"/>
      <c r="U70" s="21">
        <f t="shared" si="10"/>
        <v>0</v>
      </c>
      <c r="V70" s="45"/>
      <c r="W70" s="294">
        <f t="shared" si="11"/>
        <v>0</v>
      </c>
      <c r="X70" s="140"/>
      <c r="Y70" s="334"/>
      <c r="Z70" s="5"/>
      <c r="AL70" s="185"/>
      <c r="AM70" s="185"/>
      <c r="AN70" s="185"/>
      <c r="AO70" s="185"/>
      <c r="AP70" s="297"/>
      <c r="AQ70" s="185"/>
    </row>
    <row r="71" spans="1:43" x14ac:dyDescent="0.25">
      <c r="A71" s="143">
        <v>13</v>
      </c>
      <c r="B71" s="92">
        <v>45295</v>
      </c>
      <c r="C71" s="23"/>
      <c r="D71" s="31"/>
      <c r="E71" s="32"/>
      <c r="F71" s="32"/>
      <c r="G71" s="32"/>
      <c r="H71" s="39"/>
      <c r="I71" s="39"/>
      <c r="J71" s="42"/>
      <c r="K71" s="108">
        <v>10</v>
      </c>
      <c r="L71" s="21"/>
      <c r="M71" s="21">
        <f t="shared" si="8"/>
        <v>10</v>
      </c>
      <c r="N71" s="78">
        <f t="shared" si="9"/>
        <v>-10</v>
      </c>
      <c r="O71" s="143"/>
      <c r="P71" s="143"/>
      <c r="Q71" s="20"/>
      <c r="R71" s="5"/>
      <c r="S71" s="43"/>
      <c r="T71" s="32"/>
      <c r="U71" s="21">
        <f t="shared" si="10"/>
        <v>0</v>
      </c>
      <c r="V71" s="43"/>
      <c r="W71" s="294">
        <f t="shared" si="11"/>
        <v>0</v>
      </c>
      <c r="X71" s="140"/>
      <c r="Y71" s="334"/>
      <c r="Z71" s="5"/>
      <c r="AJ71" s="83"/>
    </row>
    <row r="72" spans="1:43" x14ac:dyDescent="0.25">
      <c r="A72" s="143">
        <v>14</v>
      </c>
      <c r="B72" s="92">
        <v>45295</v>
      </c>
      <c r="C72" s="23"/>
      <c r="D72" s="31"/>
      <c r="E72" s="32"/>
      <c r="F72" s="32"/>
      <c r="G72" s="32"/>
      <c r="H72" s="39"/>
      <c r="I72" s="39"/>
      <c r="J72" s="42"/>
      <c r="K72" s="108">
        <v>10</v>
      </c>
      <c r="L72" s="21"/>
      <c r="M72" s="21">
        <f t="shared" si="8"/>
        <v>10</v>
      </c>
      <c r="N72" s="21">
        <f t="shared" si="9"/>
        <v>-10</v>
      </c>
      <c r="O72" s="50"/>
      <c r="P72" s="50"/>
      <c r="Q72" s="21"/>
      <c r="R72" s="5"/>
      <c r="S72" s="43"/>
      <c r="T72" s="43"/>
      <c r="U72" s="21">
        <f t="shared" si="10"/>
        <v>0</v>
      </c>
      <c r="V72" s="43"/>
      <c r="W72" s="294">
        <f t="shared" si="11"/>
        <v>0</v>
      </c>
      <c r="X72" s="140"/>
      <c r="Y72" s="334"/>
      <c r="Z72" s="5"/>
      <c r="AE72" s="5"/>
      <c r="AF72" s="5"/>
      <c r="AG72" s="5"/>
      <c r="AH72" s="5"/>
      <c r="AI72" s="5"/>
      <c r="AJ72" s="5"/>
      <c r="AK72" s="5"/>
    </row>
    <row r="73" spans="1:43" x14ac:dyDescent="0.25">
      <c r="A73" s="143">
        <v>15</v>
      </c>
      <c r="B73" s="92">
        <v>45295</v>
      </c>
      <c r="C73" s="23"/>
      <c r="D73" s="127"/>
      <c r="E73" s="32"/>
      <c r="F73" s="32"/>
      <c r="G73" s="128"/>
      <c r="H73" s="129"/>
      <c r="I73" s="39"/>
      <c r="J73" s="42"/>
      <c r="K73" s="108">
        <v>10</v>
      </c>
      <c r="L73" s="21"/>
      <c r="M73" s="21">
        <f t="shared" si="8"/>
        <v>10</v>
      </c>
      <c r="N73" s="21">
        <f t="shared" si="9"/>
        <v>-10</v>
      </c>
      <c r="O73" s="21"/>
      <c r="P73" s="21"/>
      <c r="Q73" s="21"/>
      <c r="R73" s="5"/>
      <c r="S73" s="43"/>
      <c r="T73" s="43"/>
      <c r="U73" s="21">
        <f t="shared" si="10"/>
        <v>0</v>
      </c>
      <c r="V73" s="43"/>
      <c r="W73" s="294">
        <f t="shared" si="11"/>
        <v>0</v>
      </c>
      <c r="X73" s="140"/>
      <c r="Y73" s="334"/>
      <c r="Z73" s="5"/>
      <c r="AE73" s="5"/>
      <c r="AF73" s="134" t="s">
        <v>20</v>
      </c>
      <c r="AG73" s="362">
        <f>+AJ73+AF69</f>
        <v>1140.5</v>
      </c>
      <c r="AH73" s="341" t="s">
        <v>686</v>
      </c>
      <c r="AI73" s="134" t="s">
        <v>20</v>
      </c>
      <c r="AJ73" s="358">
        <f>+AF68</f>
        <v>1140.5</v>
      </c>
      <c r="AK73" s="5"/>
    </row>
    <row r="74" spans="1:43" x14ac:dyDescent="0.25">
      <c r="A74" s="143">
        <v>16</v>
      </c>
      <c r="B74" s="92">
        <v>45295</v>
      </c>
      <c r="C74" s="23"/>
      <c r="D74" s="31"/>
      <c r="E74" s="32"/>
      <c r="F74" s="32"/>
      <c r="G74" s="32"/>
      <c r="H74" s="39"/>
      <c r="I74" s="39"/>
      <c r="J74" s="42"/>
      <c r="K74" s="43">
        <v>10</v>
      </c>
      <c r="L74" s="21"/>
      <c r="M74" s="21">
        <f t="shared" si="8"/>
        <v>10</v>
      </c>
      <c r="N74" s="21">
        <f t="shared" si="9"/>
        <v>-10</v>
      </c>
      <c r="O74" s="21"/>
      <c r="P74" s="21"/>
      <c r="Q74" s="21"/>
      <c r="R74" s="5"/>
      <c r="S74" s="43"/>
      <c r="T74" s="32"/>
      <c r="U74" s="21">
        <f t="shared" si="10"/>
        <v>0</v>
      </c>
      <c r="V74" s="131"/>
      <c r="W74" s="294">
        <f t="shared" si="11"/>
        <v>0</v>
      </c>
      <c r="X74" s="140"/>
      <c r="Y74" s="334"/>
      <c r="Z74" s="5"/>
      <c r="AE74" s="5" t="s">
        <v>685</v>
      </c>
      <c r="AF74" s="115" t="s">
        <v>3676</v>
      </c>
      <c r="AG74" s="360"/>
      <c r="AH74" s="341"/>
      <c r="AI74" s="115" t="s">
        <v>684</v>
      </c>
      <c r="AJ74" s="360"/>
      <c r="AK74" s="5"/>
    </row>
    <row r="75" spans="1:43" x14ac:dyDescent="0.25">
      <c r="A75" s="143">
        <v>17</v>
      </c>
      <c r="B75" s="92">
        <v>45295</v>
      </c>
      <c r="C75" s="23"/>
      <c r="D75" s="31"/>
      <c r="E75" s="32"/>
      <c r="F75" s="32"/>
      <c r="G75" s="32"/>
      <c r="H75" s="39"/>
      <c r="I75" s="39"/>
      <c r="J75" s="42"/>
      <c r="K75" s="43">
        <v>10</v>
      </c>
      <c r="L75" s="21"/>
      <c r="M75" s="21">
        <f t="shared" si="8"/>
        <v>10</v>
      </c>
      <c r="N75" s="21">
        <f t="shared" si="9"/>
        <v>-10</v>
      </c>
      <c r="O75" s="21"/>
      <c r="P75" s="21"/>
      <c r="Q75" s="21"/>
      <c r="R75" s="5"/>
      <c r="S75" s="43"/>
      <c r="T75" s="32"/>
      <c r="U75" s="21">
        <f t="shared" si="10"/>
        <v>0</v>
      </c>
      <c r="V75" s="132"/>
      <c r="W75" s="294">
        <f t="shared" si="11"/>
        <v>0</v>
      </c>
      <c r="X75" s="140"/>
      <c r="Y75" s="340"/>
      <c r="Z75" s="5"/>
      <c r="AE75" s="5"/>
      <c r="AF75" s="5"/>
      <c r="AG75" s="5"/>
      <c r="AH75" s="5" t="s">
        <v>3677</v>
      </c>
      <c r="AI75" s="5"/>
      <c r="AJ75" s="5"/>
      <c r="AK75" s="5"/>
    </row>
    <row r="76" spans="1:43" x14ac:dyDescent="0.25">
      <c r="A76" s="143">
        <v>18</v>
      </c>
      <c r="B76" s="92">
        <v>45295</v>
      </c>
      <c r="C76" s="32"/>
      <c r="D76" s="31"/>
      <c r="E76" s="32"/>
      <c r="F76" s="32"/>
      <c r="G76" s="32"/>
      <c r="H76" s="39"/>
      <c r="I76" s="39"/>
      <c r="J76" s="42"/>
      <c r="K76" s="43">
        <v>10</v>
      </c>
      <c r="L76" s="21"/>
      <c r="M76" s="21">
        <f t="shared" si="8"/>
        <v>10</v>
      </c>
      <c r="N76" s="21">
        <f t="shared" si="9"/>
        <v>-10</v>
      </c>
      <c r="O76" s="21"/>
      <c r="P76" s="21"/>
      <c r="Q76" s="21"/>
      <c r="R76" s="5"/>
      <c r="S76" s="135"/>
      <c r="T76" s="104"/>
      <c r="U76" s="21">
        <f t="shared" si="10"/>
        <v>0</v>
      </c>
      <c r="V76" s="131"/>
      <c r="W76" s="294">
        <f t="shared" si="11"/>
        <v>0</v>
      </c>
      <c r="X76" s="140"/>
      <c r="Z76" s="5"/>
    </row>
    <row r="77" spans="1:43" x14ac:dyDescent="0.25">
      <c r="A77" s="143">
        <v>19</v>
      </c>
      <c r="B77" s="92">
        <v>45295</v>
      </c>
      <c r="C77" s="32"/>
      <c r="D77" s="31"/>
      <c r="E77" s="32"/>
      <c r="F77" s="32"/>
      <c r="G77" s="32"/>
      <c r="H77" s="39"/>
      <c r="I77" s="39"/>
      <c r="J77" s="42"/>
      <c r="K77" s="43">
        <v>10</v>
      </c>
      <c r="L77" s="21"/>
      <c r="M77" s="21">
        <f t="shared" si="8"/>
        <v>10</v>
      </c>
      <c r="N77" s="21">
        <f t="shared" si="9"/>
        <v>-10</v>
      </c>
      <c r="O77" s="21"/>
      <c r="P77" s="21"/>
      <c r="Q77" s="21"/>
      <c r="R77" s="5"/>
      <c r="S77" s="32"/>
      <c r="T77" s="32"/>
      <c r="U77" s="21">
        <f t="shared" si="10"/>
        <v>0</v>
      </c>
      <c r="V77" s="32"/>
      <c r="W77" s="294">
        <f t="shared" si="11"/>
        <v>0</v>
      </c>
      <c r="X77" s="140"/>
      <c r="Z77" s="5"/>
      <c r="AE77" s="5"/>
      <c r="AF77" s="5"/>
      <c r="AG77" s="5"/>
      <c r="AH77" s="5"/>
      <c r="AI77" s="5"/>
      <c r="AJ77" s="5"/>
      <c r="AK77" s="5"/>
    </row>
    <row r="78" spans="1:4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>
        <f>+((SUM(O59:O77))-(SUM(P59:P77)))</f>
        <v>0</v>
      </c>
      <c r="Q78" s="5"/>
      <c r="R78" s="5"/>
      <c r="S78" s="5"/>
      <c r="T78" s="5"/>
      <c r="U78" s="5"/>
      <c r="V78" s="5"/>
      <c r="W78" s="5"/>
      <c r="X78" s="141"/>
      <c r="Y78" s="5"/>
      <c r="Z78" s="5"/>
      <c r="AE78" s="5"/>
      <c r="AF78" s="134" t="s">
        <v>20</v>
      </c>
      <c r="AG78" s="358">
        <f>P78</f>
        <v>0</v>
      </c>
      <c r="AH78" s="341" t="s">
        <v>687</v>
      </c>
      <c r="AI78" s="134" t="s">
        <v>20</v>
      </c>
      <c r="AJ78" s="358">
        <f>+AJ68</f>
        <v>434.5</v>
      </c>
      <c r="AK78" s="5"/>
    </row>
    <row r="79" spans="1:43" x14ac:dyDescent="0.25">
      <c r="AE79" s="5" t="s">
        <v>3679</v>
      </c>
      <c r="AF79" s="115" t="s">
        <v>684</v>
      </c>
      <c r="AG79" s="359"/>
      <c r="AH79" s="341"/>
      <c r="AI79" s="115" t="s">
        <v>684</v>
      </c>
      <c r="AJ79" s="360"/>
      <c r="AK79" s="5"/>
    </row>
    <row r="80" spans="1:43" x14ac:dyDescent="0.25">
      <c r="AE80" s="5"/>
      <c r="AF80" s="5"/>
      <c r="AG80" s="5"/>
      <c r="AH80" s="5" t="s">
        <v>3678</v>
      </c>
      <c r="AI80" s="5"/>
      <c r="AJ80" s="5"/>
      <c r="AK80" s="5"/>
    </row>
    <row r="83" spans="1:43" x14ac:dyDescent="0.25">
      <c r="AL83" s="185"/>
      <c r="AM83" s="185"/>
      <c r="AN83" s="185"/>
      <c r="AO83" s="185"/>
      <c r="AP83" s="185"/>
      <c r="AQ83" s="185"/>
    </row>
    <row r="84" spans="1:43" ht="30" x14ac:dyDescent="0.25">
      <c r="A84" s="1" t="s">
        <v>0</v>
      </c>
      <c r="B84" s="1"/>
      <c r="C84" s="1"/>
      <c r="D84" s="1"/>
      <c r="E84" s="1"/>
      <c r="F84" s="1"/>
      <c r="G84" s="1"/>
      <c r="H84" s="1"/>
      <c r="I84" s="1"/>
      <c r="J84" s="1" t="s">
        <v>148</v>
      </c>
      <c r="K84" s="1"/>
      <c r="L84" s="1"/>
      <c r="M84" s="1"/>
      <c r="N84" s="1"/>
      <c r="O84" s="363" t="s">
        <v>3679</v>
      </c>
      <c r="P84" s="363"/>
      <c r="Q84" s="1"/>
      <c r="R84" s="1"/>
      <c r="S84" s="1"/>
      <c r="T84" s="1"/>
      <c r="U84" s="5"/>
      <c r="V84" s="5"/>
      <c r="W84" s="295" t="s">
        <v>1</v>
      </c>
      <c r="X84" s="139"/>
      <c r="Y84" s="1"/>
      <c r="Z84" s="5"/>
      <c r="AE84" s="335" t="s">
        <v>160</v>
      </c>
      <c r="AF84" s="336"/>
      <c r="AI84" s="335" t="s">
        <v>170</v>
      </c>
      <c r="AJ84" s="336"/>
      <c r="AL84" s="361"/>
      <c r="AM84" s="361"/>
      <c r="AN84" s="185"/>
      <c r="AO84" s="361"/>
      <c r="AP84" s="361"/>
      <c r="AQ84" s="185"/>
    </row>
    <row r="85" spans="1:43" ht="90" x14ac:dyDescent="0.25">
      <c r="A85" s="6" t="s">
        <v>2</v>
      </c>
      <c r="B85" s="7" t="s">
        <v>3</v>
      </c>
      <c r="C85" s="245" t="s">
        <v>3675</v>
      </c>
      <c r="D85" s="7" t="s">
        <v>4</v>
      </c>
      <c r="E85" s="6" t="s">
        <v>5</v>
      </c>
      <c r="F85" s="6" t="s">
        <v>6</v>
      </c>
      <c r="G85" s="6" t="s">
        <v>7</v>
      </c>
      <c r="H85" s="6" t="s">
        <v>8</v>
      </c>
      <c r="I85" s="8" t="s">
        <v>9</v>
      </c>
      <c r="J85" s="8" t="s">
        <v>10</v>
      </c>
      <c r="K85" s="8" t="s">
        <v>11</v>
      </c>
      <c r="L85" s="76" t="s">
        <v>12</v>
      </c>
      <c r="M85" s="76" t="s">
        <v>13</v>
      </c>
      <c r="N85" s="15" t="s">
        <v>14</v>
      </c>
      <c r="O85" s="15" t="s">
        <v>173</v>
      </c>
      <c r="P85" s="15" t="s">
        <v>174</v>
      </c>
      <c r="Q85" s="76" t="s">
        <v>28</v>
      </c>
      <c r="R85" s="5"/>
      <c r="S85" s="76" t="s">
        <v>16</v>
      </c>
      <c r="T85" s="76" t="s">
        <v>17</v>
      </c>
      <c r="U85" s="76" t="s">
        <v>18</v>
      </c>
      <c r="V85" s="76" t="s">
        <v>19</v>
      </c>
      <c r="W85" s="76" t="s">
        <v>20</v>
      </c>
      <c r="X85" s="13"/>
      <c r="Y85" s="15" t="s">
        <v>23</v>
      </c>
      <c r="Z85" s="5"/>
      <c r="AB85" s="251" t="s">
        <v>2554</v>
      </c>
      <c r="AD85">
        <v>6</v>
      </c>
      <c r="AE85" s="16" t="s">
        <v>161</v>
      </c>
      <c r="AF85" s="58">
        <f>+AD85*10</f>
        <v>60</v>
      </c>
      <c r="AI85" s="16" t="s">
        <v>161</v>
      </c>
      <c r="AJ85" s="58">
        <f>+AH85*10</f>
        <v>0</v>
      </c>
      <c r="AL85" s="185"/>
      <c r="AM85" s="185"/>
      <c r="AN85" s="185"/>
      <c r="AO85" s="185"/>
      <c r="AP85" s="296"/>
      <c r="AQ85" s="185"/>
    </row>
    <row r="86" spans="1:43" x14ac:dyDescent="0.25">
      <c r="A86" s="16">
        <v>1</v>
      </c>
      <c r="B86" s="92">
        <v>45296</v>
      </c>
      <c r="C86" s="23">
        <v>0.39583333333333331</v>
      </c>
      <c r="D86" s="31" t="s">
        <v>24</v>
      </c>
      <c r="E86" s="32">
        <v>5562236073</v>
      </c>
      <c r="F86" s="32" t="s">
        <v>593</v>
      </c>
      <c r="G86" s="39" t="s">
        <v>522</v>
      </c>
      <c r="H86" s="39" t="s">
        <v>3854</v>
      </c>
      <c r="I86" s="122">
        <v>66</v>
      </c>
      <c r="J86" s="32">
        <v>46</v>
      </c>
      <c r="K86" s="20">
        <v>20</v>
      </c>
      <c r="L86" s="50"/>
      <c r="M86" s="50">
        <f t="shared" ref="M86:M104" si="12">+J86+K86</f>
        <v>66</v>
      </c>
      <c r="N86" s="50">
        <f t="shared" ref="N86:N104" si="13">+I86-M86</f>
        <v>0</v>
      </c>
      <c r="O86" s="29"/>
      <c r="P86" s="29"/>
      <c r="Q86" s="50"/>
      <c r="R86" s="5"/>
      <c r="S86" s="50">
        <v>100</v>
      </c>
      <c r="T86" s="29"/>
      <c r="U86" s="50">
        <f t="shared" ref="U86:U104" si="14">+S86+T86</f>
        <v>100</v>
      </c>
      <c r="V86" s="50">
        <v>120</v>
      </c>
      <c r="W86" s="294">
        <f>+V86-U86+O86+Q86-P86</f>
        <v>20</v>
      </c>
      <c r="X86" s="13"/>
      <c r="Y86" s="333"/>
      <c r="Z86" s="5"/>
      <c r="AD86">
        <v>22</v>
      </c>
      <c r="AE86" s="59" t="s">
        <v>162</v>
      </c>
      <c r="AF86" s="18">
        <f>+AD86*1</f>
        <v>22</v>
      </c>
      <c r="AI86" s="59" t="s">
        <v>162</v>
      </c>
      <c r="AJ86" s="18">
        <f>+AH86*1</f>
        <v>0</v>
      </c>
      <c r="AL86" s="185"/>
      <c r="AM86" s="185"/>
      <c r="AN86" s="185"/>
      <c r="AO86" s="185"/>
      <c r="AP86" s="296"/>
      <c r="AQ86" s="185"/>
    </row>
    <row r="87" spans="1:43" x14ac:dyDescent="0.25">
      <c r="A87" s="26">
        <v>2</v>
      </c>
      <c r="B87" s="92">
        <v>45296</v>
      </c>
      <c r="C87" s="23">
        <v>10.416666666666666</v>
      </c>
      <c r="D87" s="31" t="s">
        <v>24</v>
      </c>
      <c r="E87" s="32">
        <v>5562236073</v>
      </c>
      <c r="F87" s="32" t="s">
        <v>1806</v>
      </c>
      <c r="G87" s="32" t="s">
        <v>522</v>
      </c>
      <c r="H87" s="39" t="s">
        <v>651</v>
      </c>
      <c r="I87" s="122"/>
      <c r="J87" s="32">
        <v>114</v>
      </c>
      <c r="K87" s="20">
        <v>10</v>
      </c>
      <c r="L87" s="21"/>
      <c r="M87" s="21">
        <f t="shared" si="12"/>
        <v>124</v>
      </c>
      <c r="N87" s="21">
        <f t="shared" si="13"/>
        <v>-124</v>
      </c>
      <c r="O87" s="16"/>
      <c r="P87" s="16"/>
      <c r="Q87" s="21"/>
      <c r="R87" s="5"/>
      <c r="S87" s="21">
        <v>200</v>
      </c>
      <c r="T87" s="16"/>
      <c r="U87" s="21">
        <f t="shared" si="14"/>
        <v>200</v>
      </c>
      <c r="V87" s="21">
        <v>220</v>
      </c>
      <c r="W87" s="294">
        <f t="shared" ref="W87:W104" si="15">+V87-U87+O87+Q87-P87</f>
        <v>20</v>
      </c>
      <c r="X87" s="140"/>
      <c r="Y87" s="334"/>
      <c r="Z87" s="5"/>
      <c r="AD87">
        <v>4</v>
      </c>
      <c r="AE87" s="16" t="s">
        <v>163</v>
      </c>
      <c r="AF87" s="60">
        <f>+AD87*5</f>
        <v>20</v>
      </c>
      <c r="AI87" s="16" t="s">
        <v>163</v>
      </c>
      <c r="AJ87" s="60">
        <f>+AH87*5</f>
        <v>0</v>
      </c>
      <c r="AL87" s="185"/>
      <c r="AM87" s="185"/>
      <c r="AN87" s="185"/>
      <c r="AO87" s="185"/>
      <c r="AP87" s="296"/>
      <c r="AQ87" s="185"/>
    </row>
    <row r="88" spans="1:43" x14ac:dyDescent="0.25">
      <c r="A88" s="143">
        <v>3</v>
      </c>
      <c r="B88" s="92">
        <v>45296</v>
      </c>
      <c r="C88" s="23">
        <v>0.43194444444444446</v>
      </c>
      <c r="D88" s="31" t="s">
        <v>3530</v>
      </c>
      <c r="E88" s="32">
        <v>9531286830</v>
      </c>
      <c r="F88" s="32" t="s">
        <v>3860</v>
      </c>
      <c r="G88" s="32" t="s">
        <v>3859</v>
      </c>
      <c r="H88" s="39" t="s">
        <v>3861</v>
      </c>
      <c r="I88" s="122"/>
      <c r="J88" s="32">
        <f>40+21</f>
        <v>61</v>
      </c>
      <c r="K88" s="20">
        <v>10</v>
      </c>
      <c r="L88" s="21"/>
      <c r="M88" s="21">
        <f t="shared" si="12"/>
        <v>71</v>
      </c>
      <c r="N88" s="21">
        <f t="shared" si="13"/>
        <v>-71</v>
      </c>
      <c r="O88" s="16"/>
      <c r="P88" s="16"/>
      <c r="Q88" s="21"/>
      <c r="R88" s="5"/>
      <c r="S88" s="21"/>
      <c r="T88" s="16"/>
      <c r="U88" s="21">
        <f t="shared" si="14"/>
        <v>0</v>
      </c>
      <c r="V88" s="21">
        <v>10</v>
      </c>
      <c r="W88" s="294">
        <f t="shared" si="15"/>
        <v>10</v>
      </c>
      <c r="X88" s="140"/>
      <c r="Y88" s="334"/>
      <c r="Z88" s="5"/>
      <c r="AE88" s="16" t="s">
        <v>164</v>
      </c>
      <c r="AF88" s="18">
        <f>+AD88*200</f>
        <v>0</v>
      </c>
      <c r="AI88" s="16" t="s">
        <v>164</v>
      </c>
      <c r="AJ88" s="18">
        <f>+AH88*200</f>
        <v>0</v>
      </c>
      <c r="AL88" s="185"/>
      <c r="AM88" s="185"/>
      <c r="AN88" s="185"/>
      <c r="AO88" s="185"/>
      <c r="AP88" s="296"/>
      <c r="AQ88" s="185"/>
    </row>
    <row r="89" spans="1:43" x14ac:dyDescent="0.25">
      <c r="A89" s="143">
        <v>4</v>
      </c>
      <c r="B89" s="92">
        <v>45296</v>
      </c>
      <c r="C89" s="23">
        <v>0.56041666666666667</v>
      </c>
      <c r="D89" s="31" t="s">
        <v>128</v>
      </c>
      <c r="E89" s="32">
        <v>5563163036</v>
      </c>
      <c r="F89" s="32" t="s">
        <v>3864</v>
      </c>
      <c r="G89" s="32">
        <v>844</v>
      </c>
      <c r="H89" s="39" t="s">
        <v>3863</v>
      </c>
      <c r="I89" s="122"/>
      <c r="J89" s="32">
        <v>150</v>
      </c>
      <c r="K89" s="20">
        <v>10</v>
      </c>
      <c r="L89" s="21"/>
      <c r="M89" s="21">
        <f t="shared" si="12"/>
        <v>160</v>
      </c>
      <c r="N89" s="21">
        <f t="shared" si="13"/>
        <v>-160</v>
      </c>
      <c r="O89" s="16">
        <v>170</v>
      </c>
      <c r="P89" s="16"/>
      <c r="Q89" s="21"/>
      <c r="R89" s="5"/>
      <c r="S89" s="21">
        <v>250</v>
      </c>
      <c r="T89" s="16"/>
      <c r="U89" s="21">
        <f t="shared" si="14"/>
        <v>250</v>
      </c>
      <c r="V89" s="21">
        <v>100</v>
      </c>
      <c r="W89" s="294">
        <f t="shared" si="15"/>
        <v>20</v>
      </c>
      <c r="X89" s="140"/>
      <c r="Y89" s="334"/>
      <c r="Z89" s="5"/>
      <c r="AE89" s="16" t="s">
        <v>165</v>
      </c>
      <c r="AF89" s="18">
        <f>+AD89*100</f>
        <v>0</v>
      </c>
      <c r="AI89" s="16" t="s">
        <v>165</v>
      </c>
      <c r="AJ89" s="18">
        <f>+AH89*100</f>
        <v>0</v>
      </c>
      <c r="AL89" s="185"/>
      <c r="AM89" s="185"/>
      <c r="AN89" s="185"/>
      <c r="AO89" s="185"/>
      <c r="AP89" s="296"/>
      <c r="AQ89" s="185"/>
    </row>
    <row r="90" spans="1:43" x14ac:dyDescent="0.25">
      <c r="A90" s="143">
        <v>5</v>
      </c>
      <c r="B90" s="92">
        <v>45296</v>
      </c>
      <c r="C90" s="23"/>
      <c r="D90" s="31" t="s">
        <v>2478</v>
      </c>
      <c r="E90" s="32"/>
      <c r="F90" s="32" t="s">
        <v>156</v>
      </c>
      <c r="G90" s="32" t="s">
        <v>1350</v>
      </c>
      <c r="H90" s="32" t="s">
        <v>3867</v>
      </c>
      <c r="I90" s="122"/>
      <c r="J90" s="32"/>
      <c r="K90" s="20">
        <v>10</v>
      </c>
      <c r="L90" s="21"/>
      <c r="M90" s="21">
        <f t="shared" si="12"/>
        <v>10</v>
      </c>
      <c r="N90" s="21">
        <f t="shared" si="13"/>
        <v>-10</v>
      </c>
      <c r="O90" s="16"/>
      <c r="P90" s="16"/>
      <c r="Q90" s="21"/>
      <c r="R90" s="5"/>
      <c r="S90" s="16">
        <v>200</v>
      </c>
      <c r="T90" s="16"/>
      <c r="U90" s="21">
        <f t="shared" si="14"/>
        <v>200</v>
      </c>
      <c r="V90" s="21"/>
      <c r="W90" s="294">
        <f t="shared" si="15"/>
        <v>-200</v>
      </c>
      <c r="X90" s="140"/>
      <c r="Y90" s="334"/>
      <c r="Z90" s="5"/>
      <c r="AE90" s="16" t="s">
        <v>166</v>
      </c>
      <c r="AF90" s="18">
        <f>+AD90*50</f>
        <v>0</v>
      </c>
      <c r="AI90" s="16" t="s">
        <v>166</v>
      </c>
      <c r="AJ90" s="18">
        <f>+AH90*50</f>
        <v>0</v>
      </c>
      <c r="AL90" s="185"/>
      <c r="AM90" s="185"/>
      <c r="AN90" s="185"/>
      <c r="AO90" s="185"/>
      <c r="AP90" s="296"/>
      <c r="AQ90" s="185"/>
    </row>
    <row r="91" spans="1:43" x14ac:dyDescent="0.25">
      <c r="A91" s="143">
        <v>6</v>
      </c>
      <c r="B91" s="92">
        <v>45296</v>
      </c>
      <c r="C91" s="23"/>
      <c r="D91" s="31" t="s">
        <v>2489</v>
      </c>
      <c r="E91" s="32"/>
      <c r="F91" s="32" t="s">
        <v>3870</v>
      </c>
      <c r="G91" s="39" t="s">
        <v>3868</v>
      </c>
      <c r="H91" s="39" t="s">
        <v>3869</v>
      </c>
      <c r="I91" s="39"/>
      <c r="J91" s="42"/>
      <c r="K91" s="20">
        <v>10</v>
      </c>
      <c r="L91" s="21"/>
      <c r="M91" s="21">
        <f t="shared" si="12"/>
        <v>10</v>
      </c>
      <c r="N91" s="21">
        <f t="shared" si="13"/>
        <v>-10</v>
      </c>
      <c r="O91" s="16"/>
      <c r="P91" s="16"/>
      <c r="Q91" s="21"/>
      <c r="R91" s="5"/>
      <c r="S91" s="16"/>
      <c r="T91" s="16"/>
      <c r="U91" s="21">
        <f t="shared" si="14"/>
        <v>0</v>
      </c>
      <c r="V91" s="16"/>
      <c r="W91" s="294">
        <f t="shared" si="15"/>
        <v>0</v>
      </c>
      <c r="X91" s="140"/>
      <c r="Y91" s="334"/>
      <c r="Z91" s="5"/>
      <c r="AE91" s="16" t="s">
        <v>167</v>
      </c>
      <c r="AF91" s="18">
        <f>+AD91*20</f>
        <v>0</v>
      </c>
      <c r="AI91" s="16" t="s">
        <v>167</v>
      </c>
      <c r="AJ91" s="18">
        <f>+AH91*20</f>
        <v>0</v>
      </c>
      <c r="AL91" s="185"/>
      <c r="AM91" s="185"/>
      <c r="AN91" s="185"/>
      <c r="AO91" s="185"/>
      <c r="AP91" s="296"/>
      <c r="AQ91" s="185"/>
    </row>
    <row r="92" spans="1:43" x14ac:dyDescent="0.25">
      <c r="A92" s="143">
        <v>7</v>
      </c>
      <c r="B92" s="92">
        <v>45296</v>
      </c>
      <c r="C92" s="23">
        <v>0.29166666666666669</v>
      </c>
      <c r="D92" s="31" t="s">
        <v>2974</v>
      </c>
      <c r="E92" s="32"/>
      <c r="F92" s="32" t="s">
        <v>41</v>
      </c>
      <c r="G92" s="32" t="s">
        <v>2975</v>
      </c>
      <c r="H92" s="32" t="s">
        <v>3872</v>
      </c>
      <c r="I92" s="122">
        <v>166</v>
      </c>
      <c r="J92" s="42">
        <v>156</v>
      </c>
      <c r="K92" s="20">
        <v>10</v>
      </c>
      <c r="L92" s="21"/>
      <c r="M92" s="21">
        <f t="shared" si="12"/>
        <v>166</v>
      </c>
      <c r="N92" s="21">
        <f t="shared" si="13"/>
        <v>0</v>
      </c>
      <c r="O92" s="16"/>
      <c r="P92" s="16"/>
      <c r="Q92" s="21"/>
      <c r="R92" s="5"/>
      <c r="S92" s="16"/>
      <c r="T92" s="16"/>
      <c r="U92" s="21">
        <f t="shared" si="14"/>
        <v>0</v>
      </c>
      <c r="V92" s="16"/>
      <c r="W92" s="294">
        <f t="shared" si="15"/>
        <v>0</v>
      </c>
      <c r="X92" s="140"/>
      <c r="Y92" s="334"/>
      <c r="Z92" s="5"/>
      <c r="AE92" s="16" t="s">
        <v>171</v>
      </c>
      <c r="AF92" s="18">
        <f>+AD92*500</f>
        <v>0</v>
      </c>
      <c r="AI92" s="16" t="s">
        <v>171</v>
      </c>
      <c r="AJ92" s="18">
        <f>+AH92*500</f>
        <v>0</v>
      </c>
      <c r="AL92" s="185"/>
      <c r="AM92" s="185"/>
      <c r="AN92" s="185"/>
      <c r="AO92" s="185"/>
      <c r="AP92" s="296"/>
      <c r="AQ92" s="185"/>
    </row>
    <row r="93" spans="1:43" x14ac:dyDescent="0.25">
      <c r="A93" s="143">
        <v>8</v>
      </c>
      <c r="B93" s="92">
        <v>45296</v>
      </c>
      <c r="C93" s="23">
        <v>0.3125</v>
      </c>
      <c r="D93" s="31" t="s">
        <v>2974</v>
      </c>
      <c r="E93" s="123"/>
      <c r="F93" s="123" t="s">
        <v>41</v>
      </c>
      <c r="G93" s="32" t="s">
        <v>2975</v>
      </c>
      <c r="H93" s="123" t="s">
        <v>3873</v>
      </c>
      <c r="I93" s="122">
        <v>390</v>
      </c>
      <c r="J93" s="32">
        <v>365</v>
      </c>
      <c r="K93" s="20">
        <v>10</v>
      </c>
      <c r="L93" s="21">
        <v>15</v>
      </c>
      <c r="M93" s="21">
        <f t="shared" si="12"/>
        <v>375</v>
      </c>
      <c r="N93" s="21">
        <f t="shared" si="13"/>
        <v>15</v>
      </c>
      <c r="O93" s="16"/>
      <c r="P93" s="16"/>
      <c r="Q93" s="21"/>
      <c r="R93" s="5"/>
      <c r="S93" s="16"/>
      <c r="T93" s="16"/>
      <c r="U93" s="21">
        <f t="shared" si="14"/>
        <v>0</v>
      </c>
      <c r="V93" s="16"/>
      <c r="W93" s="294">
        <f t="shared" si="15"/>
        <v>0</v>
      </c>
      <c r="X93" s="140"/>
      <c r="Y93" s="334"/>
      <c r="Z93" s="5"/>
      <c r="AE93" s="16" t="s">
        <v>168</v>
      </c>
      <c r="AF93" s="18">
        <f>+AD93*1000</f>
        <v>0</v>
      </c>
      <c r="AI93" s="16" t="s">
        <v>168</v>
      </c>
      <c r="AJ93" s="18">
        <f>+AH93*1000</f>
        <v>0</v>
      </c>
      <c r="AL93" s="185"/>
      <c r="AM93" s="185"/>
      <c r="AN93" s="185"/>
      <c r="AO93" s="185"/>
      <c r="AP93" s="296"/>
      <c r="AQ93" s="185"/>
    </row>
    <row r="94" spans="1:43" x14ac:dyDescent="0.25">
      <c r="A94" s="143">
        <v>9</v>
      </c>
      <c r="B94" s="92">
        <v>45296</v>
      </c>
      <c r="C94" s="23">
        <v>0.31944444444444448</v>
      </c>
      <c r="D94" s="31" t="s">
        <v>3871</v>
      </c>
      <c r="E94" s="32"/>
      <c r="F94" s="32" t="s">
        <v>38</v>
      </c>
      <c r="G94" s="32" t="s">
        <v>3010</v>
      </c>
      <c r="H94" s="39" t="s">
        <v>3874</v>
      </c>
      <c r="I94" s="39">
        <v>100</v>
      </c>
      <c r="J94" s="40">
        <v>59</v>
      </c>
      <c r="K94" s="20">
        <v>10</v>
      </c>
      <c r="L94" s="21"/>
      <c r="M94" s="21">
        <f t="shared" si="12"/>
        <v>69</v>
      </c>
      <c r="N94" s="21">
        <f t="shared" si="13"/>
        <v>31</v>
      </c>
      <c r="O94" s="16"/>
      <c r="P94" s="16"/>
      <c r="Q94" s="21"/>
      <c r="R94" s="5"/>
      <c r="S94" s="16"/>
      <c r="T94" s="16"/>
      <c r="U94" s="21">
        <f t="shared" si="14"/>
        <v>0</v>
      </c>
      <c r="V94" s="16"/>
      <c r="W94" s="294">
        <f t="shared" si="15"/>
        <v>0</v>
      </c>
      <c r="X94" s="140"/>
      <c r="Y94" s="334"/>
      <c r="Z94" s="5"/>
      <c r="AE94" s="26"/>
      <c r="AF94" s="58"/>
      <c r="AI94" s="26"/>
      <c r="AJ94" s="58"/>
      <c r="AL94" s="185"/>
      <c r="AM94" s="185"/>
      <c r="AN94" s="185"/>
      <c r="AO94" s="185"/>
      <c r="AP94" s="296"/>
      <c r="AQ94" s="185"/>
    </row>
    <row r="95" spans="1:43" x14ac:dyDescent="0.25">
      <c r="A95" s="143">
        <v>10</v>
      </c>
      <c r="B95" s="92">
        <v>45296</v>
      </c>
      <c r="C95" s="23">
        <v>0.33333333333333331</v>
      </c>
      <c r="D95" s="31" t="s">
        <v>105</v>
      </c>
      <c r="E95" s="32"/>
      <c r="F95" s="32" t="s">
        <v>52</v>
      </c>
      <c r="G95" s="32" t="s">
        <v>61</v>
      </c>
      <c r="H95" s="39" t="s">
        <v>3875</v>
      </c>
      <c r="I95" s="122">
        <v>74</v>
      </c>
      <c r="J95" s="42">
        <v>64</v>
      </c>
      <c r="K95" s="20">
        <v>10</v>
      </c>
      <c r="L95" s="21"/>
      <c r="M95" s="21">
        <f t="shared" si="12"/>
        <v>74</v>
      </c>
      <c r="N95" s="21">
        <f t="shared" si="13"/>
        <v>0</v>
      </c>
      <c r="O95" s="16"/>
      <c r="P95" s="16"/>
      <c r="Q95" s="21"/>
      <c r="R95" s="5"/>
      <c r="S95" s="16"/>
      <c r="T95" s="16"/>
      <c r="U95" s="21">
        <f t="shared" si="14"/>
        <v>0</v>
      </c>
      <c r="V95" s="16"/>
      <c r="W95" s="294">
        <f t="shared" si="15"/>
        <v>0</v>
      </c>
      <c r="X95" s="140"/>
      <c r="Y95" s="334"/>
      <c r="Z95" s="5"/>
      <c r="AE95" s="16" t="s">
        <v>169</v>
      </c>
      <c r="AF95" s="18">
        <f>SUM(AF85:AF94)</f>
        <v>102</v>
      </c>
      <c r="AI95" s="16" t="s">
        <v>169</v>
      </c>
      <c r="AJ95" s="18">
        <f>SUM(AJ85:AJ94)</f>
        <v>0</v>
      </c>
      <c r="AL95" s="185"/>
      <c r="AM95" s="185"/>
      <c r="AN95" s="185"/>
      <c r="AO95" s="185"/>
      <c r="AP95" s="296"/>
      <c r="AQ95" s="185"/>
    </row>
    <row r="96" spans="1:43" x14ac:dyDescent="0.25">
      <c r="A96" s="143">
        <v>11</v>
      </c>
      <c r="B96" s="92">
        <v>45296</v>
      </c>
      <c r="C96" s="23"/>
      <c r="D96" s="31"/>
      <c r="E96" s="124"/>
      <c r="F96" s="123"/>
      <c r="G96" s="123"/>
      <c r="H96" s="39"/>
      <c r="I96" s="122"/>
      <c r="J96" s="42"/>
      <c r="K96" s="20">
        <v>10</v>
      </c>
      <c r="L96" s="21"/>
      <c r="M96" s="21">
        <f t="shared" si="12"/>
        <v>10</v>
      </c>
      <c r="N96" s="21">
        <f t="shared" si="13"/>
        <v>-10</v>
      </c>
      <c r="O96" s="16"/>
      <c r="P96" s="16"/>
      <c r="Q96" s="21"/>
      <c r="R96" s="5"/>
      <c r="S96" s="16"/>
      <c r="T96" s="16"/>
      <c r="U96" s="21">
        <f t="shared" si="14"/>
        <v>0</v>
      </c>
      <c r="V96" s="16"/>
      <c r="W96" s="294">
        <f t="shared" si="15"/>
        <v>0</v>
      </c>
      <c r="X96" s="140"/>
      <c r="Y96" s="334"/>
      <c r="Z96" s="5"/>
      <c r="AF96">
        <v>441</v>
      </c>
      <c r="AL96" s="185"/>
      <c r="AM96" s="185"/>
      <c r="AN96" s="185"/>
      <c r="AO96" s="185"/>
      <c r="AP96" s="185"/>
      <c r="AQ96" s="185"/>
    </row>
    <row r="97" spans="1:43" x14ac:dyDescent="0.25">
      <c r="A97" s="143">
        <v>12</v>
      </c>
      <c r="B97" s="92">
        <v>45296</v>
      </c>
      <c r="C97" s="23"/>
      <c r="D97" s="32"/>
      <c r="E97" s="32"/>
      <c r="F97" s="124"/>
      <c r="G97" s="123"/>
      <c r="H97" s="39"/>
      <c r="I97" s="39"/>
      <c r="J97" s="42"/>
      <c r="K97" s="20">
        <v>10</v>
      </c>
      <c r="L97" s="21"/>
      <c r="M97" s="21">
        <f t="shared" si="12"/>
        <v>10</v>
      </c>
      <c r="N97" s="21">
        <f t="shared" si="13"/>
        <v>-10</v>
      </c>
      <c r="O97" s="26"/>
      <c r="P97" s="26"/>
      <c r="Q97" s="21"/>
      <c r="R97" s="5"/>
      <c r="S97" s="45"/>
      <c r="T97" s="44"/>
      <c r="U97" s="21">
        <f t="shared" si="14"/>
        <v>0</v>
      </c>
      <c r="V97" s="45"/>
      <c r="W97" s="294">
        <f t="shared" si="15"/>
        <v>0</v>
      </c>
      <c r="X97" s="140"/>
      <c r="Y97" s="334"/>
      <c r="Z97" s="5"/>
      <c r="AL97" s="185"/>
      <c r="AM97" s="185"/>
      <c r="AN97" s="185"/>
      <c r="AO97" s="185"/>
      <c r="AP97" s="297"/>
      <c r="AQ97" s="185"/>
    </row>
    <row r="98" spans="1:43" x14ac:dyDescent="0.25">
      <c r="A98" s="143">
        <v>13</v>
      </c>
      <c r="B98" s="92">
        <v>45296</v>
      </c>
      <c r="C98" s="23"/>
      <c r="D98" s="31"/>
      <c r="E98" s="32"/>
      <c r="F98" s="32"/>
      <c r="G98" s="32"/>
      <c r="H98" s="39"/>
      <c r="I98" s="39"/>
      <c r="J98" s="42"/>
      <c r="K98" s="108">
        <v>10</v>
      </c>
      <c r="L98" s="21"/>
      <c r="M98" s="21">
        <f t="shared" si="12"/>
        <v>10</v>
      </c>
      <c r="N98" s="78">
        <f t="shared" si="13"/>
        <v>-10</v>
      </c>
      <c r="O98" s="143"/>
      <c r="P98" s="143"/>
      <c r="Q98" s="20"/>
      <c r="R98" s="5"/>
      <c r="S98" s="43"/>
      <c r="T98" s="32"/>
      <c r="U98" s="21">
        <f t="shared" si="14"/>
        <v>0</v>
      </c>
      <c r="V98" s="43"/>
      <c r="W98" s="294">
        <f t="shared" si="15"/>
        <v>0</v>
      </c>
      <c r="X98" s="140"/>
      <c r="Y98" s="334"/>
      <c r="Z98" s="5"/>
      <c r="AJ98" s="83"/>
    </row>
    <row r="99" spans="1:43" x14ac:dyDescent="0.25">
      <c r="A99" s="143">
        <v>14</v>
      </c>
      <c r="B99" s="92">
        <v>45296</v>
      </c>
      <c r="C99" s="23"/>
      <c r="D99" s="31"/>
      <c r="E99" s="32"/>
      <c r="F99" s="32"/>
      <c r="G99" s="32"/>
      <c r="H99" s="39"/>
      <c r="I99" s="39"/>
      <c r="J99" s="42"/>
      <c r="K99" s="108">
        <v>10</v>
      </c>
      <c r="L99" s="21"/>
      <c r="M99" s="21">
        <f t="shared" si="12"/>
        <v>10</v>
      </c>
      <c r="N99" s="21">
        <f t="shared" si="13"/>
        <v>-10</v>
      </c>
      <c r="O99" s="50"/>
      <c r="P99" s="50"/>
      <c r="Q99" s="21"/>
      <c r="R99" s="5"/>
      <c r="S99" s="43"/>
      <c r="T99" s="43"/>
      <c r="U99" s="21">
        <f t="shared" si="14"/>
        <v>0</v>
      </c>
      <c r="V99" s="43"/>
      <c r="W99" s="294">
        <f t="shared" si="15"/>
        <v>0</v>
      </c>
      <c r="X99" s="140"/>
      <c r="Y99" s="334"/>
      <c r="Z99" s="5"/>
      <c r="AE99" s="5"/>
      <c r="AF99" s="5"/>
      <c r="AG99" s="5"/>
      <c r="AH99" s="5"/>
      <c r="AI99" s="5"/>
      <c r="AJ99" s="5"/>
      <c r="AK99" s="5"/>
    </row>
    <row r="100" spans="1:43" x14ac:dyDescent="0.25">
      <c r="A100" s="143">
        <v>15</v>
      </c>
      <c r="B100" s="92">
        <v>45296</v>
      </c>
      <c r="C100" s="23"/>
      <c r="D100" s="127"/>
      <c r="E100" s="32"/>
      <c r="F100" s="32"/>
      <c r="G100" s="128"/>
      <c r="H100" s="129"/>
      <c r="I100" s="39"/>
      <c r="J100" s="42"/>
      <c r="K100" s="108">
        <v>10</v>
      </c>
      <c r="L100" s="21"/>
      <c r="M100" s="21">
        <f t="shared" si="12"/>
        <v>10</v>
      </c>
      <c r="N100" s="21">
        <f t="shared" si="13"/>
        <v>-10</v>
      </c>
      <c r="O100" s="21"/>
      <c r="P100" s="21"/>
      <c r="Q100" s="21"/>
      <c r="R100" s="5"/>
      <c r="S100" s="43"/>
      <c r="T100" s="43"/>
      <c r="U100" s="21">
        <f t="shared" si="14"/>
        <v>0</v>
      </c>
      <c r="V100" s="43"/>
      <c r="W100" s="294">
        <f t="shared" si="15"/>
        <v>0</v>
      </c>
      <c r="X100" s="140"/>
      <c r="Y100" s="334"/>
      <c r="Z100" s="5"/>
      <c r="AE100" s="5"/>
      <c r="AF100" s="134" t="s">
        <v>20</v>
      </c>
      <c r="AG100" s="362">
        <f>+AJ100+AF96</f>
        <v>543</v>
      </c>
      <c r="AH100" s="341" t="s">
        <v>686</v>
      </c>
      <c r="AI100" s="134" t="s">
        <v>20</v>
      </c>
      <c r="AJ100" s="358">
        <f>+AF95</f>
        <v>102</v>
      </c>
      <c r="AK100" s="5"/>
    </row>
    <row r="101" spans="1:43" x14ac:dyDescent="0.25">
      <c r="A101" s="143">
        <v>16</v>
      </c>
      <c r="B101" s="92">
        <v>45296</v>
      </c>
      <c r="C101" s="23"/>
      <c r="D101" s="31"/>
      <c r="E101" s="32"/>
      <c r="F101" s="32"/>
      <c r="G101" s="32"/>
      <c r="H101" s="39"/>
      <c r="I101" s="39"/>
      <c r="J101" s="42"/>
      <c r="K101" s="43">
        <v>10</v>
      </c>
      <c r="L101" s="21"/>
      <c r="M101" s="21">
        <f t="shared" si="12"/>
        <v>10</v>
      </c>
      <c r="N101" s="21">
        <f t="shared" si="13"/>
        <v>-10</v>
      </c>
      <c r="O101" s="21"/>
      <c r="P101" s="21"/>
      <c r="Q101" s="21"/>
      <c r="R101" s="5"/>
      <c r="S101" s="43"/>
      <c r="T101" s="32"/>
      <c r="U101" s="21">
        <f t="shared" si="14"/>
        <v>0</v>
      </c>
      <c r="V101" s="131"/>
      <c r="W101" s="294">
        <f t="shared" si="15"/>
        <v>0</v>
      </c>
      <c r="X101" s="140"/>
      <c r="Y101" s="334"/>
      <c r="Z101" s="5"/>
      <c r="AE101" s="5" t="s">
        <v>685</v>
      </c>
      <c r="AF101" s="115" t="s">
        <v>3676</v>
      </c>
      <c r="AG101" s="360"/>
      <c r="AH101" s="341"/>
      <c r="AI101" s="115" t="s">
        <v>684</v>
      </c>
      <c r="AJ101" s="360"/>
      <c r="AK101" s="5"/>
    </row>
    <row r="102" spans="1:43" x14ac:dyDescent="0.25">
      <c r="A102" s="143">
        <v>17</v>
      </c>
      <c r="B102" s="92">
        <v>45296</v>
      </c>
      <c r="C102" s="23"/>
      <c r="D102" s="31"/>
      <c r="E102" s="32"/>
      <c r="F102" s="32"/>
      <c r="G102" s="32"/>
      <c r="H102" s="39"/>
      <c r="I102" s="39"/>
      <c r="J102" s="42"/>
      <c r="K102" s="43">
        <v>10</v>
      </c>
      <c r="L102" s="21"/>
      <c r="M102" s="21">
        <f t="shared" si="12"/>
        <v>10</v>
      </c>
      <c r="N102" s="21">
        <f t="shared" si="13"/>
        <v>-10</v>
      </c>
      <c r="O102" s="21"/>
      <c r="P102" s="21"/>
      <c r="Q102" s="21"/>
      <c r="R102" s="5"/>
      <c r="S102" s="43"/>
      <c r="T102" s="32"/>
      <c r="U102" s="21">
        <f t="shared" si="14"/>
        <v>0</v>
      </c>
      <c r="V102" s="132"/>
      <c r="W102" s="294">
        <f t="shared" si="15"/>
        <v>0</v>
      </c>
      <c r="X102" s="140"/>
      <c r="Y102" s="340"/>
      <c r="Z102" s="5"/>
      <c r="AE102" s="5"/>
      <c r="AF102" s="5"/>
      <c r="AG102" s="5"/>
      <c r="AH102" s="5" t="s">
        <v>3677</v>
      </c>
      <c r="AI102" s="5"/>
      <c r="AJ102" s="5"/>
      <c r="AK102" s="5"/>
    </row>
    <row r="103" spans="1:43" x14ac:dyDescent="0.25">
      <c r="A103" s="143">
        <v>18</v>
      </c>
      <c r="B103" s="92">
        <v>45296</v>
      </c>
      <c r="C103" s="32"/>
      <c r="D103" s="31"/>
      <c r="E103" s="32"/>
      <c r="F103" s="32"/>
      <c r="G103" s="32"/>
      <c r="H103" s="39"/>
      <c r="I103" s="39"/>
      <c r="J103" s="42"/>
      <c r="K103" s="43">
        <v>10</v>
      </c>
      <c r="L103" s="21"/>
      <c r="M103" s="21">
        <f t="shared" si="12"/>
        <v>10</v>
      </c>
      <c r="N103" s="21">
        <f t="shared" si="13"/>
        <v>-10</v>
      </c>
      <c r="O103" s="21"/>
      <c r="P103" s="21"/>
      <c r="Q103" s="21"/>
      <c r="R103" s="5"/>
      <c r="S103" s="135"/>
      <c r="T103" s="104"/>
      <c r="U103" s="21">
        <f t="shared" si="14"/>
        <v>0</v>
      </c>
      <c r="V103" s="131"/>
      <c r="W103" s="294">
        <f t="shared" si="15"/>
        <v>0</v>
      </c>
      <c r="X103" s="140"/>
      <c r="Z103" s="5"/>
    </row>
    <row r="104" spans="1:43" x14ac:dyDescent="0.25">
      <c r="A104" s="143">
        <v>19</v>
      </c>
      <c r="B104" s="92">
        <v>45296</v>
      </c>
      <c r="C104" s="32"/>
      <c r="D104" s="31"/>
      <c r="E104" s="32"/>
      <c r="F104" s="32"/>
      <c r="G104" s="32"/>
      <c r="H104" s="39"/>
      <c r="I104" s="39"/>
      <c r="J104" s="42"/>
      <c r="K104" s="43">
        <v>10</v>
      </c>
      <c r="L104" s="21"/>
      <c r="M104" s="21">
        <f t="shared" si="12"/>
        <v>10</v>
      </c>
      <c r="N104" s="21">
        <f t="shared" si="13"/>
        <v>-10</v>
      </c>
      <c r="O104" s="21"/>
      <c r="P104" s="21"/>
      <c r="Q104" s="21"/>
      <c r="R104" s="5"/>
      <c r="S104" s="32"/>
      <c r="T104" s="32"/>
      <c r="U104" s="21">
        <f t="shared" si="14"/>
        <v>0</v>
      </c>
      <c r="V104" s="32"/>
      <c r="W104" s="294">
        <f t="shared" si="15"/>
        <v>0</v>
      </c>
      <c r="X104" s="140"/>
      <c r="Z104" s="5"/>
      <c r="AE104" s="5"/>
      <c r="AF104" s="5"/>
      <c r="AG104" s="5"/>
      <c r="AH104" s="5"/>
      <c r="AI104" s="5"/>
      <c r="AJ104" s="5"/>
      <c r="AK104" s="5"/>
    </row>
    <row r="105" spans="1:4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>
        <f>+((SUM(O86:O104))-(SUM(P86:P104)))</f>
        <v>170</v>
      </c>
      <c r="Q105" s="5"/>
      <c r="R105" s="5"/>
      <c r="S105" s="5"/>
      <c r="T105" s="5"/>
      <c r="U105" s="5"/>
      <c r="V105" s="5"/>
      <c r="W105" s="5"/>
      <c r="X105" s="141"/>
      <c r="Y105" s="5"/>
      <c r="Z105" s="5"/>
      <c r="AE105" s="5"/>
      <c r="AF105" s="134" t="s">
        <v>20</v>
      </c>
      <c r="AG105" s="358">
        <f>P105</f>
        <v>170</v>
      </c>
      <c r="AH105" s="341" t="s">
        <v>687</v>
      </c>
      <c r="AI105" s="134" t="s">
        <v>20</v>
      </c>
      <c r="AJ105" s="358">
        <f>+AJ95</f>
        <v>0</v>
      </c>
      <c r="AK105" s="5"/>
    </row>
    <row r="106" spans="1:43" x14ac:dyDescent="0.25">
      <c r="AE106" s="5" t="s">
        <v>3679</v>
      </c>
      <c r="AF106" s="115" t="s">
        <v>684</v>
      </c>
      <c r="AG106" s="359"/>
      <c r="AH106" s="341"/>
      <c r="AI106" s="115" t="s">
        <v>684</v>
      </c>
      <c r="AJ106" s="360"/>
      <c r="AK106" s="5"/>
    </row>
    <row r="107" spans="1:43" x14ac:dyDescent="0.25">
      <c r="AE107" s="5"/>
      <c r="AF107" s="5"/>
      <c r="AG107" s="5"/>
      <c r="AH107" s="5" t="s">
        <v>3678</v>
      </c>
      <c r="AI107" s="5"/>
      <c r="AJ107" s="5"/>
      <c r="AK107" s="5"/>
    </row>
    <row r="110" spans="1:43" x14ac:dyDescent="0.25">
      <c r="AL110" s="185"/>
      <c r="AM110" s="185"/>
      <c r="AN110" s="185"/>
      <c r="AO110" s="185"/>
      <c r="AP110" s="185"/>
      <c r="AQ110" s="185"/>
    </row>
    <row r="111" spans="1:43" ht="30" x14ac:dyDescent="0.25">
      <c r="A111" s="1" t="s">
        <v>0</v>
      </c>
      <c r="B111" s="1"/>
      <c r="C111" s="1"/>
      <c r="D111" s="1"/>
      <c r="E111" s="1"/>
      <c r="F111" s="1"/>
      <c r="G111" s="1"/>
      <c r="H111" s="1"/>
      <c r="I111" s="1"/>
      <c r="J111" s="1" t="s">
        <v>148</v>
      </c>
      <c r="K111" s="1"/>
      <c r="L111" s="1"/>
      <c r="M111" s="1"/>
      <c r="N111" s="1"/>
      <c r="O111" s="363" t="s">
        <v>3679</v>
      </c>
      <c r="P111" s="363"/>
      <c r="Q111" s="1"/>
      <c r="R111" s="1"/>
      <c r="S111" s="1"/>
      <c r="T111" s="1"/>
      <c r="U111" s="5"/>
      <c r="V111" s="5"/>
      <c r="W111" s="295" t="s">
        <v>1</v>
      </c>
      <c r="X111" s="139"/>
      <c r="Y111" s="1"/>
      <c r="Z111" s="5"/>
      <c r="AE111" s="335" t="s">
        <v>160</v>
      </c>
      <c r="AF111" s="336"/>
      <c r="AI111" s="335" t="s">
        <v>170</v>
      </c>
      <c r="AJ111" s="336"/>
      <c r="AL111" s="361"/>
      <c r="AM111" s="361"/>
      <c r="AN111" s="185"/>
      <c r="AO111" s="361"/>
      <c r="AP111" s="361"/>
      <c r="AQ111" s="185"/>
    </row>
    <row r="112" spans="1:43" ht="90" x14ac:dyDescent="0.25">
      <c r="A112" s="6" t="s">
        <v>2</v>
      </c>
      <c r="B112" s="7" t="s">
        <v>3</v>
      </c>
      <c r="C112" s="245" t="s">
        <v>3675</v>
      </c>
      <c r="D112" s="7" t="s">
        <v>4</v>
      </c>
      <c r="E112" s="6" t="s">
        <v>5</v>
      </c>
      <c r="F112" s="6" t="s">
        <v>6</v>
      </c>
      <c r="G112" s="6" t="s">
        <v>7</v>
      </c>
      <c r="H112" s="6" t="s">
        <v>8</v>
      </c>
      <c r="I112" s="8" t="s">
        <v>9</v>
      </c>
      <c r="J112" s="8" t="s">
        <v>10</v>
      </c>
      <c r="K112" s="8" t="s">
        <v>11</v>
      </c>
      <c r="L112" s="76" t="s">
        <v>12</v>
      </c>
      <c r="M112" s="76" t="s">
        <v>13</v>
      </c>
      <c r="N112" s="15" t="s">
        <v>14</v>
      </c>
      <c r="O112" s="15" t="s">
        <v>173</v>
      </c>
      <c r="P112" s="15" t="s">
        <v>174</v>
      </c>
      <c r="Q112" s="76" t="s">
        <v>28</v>
      </c>
      <c r="R112" s="5"/>
      <c r="S112" s="76" t="s">
        <v>16</v>
      </c>
      <c r="T112" s="76" t="s">
        <v>17</v>
      </c>
      <c r="U112" s="76" t="s">
        <v>18</v>
      </c>
      <c r="V112" s="76" t="s">
        <v>19</v>
      </c>
      <c r="W112" s="76" t="s">
        <v>20</v>
      </c>
      <c r="X112" s="13"/>
      <c r="Y112" s="15" t="s">
        <v>23</v>
      </c>
      <c r="Z112" s="5"/>
      <c r="AB112" s="251" t="s">
        <v>2554</v>
      </c>
      <c r="AE112" s="16" t="s">
        <v>161</v>
      </c>
      <c r="AF112" s="58">
        <f>+AD112*10</f>
        <v>0</v>
      </c>
      <c r="AH112">
        <v>4</v>
      </c>
      <c r="AI112" s="16" t="s">
        <v>161</v>
      </c>
      <c r="AJ112" s="58">
        <f>+AH112*10</f>
        <v>40</v>
      </c>
      <c r="AL112" s="185"/>
      <c r="AM112" s="185"/>
      <c r="AN112" s="185"/>
      <c r="AO112" s="185"/>
      <c r="AP112" s="296"/>
      <c r="AQ112" s="185"/>
    </row>
    <row r="113" spans="1:43" x14ac:dyDescent="0.25">
      <c r="A113" s="16">
        <v>1</v>
      </c>
      <c r="B113" s="92">
        <v>45297</v>
      </c>
      <c r="C113" s="23">
        <v>0.46111111111111108</v>
      </c>
      <c r="D113" s="31" t="s">
        <v>910</v>
      </c>
      <c r="E113" s="32">
        <v>5620167396</v>
      </c>
      <c r="F113" s="32" t="s">
        <v>3878</v>
      </c>
      <c r="G113" s="39" t="s">
        <v>3877</v>
      </c>
      <c r="H113" s="39" t="s">
        <v>3876</v>
      </c>
      <c r="I113" s="122"/>
      <c r="J113" s="32">
        <v>132</v>
      </c>
      <c r="K113" s="20">
        <v>10</v>
      </c>
      <c r="L113" s="50"/>
      <c r="M113" s="50">
        <f t="shared" ref="M113:M131" si="16">+J113+K113</f>
        <v>142</v>
      </c>
      <c r="N113" s="50">
        <f t="shared" ref="N113:N131" si="17">+I113-M113</f>
        <v>-142</v>
      </c>
      <c r="O113" s="29">
        <v>142</v>
      </c>
      <c r="P113" s="29"/>
      <c r="Q113" s="50"/>
      <c r="R113" s="5"/>
      <c r="S113" s="50">
        <v>150</v>
      </c>
      <c r="T113" s="29"/>
      <c r="U113" s="50">
        <f t="shared" ref="U113:U131" si="18">+S113+T113</f>
        <v>150</v>
      </c>
      <c r="V113" s="50"/>
      <c r="W113" s="294">
        <f>+V113-U113+O113+Q113-P113</f>
        <v>-8</v>
      </c>
      <c r="X113" s="13"/>
      <c r="Y113" s="333"/>
      <c r="Z113" s="5"/>
      <c r="AE113" s="59" t="s">
        <v>162</v>
      </c>
      <c r="AF113" s="18">
        <f>+AD113*1</f>
        <v>0</v>
      </c>
      <c r="AH113">
        <v>23.5</v>
      </c>
      <c r="AI113" s="59" t="s">
        <v>162</v>
      </c>
      <c r="AJ113" s="18">
        <f>+AH113*1</f>
        <v>23.5</v>
      </c>
      <c r="AL113" s="185"/>
      <c r="AM113" s="185"/>
      <c r="AN113" s="185"/>
      <c r="AO113" s="185"/>
      <c r="AP113" s="296"/>
      <c r="AQ113" s="185"/>
    </row>
    <row r="114" spans="1:43" x14ac:dyDescent="0.25">
      <c r="A114" s="26">
        <v>2</v>
      </c>
      <c r="B114" s="92">
        <v>45297</v>
      </c>
      <c r="C114" s="23"/>
      <c r="D114" s="31" t="s">
        <v>2974</v>
      </c>
      <c r="E114" s="32"/>
      <c r="F114" s="32"/>
      <c r="G114" s="32"/>
      <c r="H114" s="39"/>
      <c r="I114" s="122"/>
      <c r="J114" s="32"/>
      <c r="K114" s="20">
        <v>10</v>
      </c>
      <c r="L114" s="21"/>
      <c r="M114" s="21">
        <f t="shared" si="16"/>
        <v>10</v>
      </c>
      <c r="N114" s="21">
        <f t="shared" si="17"/>
        <v>-10</v>
      </c>
      <c r="O114" s="16"/>
      <c r="P114" s="16"/>
      <c r="Q114" s="21"/>
      <c r="R114" s="5"/>
      <c r="S114" s="21"/>
      <c r="T114" s="16"/>
      <c r="U114" s="21">
        <f t="shared" si="18"/>
        <v>0</v>
      </c>
      <c r="V114" s="21"/>
      <c r="W114" s="294">
        <f t="shared" ref="W114:W131" si="19">+V114-U114+O114+Q114-P114</f>
        <v>0</v>
      </c>
      <c r="X114" s="140"/>
      <c r="Y114" s="334"/>
      <c r="Z114" s="5"/>
      <c r="AE114" s="16" t="s">
        <v>163</v>
      </c>
      <c r="AF114" s="60">
        <f>+AD114*5</f>
        <v>0</v>
      </c>
      <c r="AH114">
        <v>5</v>
      </c>
      <c r="AI114" s="16" t="s">
        <v>163</v>
      </c>
      <c r="AJ114" s="60">
        <f>+AH114*5</f>
        <v>25</v>
      </c>
      <c r="AL114" s="185"/>
      <c r="AM114" s="185"/>
      <c r="AN114" s="185"/>
      <c r="AO114" s="185"/>
      <c r="AP114" s="296"/>
      <c r="AQ114" s="185"/>
    </row>
    <row r="115" spans="1:43" x14ac:dyDescent="0.25">
      <c r="A115" s="143">
        <v>3</v>
      </c>
      <c r="B115" s="92">
        <v>45297</v>
      </c>
      <c r="C115" s="23"/>
      <c r="D115" s="31" t="s">
        <v>1806</v>
      </c>
      <c r="E115" s="32"/>
      <c r="F115" s="32" t="s">
        <v>2216</v>
      </c>
      <c r="G115" s="32" t="s">
        <v>3884</v>
      </c>
      <c r="H115" s="39" t="s">
        <v>3885</v>
      </c>
      <c r="I115" s="122"/>
      <c r="J115" s="32"/>
      <c r="K115" s="20">
        <v>40</v>
      </c>
      <c r="L115" s="21"/>
      <c r="M115" s="21">
        <f t="shared" si="16"/>
        <v>40</v>
      </c>
      <c r="N115" s="21">
        <f t="shared" si="17"/>
        <v>-40</v>
      </c>
      <c r="O115" s="16"/>
      <c r="P115" s="16"/>
      <c r="Q115" s="21"/>
      <c r="R115" s="5"/>
      <c r="S115" s="21"/>
      <c r="T115" s="16"/>
      <c r="U115" s="21">
        <f t="shared" si="18"/>
        <v>0</v>
      </c>
      <c r="V115" s="21"/>
      <c r="W115" s="294">
        <f t="shared" si="19"/>
        <v>0</v>
      </c>
      <c r="X115" s="140"/>
      <c r="Y115" s="334"/>
      <c r="Z115" s="5"/>
      <c r="AE115" s="16" t="s">
        <v>164</v>
      </c>
      <c r="AF115" s="18">
        <f>+AD115*200</f>
        <v>0</v>
      </c>
      <c r="AI115" s="16" t="s">
        <v>164</v>
      </c>
      <c r="AJ115" s="18">
        <f>+AH115*200</f>
        <v>0</v>
      </c>
      <c r="AL115" s="185"/>
      <c r="AM115" s="185"/>
      <c r="AN115" s="185"/>
      <c r="AO115" s="185"/>
      <c r="AP115" s="296"/>
      <c r="AQ115" s="185"/>
    </row>
    <row r="116" spans="1:43" x14ac:dyDescent="0.25">
      <c r="A116" s="143">
        <v>4</v>
      </c>
      <c r="B116" s="92">
        <v>45297</v>
      </c>
      <c r="C116" s="23"/>
      <c r="D116" s="31" t="s">
        <v>48</v>
      </c>
      <c r="E116" s="32"/>
      <c r="F116" s="32" t="s">
        <v>3881</v>
      </c>
      <c r="G116" s="32" t="s">
        <v>3688</v>
      </c>
      <c r="H116" s="39" t="s">
        <v>3886</v>
      </c>
      <c r="I116" s="122">
        <v>280</v>
      </c>
      <c r="J116" s="32">
        <v>256</v>
      </c>
      <c r="K116" s="20">
        <v>15</v>
      </c>
      <c r="L116" s="21">
        <v>9</v>
      </c>
      <c r="M116" s="21">
        <f t="shared" si="16"/>
        <v>271</v>
      </c>
      <c r="N116" s="21">
        <f t="shared" si="17"/>
        <v>9</v>
      </c>
      <c r="O116" s="16">
        <v>280</v>
      </c>
      <c r="P116" s="16"/>
      <c r="Q116" s="21"/>
      <c r="R116" s="5"/>
      <c r="S116" s="21"/>
      <c r="T116" s="16"/>
      <c r="U116" s="21">
        <f t="shared" si="18"/>
        <v>0</v>
      </c>
      <c r="V116" s="21"/>
      <c r="W116" s="294">
        <f t="shared" si="19"/>
        <v>280</v>
      </c>
      <c r="X116" s="140"/>
      <c r="Y116" s="334"/>
      <c r="Z116" s="5"/>
      <c r="AE116" s="16" t="s">
        <v>165</v>
      </c>
      <c r="AF116" s="18">
        <f>+AD116*100</f>
        <v>0</v>
      </c>
      <c r="AI116" s="16" t="s">
        <v>165</v>
      </c>
      <c r="AJ116" s="18">
        <f>+AH116*100</f>
        <v>0</v>
      </c>
      <c r="AL116" s="185"/>
      <c r="AM116" s="185"/>
      <c r="AN116" s="185"/>
      <c r="AO116" s="185"/>
      <c r="AP116" s="296"/>
      <c r="AQ116" s="185"/>
    </row>
    <row r="117" spans="1:43" x14ac:dyDescent="0.25">
      <c r="A117" s="143">
        <v>5</v>
      </c>
      <c r="B117" s="92">
        <v>45297</v>
      </c>
      <c r="C117" s="23"/>
      <c r="D117" s="31" t="s">
        <v>3879</v>
      </c>
      <c r="E117" s="32"/>
      <c r="F117" s="32" t="s">
        <v>38</v>
      </c>
      <c r="G117" s="32" t="s">
        <v>3887</v>
      </c>
      <c r="H117" s="32" t="s">
        <v>3888</v>
      </c>
      <c r="I117" s="122">
        <v>60</v>
      </c>
      <c r="J117" s="32">
        <v>38</v>
      </c>
      <c r="K117" s="20">
        <v>12</v>
      </c>
      <c r="L117" s="21">
        <v>10</v>
      </c>
      <c r="M117" s="21">
        <f t="shared" si="16"/>
        <v>50</v>
      </c>
      <c r="N117" s="21">
        <f t="shared" si="17"/>
        <v>10</v>
      </c>
      <c r="O117" s="16"/>
      <c r="P117" s="16"/>
      <c r="Q117" s="21"/>
      <c r="R117" s="5"/>
      <c r="S117" s="16"/>
      <c r="T117" s="16"/>
      <c r="U117" s="21">
        <f t="shared" si="18"/>
        <v>0</v>
      </c>
      <c r="V117" s="21"/>
      <c r="W117" s="294">
        <f t="shared" si="19"/>
        <v>0</v>
      </c>
      <c r="X117" s="140"/>
      <c r="Y117" s="334"/>
      <c r="Z117" s="5"/>
      <c r="AE117" s="16" t="s">
        <v>166</v>
      </c>
      <c r="AF117" s="18">
        <f>+AD117*50</f>
        <v>0</v>
      </c>
      <c r="AH117">
        <v>1</v>
      </c>
      <c r="AI117" s="16" t="s">
        <v>166</v>
      </c>
      <c r="AJ117" s="18">
        <f>+AH117*50</f>
        <v>50</v>
      </c>
      <c r="AL117" s="185"/>
      <c r="AM117" s="185"/>
      <c r="AN117" s="185"/>
      <c r="AO117" s="185"/>
      <c r="AP117" s="296"/>
      <c r="AQ117" s="185"/>
    </row>
    <row r="118" spans="1:43" x14ac:dyDescent="0.25">
      <c r="A118" s="143">
        <v>6</v>
      </c>
      <c r="B118" s="92">
        <v>45297</v>
      </c>
      <c r="C118" s="23"/>
      <c r="D118" s="31" t="s">
        <v>1489</v>
      </c>
      <c r="E118" s="32"/>
      <c r="F118" s="32" t="s">
        <v>1258</v>
      </c>
      <c r="G118" s="32" t="s">
        <v>3615</v>
      </c>
      <c r="H118" s="39" t="s">
        <v>3889</v>
      </c>
      <c r="I118" s="122">
        <v>185</v>
      </c>
      <c r="J118" s="42">
        <v>173</v>
      </c>
      <c r="K118" s="20">
        <v>10</v>
      </c>
      <c r="L118" s="21"/>
      <c r="M118" s="21">
        <f t="shared" si="16"/>
        <v>183</v>
      </c>
      <c r="N118" s="21">
        <f t="shared" si="17"/>
        <v>2</v>
      </c>
      <c r="O118" s="16"/>
      <c r="P118" s="16"/>
      <c r="Q118" s="21"/>
      <c r="R118" s="5"/>
      <c r="S118" s="16"/>
      <c r="T118" s="16"/>
      <c r="U118" s="21">
        <f t="shared" si="18"/>
        <v>0</v>
      </c>
      <c r="V118" s="16"/>
      <c r="W118" s="294">
        <f t="shared" si="19"/>
        <v>0</v>
      </c>
      <c r="X118" s="140"/>
      <c r="Y118" s="334"/>
      <c r="Z118" s="5"/>
      <c r="AE118" s="16" t="s">
        <v>167</v>
      </c>
      <c r="AF118" s="18">
        <f>+AD118*20</f>
        <v>0</v>
      </c>
      <c r="AH118">
        <v>2</v>
      </c>
      <c r="AI118" s="16" t="s">
        <v>167</v>
      </c>
      <c r="AJ118" s="18">
        <f>+AH118*20</f>
        <v>40</v>
      </c>
      <c r="AL118" s="185"/>
      <c r="AM118" s="185"/>
      <c r="AN118" s="185"/>
      <c r="AO118" s="185"/>
      <c r="AP118" s="296"/>
      <c r="AQ118" s="185"/>
    </row>
    <row r="119" spans="1:43" x14ac:dyDescent="0.25">
      <c r="A119" s="143">
        <v>7</v>
      </c>
      <c r="B119" s="92">
        <v>45297</v>
      </c>
      <c r="C119" s="23"/>
      <c r="D119" s="31" t="s">
        <v>3880</v>
      </c>
      <c r="E119" s="32"/>
      <c r="F119" s="32" t="s">
        <v>3882</v>
      </c>
      <c r="G119" s="32" t="s">
        <v>3890</v>
      </c>
      <c r="H119" s="39" t="s">
        <v>3891</v>
      </c>
      <c r="I119" s="122">
        <v>465</v>
      </c>
      <c r="J119" s="42">
        <v>440</v>
      </c>
      <c r="K119" s="20">
        <v>12</v>
      </c>
      <c r="L119" s="21">
        <v>15</v>
      </c>
      <c r="M119" s="21">
        <f t="shared" si="16"/>
        <v>452</v>
      </c>
      <c r="N119" s="21">
        <v>0</v>
      </c>
      <c r="O119" s="16"/>
      <c r="P119" s="16"/>
      <c r="Q119" s="21"/>
      <c r="R119" s="5"/>
      <c r="S119" s="16"/>
      <c r="T119" s="16"/>
      <c r="U119" s="21">
        <f t="shared" si="18"/>
        <v>0</v>
      </c>
      <c r="V119" s="16"/>
      <c r="W119" s="294">
        <f t="shared" si="19"/>
        <v>0</v>
      </c>
      <c r="X119" s="140"/>
      <c r="Y119" s="334"/>
      <c r="Z119" s="5"/>
      <c r="AE119" s="16" t="s">
        <v>171</v>
      </c>
      <c r="AF119" s="18">
        <f>+AD119*500</f>
        <v>0</v>
      </c>
      <c r="AI119" s="16" t="s">
        <v>171</v>
      </c>
      <c r="AJ119" s="18">
        <f>+AH119*500</f>
        <v>0</v>
      </c>
      <c r="AL119" s="185"/>
      <c r="AM119" s="185"/>
      <c r="AN119" s="185"/>
      <c r="AO119" s="185"/>
      <c r="AP119" s="296"/>
      <c r="AQ119" s="185"/>
    </row>
    <row r="120" spans="1:43" x14ac:dyDescent="0.25">
      <c r="A120" s="143">
        <v>8</v>
      </c>
      <c r="B120" s="92">
        <v>45297</v>
      </c>
      <c r="C120" s="23"/>
      <c r="D120" s="31" t="s">
        <v>2672</v>
      </c>
      <c r="E120" s="123"/>
      <c r="F120" s="123" t="s">
        <v>3883</v>
      </c>
      <c r="G120" s="123" t="s">
        <v>3892</v>
      </c>
      <c r="H120" s="39" t="s">
        <v>3893</v>
      </c>
      <c r="I120" s="122">
        <v>73</v>
      </c>
      <c r="J120" s="32">
        <v>63</v>
      </c>
      <c r="K120" s="20">
        <v>13</v>
      </c>
      <c r="L120" s="21">
        <v>57</v>
      </c>
      <c r="M120" s="21">
        <f t="shared" si="16"/>
        <v>76</v>
      </c>
      <c r="N120" s="21">
        <f t="shared" si="17"/>
        <v>-3</v>
      </c>
      <c r="O120" s="16"/>
      <c r="P120" s="16"/>
      <c r="Q120" s="21"/>
      <c r="R120" s="5"/>
      <c r="S120" s="16"/>
      <c r="T120" s="16"/>
      <c r="U120" s="21">
        <f t="shared" si="18"/>
        <v>0</v>
      </c>
      <c r="V120" s="16"/>
      <c r="W120" s="294">
        <f t="shared" si="19"/>
        <v>0</v>
      </c>
      <c r="X120" s="140"/>
      <c r="Y120" s="334"/>
      <c r="Z120" s="5"/>
      <c r="AE120" s="16" t="s">
        <v>168</v>
      </c>
      <c r="AF120" s="18">
        <f>+AD120*1000</f>
        <v>0</v>
      </c>
      <c r="AI120" s="16" t="s">
        <v>168</v>
      </c>
      <c r="AJ120" s="18">
        <f>+AH120*1000</f>
        <v>0</v>
      </c>
      <c r="AL120" s="185"/>
      <c r="AM120" s="185"/>
      <c r="AN120" s="185"/>
      <c r="AO120" s="185"/>
      <c r="AP120" s="296"/>
      <c r="AQ120" s="185"/>
    </row>
    <row r="121" spans="1:43" x14ac:dyDescent="0.25">
      <c r="A121" s="143">
        <v>9</v>
      </c>
      <c r="B121" s="92">
        <v>45297</v>
      </c>
      <c r="C121" s="23"/>
      <c r="D121" s="31" t="s">
        <v>3894</v>
      </c>
      <c r="E121" s="32"/>
      <c r="F121" s="32" t="s">
        <v>1806</v>
      </c>
      <c r="G121" s="32" t="s">
        <v>1388</v>
      </c>
      <c r="H121" s="39" t="s">
        <v>3895</v>
      </c>
      <c r="I121" s="39">
        <v>210</v>
      </c>
      <c r="J121" s="40">
        <v>200</v>
      </c>
      <c r="K121" s="20">
        <v>10</v>
      </c>
      <c r="L121" s="21">
        <v>10</v>
      </c>
      <c r="M121" s="21">
        <f t="shared" si="16"/>
        <v>210</v>
      </c>
      <c r="N121" s="21">
        <f t="shared" si="17"/>
        <v>0</v>
      </c>
      <c r="O121" s="16"/>
      <c r="P121" s="16"/>
      <c r="Q121" s="21"/>
      <c r="R121" s="5"/>
      <c r="S121" s="16"/>
      <c r="T121" s="16"/>
      <c r="U121" s="21">
        <f t="shared" si="18"/>
        <v>0</v>
      </c>
      <c r="V121" s="16"/>
      <c r="W121" s="294">
        <f t="shared" si="19"/>
        <v>0</v>
      </c>
      <c r="X121" s="140"/>
      <c r="Y121" s="334"/>
      <c r="Z121" s="5"/>
      <c r="AE121" s="26"/>
      <c r="AF121" s="58"/>
      <c r="AI121" s="26"/>
      <c r="AJ121" s="58"/>
      <c r="AL121" s="185"/>
      <c r="AM121" s="185"/>
      <c r="AN121" s="185"/>
      <c r="AO121" s="185"/>
      <c r="AP121" s="296"/>
      <c r="AQ121" s="185"/>
    </row>
    <row r="122" spans="1:43" x14ac:dyDescent="0.25">
      <c r="A122" s="143">
        <v>10</v>
      </c>
      <c r="B122" s="92">
        <v>45297</v>
      </c>
      <c r="C122" s="23"/>
      <c r="D122" s="31" t="s">
        <v>3899</v>
      </c>
      <c r="E122" s="32"/>
      <c r="F122" s="32" t="s">
        <v>2707</v>
      </c>
      <c r="G122" s="32" t="s">
        <v>3898</v>
      </c>
      <c r="H122" s="39" t="s">
        <v>3897</v>
      </c>
      <c r="I122" s="122"/>
      <c r="J122" s="42"/>
      <c r="K122" s="20">
        <v>10</v>
      </c>
      <c r="L122" s="21"/>
      <c r="M122" s="21">
        <f t="shared" si="16"/>
        <v>10</v>
      </c>
      <c r="N122" s="21">
        <f t="shared" si="17"/>
        <v>-10</v>
      </c>
      <c r="O122" s="16"/>
      <c r="P122" s="16"/>
      <c r="Q122" s="21"/>
      <c r="R122" s="5"/>
      <c r="S122" s="16"/>
      <c r="T122" s="16"/>
      <c r="U122" s="21">
        <f t="shared" si="18"/>
        <v>0</v>
      </c>
      <c r="V122" s="16"/>
      <c r="W122" s="294">
        <f t="shared" si="19"/>
        <v>0</v>
      </c>
      <c r="X122" s="140"/>
      <c r="Y122" s="334"/>
      <c r="Z122" s="5"/>
      <c r="AE122" s="16" t="s">
        <v>169</v>
      </c>
      <c r="AF122" s="18">
        <f>SUM(AF112:AF121)</f>
        <v>0</v>
      </c>
      <c r="AI122" s="16" t="s">
        <v>169</v>
      </c>
      <c r="AJ122" s="18">
        <f>SUM(AJ112:AJ121)</f>
        <v>178.5</v>
      </c>
      <c r="AL122" s="185"/>
      <c r="AM122" s="185"/>
      <c r="AN122" s="185"/>
      <c r="AO122" s="185"/>
      <c r="AP122" s="296"/>
      <c r="AQ122" s="185"/>
    </row>
    <row r="123" spans="1:43" x14ac:dyDescent="0.25">
      <c r="A123" s="143">
        <v>11</v>
      </c>
      <c r="B123" s="92">
        <v>45297</v>
      </c>
      <c r="C123" s="23"/>
      <c r="D123" s="31" t="s">
        <v>3900</v>
      </c>
      <c r="E123" s="124"/>
      <c r="F123" s="123" t="s">
        <v>3398</v>
      </c>
      <c r="G123" s="123" t="s">
        <v>3901</v>
      </c>
      <c r="H123" s="39" t="s">
        <v>3909</v>
      </c>
      <c r="I123" s="122">
        <v>50</v>
      </c>
      <c r="J123" s="42">
        <v>40</v>
      </c>
      <c r="K123" s="20">
        <v>10</v>
      </c>
      <c r="L123" s="21"/>
      <c r="M123" s="21">
        <f t="shared" si="16"/>
        <v>50</v>
      </c>
      <c r="N123" s="21">
        <f t="shared" si="17"/>
        <v>0</v>
      </c>
      <c r="O123" s="16"/>
      <c r="P123" s="16"/>
      <c r="Q123" s="21"/>
      <c r="R123" s="5"/>
      <c r="S123" s="16"/>
      <c r="T123" s="16"/>
      <c r="U123" s="21">
        <f t="shared" si="18"/>
        <v>0</v>
      </c>
      <c r="V123" s="16"/>
      <c r="W123" s="294">
        <f t="shared" si="19"/>
        <v>0</v>
      </c>
      <c r="X123" s="140"/>
      <c r="Y123" s="334"/>
      <c r="Z123" s="5"/>
      <c r="AL123" s="185"/>
      <c r="AM123" s="185"/>
      <c r="AN123" s="185"/>
      <c r="AO123" s="185"/>
      <c r="AP123" s="185"/>
      <c r="AQ123" s="185"/>
    </row>
    <row r="124" spans="1:43" x14ac:dyDescent="0.25">
      <c r="A124" s="143">
        <v>12</v>
      </c>
      <c r="B124" s="92">
        <v>45297</v>
      </c>
      <c r="C124" s="23"/>
      <c r="D124" s="32" t="s">
        <v>1518</v>
      </c>
      <c r="E124" s="32"/>
      <c r="F124" s="124" t="s">
        <v>3882</v>
      </c>
      <c r="G124" s="123" t="s">
        <v>220</v>
      </c>
      <c r="H124" s="123" t="s">
        <v>3904</v>
      </c>
      <c r="I124" s="39">
        <v>478</v>
      </c>
      <c r="J124" s="42">
        <v>458</v>
      </c>
      <c r="K124" s="20">
        <v>20</v>
      </c>
      <c r="L124" s="21"/>
      <c r="M124" s="21">
        <f t="shared" si="16"/>
        <v>478</v>
      </c>
      <c r="N124" s="21">
        <f t="shared" si="17"/>
        <v>0</v>
      </c>
      <c r="O124" s="26">
        <v>478</v>
      </c>
      <c r="P124" s="26"/>
      <c r="Q124" s="21"/>
      <c r="R124" s="5"/>
      <c r="S124" s="45"/>
      <c r="T124" s="44"/>
      <c r="U124" s="21">
        <f t="shared" si="18"/>
        <v>0</v>
      </c>
      <c r="V124" s="45"/>
      <c r="W124" s="294">
        <f t="shared" si="19"/>
        <v>478</v>
      </c>
      <c r="X124" s="140"/>
      <c r="Y124" s="334"/>
      <c r="Z124" s="5"/>
      <c r="AL124" s="185"/>
      <c r="AM124" s="185"/>
      <c r="AN124" s="185"/>
      <c r="AO124" s="185"/>
      <c r="AP124" s="297"/>
      <c r="AQ124" s="185"/>
    </row>
    <row r="125" spans="1:43" x14ac:dyDescent="0.25">
      <c r="A125" s="143">
        <v>13</v>
      </c>
      <c r="B125" s="92">
        <v>45297</v>
      </c>
      <c r="C125" s="23"/>
      <c r="D125" s="31" t="s">
        <v>30</v>
      </c>
      <c r="E125" s="32"/>
      <c r="F125" s="32" t="s">
        <v>849</v>
      </c>
      <c r="G125" s="32" t="s">
        <v>388</v>
      </c>
      <c r="H125" s="39" t="s">
        <v>3908</v>
      </c>
      <c r="I125" s="39">
        <v>133</v>
      </c>
      <c r="J125" s="42">
        <v>123</v>
      </c>
      <c r="K125" s="108">
        <v>10</v>
      </c>
      <c r="L125" s="21"/>
      <c r="M125" s="21">
        <f t="shared" si="16"/>
        <v>133</v>
      </c>
      <c r="N125" s="78">
        <v>0</v>
      </c>
      <c r="O125" s="143"/>
      <c r="P125" s="143"/>
      <c r="Q125" s="20"/>
      <c r="R125" s="5"/>
      <c r="S125" s="43"/>
      <c r="T125" s="32"/>
      <c r="U125" s="21">
        <f t="shared" si="18"/>
        <v>0</v>
      </c>
      <c r="V125" s="43"/>
      <c r="W125" s="294">
        <f t="shared" si="19"/>
        <v>0</v>
      </c>
      <c r="X125" s="140"/>
      <c r="Y125" s="334"/>
      <c r="Z125" s="5"/>
      <c r="AJ125" s="83"/>
    </row>
    <row r="126" spans="1:43" x14ac:dyDescent="0.25">
      <c r="A126" s="143">
        <v>14</v>
      </c>
      <c r="B126" s="92">
        <v>45297</v>
      </c>
      <c r="C126" s="23"/>
      <c r="D126" s="31" t="s">
        <v>2819</v>
      </c>
      <c r="E126" s="32"/>
      <c r="F126" s="32" t="s">
        <v>38</v>
      </c>
      <c r="G126" s="32" t="s">
        <v>3907</v>
      </c>
      <c r="H126" s="39" t="s">
        <v>3911</v>
      </c>
      <c r="I126" s="39">
        <v>330</v>
      </c>
      <c r="J126" s="42">
        <v>310</v>
      </c>
      <c r="K126" s="108">
        <v>10</v>
      </c>
      <c r="L126" s="21">
        <v>10</v>
      </c>
      <c r="M126" s="21">
        <f t="shared" si="16"/>
        <v>320</v>
      </c>
      <c r="N126" s="21">
        <f t="shared" si="17"/>
        <v>10</v>
      </c>
      <c r="O126" s="50"/>
      <c r="P126" s="50"/>
      <c r="Q126" s="21"/>
      <c r="R126" s="5"/>
      <c r="S126" s="43"/>
      <c r="T126" s="43"/>
      <c r="U126" s="21">
        <f t="shared" si="18"/>
        <v>0</v>
      </c>
      <c r="V126" s="43"/>
      <c r="W126" s="294">
        <f t="shared" si="19"/>
        <v>0</v>
      </c>
      <c r="X126" s="140"/>
      <c r="Y126" s="334"/>
      <c r="Z126" s="5"/>
      <c r="AE126" s="5"/>
      <c r="AF126" s="5"/>
      <c r="AG126" s="5"/>
      <c r="AH126" s="5"/>
      <c r="AI126" s="5"/>
      <c r="AJ126" s="5"/>
      <c r="AK126" s="5"/>
    </row>
    <row r="127" spans="1:43" x14ac:dyDescent="0.25">
      <c r="A127" s="143">
        <v>15</v>
      </c>
      <c r="B127" s="92">
        <v>45297</v>
      </c>
      <c r="C127" s="23"/>
      <c r="D127" s="127" t="s">
        <v>1061</v>
      </c>
      <c r="E127" s="32"/>
      <c r="F127" s="32" t="s">
        <v>38</v>
      </c>
      <c r="G127" s="32" t="s">
        <v>3688</v>
      </c>
      <c r="H127" s="129" t="s">
        <v>3903</v>
      </c>
      <c r="I127" s="39">
        <v>123</v>
      </c>
      <c r="J127" s="42">
        <v>113</v>
      </c>
      <c r="K127" s="108">
        <v>10</v>
      </c>
      <c r="L127" s="21"/>
      <c r="M127" s="21">
        <f t="shared" si="16"/>
        <v>123</v>
      </c>
      <c r="N127" s="21">
        <f t="shared" si="17"/>
        <v>0</v>
      </c>
      <c r="O127" s="21"/>
      <c r="P127" s="21"/>
      <c r="Q127" s="21"/>
      <c r="R127" s="5"/>
      <c r="S127" s="43"/>
      <c r="T127" s="43"/>
      <c r="U127" s="21">
        <f t="shared" si="18"/>
        <v>0</v>
      </c>
      <c r="V127" s="43"/>
      <c r="W127" s="294">
        <f t="shared" si="19"/>
        <v>0</v>
      </c>
      <c r="X127" s="140"/>
      <c r="Y127" s="334"/>
      <c r="Z127" s="5"/>
      <c r="AE127" s="5"/>
      <c r="AF127" s="134" t="s">
        <v>20</v>
      </c>
      <c r="AG127" s="362">
        <f>+AJ127+AF123</f>
        <v>0</v>
      </c>
      <c r="AH127" s="341" t="s">
        <v>686</v>
      </c>
      <c r="AI127" s="134" t="s">
        <v>20</v>
      </c>
      <c r="AJ127" s="358">
        <f>+AF122</f>
        <v>0</v>
      </c>
      <c r="AK127" s="5"/>
    </row>
    <row r="128" spans="1:43" x14ac:dyDescent="0.25">
      <c r="A128" s="143">
        <v>16</v>
      </c>
      <c r="B128" s="92">
        <v>45297</v>
      </c>
      <c r="C128" s="23"/>
      <c r="D128" s="31" t="s">
        <v>1061</v>
      </c>
      <c r="E128" s="32"/>
      <c r="F128" s="32" t="s">
        <v>38</v>
      </c>
      <c r="G128" s="32" t="s">
        <v>3688</v>
      </c>
      <c r="H128" s="39" t="s">
        <v>3902</v>
      </c>
      <c r="I128" s="39">
        <v>214</v>
      </c>
      <c r="J128" s="42">
        <v>202</v>
      </c>
      <c r="K128" s="43">
        <v>12</v>
      </c>
      <c r="L128" s="21"/>
      <c r="M128" s="21">
        <f t="shared" si="16"/>
        <v>214</v>
      </c>
      <c r="N128" s="21">
        <f t="shared" si="17"/>
        <v>0</v>
      </c>
      <c r="O128" s="21">
        <v>325</v>
      </c>
      <c r="P128" s="21"/>
      <c r="Q128" s="21"/>
      <c r="R128" s="5"/>
      <c r="S128" s="43"/>
      <c r="T128" s="32"/>
      <c r="U128" s="21">
        <f t="shared" si="18"/>
        <v>0</v>
      </c>
      <c r="V128" s="131"/>
      <c r="W128" s="294">
        <f t="shared" si="19"/>
        <v>325</v>
      </c>
      <c r="X128" s="140"/>
      <c r="Y128" s="334"/>
      <c r="Z128" s="5"/>
      <c r="AE128" s="5" t="s">
        <v>685</v>
      </c>
      <c r="AF128" s="115" t="s">
        <v>3676</v>
      </c>
      <c r="AG128" s="360"/>
      <c r="AH128" s="341"/>
      <c r="AI128" s="115" t="s">
        <v>684</v>
      </c>
      <c r="AJ128" s="360"/>
      <c r="AK128" s="5"/>
    </row>
    <row r="129" spans="1:43" x14ac:dyDescent="0.25">
      <c r="A129" s="143">
        <v>17</v>
      </c>
      <c r="B129" s="92">
        <v>45297</v>
      </c>
      <c r="C129" s="23"/>
      <c r="D129" s="31" t="s">
        <v>2063</v>
      </c>
      <c r="E129" s="32"/>
      <c r="F129" s="32" t="s">
        <v>52</v>
      </c>
      <c r="G129" s="32" t="s">
        <v>3905</v>
      </c>
      <c r="H129" s="39" t="s">
        <v>3906</v>
      </c>
      <c r="I129" s="39">
        <v>85</v>
      </c>
      <c r="J129" s="42">
        <v>78</v>
      </c>
      <c r="K129" s="43">
        <v>10</v>
      </c>
      <c r="L129" s="21"/>
      <c r="M129" s="21">
        <f t="shared" si="16"/>
        <v>88</v>
      </c>
      <c r="N129" s="21">
        <v>0</v>
      </c>
      <c r="O129" s="21">
        <v>85</v>
      </c>
      <c r="P129" s="21"/>
      <c r="Q129" s="21"/>
      <c r="R129" s="5"/>
      <c r="S129" s="43"/>
      <c r="T129" s="32"/>
      <c r="U129" s="21">
        <f t="shared" si="18"/>
        <v>0</v>
      </c>
      <c r="V129" s="132"/>
      <c r="W129" s="294">
        <f t="shared" si="19"/>
        <v>85</v>
      </c>
      <c r="X129" s="140"/>
      <c r="Y129" s="340"/>
      <c r="Z129" s="5"/>
      <c r="AE129" s="5"/>
      <c r="AF129" s="5"/>
      <c r="AG129" s="5"/>
      <c r="AH129" s="5" t="s">
        <v>3677</v>
      </c>
      <c r="AI129" s="5"/>
      <c r="AJ129" s="5"/>
      <c r="AK129" s="5"/>
    </row>
    <row r="130" spans="1:43" x14ac:dyDescent="0.25">
      <c r="A130" s="143">
        <v>18</v>
      </c>
      <c r="B130" s="92">
        <v>45297</v>
      </c>
      <c r="C130" s="32"/>
      <c r="D130" s="31" t="s">
        <v>1711</v>
      </c>
      <c r="E130" s="32"/>
      <c r="F130" s="32" t="s">
        <v>52</v>
      </c>
      <c r="G130" s="32" t="s">
        <v>3019</v>
      </c>
      <c r="H130" s="39" t="s">
        <v>3910</v>
      </c>
      <c r="I130" s="39">
        <v>50</v>
      </c>
      <c r="J130" s="42">
        <v>38</v>
      </c>
      <c r="K130" s="43">
        <v>10</v>
      </c>
      <c r="L130" s="21">
        <v>2</v>
      </c>
      <c r="M130" s="21">
        <f t="shared" si="16"/>
        <v>48</v>
      </c>
      <c r="N130" s="21">
        <v>0</v>
      </c>
      <c r="O130" s="21">
        <v>58</v>
      </c>
      <c r="P130" s="21"/>
      <c r="Q130" s="21"/>
      <c r="R130" s="5"/>
      <c r="S130" s="135"/>
      <c r="T130" s="104"/>
      <c r="U130" s="21">
        <f t="shared" si="18"/>
        <v>0</v>
      </c>
      <c r="V130" s="131"/>
      <c r="W130" s="294">
        <f t="shared" si="19"/>
        <v>58</v>
      </c>
      <c r="X130" s="140"/>
      <c r="Z130" s="5"/>
    </row>
    <row r="131" spans="1:43" x14ac:dyDescent="0.25">
      <c r="A131" s="143">
        <v>19</v>
      </c>
      <c r="B131" s="92">
        <v>45297</v>
      </c>
      <c r="C131" s="32"/>
      <c r="D131" s="31"/>
      <c r="E131" s="32"/>
      <c r="F131" s="32"/>
      <c r="G131" s="32"/>
      <c r="H131" s="39"/>
      <c r="I131" s="39"/>
      <c r="J131" s="42"/>
      <c r="K131" s="43">
        <v>10</v>
      </c>
      <c r="L131" s="21"/>
      <c r="M131" s="21">
        <f t="shared" si="16"/>
        <v>10</v>
      </c>
      <c r="N131" s="21">
        <f t="shared" si="17"/>
        <v>-10</v>
      </c>
      <c r="O131" s="21"/>
      <c r="P131" s="21"/>
      <c r="Q131" s="21"/>
      <c r="R131" s="5"/>
      <c r="S131" s="32"/>
      <c r="T131" s="32"/>
      <c r="U131" s="21">
        <f t="shared" si="18"/>
        <v>0</v>
      </c>
      <c r="V131" s="32"/>
      <c r="W131" s="294">
        <f t="shared" si="19"/>
        <v>0</v>
      </c>
      <c r="X131" s="140"/>
      <c r="Z131" s="5"/>
      <c r="AE131" s="5"/>
      <c r="AF131" s="5"/>
      <c r="AG131" s="5"/>
      <c r="AH131" s="5"/>
      <c r="AI131" s="5"/>
      <c r="AJ131" s="5"/>
      <c r="AK131" s="5"/>
    </row>
    <row r="132" spans="1:4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>
        <f>+((SUM(O113:O131))-(SUM(P113:P131)))</f>
        <v>1368</v>
      </c>
      <c r="Q132" s="5"/>
      <c r="R132" s="5"/>
      <c r="S132" s="5"/>
      <c r="T132" s="5"/>
      <c r="U132" s="5"/>
      <c r="V132" s="5"/>
      <c r="W132" s="5"/>
      <c r="X132" s="141"/>
      <c r="Y132" s="5"/>
      <c r="Z132" s="5"/>
      <c r="AE132" s="5"/>
      <c r="AF132" s="134" t="s">
        <v>20</v>
      </c>
      <c r="AG132" s="358">
        <f>P132</f>
        <v>1368</v>
      </c>
      <c r="AH132" s="341" t="s">
        <v>687</v>
      </c>
      <c r="AI132" s="134" t="s">
        <v>20</v>
      </c>
      <c r="AJ132" s="358">
        <f>+AJ122</f>
        <v>178.5</v>
      </c>
      <c r="AK132" s="5"/>
    </row>
    <row r="133" spans="1:43" x14ac:dyDescent="0.25">
      <c r="AE133" s="5" t="s">
        <v>3679</v>
      </c>
      <c r="AF133" s="115" t="s">
        <v>684</v>
      </c>
      <c r="AG133" s="359"/>
      <c r="AH133" s="341"/>
      <c r="AI133" s="115" t="s">
        <v>684</v>
      </c>
      <c r="AJ133" s="360"/>
      <c r="AK133" s="5"/>
    </row>
    <row r="134" spans="1:43" x14ac:dyDescent="0.25">
      <c r="AE134" s="5"/>
      <c r="AF134" s="5"/>
      <c r="AG134" s="5"/>
      <c r="AH134" s="5" t="s">
        <v>3678</v>
      </c>
      <c r="AI134" s="5"/>
      <c r="AJ134" s="5"/>
      <c r="AK134" s="5"/>
    </row>
    <row r="135" spans="1:43" x14ac:dyDescent="0.25">
      <c r="B135" t="s">
        <v>3896</v>
      </c>
    </row>
    <row r="137" spans="1:43" x14ac:dyDescent="0.25">
      <c r="AL137" s="185"/>
      <c r="AM137" s="185"/>
      <c r="AN137" s="185"/>
      <c r="AO137" s="185"/>
      <c r="AP137" s="185"/>
      <c r="AQ137" s="185"/>
    </row>
    <row r="138" spans="1:43" ht="30" x14ac:dyDescent="0.25">
      <c r="A138" s="1" t="s">
        <v>0</v>
      </c>
      <c r="B138" s="1"/>
      <c r="C138" s="1"/>
      <c r="D138" s="1"/>
      <c r="E138" s="1"/>
      <c r="F138" s="1"/>
      <c r="G138" s="1"/>
      <c r="H138" s="1"/>
      <c r="I138" s="1"/>
      <c r="J138" s="1" t="s">
        <v>148</v>
      </c>
      <c r="K138" s="1"/>
      <c r="L138" s="1"/>
      <c r="M138" s="1"/>
      <c r="N138" s="1"/>
      <c r="O138" s="363" t="s">
        <v>3679</v>
      </c>
      <c r="P138" s="363"/>
      <c r="Q138" s="1"/>
      <c r="R138" s="1"/>
      <c r="S138" s="1"/>
      <c r="T138" s="1"/>
      <c r="U138" s="5"/>
      <c r="V138" s="5"/>
      <c r="W138" s="295" t="s">
        <v>1</v>
      </c>
      <c r="X138" s="139"/>
      <c r="Y138" s="1"/>
      <c r="Z138" s="5"/>
      <c r="AE138" s="335" t="s">
        <v>160</v>
      </c>
      <c r="AF138" s="336"/>
      <c r="AI138" s="335" t="s">
        <v>170</v>
      </c>
      <c r="AJ138" s="336"/>
      <c r="AL138" s="361"/>
      <c r="AM138" s="361"/>
      <c r="AN138" s="185"/>
      <c r="AO138" s="361"/>
      <c r="AP138" s="361"/>
      <c r="AQ138" s="185"/>
    </row>
    <row r="139" spans="1:43" ht="90" x14ac:dyDescent="0.25">
      <c r="A139" s="6" t="s">
        <v>2</v>
      </c>
      <c r="B139" s="7" t="s">
        <v>3</v>
      </c>
      <c r="C139" s="245" t="s">
        <v>3675</v>
      </c>
      <c r="D139" s="7" t="s">
        <v>4</v>
      </c>
      <c r="E139" s="6" t="s">
        <v>5</v>
      </c>
      <c r="F139" s="6" t="s">
        <v>6</v>
      </c>
      <c r="G139" s="6" t="s">
        <v>7</v>
      </c>
      <c r="H139" s="6" t="s">
        <v>8</v>
      </c>
      <c r="I139" s="8" t="s">
        <v>9</v>
      </c>
      <c r="J139" s="8" t="s">
        <v>10</v>
      </c>
      <c r="K139" s="8" t="s">
        <v>11</v>
      </c>
      <c r="L139" s="76" t="s">
        <v>12</v>
      </c>
      <c r="M139" s="76" t="s">
        <v>13</v>
      </c>
      <c r="N139" s="15" t="s">
        <v>14</v>
      </c>
      <c r="O139" s="15" t="s">
        <v>173</v>
      </c>
      <c r="P139" s="15" t="s">
        <v>174</v>
      </c>
      <c r="Q139" s="76" t="s">
        <v>28</v>
      </c>
      <c r="R139" s="5"/>
      <c r="S139" s="76" t="s">
        <v>16</v>
      </c>
      <c r="T139" s="76" t="s">
        <v>17</v>
      </c>
      <c r="U139" s="76" t="s">
        <v>18</v>
      </c>
      <c r="V139" s="76" t="s">
        <v>19</v>
      </c>
      <c r="W139" s="76" t="s">
        <v>20</v>
      </c>
      <c r="X139" s="13"/>
      <c r="Y139" s="15" t="s">
        <v>23</v>
      </c>
      <c r="Z139" s="5"/>
      <c r="AB139" s="251" t="s">
        <v>2554</v>
      </c>
      <c r="AE139" s="16" t="s">
        <v>161</v>
      </c>
      <c r="AF139" s="58">
        <f>+AD139*10</f>
        <v>0</v>
      </c>
      <c r="AH139">
        <v>5</v>
      </c>
      <c r="AI139" s="16" t="s">
        <v>161</v>
      </c>
      <c r="AJ139" s="58">
        <f>+AH139*10</f>
        <v>50</v>
      </c>
      <c r="AL139" s="185"/>
      <c r="AM139" s="185"/>
      <c r="AN139" s="185"/>
      <c r="AO139" s="185"/>
      <c r="AP139" s="296"/>
      <c r="AQ139" s="185"/>
    </row>
    <row r="140" spans="1:43" x14ac:dyDescent="0.25">
      <c r="A140" s="16">
        <v>1</v>
      </c>
      <c r="B140" s="92">
        <v>44933</v>
      </c>
      <c r="C140" s="92"/>
      <c r="D140" s="31" t="s">
        <v>3912</v>
      </c>
      <c r="E140" s="32">
        <v>5554575800</v>
      </c>
      <c r="F140" s="32" t="s">
        <v>28</v>
      </c>
      <c r="G140" s="31" t="s">
        <v>3912</v>
      </c>
      <c r="H140" s="39" t="s">
        <v>3916</v>
      </c>
      <c r="I140" s="122">
        <v>132</v>
      </c>
      <c r="J140" s="32">
        <v>120</v>
      </c>
      <c r="K140" s="20">
        <v>12</v>
      </c>
      <c r="L140" s="50"/>
      <c r="M140" s="50">
        <f t="shared" ref="M140:M158" si="20">+J140+K140</f>
        <v>132</v>
      </c>
      <c r="N140" s="50">
        <f t="shared" ref="N140:N158" si="21">+I140-M140</f>
        <v>0</v>
      </c>
      <c r="O140" s="29"/>
      <c r="P140" s="29"/>
      <c r="Q140" s="50"/>
      <c r="R140" s="5"/>
      <c r="S140" s="50">
        <v>200</v>
      </c>
      <c r="T140" s="29"/>
      <c r="U140" s="50">
        <f t="shared" ref="U140:U158" si="22">+S140+T140</f>
        <v>200</v>
      </c>
      <c r="V140" s="50">
        <v>212</v>
      </c>
      <c r="W140" s="294">
        <f>+V140-U140+O140+Q140-P140</f>
        <v>12</v>
      </c>
      <c r="X140" s="13"/>
      <c r="Y140" s="333"/>
      <c r="Z140" s="5"/>
      <c r="AD140">
        <v>23</v>
      </c>
      <c r="AE140" s="59" t="s">
        <v>162</v>
      </c>
      <c r="AF140" s="18">
        <f>+AD140*1</f>
        <v>23</v>
      </c>
      <c r="AH140">
        <v>14</v>
      </c>
      <c r="AI140" s="59" t="s">
        <v>162</v>
      </c>
      <c r="AJ140" s="18">
        <f>+AH140*1</f>
        <v>14</v>
      </c>
      <c r="AL140" s="185"/>
      <c r="AM140" s="185"/>
      <c r="AN140" s="185"/>
      <c r="AO140" s="185"/>
      <c r="AP140" s="296"/>
      <c r="AQ140" s="185"/>
    </row>
    <row r="141" spans="1:43" x14ac:dyDescent="0.25">
      <c r="A141" s="26">
        <v>2</v>
      </c>
      <c r="B141" s="92">
        <v>44933</v>
      </c>
      <c r="C141" s="23"/>
      <c r="D141" s="31" t="s">
        <v>3913</v>
      </c>
      <c r="E141" s="32">
        <v>5614683694</v>
      </c>
      <c r="F141" s="32" t="s">
        <v>156</v>
      </c>
      <c r="G141" s="32" t="s">
        <v>3018</v>
      </c>
      <c r="H141" s="39" t="s">
        <v>3917</v>
      </c>
      <c r="I141" s="122">
        <v>45</v>
      </c>
      <c r="J141" s="32">
        <v>30</v>
      </c>
      <c r="K141" s="20">
        <v>11</v>
      </c>
      <c r="L141" s="21">
        <v>4</v>
      </c>
      <c r="M141" s="21">
        <f t="shared" si="20"/>
        <v>41</v>
      </c>
      <c r="N141" s="21">
        <v>0</v>
      </c>
      <c r="O141" s="16"/>
      <c r="P141" s="16"/>
      <c r="Q141" s="21"/>
      <c r="R141" s="5"/>
      <c r="S141" s="50">
        <v>200</v>
      </c>
      <c r="T141" s="16"/>
      <c r="U141" s="21">
        <f t="shared" si="22"/>
        <v>200</v>
      </c>
      <c r="V141" s="21">
        <v>214</v>
      </c>
      <c r="W141" s="294">
        <f t="shared" ref="W141:W158" si="23">+V141-U141+O141+Q141-P141</f>
        <v>14</v>
      </c>
      <c r="X141" s="140"/>
      <c r="Y141" s="334"/>
      <c r="Z141" s="5"/>
      <c r="AD141">
        <v>3</v>
      </c>
      <c r="AE141" s="16" t="s">
        <v>163</v>
      </c>
      <c r="AF141" s="60">
        <f>+AD141*5</f>
        <v>15</v>
      </c>
      <c r="AH141">
        <v>8</v>
      </c>
      <c r="AI141" s="16" t="s">
        <v>163</v>
      </c>
      <c r="AJ141" s="60">
        <f>+AH141*5</f>
        <v>40</v>
      </c>
      <c r="AL141" s="185"/>
      <c r="AM141" s="185"/>
      <c r="AN141" s="185"/>
      <c r="AO141" s="185"/>
      <c r="AP141" s="296"/>
      <c r="AQ141" s="185"/>
    </row>
    <row r="142" spans="1:43" x14ac:dyDescent="0.25">
      <c r="A142" s="143">
        <v>3</v>
      </c>
      <c r="B142" s="92">
        <v>44933</v>
      </c>
      <c r="C142" s="23"/>
      <c r="D142" s="31" t="s">
        <v>2669</v>
      </c>
      <c r="E142" s="32">
        <v>5567561157</v>
      </c>
      <c r="F142" s="32" t="s">
        <v>156</v>
      </c>
      <c r="G142" s="32" t="s">
        <v>3522</v>
      </c>
      <c r="H142" s="39" t="s">
        <v>3918</v>
      </c>
      <c r="I142" s="122">
        <v>30</v>
      </c>
      <c r="J142" s="32">
        <v>20</v>
      </c>
      <c r="K142" s="20">
        <v>10</v>
      </c>
      <c r="L142" s="21"/>
      <c r="M142" s="21">
        <f t="shared" si="20"/>
        <v>30</v>
      </c>
      <c r="N142" s="21">
        <f t="shared" si="21"/>
        <v>0</v>
      </c>
      <c r="O142" s="16"/>
      <c r="P142" s="16"/>
      <c r="Q142" s="21"/>
      <c r="R142" s="5"/>
      <c r="S142" s="50">
        <v>200</v>
      </c>
      <c r="T142" s="16"/>
      <c r="U142" s="21">
        <f t="shared" si="22"/>
        <v>200</v>
      </c>
      <c r="V142" s="21">
        <v>210</v>
      </c>
      <c r="W142" s="294">
        <f t="shared" si="23"/>
        <v>10</v>
      </c>
      <c r="X142" s="140"/>
      <c r="Y142" s="334"/>
      <c r="Z142" s="5"/>
      <c r="AD142">
        <v>1</v>
      </c>
      <c r="AE142" s="16" t="s">
        <v>164</v>
      </c>
      <c r="AF142" s="18">
        <f>+AD142*200</f>
        <v>200</v>
      </c>
      <c r="AI142" s="16" t="s">
        <v>164</v>
      </c>
      <c r="AJ142" s="18">
        <f>+AH142*200</f>
        <v>0</v>
      </c>
      <c r="AL142" s="185"/>
      <c r="AM142" s="185"/>
      <c r="AN142" s="185"/>
      <c r="AO142" s="185"/>
      <c r="AP142" s="296"/>
      <c r="AQ142" s="185"/>
    </row>
    <row r="143" spans="1:43" x14ac:dyDescent="0.25">
      <c r="A143" s="143">
        <v>4</v>
      </c>
      <c r="B143" s="92">
        <v>44933</v>
      </c>
      <c r="C143" s="23"/>
      <c r="D143" s="31" t="s">
        <v>3914</v>
      </c>
      <c r="E143" s="32">
        <v>5550125009</v>
      </c>
      <c r="F143" s="32" t="s">
        <v>3915</v>
      </c>
      <c r="G143" s="32" t="s">
        <v>3040</v>
      </c>
      <c r="H143" s="39" t="s">
        <v>3919</v>
      </c>
      <c r="I143" s="122">
        <v>200</v>
      </c>
      <c r="J143" s="32">
        <v>182</v>
      </c>
      <c r="K143" s="20">
        <v>14</v>
      </c>
      <c r="L143" s="21">
        <v>4</v>
      </c>
      <c r="M143" s="21">
        <f t="shared" si="20"/>
        <v>196</v>
      </c>
      <c r="N143" s="21">
        <v>0</v>
      </c>
      <c r="O143" s="16"/>
      <c r="P143" s="16"/>
      <c r="Q143" s="21"/>
      <c r="R143" s="5"/>
      <c r="S143" s="50">
        <v>200</v>
      </c>
      <c r="T143" s="16"/>
      <c r="U143" s="21">
        <f t="shared" si="22"/>
        <v>200</v>
      </c>
      <c r="V143" s="21">
        <v>218</v>
      </c>
      <c r="W143" s="294">
        <f t="shared" si="23"/>
        <v>18</v>
      </c>
      <c r="X143" s="140"/>
      <c r="Y143" s="334"/>
      <c r="Z143" s="5"/>
      <c r="AE143" s="16" t="s">
        <v>165</v>
      </c>
      <c r="AF143" s="18">
        <f>+AD143*100</f>
        <v>0</v>
      </c>
      <c r="AH143">
        <v>4</v>
      </c>
      <c r="AI143" s="16" t="s">
        <v>165</v>
      </c>
      <c r="AJ143" s="18">
        <f>+AH143*100</f>
        <v>400</v>
      </c>
      <c r="AL143" s="185"/>
      <c r="AM143" s="185"/>
      <c r="AN143" s="185"/>
      <c r="AO143" s="185"/>
      <c r="AP143" s="296"/>
      <c r="AQ143" s="185"/>
    </row>
    <row r="144" spans="1:43" x14ac:dyDescent="0.25">
      <c r="A144" s="143">
        <v>5</v>
      </c>
      <c r="B144" s="92">
        <v>44933</v>
      </c>
      <c r="C144" s="23"/>
      <c r="D144" s="31" t="s">
        <v>3920</v>
      </c>
      <c r="E144" s="32"/>
      <c r="F144" s="32" t="s">
        <v>52</v>
      </c>
      <c r="G144" s="32" t="s">
        <v>3921</v>
      </c>
      <c r="H144" s="32" t="s">
        <v>3923</v>
      </c>
      <c r="I144" s="122">
        <v>185</v>
      </c>
      <c r="J144" s="32">
        <v>163</v>
      </c>
      <c r="K144" s="20">
        <v>12</v>
      </c>
      <c r="L144" s="21">
        <v>10</v>
      </c>
      <c r="M144" s="21">
        <f t="shared" si="20"/>
        <v>175</v>
      </c>
      <c r="N144" s="21">
        <v>0</v>
      </c>
      <c r="O144" s="16"/>
      <c r="P144" s="16"/>
      <c r="Q144" s="21"/>
      <c r="R144" s="5"/>
      <c r="S144" s="16"/>
      <c r="T144" s="16"/>
      <c r="U144" s="21">
        <f t="shared" si="22"/>
        <v>0</v>
      </c>
      <c r="V144" s="21"/>
      <c r="W144" s="294">
        <f t="shared" si="23"/>
        <v>0</v>
      </c>
      <c r="X144" s="140"/>
      <c r="Y144" s="334"/>
      <c r="Z144" s="5"/>
      <c r="AD144">
        <v>2</v>
      </c>
      <c r="AE144" s="16" t="s">
        <v>166</v>
      </c>
      <c r="AF144" s="18">
        <f>+AD144*50</f>
        <v>100</v>
      </c>
      <c r="AH144">
        <v>1</v>
      </c>
      <c r="AI144" s="16" t="s">
        <v>166</v>
      </c>
      <c r="AJ144" s="18">
        <f>+AH144*50</f>
        <v>50</v>
      </c>
      <c r="AL144" s="185"/>
      <c r="AM144" s="185"/>
      <c r="AN144" s="185"/>
      <c r="AO144" s="185"/>
      <c r="AP144" s="296"/>
      <c r="AQ144" s="185"/>
    </row>
    <row r="145" spans="1:43" x14ac:dyDescent="0.25">
      <c r="A145" s="143">
        <v>6</v>
      </c>
      <c r="B145" s="92">
        <v>44933</v>
      </c>
      <c r="C145" s="23"/>
      <c r="D145" s="31" t="s">
        <v>1912</v>
      </c>
      <c r="E145" s="32"/>
      <c r="F145" s="32" t="s">
        <v>52</v>
      </c>
      <c r="G145" s="32" t="s">
        <v>3922</v>
      </c>
      <c r="H145" s="39" t="s">
        <v>3924</v>
      </c>
      <c r="I145" s="39">
        <v>173</v>
      </c>
      <c r="J145" s="42">
        <v>163</v>
      </c>
      <c r="K145" s="20">
        <v>12</v>
      </c>
      <c r="L145" s="21"/>
      <c r="M145" s="21">
        <f t="shared" si="20"/>
        <v>175</v>
      </c>
      <c r="N145" s="21">
        <f t="shared" si="21"/>
        <v>-2</v>
      </c>
      <c r="O145" s="16"/>
      <c r="P145" s="16"/>
      <c r="Q145" s="21"/>
      <c r="R145" s="5"/>
      <c r="S145" s="16"/>
      <c r="T145" s="16"/>
      <c r="U145" s="21">
        <f t="shared" si="22"/>
        <v>0</v>
      </c>
      <c r="V145" s="16"/>
      <c r="W145" s="294">
        <f t="shared" si="23"/>
        <v>0</v>
      </c>
      <c r="X145" s="140"/>
      <c r="Y145" s="334"/>
      <c r="Z145" s="5"/>
      <c r="AD145">
        <v>1</v>
      </c>
      <c r="AE145" s="16" t="s">
        <v>167</v>
      </c>
      <c r="AF145" s="18">
        <f>+AD145*20</f>
        <v>20</v>
      </c>
      <c r="AH145">
        <v>3</v>
      </c>
      <c r="AI145" s="16" t="s">
        <v>167</v>
      </c>
      <c r="AJ145" s="18">
        <f>+AH145*20</f>
        <v>60</v>
      </c>
      <c r="AL145" s="185"/>
      <c r="AM145" s="185"/>
      <c r="AN145" s="185"/>
      <c r="AO145" s="185"/>
      <c r="AP145" s="296"/>
      <c r="AQ145" s="185"/>
    </row>
    <row r="146" spans="1:43" x14ac:dyDescent="0.25">
      <c r="A146" s="143">
        <v>7</v>
      </c>
      <c r="B146" s="92">
        <v>44933</v>
      </c>
      <c r="C146" s="23"/>
      <c r="D146" s="31" t="s">
        <v>2917</v>
      </c>
      <c r="E146" s="32"/>
      <c r="F146" s="32" t="s">
        <v>3881</v>
      </c>
      <c r="G146" s="32" t="s">
        <v>3061</v>
      </c>
      <c r="H146" s="39" t="s">
        <v>3925</v>
      </c>
      <c r="I146" s="122">
        <v>140</v>
      </c>
      <c r="J146" s="42">
        <v>128</v>
      </c>
      <c r="K146" s="20">
        <v>12</v>
      </c>
      <c r="L146" s="21"/>
      <c r="M146" s="21">
        <f t="shared" si="20"/>
        <v>140</v>
      </c>
      <c r="N146" s="21">
        <f t="shared" si="21"/>
        <v>0</v>
      </c>
      <c r="O146" s="16"/>
      <c r="P146" s="16"/>
      <c r="Q146" s="21"/>
      <c r="R146" s="318">
        <f>+SUM(Q148:Q156)</f>
        <v>743.5</v>
      </c>
      <c r="S146" s="16"/>
      <c r="T146" s="16"/>
      <c r="U146" s="21">
        <f t="shared" si="22"/>
        <v>0</v>
      </c>
      <c r="V146" s="16"/>
      <c r="W146" s="294">
        <f t="shared" si="23"/>
        <v>0</v>
      </c>
      <c r="X146" s="140"/>
      <c r="Y146" s="334"/>
      <c r="Z146" s="5"/>
      <c r="AE146" s="16" t="s">
        <v>171</v>
      </c>
      <c r="AF146" s="18">
        <f>+AD146*500</f>
        <v>0</v>
      </c>
      <c r="AH146">
        <v>1</v>
      </c>
      <c r="AI146" s="16" t="s">
        <v>171</v>
      </c>
      <c r="AJ146" s="18">
        <f>+AH146*500</f>
        <v>500</v>
      </c>
      <c r="AL146" s="185"/>
      <c r="AM146" s="185"/>
      <c r="AN146" s="185"/>
      <c r="AO146" s="185"/>
      <c r="AP146" s="296"/>
      <c r="AQ146" s="185"/>
    </row>
    <row r="147" spans="1:43" x14ac:dyDescent="0.25">
      <c r="A147" s="143">
        <v>8</v>
      </c>
      <c r="B147" s="92">
        <v>44933</v>
      </c>
      <c r="C147" s="23"/>
      <c r="D147" s="31" t="s">
        <v>447</v>
      </c>
      <c r="E147" s="123"/>
      <c r="F147" s="123" t="s">
        <v>52</v>
      </c>
      <c r="G147" s="123" t="s">
        <v>3522</v>
      </c>
      <c r="H147" s="39" t="s">
        <v>3926</v>
      </c>
      <c r="I147" s="122">
        <v>75</v>
      </c>
      <c r="J147" s="32">
        <v>63</v>
      </c>
      <c r="K147" s="20">
        <v>12</v>
      </c>
      <c r="L147" s="21"/>
      <c r="M147" s="21">
        <f t="shared" si="20"/>
        <v>75</v>
      </c>
      <c r="N147" s="21">
        <f t="shared" si="21"/>
        <v>0</v>
      </c>
      <c r="O147" s="16"/>
      <c r="P147" s="16"/>
      <c r="Q147" s="21"/>
      <c r="R147" s="22">
        <f>+AJ149-AF149-R146+O156</f>
        <v>256.5</v>
      </c>
      <c r="S147" s="16"/>
      <c r="T147" s="16"/>
      <c r="U147" s="21">
        <f t="shared" si="22"/>
        <v>0</v>
      </c>
      <c r="V147" s="16"/>
      <c r="W147" s="294">
        <f t="shared" si="23"/>
        <v>0</v>
      </c>
      <c r="X147" s="140"/>
      <c r="Y147" s="334"/>
      <c r="Z147" s="5"/>
      <c r="AE147" s="16" t="s">
        <v>168</v>
      </c>
      <c r="AF147" s="18">
        <f>+AD147*1000</f>
        <v>0</v>
      </c>
      <c r="AI147" s="16" t="s">
        <v>168</v>
      </c>
      <c r="AJ147" s="18">
        <f>+AH147*1000</f>
        <v>0</v>
      </c>
      <c r="AL147" s="185"/>
      <c r="AM147" s="185"/>
      <c r="AN147" s="185"/>
      <c r="AO147" s="185"/>
      <c r="AP147" s="296"/>
      <c r="AQ147" s="185"/>
    </row>
    <row r="148" spans="1:43" x14ac:dyDescent="0.25">
      <c r="A148" s="143">
        <v>9</v>
      </c>
      <c r="B148" s="92">
        <v>44933</v>
      </c>
      <c r="C148" s="23">
        <v>0.70833333333333337</v>
      </c>
      <c r="D148" s="31" t="s">
        <v>3927</v>
      </c>
      <c r="E148" s="32">
        <v>5510686816</v>
      </c>
      <c r="F148" s="32" t="s">
        <v>28</v>
      </c>
      <c r="G148" s="32" t="s">
        <v>875</v>
      </c>
      <c r="H148" s="32" t="s">
        <v>3928</v>
      </c>
      <c r="I148" s="39"/>
      <c r="J148" s="40">
        <v>108</v>
      </c>
      <c r="K148" s="20">
        <v>10</v>
      </c>
      <c r="L148" s="21">
        <v>10</v>
      </c>
      <c r="M148" s="21">
        <f t="shared" si="20"/>
        <v>118</v>
      </c>
      <c r="N148" s="21">
        <f t="shared" si="21"/>
        <v>-118</v>
      </c>
      <c r="O148" s="16"/>
      <c r="P148" s="16"/>
      <c r="Q148" s="40">
        <v>108</v>
      </c>
      <c r="R148" s="5">
        <f>+R147/5</f>
        <v>51.3</v>
      </c>
      <c r="S148" s="16">
        <v>90</v>
      </c>
      <c r="T148" s="16"/>
      <c r="U148" s="21">
        <f t="shared" si="22"/>
        <v>90</v>
      </c>
      <c r="V148" s="16">
        <v>210</v>
      </c>
      <c r="W148" s="294">
        <f>+V148-U148+O148-Q148-P148</f>
        <v>12</v>
      </c>
      <c r="X148" s="140"/>
      <c r="Y148" s="334"/>
      <c r="Z148" s="5"/>
      <c r="AE148" s="26"/>
      <c r="AF148" s="58"/>
      <c r="AI148" s="26"/>
      <c r="AJ148" s="58"/>
      <c r="AL148" s="185"/>
      <c r="AM148" s="185"/>
      <c r="AN148" s="185"/>
      <c r="AO148" s="185"/>
      <c r="AP148" s="296"/>
      <c r="AQ148" s="185"/>
    </row>
    <row r="149" spans="1:43" x14ac:dyDescent="0.25">
      <c r="A149" s="143">
        <v>10</v>
      </c>
      <c r="B149" s="92">
        <v>44933</v>
      </c>
      <c r="C149" s="23">
        <v>0.71527777777777779</v>
      </c>
      <c r="D149" s="31" t="s">
        <v>2669</v>
      </c>
      <c r="E149" s="32">
        <v>5567561157</v>
      </c>
      <c r="F149" s="32" t="s">
        <v>28</v>
      </c>
      <c r="G149" s="32" t="s">
        <v>3018</v>
      </c>
      <c r="H149" s="32" t="s">
        <v>3929</v>
      </c>
      <c r="I149" s="122"/>
      <c r="J149" s="42">
        <v>32</v>
      </c>
      <c r="K149" s="20">
        <v>10</v>
      </c>
      <c r="L149" s="21"/>
      <c r="M149" s="21">
        <f t="shared" si="20"/>
        <v>42</v>
      </c>
      <c r="N149" s="21">
        <f t="shared" si="21"/>
        <v>-42</v>
      </c>
      <c r="O149" s="16"/>
      <c r="P149" s="16"/>
      <c r="Q149" s="42">
        <v>32</v>
      </c>
      <c r="R149" s="5">
        <f>+R148*8</f>
        <v>410.4</v>
      </c>
      <c r="S149" s="16">
        <v>100</v>
      </c>
      <c r="T149" s="16"/>
      <c r="U149" s="21">
        <f t="shared" si="22"/>
        <v>100</v>
      </c>
      <c r="V149" s="16">
        <v>150</v>
      </c>
      <c r="W149" s="294">
        <f t="shared" ref="W149:W157" si="24">+V149-U149+O149-Q149-P149</f>
        <v>18</v>
      </c>
      <c r="X149" s="140"/>
      <c r="Y149" s="334"/>
      <c r="Z149" s="5"/>
      <c r="AE149" s="16" t="s">
        <v>169</v>
      </c>
      <c r="AF149" s="18">
        <f>SUM(AF139:AF148)</f>
        <v>358</v>
      </c>
      <c r="AI149" s="16" t="s">
        <v>169</v>
      </c>
      <c r="AJ149" s="18">
        <f>SUM(AJ139:AJ148)</f>
        <v>1114</v>
      </c>
      <c r="AL149" s="185"/>
      <c r="AM149" s="185"/>
      <c r="AN149" s="185"/>
      <c r="AO149" s="185"/>
      <c r="AP149" s="296"/>
      <c r="AQ149" s="185"/>
    </row>
    <row r="150" spans="1:43" x14ac:dyDescent="0.25">
      <c r="A150" s="143">
        <v>11</v>
      </c>
      <c r="B150" s="92">
        <v>44933</v>
      </c>
      <c r="C150" s="23">
        <v>0.75</v>
      </c>
      <c r="D150" s="31" t="s">
        <v>245</v>
      </c>
      <c r="E150" s="124">
        <v>5530508709</v>
      </c>
      <c r="F150" s="32" t="s">
        <v>28</v>
      </c>
      <c r="G150" s="123" t="s">
        <v>1350</v>
      </c>
      <c r="H150" s="123" t="s">
        <v>3930</v>
      </c>
      <c r="I150" s="122"/>
      <c r="J150" s="42">
        <f>33+7.5+44</f>
        <v>84.5</v>
      </c>
      <c r="K150" s="20">
        <v>10</v>
      </c>
      <c r="L150" s="21"/>
      <c r="M150" s="21">
        <f t="shared" si="20"/>
        <v>94.5</v>
      </c>
      <c r="N150" s="21">
        <f t="shared" si="21"/>
        <v>-94.5</v>
      </c>
      <c r="O150" s="16"/>
      <c r="P150" s="16"/>
      <c r="Q150" s="42">
        <f>33+7.5</f>
        <v>40.5</v>
      </c>
      <c r="R150" s="5">
        <f>+R148-P162</f>
        <v>20.174999999999997</v>
      </c>
      <c r="S150" s="16">
        <v>30</v>
      </c>
      <c r="T150" s="16"/>
      <c r="U150" s="21">
        <f t="shared" si="22"/>
        <v>30</v>
      </c>
      <c r="V150" s="16">
        <v>91</v>
      </c>
      <c r="W150" s="294">
        <f t="shared" si="24"/>
        <v>20.5</v>
      </c>
      <c r="X150" s="140"/>
      <c r="Y150" s="334"/>
      <c r="Z150" s="5"/>
      <c r="AL150" s="185"/>
      <c r="AM150" s="185"/>
      <c r="AN150" s="185"/>
      <c r="AO150" s="185"/>
      <c r="AP150" s="185"/>
      <c r="AQ150" s="185"/>
    </row>
    <row r="151" spans="1:43" x14ac:dyDescent="0.25">
      <c r="A151" s="143">
        <v>12</v>
      </c>
      <c r="B151" s="92">
        <v>44933</v>
      </c>
      <c r="C151" s="23">
        <v>0.75694444444444453</v>
      </c>
      <c r="D151" s="32" t="s">
        <v>3100</v>
      </c>
      <c r="E151" s="32">
        <v>5545383189</v>
      </c>
      <c r="F151" s="32" t="s">
        <v>28</v>
      </c>
      <c r="G151" s="123" t="s">
        <v>267</v>
      </c>
      <c r="H151" s="123" t="s">
        <v>3931</v>
      </c>
      <c r="I151" s="39"/>
      <c r="J151" s="42">
        <v>157</v>
      </c>
      <c r="K151" s="20">
        <v>10</v>
      </c>
      <c r="L151" s="21"/>
      <c r="M151" s="21">
        <f t="shared" si="20"/>
        <v>167</v>
      </c>
      <c r="N151" s="21">
        <f t="shared" si="21"/>
        <v>-167</v>
      </c>
      <c r="O151" s="26"/>
      <c r="P151" s="26"/>
      <c r="Q151" s="42">
        <v>157</v>
      </c>
      <c r="R151" s="5"/>
      <c r="S151" s="45">
        <v>150</v>
      </c>
      <c r="T151" s="44"/>
      <c r="U151" s="21">
        <f t="shared" si="22"/>
        <v>150</v>
      </c>
      <c r="V151" s="45">
        <v>317</v>
      </c>
      <c r="W151" s="294">
        <f t="shared" si="24"/>
        <v>10</v>
      </c>
      <c r="X151" s="140"/>
      <c r="Y151" s="334"/>
      <c r="Z151" s="5"/>
      <c r="AL151" s="185"/>
      <c r="AM151" s="185"/>
      <c r="AN151" s="185"/>
      <c r="AO151" s="185"/>
      <c r="AP151" s="297"/>
      <c r="AQ151" s="185"/>
    </row>
    <row r="152" spans="1:43" x14ac:dyDescent="0.25">
      <c r="A152" s="143">
        <v>13</v>
      </c>
      <c r="B152" s="92">
        <v>44933</v>
      </c>
      <c r="C152" s="23"/>
      <c r="D152" s="31" t="s">
        <v>2464</v>
      </c>
      <c r="E152" s="32"/>
      <c r="F152" s="32" t="s">
        <v>28</v>
      </c>
      <c r="G152" s="32" t="s">
        <v>3934</v>
      </c>
      <c r="H152" s="39" t="s">
        <v>3932</v>
      </c>
      <c r="I152" s="39"/>
      <c r="J152" s="42">
        <f>20+34+16</f>
        <v>70</v>
      </c>
      <c r="K152" s="108">
        <v>10</v>
      </c>
      <c r="L152" s="21"/>
      <c r="M152" s="21">
        <f t="shared" si="20"/>
        <v>80</v>
      </c>
      <c r="N152" s="78">
        <f t="shared" si="21"/>
        <v>-80</v>
      </c>
      <c r="O152" s="143"/>
      <c r="P152" s="143"/>
      <c r="Q152" s="20"/>
      <c r="R152" s="5"/>
      <c r="S152" s="43">
        <v>500</v>
      </c>
      <c r="T152" s="32"/>
      <c r="U152" s="21">
        <f t="shared" si="22"/>
        <v>500</v>
      </c>
      <c r="V152" s="43">
        <v>860</v>
      </c>
      <c r="W152" s="294">
        <f t="shared" si="24"/>
        <v>360</v>
      </c>
      <c r="X152" s="140"/>
      <c r="Y152" s="334"/>
      <c r="Z152" s="5"/>
      <c r="AJ152" s="83"/>
    </row>
    <row r="153" spans="1:43" x14ac:dyDescent="0.25">
      <c r="A153" s="143">
        <v>14</v>
      </c>
      <c r="B153" s="92">
        <v>44933</v>
      </c>
      <c r="C153" s="23">
        <v>0.82847222222222217</v>
      </c>
      <c r="D153" s="31" t="s">
        <v>2644</v>
      </c>
      <c r="E153" s="32">
        <v>5537803548</v>
      </c>
      <c r="F153" s="32" t="s">
        <v>28</v>
      </c>
      <c r="G153" s="32" t="s">
        <v>1734</v>
      </c>
      <c r="H153" s="39" t="s">
        <v>3933</v>
      </c>
      <c r="I153" s="39"/>
      <c r="J153" s="42">
        <f>353+72</f>
        <v>425</v>
      </c>
      <c r="K153" s="108">
        <v>10</v>
      </c>
      <c r="L153" s="21"/>
      <c r="M153" s="21">
        <f t="shared" si="20"/>
        <v>435</v>
      </c>
      <c r="N153" s="21">
        <f t="shared" si="21"/>
        <v>-435</v>
      </c>
      <c r="O153" s="50"/>
      <c r="P153" s="50"/>
      <c r="Q153" s="21">
        <v>287</v>
      </c>
      <c r="R153" s="5"/>
      <c r="S153" s="43"/>
      <c r="T153" s="43"/>
      <c r="U153" s="21">
        <f t="shared" si="22"/>
        <v>0</v>
      </c>
      <c r="V153" s="43"/>
      <c r="W153" s="294">
        <f t="shared" si="24"/>
        <v>-287</v>
      </c>
      <c r="X153" s="140"/>
      <c r="Y153" s="334"/>
      <c r="Z153" s="5"/>
      <c r="AE153" s="5"/>
      <c r="AF153" s="5"/>
      <c r="AG153" s="5"/>
      <c r="AH153" s="5"/>
      <c r="AI153" s="5"/>
      <c r="AJ153" s="5"/>
      <c r="AK153" s="5"/>
    </row>
    <row r="154" spans="1:43" x14ac:dyDescent="0.25">
      <c r="A154" s="143">
        <v>15</v>
      </c>
      <c r="B154" s="92">
        <v>44933</v>
      </c>
      <c r="C154" s="23">
        <v>0.83333333333333337</v>
      </c>
      <c r="D154" s="127" t="s">
        <v>3913</v>
      </c>
      <c r="E154" s="32">
        <v>5617436349</v>
      </c>
      <c r="F154" s="32" t="s">
        <v>28</v>
      </c>
      <c r="G154" s="128" t="s">
        <v>1148</v>
      </c>
      <c r="H154" s="129" t="s">
        <v>3935</v>
      </c>
      <c r="I154" s="39"/>
      <c r="J154" s="42">
        <v>108</v>
      </c>
      <c r="K154" s="108">
        <v>10</v>
      </c>
      <c r="L154" s="21"/>
      <c r="M154" s="21">
        <f t="shared" si="20"/>
        <v>118</v>
      </c>
      <c r="N154" s="21">
        <f t="shared" si="21"/>
        <v>-118</v>
      </c>
      <c r="O154" s="21"/>
      <c r="P154" s="21"/>
      <c r="Q154" s="21"/>
      <c r="R154" s="5"/>
      <c r="S154" s="43"/>
      <c r="T154" s="43"/>
      <c r="U154" s="21">
        <f t="shared" si="22"/>
        <v>0</v>
      </c>
      <c r="V154" s="43"/>
      <c r="W154" s="294">
        <f t="shared" si="24"/>
        <v>0</v>
      </c>
      <c r="X154" s="140"/>
      <c r="Y154" s="334"/>
      <c r="Z154" s="5"/>
      <c r="AE154" s="5"/>
      <c r="AF154" s="134" t="s">
        <v>20</v>
      </c>
      <c r="AG154" s="362">
        <f>+AJ154+AF150</f>
        <v>358</v>
      </c>
      <c r="AH154" s="341" t="s">
        <v>686</v>
      </c>
      <c r="AI154" s="134" t="s">
        <v>20</v>
      </c>
      <c r="AJ154" s="358">
        <f>+AF149</f>
        <v>358</v>
      </c>
      <c r="AK154" s="5"/>
    </row>
    <row r="155" spans="1:43" x14ac:dyDescent="0.25">
      <c r="A155" s="143">
        <v>16</v>
      </c>
      <c r="B155" s="92">
        <v>44933</v>
      </c>
      <c r="C155" s="23">
        <v>0.83333333333333337</v>
      </c>
      <c r="D155" s="31" t="s">
        <v>3100</v>
      </c>
      <c r="E155" s="32">
        <v>5545383189</v>
      </c>
      <c r="F155" s="32" t="s">
        <v>28</v>
      </c>
      <c r="G155" s="32" t="s">
        <v>267</v>
      </c>
      <c r="H155" s="39" t="s">
        <v>3936</v>
      </c>
      <c r="I155" s="39"/>
      <c r="J155" s="42">
        <v>119</v>
      </c>
      <c r="K155" s="43">
        <v>10</v>
      </c>
      <c r="L155" s="21"/>
      <c r="M155" s="21">
        <f t="shared" si="20"/>
        <v>129</v>
      </c>
      <c r="N155" s="21">
        <f t="shared" si="21"/>
        <v>-129</v>
      </c>
      <c r="O155" s="21"/>
      <c r="P155" s="21"/>
      <c r="Q155" s="21">
        <v>119</v>
      </c>
      <c r="R155" s="5"/>
      <c r="S155" s="43"/>
      <c r="T155" s="32"/>
      <c r="U155" s="21">
        <f t="shared" si="22"/>
        <v>0</v>
      </c>
      <c r="V155" s="131"/>
      <c r="W155" s="294">
        <f t="shared" si="24"/>
        <v>-119</v>
      </c>
      <c r="X155" s="140"/>
      <c r="Y155" s="334"/>
      <c r="Z155" s="5"/>
      <c r="AE155" s="5" t="s">
        <v>685</v>
      </c>
      <c r="AF155" s="115" t="s">
        <v>3676</v>
      </c>
      <c r="AG155" s="360"/>
      <c r="AH155" s="341"/>
      <c r="AI155" s="115" t="s">
        <v>684</v>
      </c>
      <c r="AJ155" s="360"/>
      <c r="AK155" s="5"/>
    </row>
    <row r="156" spans="1:43" x14ac:dyDescent="0.25">
      <c r="A156" s="143">
        <v>17</v>
      </c>
      <c r="B156" s="92">
        <v>44933</v>
      </c>
      <c r="C156" s="23">
        <v>0.90347222222222223</v>
      </c>
      <c r="D156" s="31" t="s">
        <v>2281</v>
      </c>
      <c r="E156" s="32">
        <v>5652291825</v>
      </c>
      <c r="F156" s="32" t="s">
        <v>145</v>
      </c>
      <c r="G156" s="32" t="s">
        <v>3454</v>
      </c>
      <c r="H156" s="39" t="s">
        <v>3937</v>
      </c>
      <c r="I156" s="39"/>
      <c r="J156" s="42">
        <v>244</v>
      </c>
      <c r="K156" s="43">
        <v>10</v>
      </c>
      <c r="L156" s="21"/>
      <c r="M156" s="21">
        <f t="shared" si="20"/>
        <v>254</v>
      </c>
      <c r="N156" s="21">
        <f t="shared" si="21"/>
        <v>-254</v>
      </c>
      <c r="O156" s="21">
        <v>244</v>
      </c>
      <c r="P156" s="21"/>
      <c r="Q156" s="21"/>
      <c r="R156" s="5"/>
      <c r="S156" s="43">
        <v>500</v>
      </c>
      <c r="T156" s="32"/>
      <c r="U156" s="21">
        <f t="shared" si="22"/>
        <v>500</v>
      </c>
      <c r="V156" s="132">
        <v>275</v>
      </c>
      <c r="W156" s="294">
        <f t="shared" si="24"/>
        <v>19</v>
      </c>
      <c r="X156" s="140"/>
      <c r="Y156" s="340"/>
      <c r="Z156" s="5"/>
      <c r="AE156" s="5"/>
      <c r="AF156" s="5"/>
      <c r="AG156" s="5"/>
      <c r="AH156" s="5" t="s">
        <v>3677</v>
      </c>
      <c r="AI156" s="5"/>
      <c r="AJ156" s="5"/>
      <c r="AK156" s="5"/>
    </row>
    <row r="157" spans="1:43" x14ac:dyDescent="0.25">
      <c r="A157" s="143">
        <v>18</v>
      </c>
      <c r="B157" s="92">
        <v>44933</v>
      </c>
      <c r="C157" s="32"/>
      <c r="D157" s="31"/>
      <c r="E157" s="32"/>
      <c r="F157" s="32"/>
      <c r="G157" s="32"/>
      <c r="H157" s="39"/>
      <c r="I157" s="39"/>
      <c r="J157" s="42"/>
      <c r="K157" s="43">
        <v>10</v>
      </c>
      <c r="L157" s="21"/>
      <c r="M157" s="21">
        <f t="shared" si="20"/>
        <v>10</v>
      </c>
      <c r="N157" s="21">
        <f t="shared" si="21"/>
        <v>-10</v>
      </c>
      <c r="O157" s="21"/>
      <c r="P157" s="21"/>
      <c r="Q157" s="21"/>
      <c r="R157" s="5"/>
      <c r="S157" s="135"/>
      <c r="T157" s="104"/>
      <c r="U157" s="21">
        <f t="shared" si="22"/>
        <v>0</v>
      </c>
      <c r="V157" s="131"/>
      <c r="W157" s="294">
        <f t="shared" si="24"/>
        <v>0</v>
      </c>
      <c r="X157" s="140"/>
      <c r="Z157" s="5"/>
    </row>
    <row r="158" spans="1:43" x14ac:dyDescent="0.25">
      <c r="A158" s="143">
        <v>19</v>
      </c>
      <c r="B158" s="92">
        <v>44933</v>
      </c>
      <c r="C158" s="32"/>
      <c r="D158" s="31"/>
      <c r="E158" s="32"/>
      <c r="F158" s="32"/>
      <c r="G158" s="32"/>
      <c r="H158" s="39"/>
      <c r="I158" s="39"/>
      <c r="J158" s="42"/>
      <c r="K158" s="43">
        <v>10</v>
      </c>
      <c r="L158" s="21"/>
      <c r="M158" s="21">
        <f t="shared" si="20"/>
        <v>10</v>
      </c>
      <c r="N158" s="21">
        <f t="shared" si="21"/>
        <v>-10</v>
      </c>
      <c r="O158" s="21"/>
      <c r="P158" s="21"/>
      <c r="Q158" s="21"/>
      <c r="R158" s="5"/>
      <c r="S158" s="32"/>
      <c r="T158" s="32"/>
      <c r="U158" s="21">
        <f t="shared" si="22"/>
        <v>0</v>
      </c>
      <c r="V158" s="32"/>
      <c r="W158" s="294">
        <f t="shared" si="23"/>
        <v>0</v>
      </c>
      <c r="X158" s="140"/>
      <c r="Z158" s="5"/>
      <c r="AE158" s="5"/>
      <c r="AF158" s="5"/>
      <c r="AG158" s="5"/>
      <c r="AH158" s="5"/>
      <c r="AI158" s="5"/>
      <c r="AJ158" s="5"/>
      <c r="AK158" s="5"/>
    </row>
    <row r="159" spans="1:4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>
        <f>+((SUM(O140:O158))-(SUM(P140:P158)))</f>
        <v>244</v>
      </c>
      <c r="Q159" s="5"/>
      <c r="R159" s="5"/>
      <c r="S159" s="5"/>
      <c r="T159" s="5"/>
      <c r="U159" s="5"/>
      <c r="V159" s="5"/>
      <c r="W159" s="5"/>
      <c r="X159" s="141"/>
      <c r="Y159" s="5"/>
      <c r="Z159" s="5"/>
      <c r="AE159" s="5"/>
      <c r="AF159" s="134" t="s">
        <v>20</v>
      </c>
      <c r="AG159" s="358">
        <f>P159</f>
        <v>244</v>
      </c>
      <c r="AH159" s="341" t="s">
        <v>687</v>
      </c>
      <c r="AI159" s="134" t="s">
        <v>20</v>
      </c>
      <c r="AJ159" s="358">
        <f>+AJ149</f>
        <v>1114</v>
      </c>
      <c r="AK159" s="5"/>
    </row>
    <row r="160" spans="1:43" x14ac:dyDescent="0.25">
      <c r="Q160" s="317">
        <f>+SUM(Q148:Q151)</f>
        <v>337.5</v>
      </c>
      <c r="AE160" s="5" t="s">
        <v>3679</v>
      </c>
      <c r="AF160" s="115" t="s">
        <v>684</v>
      </c>
      <c r="AG160" s="359"/>
      <c r="AH160" s="341"/>
      <c r="AI160" s="115" t="s">
        <v>684</v>
      </c>
      <c r="AJ160" s="360"/>
      <c r="AK160" s="5"/>
    </row>
    <row r="161" spans="16:37" x14ac:dyDescent="0.25">
      <c r="P161" t="s">
        <v>3938</v>
      </c>
      <c r="Q161" t="s">
        <v>3939</v>
      </c>
      <c r="AE161" s="5"/>
      <c r="AF161" s="5"/>
      <c r="AG161" s="5"/>
      <c r="AH161" s="5" t="s">
        <v>3678</v>
      </c>
      <c r="AI161" s="5"/>
      <c r="AJ161" s="5"/>
      <c r="AK161" s="5"/>
    </row>
    <row r="162" spans="16:37" x14ac:dyDescent="0.25">
      <c r="P162">
        <v>31.125</v>
      </c>
    </row>
  </sheetData>
  <mergeCells count="70">
    <mergeCell ref="Y140:Y156"/>
    <mergeCell ref="AG154:AG155"/>
    <mergeCell ref="AH154:AH155"/>
    <mergeCell ref="AJ154:AJ155"/>
    <mergeCell ref="AG159:AG160"/>
    <mergeCell ref="AH159:AH160"/>
    <mergeCell ref="AJ159:AJ160"/>
    <mergeCell ref="O138:P138"/>
    <mergeCell ref="AE138:AF138"/>
    <mergeCell ref="AI138:AJ138"/>
    <mergeCell ref="AL138:AM138"/>
    <mergeCell ref="AO138:AP138"/>
    <mergeCell ref="Y113:Y129"/>
    <mergeCell ref="AG127:AG128"/>
    <mergeCell ref="AH127:AH128"/>
    <mergeCell ref="AJ127:AJ128"/>
    <mergeCell ref="AG132:AG133"/>
    <mergeCell ref="AH132:AH133"/>
    <mergeCell ref="AJ132:AJ133"/>
    <mergeCell ref="O111:P111"/>
    <mergeCell ref="AE111:AF111"/>
    <mergeCell ref="AI111:AJ111"/>
    <mergeCell ref="AL111:AM111"/>
    <mergeCell ref="AO111:AP111"/>
    <mergeCell ref="AG23:AG24"/>
    <mergeCell ref="AH23:AH24"/>
    <mergeCell ref="AJ23:AJ24"/>
    <mergeCell ref="O2:P2"/>
    <mergeCell ref="AE2:AF2"/>
    <mergeCell ref="AI2:AJ2"/>
    <mergeCell ref="AL2:AM2"/>
    <mergeCell ref="Y4:Y20"/>
    <mergeCell ref="AG18:AG19"/>
    <mergeCell ref="AH18:AH19"/>
    <mergeCell ref="AJ18:AJ19"/>
    <mergeCell ref="AO29:AP29"/>
    <mergeCell ref="Y31:Y47"/>
    <mergeCell ref="AG45:AG46"/>
    <mergeCell ref="AH45:AH46"/>
    <mergeCell ref="AJ45:AJ46"/>
    <mergeCell ref="O57:P57"/>
    <mergeCell ref="AE57:AF57"/>
    <mergeCell ref="AI57:AJ57"/>
    <mergeCell ref="O29:P29"/>
    <mergeCell ref="AE29:AF29"/>
    <mergeCell ref="AI29:AJ29"/>
    <mergeCell ref="Y59:Y75"/>
    <mergeCell ref="AG73:AG74"/>
    <mergeCell ref="AH73:AH74"/>
    <mergeCell ref="AJ73:AJ74"/>
    <mergeCell ref="AG50:AG51"/>
    <mergeCell ref="AH50:AH51"/>
    <mergeCell ref="AJ50:AJ51"/>
    <mergeCell ref="AG78:AG79"/>
    <mergeCell ref="AH78:AH79"/>
    <mergeCell ref="AJ78:AJ79"/>
    <mergeCell ref="AL57:AM57"/>
    <mergeCell ref="AO57:AP57"/>
    <mergeCell ref="O84:P84"/>
    <mergeCell ref="AE84:AF84"/>
    <mergeCell ref="AI84:AJ84"/>
    <mergeCell ref="AL84:AM84"/>
    <mergeCell ref="AO84:AP84"/>
    <mergeCell ref="Y86:Y102"/>
    <mergeCell ref="AG100:AG101"/>
    <mergeCell ref="AH100:AH101"/>
    <mergeCell ref="AJ100:AJ101"/>
    <mergeCell ref="AG105:AG106"/>
    <mergeCell ref="AH105:AH106"/>
    <mergeCell ref="AJ105:AJ106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3"/>
  <sheetViews>
    <sheetView topLeftCell="A63" workbookViewId="0">
      <selection activeCell="AF36" sqref="AF36"/>
    </sheetView>
  </sheetViews>
  <sheetFormatPr baseColWidth="10" defaultRowHeight="15" x14ac:dyDescent="0.25"/>
  <cols>
    <col min="3" max="3" width="12.42578125" bestFit="1" customWidth="1"/>
  </cols>
  <sheetData>
    <row r="1" spans="1:39" x14ac:dyDescent="0.25">
      <c r="B1">
        <v>299</v>
      </c>
      <c r="E1">
        <v>245.5</v>
      </c>
      <c r="H1">
        <v>158</v>
      </c>
      <c r="AL1" s="185"/>
      <c r="AM1" s="185"/>
    </row>
    <row r="2" spans="1:39" ht="30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 t="s">
        <v>148</v>
      </c>
      <c r="K2" s="1"/>
      <c r="L2" s="1"/>
      <c r="M2" s="1"/>
      <c r="N2" s="1"/>
      <c r="O2" s="363" t="s">
        <v>3679</v>
      </c>
      <c r="P2" s="363"/>
      <c r="Q2" s="1"/>
      <c r="R2" s="1"/>
      <c r="S2" s="1"/>
      <c r="T2" s="1"/>
      <c r="U2" s="5"/>
      <c r="V2" s="5"/>
      <c r="W2" s="295" t="s">
        <v>1</v>
      </c>
      <c r="X2" s="139"/>
      <c r="Y2" s="1"/>
      <c r="Z2" s="5"/>
      <c r="AE2" s="335" t="s">
        <v>160</v>
      </c>
      <c r="AF2" s="336"/>
      <c r="AI2" s="335" t="s">
        <v>170</v>
      </c>
      <c r="AJ2" s="336"/>
      <c r="AL2" s="361"/>
      <c r="AM2" s="361"/>
    </row>
    <row r="3" spans="1:39" ht="90" x14ac:dyDescent="0.25">
      <c r="A3" s="6" t="s">
        <v>2</v>
      </c>
      <c r="B3" s="7" t="s">
        <v>3</v>
      </c>
      <c r="C3" s="245" t="s">
        <v>3675</v>
      </c>
      <c r="D3" s="7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8" t="s">
        <v>9</v>
      </c>
      <c r="J3" s="8" t="s">
        <v>10</v>
      </c>
      <c r="K3" s="8" t="s">
        <v>11</v>
      </c>
      <c r="L3" s="76" t="s">
        <v>12</v>
      </c>
      <c r="M3" s="76" t="s">
        <v>13</v>
      </c>
      <c r="N3" s="15" t="s">
        <v>14</v>
      </c>
      <c r="O3" s="15" t="s">
        <v>173</v>
      </c>
      <c r="P3" s="15" t="s">
        <v>174</v>
      </c>
      <c r="Q3" s="76" t="s">
        <v>28</v>
      </c>
      <c r="R3" s="5"/>
      <c r="S3" s="76" t="s">
        <v>16</v>
      </c>
      <c r="T3" s="76" t="s">
        <v>17</v>
      </c>
      <c r="U3" s="76" t="s">
        <v>18</v>
      </c>
      <c r="V3" s="76" t="s">
        <v>19</v>
      </c>
      <c r="W3" s="76" t="s">
        <v>20</v>
      </c>
      <c r="X3" s="13"/>
      <c r="Y3" s="15" t="s">
        <v>23</v>
      </c>
      <c r="Z3" s="5"/>
      <c r="AB3" s="251" t="s">
        <v>2554</v>
      </c>
      <c r="AE3" s="16" t="s">
        <v>161</v>
      </c>
      <c r="AF3" s="58">
        <f>+AD3*10</f>
        <v>0</v>
      </c>
      <c r="AH3">
        <v>12</v>
      </c>
      <c r="AI3" s="16" t="s">
        <v>161</v>
      </c>
      <c r="AJ3" s="58">
        <f>+AH3*10</f>
        <v>120</v>
      </c>
      <c r="AL3" s="185"/>
      <c r="AM3" s="185"/>
    </row>
    <row r="4" spans="1:39" x14ac:dyDescent="0.25">
      <c r="A4" s="16">
        <v>1</v>
      </c>
      <c r="B4" s="92">
        <v>45299</v>
      </c>
      <c r="C4" s="23">
        <v>0.46111111111111108</v>
      </c>
      <c r="D4" s="31" t="s">
        <v>3951</v>
      </c>
      <c r="E4" s="32">
        <v>5574621121</v>
      </c>
      <c r="F4" s="32"/>
      <c r="G4" s="39" t="s">
        <v>3952</v>
      </c>
      <c r="H4" s="39" t="s">
        <v>3964</v>
      </c>
      <c r="I4" s="122"/>
      <c r="J4" s="32">
        <v>80</v>
      </c>
      <c r="K4" s="20">
        <v>10</v>
      </c>
      <c r="L4" s="50"/>
      <c r="M4" s="50">
        <f t="shared" ref="M4:M22" si="0">+J4+K4</f>
        <v>90</v>
      </c>
      <c r="N4" s="50">
        <f t="shared" ref="N4:N22" si="1">+I4-M4</f>
        <v>-90</v>
      </c>
      <c r="O4" s="29"/>
      <c r="P4" s="29"/>
      <c r="Q4" s="50"/>
      <c r="R4" s="5"/>
      <c r="S4" s="50">
        <v>500</v>
      </c>
      <c r="T4" s="29"/>
      <c r="U4" s="50">
        <f t="shared" ref="U4:U22" si="2">+S4+T4</f>
        <v>500</v>
      </c>
      <c r="V4" s="50"/>
      <c r="W4" s="294">
        <f>+V4-U4+O4-Q4-P4</f>
        <v>-500</v>
      </c>
      <c r="X4" s="13"/>
      <c r="Y4" s="333"/>
      <c r="Z4" s="5"/>
      <c r="AE4" s="59" t="s">
        <v>162</v>
      </c>
      <c r="AF4" s="18">
        <f>+AD4*1</f>
        <v>0</v>
      </c>
      <c r="AH4">
        <v>39.5</v>
      </c>
      <c r="AI4" s="59" t="s">
        <v>162</v>
      </c>
      <c r="AJ4" s="18">
        <f>+AH4*1</f>
        <v>39.5</v>
      </c>
      <c r="AL4" s="185"/>
      <c r="AM4" s="185"/>
    </row>
    <row r="5" spans="1:39" x14ac:dyDescent="0.25">
      <c r="A5" s="26">
        <v>2</v>
      </c>
      <c r="B5" s="92">
        <v>45299</v>
      </c>
      <c r="C5" s="23">
        <v>0.4826388888888889</v>
      </c>
      <c r="D5" s="31" t="s">
        <v>3344</v>
      </c>
      <c r="E5" s="32">
        <v>5553193486</v>
      </c>
      <c r="F5" s="32"/>
      <c r="G5" s="32" t="s">
        <v>3953</v>
      </c>
      <c r="H5" s="39" t="s">
        <v>3963</v>
      </c>
      <c r="I5" s="122"/>
      <c r="J5" s="32">
        <v>132</v>
      </c>
      <c r="K5" s="20">
        <v>10</v>
      </c>
      <c r="L5" s="21"/>
      <c r="M5" s="21">
        <f t="shared" si="0"/>
        <v>142</v>
      </c>
      <c r="N5" s="21">
        <f t="shared" si="1"/>
        <v>-142</v>
      </c>
      <c r="O5" s="16"/>
      <c r="P5" s="16"/>
      <c r="Q5" s="21"/>
      <c r="R5" s="5"/>
      <c r="S5" s="21"/>
      <c r="T5" s="16"/>
      <c r="U5" s="21">
        <f t="shared" si="2"/>
        <v>0</v>
      </c>
      <c r="V5" s="21"/>
      <c r="W5" s="294">
        <f t="shared" ref="W5:W22" si="3">+V5-U5+O5-Q5-P5</f>
        <v>0</v>
      </c>
      <c r="X5" s="140"/>
      <c r="Y5" s="334"/>
      <c r="Z5" s="5"/>
      <c r="AE5" s="16" t="s">
        <v>163</v>
      </c>
      <c r="AF5" s="60">
        <f>+AD5*5</f>
        <v>0</v>
      </c>
      <c r="AH5">
        <v>16</v>
      </c>
      <c r="AI5" s="16" t="s">
        <v>163</v>
      </c>
      <c r="AJ5" s="60">
        <f>+AH5*5</f>
        <v>80</v>
      </c>
      <c r="AL5" s="185"/>
      <c r="AM5" s="185"/>
    </row>
    <row r="6" spans="1:39" x14ac:dyDescent="0.25">
      <c r="A6" s="143">
        <v>3</v>
      </c>
      <c r="B6" s="92">
        <v>45299</v>
      </c>
      <c r="C6" s="23">
        <v>0.49583333333333335</v>
      </c>
      <c r="D6" s="31" t="s">
        <v>3530</v>
      </c>
      <c r="E6" s="32">
        <v>9531286830</v>
      </c>
      <c r="F6" s="32"/>
      <c r="G6" s="32" t="s">
        <v>3957</v>
      </c>
      <c r="H6" s="39" t="s">
        <v>3958</v>
      </c>
      <c r="I6" s="122"/>
      <c r="J6" s="32">
        <v>155</v>
      </c>
      <c r="K6" s="20">
        <v>10</v>
      </c>
      <c r="L6" s="21"/>
      <c r="M6" s="21">
        <f t="shared" si="0"/>
        <v>165</v>
      </c>
      <c r="N6" s="21">
        <f t="shared" si="1"/>
        <v>-165</v>
      </c>
      <c r="O6" s="16"/>
      <c r="P6" s="16"/>
      <c r="Q6" s="21"/>
      <c r="R6" s="5"/>
      <c r="S6" s="21"/>
      <c r="T6" s="16"/>
      <c r="U6" s="21">
        <f t="shared" si="2"/>
        <v>0</v>
      </c>
      <c r="V6" s="21"/>
      <c r="W6" s="294">
        <f t="shared" si="3"/>
        <v>0</v>
      </c>
      <c r="X6" s="140"/>
      <c r="Y6" s="334"/>
      <c r="Z6" s="5"/>
      <c r="AE6" s="16" t="s">
        <v>164</v>
      </c>
      <c r="AF6" s="18">
        <f>+AD6*200</f>
        <v>0</v>
      </c>
      <c r="AI6" s="16" t="s">
        <v>164</v>
      </c>
      <c r="AJ6" s="18">
        <f>+AH6*200</f>
        <v>0</v>
      </c>
      <c r="AL6" s="185"/>
      <c r="AM6" s="185"/>
    </row>
    <row r="7" spans="1:39" x14ac:dyDescent="0.25">
      <c r="A7" s="143">
        <v>4</v>
      </c>
      <c r="B7" s="92">
        <v>45299</v>
      </c>
      <c r="C7" s="23">
        <v>0.50416666666666665</v>
      </c>
      <c r="D7" s="31" t="s">
        <v>3954</v>
      </c>
      <c r="E7" s="32">
        <v>5513336066</v>
      </c>
      <c r="F7" s="32"/>
      <c r="G7" s="32" t="s">
        <v>3956</v>
      </c>
      <c r="H7" s="39" t="s">
        <v>3955</v>
      </c>
      <c r="I7" s="122"/>
      <c r="J7" s="32">
        <v>164</v>
      </c>
      <c r="K7" s="20">
        <v>10</v>
      </c>
      <c r="L7" s="21"/>
      <c r="M7" s="21">
        <f t="shared" si="0"/>
        <v>174</v>
      </c>
      <c r="N7" s="21">
        <f t="shared" si="1"/>
        <v>-174</v>
      </c>
      <c r="O7" s="16"/>
      <c r="P7" s="16"/>
      <c r="Q7" s="21"/>
      <c r="R7" s="5"/>
      <c r="S7" s="21"/>
      <c r="T7" s="16"/>
      <c r="U7" s="21">
        <f t="shared" si="2"/>
        <v>0</v>
      </c>
      <c r="V7" s="21"/>
      <c r="W7" s="294">
        <f t="shared" si="3"/>
        <v>0</v>
      </c>
      <c r="X7" s="140"/>
      <c r="Y7" s="334"/>
      <c r="Z7" s="5"/>
      <c r="AE7" s="16" t="s">
        <v>165</v>
      </c>
      <c r="AF7" s="18">
        <f>+AD7*100</f>
        <v>0</v>
      </c>
      <c r="AI7" s="16" t="s">
        <v>165</v>
      </c>
      <c r="AJ7" s="18">
        <f>+AH7*100</f>
        <v>0</v>
      </c>
      <c r="AL7" s="185"/>
      <c r="AM7" s="185"/>
    </row>
    <row r="8" spans="1:39" x14ac:dyDescent="0.25">
      <c r="A8" s="143">
        <v>5</v>
      </c>
      <c r="B8" s="92">
        <v>45299</v>
      </c>
      <c r="C8" s="23">
        <v>0.51111111111111118</v>
      </c>
      <c r="D8" s="31" t="s">
        <v>2527</v>
      </c>
      <c r="E8" s="32">
        <v>5522701719</v>
      </c>
      <c r="F8" s="32"/>
      <c r="G8" s="32" t="s">
        <v>1148</v>
      </c>
      <c r="H8" s="39" t="s">
        <v>3962</v>
      </c>
      <c r="I8" s="122"/>
      <c r="J8" s="32"/>
      <c r="K8" s="20">
        <v>10</v>
      </c>
      <c r="L8" s="21"/>
      <c r="M8" s="21">
        <f t="shared" si="0"/>
        <v>10</v>
      </c>
      <c r="N8" s="21">
        <f t="shared" si="1"/>
        <v>-10</v>
      </c>
      <c r="O8" s="16"/>
      <c r="P8" s="16"/>
      <c r="Q8" s="21"/>
      <c r="R8" s="5"/>
      <c r="S8" s="16"/>
      <c r="T8" s="16"/>
      <c r="U8" s="21">
        <f t="shared" si="2"/>
        <v>0</v>
      </c>
      <c r="V8" s="21"/>
      <c r="W8" s="294">
        <f t="shared" si="3"/>
        <v>0</v>
      </c>
      <c r="X8" s="140"/>
      <c r="Y8" s="334"/>
      <c r="Z8" s="5"/>
      <c r="AE8" s="16" t="s">
        <v>166</v>
      </c>
      <c r="AF8" s="18">
        <f>+AD8*50</f>
        <v>0</v>
      </c>
      <c r="AH8">
        <v>2</v>
      </c>
      <c r="AI8" s="16" t="s">
        <v>166</v>
      </c>
      <c r="AJ8" s="18">
        <f>+AH8*50</f>
        <v>100</v>
      </c>
      <c r="AL8" s="185"/>
      <c r="AM8" s="185"/>
    </row>
    <row r="9" spans="1:39" x14ac:dyDescent="0.25">
      <c r="A9" s="143">
        <v>6</v>
      </c>
      <c r="B9" s="92">
        <v>45299</v>
      </c>
      <c r="C9" s="23">
        <v>0.51388888888888895</v>
      </c>
      <c r="D9" s="31" t="s">
        <v>3031</v>
      </c>
      <c r="E9" s="123">
        <v>5568676408</v>
      </c>
      <c r="F9" s="123"/>
      <c r="G9" s="123" t="s">
        <v>3959</v>
      </c>
      <c r="H9" s="39" t="s">
        <v>651</v>
      </c>
      <c r="I9" s="39"/>
      <c r="J9" s="42">
        <v>114</v>
      </c>
      <c r="K9" s="20">
        <v>10</v>
      </c>
      <c r="L9" s="21"/>
      <c r="M9" s="21">
        <f t="shared" si="0"/>
        <v>124</v>
      </c>
      <c r="N9" s="21">
        <f t="shared" si="1"/>
        <v>-124</v>
      </c>
      <c r="O9" s="16"/>
      <c r="P9" s="16"/>
      <c r="Q9" s="21"/>
      <c r="R9" s="5"/>
      <c r="S9" s="16"/>
      <c r="T9" s="16"/>
      <c r="U9" s="21">
        <f t="shared" si="2"/>
        <v>0</v>
      </c>
      <c r="V9" s="16"/>
      <c r="W9" s="294">
        <f t="shared" si="3"/>
        <v>0</v>
      </c>
      <c r="X9" s="140"/>
      <c r="Y9" s="334"/>
      <c r="Z9" s="5"/>
      <c r="AE9" s="16" t="s">
        <v>167</v>
      </c>
      <c r="AF9" s="18">
        <f>+AD9*20</f>
        <v>0</v>
      </c>
      <c r="AH9">
        <v>3</v>
      </c>
      <c r="AI9" s="16" t="s">
        <v>167</v>
      </c>
      <c r="AJ9" s="18">
        <f>+AH9*20</f>
        <v>60</v>
      </c>
      <c r="AL9" s="185"/>
      <c r="AM9" s="185"/>
    </row>
    <row r="10" spans="1:39" x14ac:dyDescent="0.25">
      <c r="A10" s="143">
        <v>7</v>
      </c>
      <c r="B10" s="92">
        <v>45299</v>
      </c>
      <c r="C10" s="23">
        <v>0.55208333333333337</v>
      </c>
      <c r="D10" s="31" t="s">
        <v>245</v>
      </c>
      <c r="E10" s="32">
        <v>5530508709</v>
      </c>
      <c r="F10" s="32"/>
      <c r="G10" s="32" t="s">
        <v>1148</v>
      </c>
      <c r="H10" s="39" t="s">
        <v>3960</v>
      </c>
      <c r="I10" s="122"/>
      <c r="J10" s="42">
        <f>96+20</f>
        <v>116</v>
      </c>
      <c r="K10" s="20">
        <v>10</v>
      </c>
      <c r="L10" s="21"/>
      <c r="M10" s="21">
        <f t="shared" si="0"/>
        <v>126</v>
      </c>
      <c r="N10" s="21">
        <f t="shared" si="1"/>
        <v>-126</v>
      </c>
      <c r="O10" s="16"/>
      <c r="P10" s="16"/>
      <c r="Q10" s="21"/>
      <c r="R10" s="5"/>
      <c r="S10" s="16">
        <v>500</v>
      </c>
      <c r="T10" s="16"/>
      <c r="U10" s="21">
        <f t="shared" si="2"/>
        <v>500</v>
      </c>
      <c r="V10" s="16"/>
      <c r="W10" s="294">
        <f t="shared" si="3"/>
        <v>-500</v>
      </c>
      <c r="X10" s="140"/>
      <c r="Y10" s="334"/>
      <c r="Z10" s="5"/>
      <c r="AE10" s="16" t="s">
        <v>171</v>
      </c>
      <c r="AF10" s="18">
        <f>+AD10*500</f>
        <v>0</v>
      </c>
      <c r="AI10" s="16" t="s">
        <v>171</v>
      </c>
      <c r="AJ10" s="18">
        <f>+AH10*500</f>
        <v>0</v>
      </c>
      <c r="AL10" s="185"/>
      <c r="AM10" s="185"/>
    </row>
    <row r="11" spans="1:39" x14ac:dyDescent="0.25">
      <c r="A11" s="143">
        <v>8</v>
      </c>
      <c r="B11" s="92">
        <v>45299</v>
      </c>
      <c r="C11" s="23">
        <v>0.58750000000000002</v>
      </c>
      <c r="D11" s="31" t="s">
        <v>921</v>
      </c>
      <c r="E11" s="123">
        <v>5625982564</v>
      </c>
      <c r="F11" s="123"/>
      <c r="G11" s="123" t="s">
        <v>3965</v>
      </c>
      <c r="H11" s="39" t="s">
        <v>3961</v>
      </c>
      <c r="I11" s="122"/>
      <c r="J11" s="32">
        <f>43+62</f>
        <v>105</v>
      </c>
      <c r="K11" s="20">
        <v>10</v>
      </c>
      <c r="L11" s="21"/>
      <c r="M11" s="21">
        <f t="shared" si="0"/>
        <v>115</v>
      </c>
      <c r="N11" s="21">
        <f t="shared" si="1"/>
        <v>-115</v>
      </c>
      <c r="O11" s="16"/>
      <c r="P11" s="16"/>
      <c r="Q11" s="21"/>
      <c r="R11" s="5"/>
      <c r="S11" s="16">
        <v>400</v>
      </c>
      <c r="T11" s="16"/>
      <c r="U11" s="21">
        <f t="shared" si="2"/>
        <v>400</v>
      </c>
      <c r="V11" s="16"/>
      <c r="W11" s="294">
        <f t="shared" si="3"/>
        <v>-400</v>
      </c>
      <c r="X11" s="140"/>
      <c r="Y11" s="334"/>
      <c r="Z11" s="5"/>
      <c r="AE11" s="16" t="s">
        <v>168</v>
      </c>
      <c r="AF11" s="18">
        <f>+AD11*1000</f>
        <v>0</v>
      </c>
      <c r="AI11" s="16" t="s">
        <v>168</v>
      </c>
      <c r="AJ11" s="18">
        <f>+AH11*1000</f>
        <v>0</v>
      </c>
      <c r="AL11" s="185"/>
      <c r="AM11" s="185"/>
    </row>
    <row r="12" spans="1:39" x14ac:dyDescent="0.25">
      <c r="A12" s="143">
        <v>9</v>
      </c>
      <c r="B12" s="92">
        <v>45299</v>
      </c>
      <c r="C12" s="23">
        <v>0.62916666666666665</v>
      </c>
      <c r="D12" s="31" t="s">
        <v>48</v>
      </c>
      <c r="E12" s="32">
        <v>5530181574</v>
      </c>
      <c r="F12" s="32"/>
      <c r="G12" s="32">
        <v>844</v>
      </c>
      <c r="H12" s="39" t="s">
        <v>3966</v>
      </c>
      <c r="I12" s="39"/>
      <c r="J12" s="40">
        <f>100+113</f>
        <v>213</v>
      </c>
      <c r="K12" s="20">
        <v>10</v>
      </c>
      <c r="L12" s="21"/>
      <c r="M12" s="21">
        <f t="shared" si="0"/>
        <v>223</v>
      </c>
      <c r="N12" s="21">
        <f t="shared" si="1"/>
        <v>-223</v>
      </c>
      <c r="O12" s="16"/>
      <c r="P12" s="16"/>
      <c r="Q12" s="21"/>
      <c r="R12" s="5"/>
      <c r="S12" s="16"/>
      <c r="T12" s="16"/>
      <c r="U12" s="21">
        <f t="shared" si="2"/>
        <v>0</v>
      </c>
      <c r="V12" s="16"/>
      <c r="W12" s="294">
        <f t="shared" si="3"/>
        <v>0</v>
      </c>
      <c r="X12" s="140"/>
      <c r="Y12" s="334"/>
      <c r="Z12" s="5"/>
      <c r="AE12" s="26"/>
      <c r="AF12" s="58"/>
      <c r="AI12" s="26"/>
      <c r="AJ12" s="58"/>
      <c r="AL12" s="185"/>
      <c r="AM12" s="185"/>
    </row>
    <row r="13" spans="1:39" x14ac:dyDescent="0.25">
      <c r="A13" s="143">
        <v>10</v>
      </c>
      <c r="B13" s="92">
        <v>45299</v>
      </c>
      <c r="C13" s="23">
        <v>0.20833333333333334</v>
      </c>
      <c r="D13" s="31" t="s">
        <v>3526</v>
      </c>
      <c r="E13" s="32"/>
      <c r="F13" s="32" t="s">
        <v>52</v>
      </c>
      <c r="G13" s="32" t="s">
        <v>3968</v>
      </c>
      <c r="H13" s="39" t="s">
        <v>3967</v>
      </c>
      <c r="I13" s="122">
        <v>81</v>
      </c>
      <c r="J13" s="42">
        <v>69</v>
      </c>
      <c r="K13" s="20">
        <v>12</v>
      </c>
      <c r="L13" s="21"/>
      <c r="M13" s="21">
        <f t="shared" si="0"/>
        <v>81</v>
      </c>
      <c r="N13" s="21">
        <f t="shared" si="1"/>
        <v>0</v>
      </c>
      <c r="O13" s="16">
        <v>126</v>
      </c>
      <c r="P13" s="16"/>
      <c r="Q13" s="21"/>
      <c r="R13" s="5"/>
      <c r="S13" s="16"/>
      <c r="T13" s="16"/>
      <c r="U13" s="21">
        <f t="shared" si="2"/>
        <v>0</v>
      </c>
      <c r="V13" s="16"/>
      <c r="W13" s="294">
        <f t="shared" si="3"/>
        <v>126</v>
      </c>
      <c r="X13" s="140"/>
      <c r="Y13" s="334"/>
      <c r="Z13" s="5"/>
      <c r="AE13" s="16" t="s">
        <v>169</v>
      </c>
      <c r="AF13" s="18">
        <f>SUM(AF3:AF12)</f>
        <v>0</v>
      </c>
      <c r="AI13" s="16" t="s">
        <v>169</v>
      </c>
      <c r="AJ13" s="18">
        <f>SUM(AJ3:AJ12)</f>
        <v>399.5</v>
      </c>
      <c r="AL13" s="185"/>
      <c r="AM13" s="185"/>
    </row>
    <row r="14" spans="1:39" x14ac:dyDescent="0.25">
      <c r="A14" s="197">
        <v>11</v>
      </c>
      <c r="B14" s="198">
        <v>45299</v>
      </c>
      <c r="C14" s="255">
        <v>0.24930555555555556</v>
      </c>
      <c r="D14" s="199" t="s">
        <v>3969</v>
      </c>
      <c r="E14" s="200">
        <v>5573854401</v>
      </c>
      <c r="F14" s="201" t="s">
        <v>38</v>
      </c>
      <c r="G14" s="201" t="s">
        <v>1837</v>
      </c>
      <c r="H14" s="202" t="s">
        <v>379</v>
      </c>
      <c r="I14" s="203">
        <v>100</v>
      </c>
      <c r="J14" s="204">
        <v>88</v>
      </c>
      <c r="K14" s="205">
        <v>10</v>
      </c>
      <c r="L14" s="206"/>
      <c r="M14" s="206">
        <f t="shared" si="0"/>
        <v>98</v>
      </c>
      <c r="N14" s="206">
        <f t="shared" si="1"/>
        <v>2</v>
      </c>
      <c r="O14" s="209">
        <v>100</v>
      </c>
      <c r="P14" s="16"/>
      <c r="Q14" s="21"/>
      <c r="R14" s="5"/>
      <c r="S14" s="16">
        <v>200</v>
      </c>
      <c r="T14" s="16"/>
      <c r="U14" s="21">
        <f t="shared" si="2"/>
        <v>200</v>
      </c>
      <c r="V14" s="16"/>
      <c r="W14" s="294">
        <f t="shared" si="3"/>
        <v>-100</v>
      </c>
      <c r="X14" s="140"/>
      <c r="Y14" s="334"/>
      <c r="Z14" s="5"/>
      <c r="AL14" s="185"/>
      <c r="AM14" s="185"/>
    </row>
    <row r="15" spans="1:39" x14ac:dyDescent="0.25">
      <c r="A15" s="143">
        <v>12</v>
      </c>
      <c r="B15" s="92">
        <v>45299</v>
      </c>
      <c r="C15" s="23">
        <v>0.29166666666666669</v>
      </c>
      <c r="D15" s="32" t="s">
        <v>3133</v>
      </c>
      <c r="E15" s="32">
        <v>5562236073</v>
      </c>
      <c r="F15" s="124" t="s">
        <v>478</v>
      </c>
      <c r="G15" s="123" t="s">
        <v>26</v>
      </c>
      <c r="H15" s="39" t="s">
        <v>3972</v>
      </c>
      <c r="I15" s="39">
        <v>0</v>
      </c>
      <c r="J15" s="42">
        <v>0</v>
      </c>
      <c r="K15" s="20">
        <v>10</v>
      </c>
      <c r="L15" s="21"/>
      <c r="M15" s="21">
        <f t="shared" si="0"/>
        <v>10</v>
      </c>
      <c r="N15" s="21">
        <f t="shared" si="1"/>
        <v>-10</v>
      </c>
      <c r="O15" s="26"/>
      <c r="P15" s="26"/>
      <c r="Q15" s="21"/>
      <c r="R15" s="5"/>
      <c r="S15" s="45"/>
      <c r="T15" s="44"/>
      <c r="U15" s="21">
        <f t="shared" si="2"/>
        <v>0</v>
      </c>
      <c r="V15" s="45"/>
      <c r="W15" s="294">
        <f t="shared" si="3"/>
        <v>0</v>
      </c>
      <c r="X15" s="140"/>
      <c r="Y15" s="334"/>
      <c r="Z15" s="5"/>
      <c r="AL15" s="185"/>
      <c r="AM15" s="185"/>
    </row>
    <row r="16" spans="1:39" x14ac:dyDescent="0.25">
      <c r="A16" s="143">
        <v>13</v>
      </c>
      <c r="B16" s="92">
        <v>45299</v>
      </c>
      <c r="C16" s="23">
        <v>0.30555555555555552</v>
      </c>
      <c r="D16" s="31" t="s">
        <v>1939</v>
      </c>
      <c r="E16" s="32">
        <v>5615394688</v>
      </c>
      <c r="F16" s="32" t="s">
        <v>3970</v>
      </c>
      <c r="G16" s="32" t="s">
        <v>2892</v>
      </c>
      <c r="H16" s="39" t="s">
        <v>3973</v>
      </c>
      <c r="I16" s="39">
        <v>71</v>
      </c>
      <c r="J16" s="42">
        <v>59</v>
      </c>
      <c r="K16" s="108">
        <v>12</v>
      </c>
      <c r="L16" s="21"/>
      <c r="M16" s="21">
        <f t="shared" si="0"/>
        <v>71</v>
      </c>
      <c r="N16" s="78">
        <f t="shared" si="1"/>
        <v>0</v>
      </c>
      <c r="O16" s="143">
        <v>71</v>
      </c>
      <c r="P16" s="143"/>
      <c r="Q16" s="20"/>
      <c r="R16" s="5"/>
      <c r="S16" s="43">
        <v>300</v>
      </c>
      <c r="T16" s="32"/>
      <c r="U16" s="21">
        <f t="shared" si="2"/>
        <v>300</v>
      </c>
      <c r="V16" s="43"/>
      <c r="W16" s="294">
        <f t="shared" si="3"/>
        <v>-229</v>
      </c>
      <c r="X16" s="140"/>
      <c r="Y16" s="334"/>
      <c r="Z16" s="5"/>
      <c r="AJ16" s="83"/>
    </row>
    <row r="17" spans="1:39" x14ac:dyDescent="0.25">
      <c r="A17" s="143">
        <v>14</v>
      </c>
      <c r="B17" s="92">
        <v>45299</v>
      </c>
      <c r="C17" s="23">
        <v>0.33333333333333331</v>
      </c>
      <c r="D17" s="31" t="s">
        <v>387</v>
      </c>
      <c r="E17" s="32">
        <v>5520873875</v>
      </c>
      <c r="F17" s="32" t="s">
        <v>3275</v>
      </c>
      <c r="G17" s="32" t="s">
        <v>388</v>
      </c>
      <c r="H17" s="39" t="s">
        <v>3974</v>
      </c>
      <c r="I17" s="39"/>
      <c r="J17" s="42"/>
      <c r="K17" s="108">
        <v>10</v>
      </c>
      <c r="L17" s="21"/>
      <c r="M17" s="21">
        <f t="shared" si="0"/>
        <v>10</v>
      </c>
      <c r="N17" s="21">
        <f t="shared" si="1"/>
        <v>-10</v>
      </c>
      <c r="O17" s="50"/>
      <c r="P17" s="50"/>
      <c r="Q17" s="21"/>
      <c r="R17" s="5"/>
      <c r="S17" s="43"/>
      <c r="T17" s="43"/>
      <c r="U17" s="21">
        <f t="shared" si="2"/>
        <v>0</v>
      </c>
      <c r="V17" s="43"/>
      <c r="W17" s="294">
        <f t="shared" si="3"/>
        <v>0</v>
      </c>
      <c r="X17" s="140"/>
      <c r="Y17" s="334"/>
      <c r="Z17" s="5"/>
      <c r="AE17" s="5"/>
      <c r="AF17" s="5"/>
      <c r="AG17" s="5"/>
      <c r="AH17" s="5"/>
      <c r="AI17" s="5"/>
      <c r="AJ17" s="5"/>
      <c r="AK17" s="5"/>
    </row>
    <row r="18" spans="1:39" x14ac:dyDescent="0.25">
      <c r="A18" s="143">
        <v>15</v>
      </c>
      <c r="B18" s="92">
        <v>45299</v>
      </c>
      <c r="C18" s="23">
        <v>0.34722222222222227</v>
      </c>
      <c r="D18" s="127" t="s">
        <v>319</v>
      </c>
      <c r="E18" s="32">
        <v>5567789980</v>
      </c>
      <c r="F18" s="32" t="s">
        <v>3971</v>
      </c>
      <c r="G18" s="128" t="s">
        <v>267</v>
      </c>
      <c r="H18" s="129" t="s">
        <v>3975</v>
      </c>
      <c r="I18" s="39">
        <v>500</v>
      </c>
      <c r="J18" s="42">
        <v>238</v>
      </c>
      <c r="K18" s="108">
        <v>20</v>
      </c>
      <c r="L18" s="21"/>
      <c r="M18" s="21">
        <f t="shared" si="0"/>
        <v>258</v>
      </c>
      <c r="N18" s="21">
        <f t="shared" si="1"/>
        <v>242</v>
      </c>
      <c r="O18" s="21"/>
      <c r="P18" s="21"/>
      <c r="Q18" s="21"/>
      <c r="R18" s="5"/>
      <c r="S18" s="43"/>
      <c r="T18" s="43"/>
      <c r="U18" s="21">
        <f t="shared" si="2"/>
        <v>0</v>
      </c>
      <c r="V18" s="43"/>
      <c r="W18" s="294">
        <f t="shared" si="3"/>
        <v>0</v>
      </c>
      <c r="X18" s="140"/>
      <c r="Y18" s="334"/>
      <c r="Z18" s="5"/>
      <c r="AE18" s="5"/>
      <c r="AF18" s="134" t="s">
        <v>20</v>
      </c>
      <c r="AG18" s="362">
        <f>+AJ18+AF14</f>
        <v>0</v>
      </c>
      <c r="AH18" s="341" t="s">
        <v>686</v>
      </c>
      <c r="AI18" s="134" t="s">
        <v>20</v>
      </c>
      <c r="AJ18" s="358">
        <f>+AF13</f>
        <v>0</v>
      </c>
      <c r="AK18" s="5"/>
    </row>
    <row r="19" spans="1:39" x14ac:dyDescent="0.25">
      <c r="A19" s="143">
        <v>16</v>
      </c>
      <c r="B19" s="92">
        <v>45299</v>
      </c>
      <c r="C19" s="23">
        <v>0.35069444444444442</v>
      </c>
      <c r="D19" s="31" t="s">
        <v>3976</v>
      </c>
      <c r="E19" s="32">
        <v>5537081354</v>
      </c>
      <c r="F19" s="32" t="s">
        <v>1435</v>
      </c>
      <c r="G19" s="32" t="s">
        <v>3977</v>
      </c>
      <c r="H19" s="39" t="s">
        <v>3978</v>
      </c>
      <c r="I19" s="39">
        <v>223</v>
      </c>
      <c r="J19" s="42">
        <v>203</v>
      </c>
      <c r="K19" s="43">
        <v>20</v>
      </c>
      <c r="L19" s="21"/>
      <c r="M19" s="21">
        <f t="shared" si="0"/>
        <v>223</v>
      </c>
      <c r="N19" s="21">
        <f t="shared" si="1"/>
        <v>0</v>
      </c>
      <c r="O19" s="21"/>
      <c r="P19" s="21"/>
      <c r="Q19" s="21"/>
      <c r="R19" s="5"/>
      <c r="S19" s="43"/>
      <c r="T19" s="32"/>
      <c r="U19" s="21">
        <f t="shared" si="2"/>
        <v>0</v>
      </c>
      <c r="V19" s="131"/>
      <c r="W19" s="294">
        <f t="shared" si="3"/>
        <v>0</v>
      </c>
      <c r="X19" s="140"/>
      <c r="Y19" s="334"/>
      <c r="Z19" s="5"/>
      <c r="AE19" s="5" t="s">
        <v>685</v>
      </c>
      <c r="AF19" s="115" t="s">
        <v>3676</v>
      </c>
      <c r="AG19" s="360"/>
      <c r="AH19" s="341"/>
      <c r="AI19" s="115" t="s">
        <v>684</v>
      </c>
      <c r="AJ19" s="360"/>
      <c r="AK19" s="5"/>
    </row>
    <row r="20" spans="1:39" x14ac:dyDescent="0.25">
      <c r="A20" s="143">
        <v>17</v>
      </c>
      <c r="B20" s="92">
        <v>45299</v>
      </c>
      <c r="C20" s="23">
        <v>0.40902777777777777</v>
      </c>
      <c r="D20" s="31" t="s">
        <v>990</v>
      </c>
      <c r="E20" s="32">
        <v>5562079848</v>
      </c>
      <c r="F20" s="32" t="s">
        <v>52</v>
      </c>
      <c r="G20" s="32" t="s">
        <v>3084</v>
      </c>
      <c r="H20" s="39" t="s">
        <v>3982</v>
      </c>
      <c r="I20" s="39">
        <v>142</v>
      </c>
      <c r="J20" s="42">
        <v>130</v>
      </c>
      <c r="K20" s="43">
        <v>12</v>
      </c>
      <c r="L20" s="21"/>
      <c r="M20" s="21">
        <f t="shared" si="0"/>
        <v>142</v>
      </c>
      <c r="N20" s="21">
        <f t="shared" si="1"/>
        <v>0</v>
      </c>
      <c r="O20" s="21">
        <v>142</v>
      </c>
      <c r="P20" s="21"/>
      <c r="Q20" s="21"/>
      <c r="R20" s="5"/>
      <c r="S20" s="43"/>
      <c r="T20" s="32"/>
      <c r="U20" s="21">
        <f t="shared" si="2"/>
        <v>0</v>
      </c>
      <c r="V20" s="132"/>
      <c r="W20" s="294">
        <f t="shared" si="3"/>
        <v>142</v>
      </c>
      <c r="X20" s="140"/>
      <c r="Y20" s="340"/>
      <c r="Z20" s="5"/>
      <c r="AE20" s="5"/>
      <c r="AF20" s="5"/>
      <c r="AG20" s="5"/>
      <c r="AH20" s="5" t="s">
        <v>3677</v>
      </c>
      <c r="AI20" s="5"/>
      <c r="AJ20" s="5"/>
      <c r="AK20" s="5"/>
    </row>
    <row r="21" spans="1:39" x14ac:dyDescent="0.25">
      <c r="A21" s="143">
        <v>18</v>
      </c>
      <c r="B21" s="92">
        <v>45299</v>
      </c>
      <c r="C21" s="257" t="s">
        <v>3980</v>
      </c>
      <c r="D21" s="31" t="s">
        <v>3979</v>
      </c>
      <c r="E21" s="32">
        <v>5537651796</v>
      </c>
      <c r="F21" s="32" t="s">
        <v>52</v>
      </c>
      <c r="G21" s="32" t="s">
        <v>3981</v>
      </c>
      <c r="H21" s="39" t="s">
        <v>3983</v>
      </c>
      <c r="I21" s="39">
        <v>255</v>
      </c>
      <c r="J21" s="42">
        <v>239</v>
      </c>
      <c r="K21" s="43">
        <v>12</v>
      </c>
      <c r="L21" s="21">
        <v>4</v>
      </c>
      <c r="M21" s="21">
        <f t="shared" si="0"/>
        <v>251</v>
      </c>
      <c r="N21" s="21">
        <v>0</v>
      </c>
      <c r="O21" s="21"/>
      <c r="P21" s="21"/>
      <c r="Q21" s="21"/>
      <c r="R21" s="5"/>
      <c r="S21" s="135"/>
      <c r="T21" s="104"/>
      <c r="U21" s="21">
        <f t="shared" si="2"/>
        <v>0</v>
      </c>
      <c r="V21" s="131"/>
      <c r="W21" s="294">
        <f t="shared" si="3"/>
        <v>0</v>
      </c>
      <c r="X21" s="140"/>
      <c r="Z21" s="5"/>
    </row>
    <row r="22" spans="1:39" x14ac:dyDescent="0.25">
      <c r="A22" s="197">
        <v>19</v>
      </c>
      <c r="B22" s="198">
        <v>45299</v>
      </c>
      <c r="C22" s="319">
        <v>0.41666666666666669</v>
      </c>
      <c r="D22" s="207" t="s">
        <v>141</v>
      </c>
      <c r="E22" s="207">
        <v>5546747783</v>
      </c>
      <c r="F22" s="207" t="s">
        <v>52</v>
      </c>
      <c r="G22" s="207" t="s">
        <v>267</v>
      </c>
      <c r="H22" s="202" t="s">
        <v>379</v>
      </c>
      <c r="I22" s="202">
        <v>210</v>
      </c>
      <c r="J22" s="204">
        <v>210</v>
      </c>
      <c r="K22" s="320">
        <v>0</v>
      </c>
      <c r="L22" s="206"/>
      <c r="M22" s="206">
        <f t="shared" si="0"/>
        <v>210</v>
      </c>
      <c r="N22" s="206">
        <f t="shared" si="1"/>
        <v>0</v>
      </c>
      <c r="O22" s="21"/>
      <c r="P22" s="21"/>
      <c r="Q22" s="21"/>
      <c r="R22" s="5"/>
      <c r="S22" s="32"/>
      <c r="T22" s="32"/>
      <c r="U22" s="21">
        <f t="shared" si="2"/>
        <v>0</v>
      </c>
      <c r="V22" s="32"/>
      <c r="W22" s="294">
        <f t="shared" si="3"/>
        <v>0</v>
      </c>
      <c r="X22" s="140"/>
      <c r="Z22" s="5"/>
      <c r="AE22" s="5"/>
      <c r="AF22" s="5"/>
      <c r="AG22" s="5"/>
      <c r="AH22" s="5"/>
      <c r="AI22" s="5"/>
      <c r="AJ22" s="5"/>
      <c r="AK22" s="5"/>
    </row>
    <row r="23" spans="1:39" x14ac:dyDescent="0.25">
      <c r="A23" s="219">
        <v>1</v>
      </c>
      <c r="B23" s="322">
        <v>44935</v>
      </c>
      <c r="C23" s="262">
        <v>0.45902777777777781</v>
      </c>
      <c r="D23" s="212" t="s">
        <v>3031</v>
      </c>
      <c r="E23" s="213">
        <v>5568676408</v>
      </c>
      <c r="F23" s="213" t="s">
        <v>923</v>
      </c>
      <c r="G23" s="213" t="s">
        <v>3959</v>
      </c>
      <c r="H23" s="214" t="s">
        <v>3984</v>
      </c>
      <c r="I23" s="215"/>
      <c r="J23" s="213">
        <f>40+82</f>
        <v>122</v>
      </c>
      <c r="K23" s="216">
        <v>10</v>
      </c>
      <c r="L23" s="323"/>
      <c r="M23" s="323">
        <f t="shared" ref="M23:M41" si="4">+J23+K23</f>
        <v>132</v>
      </c>
      <c r="N23" s="323">
        <f t="shared" ref="N23:N41" si="5">+I23-M23</f>
        <v>-132</v>
      </c>
      <c r="O23" s="324">
        <v>135</v>
      </c>
      <c r="P23" s="324"/>
      <c r="Q23" s="323"/>
      <c r="R23" s="218"/>
      <c r="S23" s="323">
        <v>250</v>
      </c>
      <c r="T23" s="324"/>
      <c r="U23" s="323">
        <f t="shared" ref="U23:U41" si="6">+S23+T23</f>
        <v>250</v>
      </c>
      <c r="V23" s="323">
        <v>137</v>
      </c>
      <c r="W23" s="325">
        <f>+V23-U23+O23-Q23-P23</f>
        <v>22</v>
      </c>
      <c r="X23" s="321"/>
      <c r="Y23" s="333"/>
      <c r="Z23" s="5"/>
      <c r="AE23" s="5"/>
      <c r="AF23" s="134" t="s">
        <v>20</v>
      </c>
      <c r="AG23" s="358" t="e">
        <f>#REF!</f>
        <v>#REF!</v>
      </c>
      <c r="AH23" s="341" t="s">
        <v>687</v>
      </c>
      <c r="AI23" s="134" t="s">
        <v>20</v>
      </c>
      <c r="AJ23" s="358">
        <f>+AJ13</f>
        <v>399.5</v>
      </c>
      <c r="AK23" s="5"/>
    </row>
    <row r="24" spans="1:39" x14ac:dyDescent="0.25">
      <c r="A24" s="26">
        <v>2</v>
      </c>
      <c r="B24" s="322">
        <v>44935</v>
      </c>
      <c r="C24" s="23">
        <v>0.46736111111111112</v>
      </c>
      <c r="D24" s="31" t="s">
        <v>3662</v>
      </c>
      <c r="E24" s="32">
        <v>5543926895</v>
      </c>
      <c r="F24" s="32" t="s">
        <v>156</v>
      </c>
      <c r="G24" s="32" t="s">
        <v>3992</v>
      </c>
      <c r="H24" s="39" t="s">
        <v>3985</v>
      </c>
      <c r="I24" s="122"/>
      <c r="J24" s="32">
        <v>27</v>
      </c>
      <c r="K24" s="20">
        <v>10</v>
      </c>
      <c r="L24" s="21"/>
      <c r="M24" s="21">
        <f t="shared" si="4"/>
        <v>37</v>
      </c>
      <c r="N24" s="21">
        <f t="shared" si="5"/>
        <v>-37</v>
      </c>
      <c r="O24" s="16"/>
      <c r="P24" s="16"/>
      <c r="Q24" s="21"/>
      <c r="R24" s="5"/>
      <c r="S24" s="21"/>
      <c r="T24" s="16"/>
      <c r="U24" s="21">
        <f t="shared" si="6"/>
        <v>0</v>
      </c>
      <c r="V24" s="21">
        <v>10</v>
      </c>
      <c r="W24" s="294">
        <f t="shared" ref="W24:W41" si="7">+V24-U24+O24-Q24-P24</f>
        <v>10</v>
      </c>
      <c r="X24" s="140"/>
      <c r="Y24" s="334"/>
      <c r="Z24" s="5"/>
      <c r="AE24" s="5" t="s">
        <v>3679</v>
      </c>
      <c r="AF24" s="115" t="s">
        <v>684</v>
      </c>
      <c r="AG24" s="359"/>
      <c r="AH24" s="341"/>
      <c r="AI24" s="115" t="s">
        <v>684</v>
      </c>
      <c r="AJ24" s="360"/>
      <c r="AK24" s="5"/>
    </row>
    <row r="25" spans="1:39" x14ac:dyDescent="0.25">
      <c r="A25" s="143">
        <v>3</v>
      </c>
      <c r="B25" s="322">
        <v>44935</v>
      </c>
      <c r="C25" s="23">
        <v>0.56944444444444442</v>
      </c>
      <c r="D25" s="31" t="s">
        <v>2281</v>
      </c>
      <c r="E25" s="32">
        <v>5543534413</v>
      </c>
      <c r="F25" s="32" t="s">
        <v>1962</v>
      </c>
      <c r="G25" s="32" t="s">
        <v>3990</v>
      </c>
      <c r="H25" s="39" t="s">
        <v>3986</v>
      </c>
      <c r="I25" s="122"/>
      <c r="J25" s="32">
        <v>99</v>
      </c>
      <c r="K25" s="20">
        <v>10</v>
      </c>
      <c r="L25" s="21"/>
      <c r="M25" s="21">
        <f t="shared" si="4"/>
        <v>109</v>
      </c>
      <c r="N25" s="21">
        <f t="shared" si="5"/>
        <v>-109</v>
      </c>
      <c r="O25" s="16"/>
      <c r="P25" s="16"/>
      <c r="Q25" s="21"/>
      <c r="R25" s="5"/>
      <c r="S25" s="21">
        <v>150</v>
      </c>
      <c r="T25" s="16"/>
      <c r="U25" s="21">
        <f t="shared" si="6"/>
        <v>150</v>
      </c>
      <c r="V25" s="21">
        <v>160</v>
      </c>
      <c r="W25" s="294">
        <f t="shared" si="7"/>
        <v>10</v>
      </c>
      <c r="X25" s="140"/>
      <c r="Y25" s="334"/>
      <c r="Z25" s="5"/>
      <c r="AE25" s="5"/>
      <c r="AF25" s="5"/>
      <c r="AG25" s="5"/>
      <c r="AH25" s="5" t="s">
        <v>3678</v>
      </c>
      <c r="AI25" s="5"/>
      <c r="AJ25" s="5"/>
      <c r="AK25" s="5"/>
    </row>
    <row r="26" spans="1:39" x14ac:dyDescent="0.25">
      <c r="A26" s="143">
        <v>4</v>
      </c>
      <c r="B26" s="322">
        <v>44935</v>
      </c>
      <c r="C26" s="23">
        <v>0.5708333333333333</v>
      </c>
      <c r="D26" s="31" t="s">
        <v>2669</v>
      </c>
      <c r="E26" s="32">
        <v>5567571157</v>
      </c>
      <c r="F26" s="32" t="s">
        <v>923</v>
      </c>
      <c r="G26" s="32" t="s">
        <v>3993</v>
      </c>
      <c r="H26" s="39" t="s">
        <v>3987</v>
      </c>
      <c r="I26" s="122"/>
      <c r="J26" s="32">
        <v>21</v>
      </c>
      <c r="K26" s="20">
        <v>10</v>
      </c>
      <c r="L26" s="21"/>
      <c r="M26" s="21">
        <f t="shared" si="4"/>
        <v>31</v>
      </c>
      <c r="N26" s="21">
        <f t="shared" si="5"/>
        <v>-31</v>
      </c>
      <c r="O26" s="16"/>
      <c r="P26" s="16"/>
      <c r="Q26" s="21"/>
      <c r="R26" s="5"/>
      <c r="S26" s="21">
        <v>100</v>
      </c>
      <c r="T26" s="16"/>
      <c r="U26" s="21">
        <f t="shared" si="6"/>
        <v>100</v>
      </c>
      <c r="V26" s="21">
        <v>114</v>
      </c>
      <c r="W26" s="294">
        <f t="shared" si="7"/>
        <v>14</v>
      </c>
      <c r="X26" s="140"/>
      <c r="Y26" s="334"/>
      <c r="Z26" s="5"/>
    </row>
    <row r="27" spans="1:39" x14ac:dyDescent="0.25">
      <c r="A27" s="143">
        <v>5</v>
      </c>
      <c r="B27" s="322">
        <v>44935</v>
      </c>
      <c r="C27" s="23">
        <v>0.61527777777777781</v>
      </c>
      <c r="D27" s="31" t="s">
        <v>2578</v>
      </c>
      <c r="E27" s="32">
        <v>5585652455</v>
      </c>
      <c r="F27" s="32" t="s">
        <v>1806</v>
      </c>
      <c r="G27" s="32" t="s">
        <v>3991</v>
      </c>
      <c r="H27" s="32" t="s">
        <v>3287</v>
      </c>
      <c r="I27" s="122"/>
      <c r="J27" s="32">
        <v>57</v>
      </c>
      <c r="K27" s="20">
        <v>10</v>
      </c>
      <c r="L27" s="21"/>
      <c r="M27" s="21">
        <f t="shared" si="4"/>
        <v>67</v>
      </c>
      <c r="N27" s="21">
        <f t="shared" si="5"/>
        <v>-67</v>
      </c>
      <c r="O27" s="16"/>
      <c r="P27" s="16"/>
      <c r="Q27" s="21"/>
      <c r="R27" s="5"/>
      <c r="S27" s="16"/>
      <c r="T27" s="16"/>
      <c r="U27" s="21">
        <f t="shared" si="6"/>
        <v>0</v>
      </c>
      <c r="V27" s="21">
        <v>10</v>
      </c>
      <c r="W27" s="294">
        <f t="shared" si="7"/>
        <v>10</v>
      </c>
      <c r="X27" s="140"/>
      <c r="Y27" s="334"/>
      <c r="Z27" s="5"/>
    </row>
    <row r="28" spans="1:39" x14ac:dyDescent="0.25">
      <c r="A28" s="143">
        <v>6</v>
      </c>
      <c r="B28" s="322">
        <v>44935</v>
      </c>
      <c r="C28" s="23">
        <v>0.64583333333333337</v>
      </c>
      <c r="D28" s="31" t="s">
        <v>255</v>
      </c>
      <c r="E28" s="32">
        <v>5625982564</v>
      </c>
      <c r="F28" s="32" t="s">
        <v>3989</v>
      </c>
      <c r="G28" s="32" t="s">
        <v>4000</v>
      </c>
      <c r="H28" s="39" t="s">
        <v>3988</v>
      </c>
      <c r="I28" s="39"/>
      <c r="J28" s="42">
        <f>25+21+32</f>
        <v>78</v>
      </c>
      <c r="K28" s="20">
        <v>10</v>
      </c>
      <c r="L28" s="21"/>
      <c r="M28" s="21">
        <f t="shared" si="4"/>
        <v>88</v>
      </c>
      <c r="N28" s="21">
        <f t="shared" si="5"/>
        <v>-88</v>
      </c>
      <c r="O28" s="16"/>
      <c r="P28" s="16"/>
      <c r="Q28" s="21"/>
      <c r="R28" s="5"/>
      <c r="S28" s="16">
        <v>100</v>
      </c>
      <c r="T28" s="16"/>
      <c r="U28" s="21">
        <f t="shared" si="6"/>
        <v>100</v>
      </c>
      <c r="V28" s="16">
        <v>110</v>
      </c>
      <c r="W28" s="294">
        <f t="shared" si="7"/>
        <v>10</v>
      </c>
      <c r="X28" s="140"/>
      <c r="Y28" s="334"/>
      <c r="Z28" s="5"/>
      <c r="AL28" s="185"/>
      <c r="AM28" s="185"/>
    </row>
    <row r="29" spans="1:39" x14ac:dyDescent="0.25">
      <c r="A29" s="143">
        <v>7</v>
      </c>
      <c r="B29" s="322">
        <v>44935</v>
      </c>
      <c r="C29" s="23">
        <v>0.25</v>
      </c>
      <c r="D29" s="31" t="s">
        <v>1866</v>
      </c>
      <c r="E29" s="32">
        <v>5620167396</v>
      </c>
      <c r="F29" s="32" t="s">
        <v>3995</v>
      </c>
      <c r="G29" s="32" t="s">
        <v>3019</v>
      </c>
      <c r="H29" s="32" t="s">
        <v>3996</v>
      </c>
      <c r="I29" s="122">
        <v>141</v>
      </c>
      <c r="J29" s="42">
        <v>128</v>
      </c>
      <c r="K29" s="20">
        <v>13</v>
      </c>
      <c r="L29" s="21"/>
      <c r="M29" s="21">
        <f t="shared" si="4"/>
        <v>141</v>
      </c>
      <c r="N29" s="21">
        <f t="shared" si="5"/>
        <v>0</v>
      </c>
      <c r="O29" s="16">
        <v>141</v>
      </c>
      <c r="P29" s="16"/>
      <c r="Q29" s="21"/>
      <c r="R29" s="5"/>
      <c r="S29" s="16">
        <v>200</v>
      </c>
      <c r="T29" s="16"/>
      <c r="U29" s="21">
        <f t="shared" si="6"/>
        <v>200</v>
      </c>
      <c r="V29" s="16">
        <v>213</v>
      </c>
      <c r="W29" s="294">
        <f t="shared" si="7"/>
        <v>154</v>
      </c>
      <c r="X29" s="140"/>
      <c r="Y29" s="334"/>
      <c r="Z29" s="5"/>
      <c r="AE29" s="335" t="s">
        <v>160</v>
      </c>
      <c r="AF29" s="336"/>
      <c r="AI29" s="335" t="s">
        <v>170</v>
      </c>
      <c r="AJ29" s="336"/>
      <c r="AL29" s="361"/>
      <c r="AM29" s="361"/>
    </row>
    <row r="30" spans="1:39" ht="15" customHeight="1" x14ac:dyDescent="0.25">
      <c r="A30" s="143">
        <v>8</v>
      </c>
      <c r="B30" s="322">
        <v>44935</v>
      </c>
      <c r="C30" s="23">
        <v>0.29097222222222224</v>
      </c>
      <c r="D30" s="31" t="s">
        <v>2486</v>
      </c>
      <c r="E30" s="123">
        <v>5612853273</v>
      </c>
      <c r="F30" s="123" t="s">
        <v>38</v>
      </c>
      <c r="G30" s="123" t="s">
        <v>1746</v>
      </c>
      <c r="H30" s="123" t="s">
        <v>3997</v>
      </c>
      <c r="I30" s="122">
        <v>175</v>
      </c>
      <c r="J30" s="32">
        <v>152</v>
      </c>
      <c r="K30" s="20">
        <v>12</v>
      </c>
      <c r="L30" s="21">
        <v>10</v>
      </c>
      <c r="M30" s="21">
        <f t="shared" si="4"/>
        <v>164</v>
      </c>
      <c r="N30" s="21">
        <f t="shared" si="5"/>
        <v>11</v>
      </c>
      <c r="O30" s="16"/>
      <c r="P30" s="16"/>
      <c r="Q30" s="21"/>
      <c r="R30" s="5"/>
      <c r="S30" s="16">
        <v>250</v>
      </c>
      <c r="T30" s="16"/>
      <c r="U30" s="21">
        <f t="shared" si="6"/>
        <v>250</v>
      </c>
      <c r="V30" s="16">
        <v>272</v>
      </c>
      <c r="W30" s="294">
        <f t="shared" si="7"/>
        <v>22</v>
      </c>
      <c r="X30" s="140"/>
      <c r="Y30" s="334"/>
      <c r="Z30" s="5"/>
      <c r="AB30" s="251" t="s">
        <v>2554</v>
      </c>
      <c r="AD30">
        <v>12</v>
      </c>
      <c r="AE30" s="16" t="s">
        <v>161</v>
      </c>
      <c r="AF30" s="58">
        <f>+AD30*10</f>
        <v>120</v>
      </c>
      <c r="AH30">
        <v>2</v>
      </c>
      <c r="AI30" s="16" t="s">
        <v>161</v>
      </c>
      <c r="AJ30" s="58">
        <f>+AH30*10</f>
        <v>20</v>
      </c>
      <c r="AL30" s="185"/>
      <c r="AM30" s="185"/>
    </row>
    <row r="31" spans="1:39" x14ac:dyDescent="0.25">
      <c r="A31" s="143">
        <v>9</v>
      </c>
      <c r="B31" s="322">
        <v>44935</v>
      </c>
      <c r="C31" s="23">
        <v>0.30555555555555552</v>
      </c>
      <c r="D31" s="31" t="s">
        <v>319</v>
      </c>
      <c r="E31" s="32">
        <v>5546644664</v>
      </c>
      <c r="F31" s="32" t="s">
        <v>52</v>
      </c>
      <c r="G31" s="32" t="s">
        <v>3155</v>
      </c>
      <c r="H31" s="32" t="s">
        <v>3998</v>
      </c>
      <c r="I31" s="39">
        <v>500</v>
      </c>
      <c r="J31" s="39">
        <v>245</v>
      </c>
      <c r="K31" s="20">
        <v>22</v>
      </c>
      <c r="L31" s="21"/>
      <c r="M31" s="21">
        <f t="shared" si="4"/>
        <v>267</v>
      </c>
      <c r="N31" s="21">
        <f t="shared" si="5"/>
        <v>233</v>
      </c>
      <c r="O31" s="16"/>
      <c r="P31" s="16"/>
      <c r="Q31" s="21"/>
      <c r="R31" s="5"/>
      <c r="S31" s="16">
        <v>250</v>
      </c>
      <c r="T31" s="16"/>
      <c r="U31" s="21">
        <f t="shared" si="6"/>
        <v>250</v>
      </c>
      <c r="V31" s="16">
        <v>272</v>
      </c>
      <c r="W31" s="294">
        <f t="shared" si="7"/>
        <v>22</v>
      </c>
      <c r="X31" s="140"/>
      <c r="Y31" s="334"/>
      <c r="Z31" s="5"/>
      <c r="AD31">
        <v>74</v>
      </c>
      <c r="AE31" s="59" t="s">
        <v>162</v>
      </c>
      <c r="AF31" s="18">
        <f>+AD31*1</f>
        <v>74</v>
      </c>
      <c r="AH31">
        <v>98.5</v>
      </c>
      <c r="AI31" s="59" t="s">
        <v>162</v>
      </c>
      <c r="AJ31" s="18">
        <f>+AH31*1</f>
        <v>98.5</v>
      </c>
      <c r="AL31" s="185"/>
      <c r="AM31" s="185"/>
    </row>
    <row r="32" spans="1:39" x14ac:dyDescent="0.25">
      <c r="A32" s="143">
        <v>10</v>
      </c>
      <c r="B32" s="322">
        <v>44935</v>
      </c>
      <c r="C32" s="23">
        <v>0.3263888888888889</v>
      </c>
      <c r="D32" s="31" t="s">
        <v>3994</v>
      </c>
      <c r="E32" s="32">
        <v>5524437892</v>
      </c>
      <c r="F32" s="32" t="s">
        <v>52</v>
      </c>
      <c r="G32" s="32" t="s">
        <v>267</v>
      </c>
      <c r="H32" s="39" t="s">
        <v>3999</v>
      </c>
      <c r="I32" s="39">
        <v>112</v>
      </c>
      <c r="J32" s="122">
        <v>99</v>
      </c>
      <c r="K32" s="20">
        <v>12</v>
      </c>
      <c r="L32" s="21"/>
      <c r="M32" s="21">
        <f t="shared" si="4"/>
        <v>111</v>
      </c>
      <c r="N32" s="21">
        <f t="shared" si="5"/>
        <v>1</v>
      </c>
      <c r="O32" s="16"/>
      <c r="P32" s="16"/>
      <c r="Q32" s="21"/>
      <c r="R32" s="5"/>
      <c r="S32" s="16">
        <v>200</v>
      </c>
      <c r="T32" s="16"/>
      <c r="U32" s="21">
        <f t="shared" si="6"/>
        <v>200</v>
      </c>
      <c r="V32" s="16">
        <v>210</v>
      </c>
      <c r="W32" s="294">
        <f t="shared" si="7"/>
        <v>10</v>
      </c>
      <c r="X32" s="140"/>
      <c r="Y32" s="334"/>
      <c r="Z32" s="5"/>
      <c r="AD32">
        <v>28</v>
      </c>
      <c r="AE32" s="16" t="s">
        <v>163</v>
      </c>
      <c r="AF32" s="60">
        <f>+AD32*5</f>
        <v>140</v>
      </c>
      <c r="AH32">
        <v>4</v>
      </c>
      <c r="AI32" s="16" t="s">
        <v>163</v>
      </c>
      <c r="AJ32" s="60">
        <f>+AH32*5</f>
        <v>20</v>
      </c>
      <c r="AL32" s="185"/>
      <c r="AM32" s="185"/>
    </row>
    <row r="33" spans="1:39" x14ac:dyDescent="0.25">
      <c r="A33" s="143">
        <v>11</v>
      </c>
      <c r="B33" s="322">
        <v>44935</v>
      </c>
      <c r="C33" s="23"/>
      <c r="D33" s="31"/>
      <c r="E33" s="124"/>
      <c r="F33" s="123"/>
      <c r="G33" s="123"/>
      <c r="H33" s="39"/>
      <c r="I33" s="122"/>
      <c r="J33" s="42"/>
      <c r="K33" s="20">
        <v>10</v>
      </c>
      <c r="L33" s="21"/>
      <c r="M33" s="21">
        <f t="shared" si="4"/>
        <v>10</v>
      </c>
      <c r="N33" s="21">
        <f t="shared" si="5"/>
        <v>-10</v>
      </c>
      <c r="O33" s="16"/>
      <c r="P33" s="16"/>
      <c r="Q33" s="21"/>
      <c r="R33" s="5"/>
      <c r="S33" s="16"/>
      <c r="T33" s="16"/>
      <c r="U33" s="21">
        <f t="shared" si="6"/>
        <v>0</v>
      </c>
      <c r="V33" s="16"/>
      <c r="W33" s="294">
        <f t="shared" si="7"/>
        <v>0</v>
      </c>
      <c r="X33" s="140"/>
      <c r="Y33" s="334"/>
      <c r="Z33" s="5"/>
      <c r="AE33" s="16" t="s">
        <v>164</v>
      </c>
      <c r="AF33" s="18">
        <f>+AD33*200</f>
        <v>0</v>
      </c>
      <c r="AI33" s="16" t="s">
        <v>164</v>
      </c>
      <c r="AJ33" s="18">
        <f>+AH33*200</f>
        <v>0</v>
      </c>
      <c r="AL33" s="185"/>
      <c r="AM33" s="185"/>
    </row>
    <row r="34" spans="1:39" x14ac:dyDescent="0.25">
      <c r="A34" s="143">
        <v>12</v>
      </c>
      <c r="B34" s="322">
        <v>44935</v>
      </c>
      <c r="C34" s="23"/>
      <c r="D34" s="32"/>
      <c r="E34" s="32"/>
      <c r="F34" s="124"/>
      <c r="G34" s="123"/>
      <c r="H34" s="39"/>
      <c r="I34" s="39"/>
      <c r="J34" s="42"/>
      <c r="K34" s="20">
        <v>10</v>
      </c>
      <c r="L34" s="21"/>
      <c r="M34" s="21">
        <f t="shared" si="4"/>
        <v>10</v>
      </c>
      <c r="N34" s="21">
        <f t="shared" si="5"/>
        <v>-10</v>
      </c>
      <c r="O34" s="26"/>
      <c r="P34" s="26"/>
      <c r="Q34" s="21"/>
      <c r="R34" s="5"/>
      <c r="S34" s="45"/>
      <c r="T34" s="44"/>
      <c r="U34" s="21">
        <f t="shared" si="6"/>
        <v>0</v>
      </c>
      <c r="V34" s="45"/>
      <c r="W34" s="294">
        <f t="shared" si="7"/>
        <v>0</v>
      </c>
      <c r="X34" s="140"/>
      <c r="Y34" s="334"/>
      <c r="Z34" s="5"/>
      <c r="AE34" s="16" t="s">
        <v>165</v>
      </c>
      <c r="AF34" s="18">
        <f>+AD34*100</f>
        <v>0</v>
      </c>
      <c r="AH34">
        <v>2</v>
      </c>
      <c r="AI34" s="16" t="s">
        <v>165</v>
      </c>
      <c r="AJ34" s="18">
        <f>+AH34*100</f>
        <v>200</v>
      </c>
      <c r="AL34" s="185"/>
      <c r="AM34" s="185"/>
    </row>
    <row r="35" spans="1:39" x14ac:dyDescent="0.25">
      <c r="A35" s="143">
        <v>13</v>
      </c>
      <c r="B35" s="322">
        <v>44935</v>
      </c>
      <c r="C35" s="23"/>
      <c r="D35" s="31"/>
      <c r="E35" s="32"/>
      <c r="F35" s="32"/>
      <c r="G35" s="32"/>
      <c r="H35" s="39"/>
      <c r="I35" s="39"/>
      <c r="J35" s="42"/>
      <c r="K35" s="108">
        <v>10</v>
      </c>
      <c r="L35" s="21"/>
      <c r="M35" s="21">
        <f t="shared" si="4"/>
        <v>10</v>
      </c>
      <c r="N35" s="78">
        <f t="shared" si="5"/>
        <v>-10</v>
      </c>
      <c r="O35" s="143"/>
      <c r="P35" s="143"/>
      <c r="Q35" s="20"/>
      <c r="R35" s="5"/>
      <c r="S35" s="43"/>
      <c r="T35" s="32"/>
      <c r="U35" s="21">
        <f t="shared" si="6"/>
        <v>0</v>
      </c>
      <c r="V35" s="43"/>
      <c r="W35" s="294">
        <f t="shared" si="7"/>
        <v>0</v>
      </c>
      <c r="X35" s="140"/>
      <c r="Y35" s="334"/>
      <c r="Z35" s="5"/>
      <c r="AE35" s="16" t="s">
        <v>166</v>
      </c>
      <c r="AF35" s="18">
        <f>+AD35*50</f>
        <v>0</v>
      </c>
      <c r="AH35">
        <v>1</v>
      </c>
      <c r="AI35" s="16" t="s">
        <v>166</v>
      </c>
      <c r="AJ35" s="18">
        <f>+AH35*50</f>
        <v>50</v>
      </c>
      <c r="AL35" s="185"/>
      <c r="AM35" s="185"/>
    </row>
    <row r="36" spans="1:39" x14ac:dyDescent="0.25">
      <c r="A36" s="143">
        <v>14</v>
      </c>
      <c r="B36" s="322">
        <v>44935</v>
      </c>
      <c r="C36" s="23"/>
      <c r="D36" s="31"/>
      <c r="E36" s="32"/>
      <c r="F36" s="32"/>
      <c r="G36" s="32"/>
      <c r="H36" s="39"/>
      <c r="I36" s="39"/>
      <c r="J36" s="42"/>
      <c r="K36" s="108">
        <v>10</v>
      </c>
      <c r="L36" s="21"/>
      <c r="M36" s="21">
        <f t="shared" si="4"/>
        <v>10</v>
      </c>
      <c r="N36" s="21">
        <f t="shared" si="5"/>
        <v>-10</v>
      </c>
      <c r="O36" s="50"/>
      <c r="P36" s="50"/>
      <c r="Q36" s="21"/>
      <c r="R36" s="5"/>
      <c r="S36" s="43"/>
      <c r="T36" s="43"/>
      <c r="U36" s="21">
        <f t="shared" si="6"/>
        <v>0</v>
      </c>
      <c r="V36" s="43"/>
      <c r="W36" s="294">
        <f t="shared" si="7"/>
        <v>0</v>
      </c>
      <c r="X36" s="140"/>
      <c r="Y36" s="334"/>
      <c r="Z36" s="5"/>
      <c r="AD36">
        <v>7</v>
      </c>
      <c r="AE36" s="16" t="s">
        <v>167</v>
      </c>
      <c r="AF36" s="18">
        <f>+AD36*20</f>
        <v>140</v>
      </c>
      <c r="AI36" s="16" t="s">
        <v>167</v>
      </c>
      <c r="AJ36" s="18">
        <f>+AH36*20</f>
        <v>0</v>
      </c>
      <c r="AL36" s="185"/>
      <c r="AM36" s="185"/>
    </row>
    <row r="37" spans="1:39" x14ac:dyDescent="0.25">
      <c r="A37" s="143">
        <v>15</v>
      </c>
      <c r="B37" s="322">
        <v>44935</v>
      </c>
      <c r="C37" s="23"/>
      <c r="D37" s="127"/>
      <c r="E37" s="32"/>
      <c r="F37" s="32"/>
      <c r="G37" s="128"/>
      <c r="H37" s="129"/>
      <c r="I37" s="39"/>
      <c r="J37" s="42"/>
      <c r="K37" s="108">
        <v>10</v>
      </c>
      <c r="L37" s="21"/>
      <c r="M37" s="21">
        <f t="shared" si="4"/>
        <v>10</v>
      </c>
      <c r="N37" s="21">
        <f t="shared" si="5"/>
        <v>-10</v>
      </c>
      <c r="O37" s="21"/>
      <c r="P37" s="21"/>
      <c r="Q37" s="21"/>
      <c r="R37" s="5"/>
      <c r="S37" s="43"/>
      <c r="T37" s="43"/>
      <c r="U37" s="21">
        <f t="shared" si="6"/>
        <v>0</v>
      </c>
      <c r="V37" s="43"/>
      <c r="W37" s="294">
        <f t="shared" si="7"/>
        <v>0</v>
      </c>
      <c r="X37" s="140"/>
      <c r="Y37" s="334"/>
      <c r="Z37" s="5"/>
      <c r="AE37" s="16" t="s">
        <v>171</v>
      </c>
      <c r="AF37" s="18">
        <f>+AD37*500</f>
        <v>0</v>
      </c>
      <c r="AI37" s="16" t="s">
        <v>171</v>
      </c>
      <c r="AJ37" s="18">
        <f>+AH37*500</f>
        <v>0</v>
      </c>
      <c r="AL37" s="185"/>
      <c r="AM37" s="185"/>
    </row>
    <row r="38" spans="1:39" x14ac:dyDescent="0.25">
      <c r="A38" s="143">
        <v>16</v>
      </c>
      <c r="B38" s="322">
        <v>44935</v>
      </c>
      <c r="C38" s="23"/>
      <c r="D38" s="31"/>
      <c r="E38" s="32"/>
      <c r="F38" s="32"/>
      <c r="G38" s="32"/>
      <c r="H38" s="39"/>
      <c r="I38" s="39"/>
      <c r="J38" s="42"/>
      <c r="K38" s="43">
        <v>10</v>
      </c>
      <c r="L38" s="21"/>
      <c r="M38" s="21">
        <f t="shared" si="4"/>
        <v>10</v>
      </c>
      <c r="N38" s="21">
        <f t="shared" si="5"/>
        <v>-10</v>
      </c>
      <c r="O38" s="21"/>
      <c r="P38" s="21"/>
      <c r="Q38" s="21"/>
      <c r="R38" s="5"/>
      <c r="S38" s="43"/>
      <c r="T38" s="32"/>
      <c r="U38" s="21">
        <f t="shared" si="6"/>
        <v>0</v>
      </c>
      <c r="V38" s="131"/>
      <c r="W38" s="294">
        <f t="shared" si="7"/>
        <v>0</v>
      </c>
      <c r="X38" s="140"/>
      <c r="Y38" s="334"/>
      <c r="Z38" s="5"/>
      <c r="AE38" s="16" t="s">
        <v>168</v>
      </c>
      <c r="AF38" s="18">
        <f>+AD38*1000</f>
        <v>0</v>
      </c>
      <c r="AI38" s="16" t="s">
        <v>168</v>
      </c>
      <c r="AJ38" s="18">
        <f>+AH38*1000</f>
        <v>0</v>
      </c>
      <c r="AL38" s="185"/>
      <c r="AM38" s="185"/>
    </row>
    <row r="39" spans="1:39" x14ac:dyDescent="0.25">
      <c r="A39" s="143">
        <v>17</v>
      </c>
      <c r="B39" s="322">
        <v>44935</v>
      </c>
      <c r="C39" s="23"/>
      <c r="D39" s="31"/>
      <c r="E39" s="32"/>
      <c r="F39" s="32"/>
      <c r="G39" s="32"/>
      <c r="H39" s="39"/>
      <c r="I39" s="39"/>
      <c r="J39" s="42"/>
      <c r="K39" s="43">
        <v>10</v>
      </c>
      <c r="L39" s="21"/>
      <c r="M39" s="21">
        <f t="shared" si="4"/>
        <v>10</v>
      </c>
      <c r="N39" s="21">
        <f t="shared" si="5"/>
        <v>-10</v>
      </c>
      <c r="O39" s="21"/>
      <c r="P39" s="21"/>
      <c r="Q39" s="21"/>
      <c r="R39" s="5"/>
      <c r="S39" s="43"/>
      <c r="T39" s="32"/>
      <c r="U39" s="21">
        <f t="shared" si="6"/>
        <v>0</v>
      </c>
      <c r="V39" s="132"/>
      <c r="W39" s="294">
        <f t="shared" si="7"/>
        <v>0</v>
      </c>
      <c r="X39" s="140"/>
      <c r="Y39" s="340"/>
      <c r="Z39" s="5"/>
      <c r="AE39" s="26"/>
      <c r="AF39" s="58"/>
      <c r="AI39" s="26"/>
      <c r="AJ39" s="58"/>
      <c r="AL39" s="185"/>
      <c r="AM39" s="185"/>
    </row>
    <row r="40" spans="1:39" x14ac:dyDescent="0.25">
      <c r="A40" s="143">
        <v>18</v>
      </c>
      <c r="B40" s="322">
        <v>44935</v>
      </c>
      <c r="C40" s="32"/>
      <c r="D40" s="31"/>
      <c r="E40" s="32"/>
      <c r="F40" s="32"/>
      <c r="G40" s="32"/>
      <c r="H40" s="39"/>
      <c r="I40" s="39"/>
      <c r="J40" s="42"/>
      <c r="K40" s="43">
        <v>10</v>
      </c>
      <c r="L40" s="21"/>
      <c r="M40" s="21">
        <f t="shared" si="4"/>
        <v>10</v>
      </c>
      <c r="N40" s="21">
        <f t="shared" si="5"/>
        <v>-10</v>
      </c>
      <c r="O40" s="21"/>
      <c r="P40" s="21"/>
      <c r="Q40" s="21"/>
      <c r="R40" s="5"/>
      <c r="S40" s="135"/>
      <c r="T40" s="104"/>
      <c r="U40" s="21">
        <f t="shared" si="6"/>
        <v>0</v>
      </c>
      <c r="V40" s="131"/>
      <c r="W40" s="294">
        <f t="shared" si="7"/>
        <v>0</v>
      </c>
      <c r="X40" s="140"/>
      <c r="Z40" s="5"/>
      <c r="AE40" s="16" t="s">
        <v>169</v>
      </c>
      <c r="AF40" s="18">
        <f>SUM(AF30:AF39)</f>
        <v>474</v>
      </c>
      <c r="AI40" s="16" t="s">
        <v>169</v>
      </c>
      <c r="AJ40" s="18">
        <f>SUM(AJ30:AJ39)</f>
        <v>388.5</v>
      </c>
      <c r="AL40" s="185"/>
      <c r="AM40" s="185"/>
    </row>
    <row r="41" spans="1:39" x14ac:dyDescent="0.25">
      <c r="A41" s="143">
        <v>19</v>
      </c>
      <c r="B41" s="322">
        <v>44935</v>
      </c>
      <c r="C41" s="32"/>
      <c r="D41" s="31"/>
      <c r="E41" s="32"/>
      <c r="F41" s="32"/>
      <c r="G41" s="32"/>
      <c r="H41" s="39"/>
      <c r="I41" s="39"/>
      <c r="J41" s="42"/>
      <c r="K41" s="43">
        <v>10</v>
      </c>
      <c r="L41" s="21"/>
      <c r="M41" s="21">
        <f t="shared" si="4"/>
        <v>10</v>
      </c>
      <c r="N41" s="21">
        <f t="shared" si="5"/>
        <v>-10</v>
      </c>
      <c r="O41" s="21"/>
      <c r="P41" s="21"/>
      <c r="Q41" s="21"/>
      <c r="R41" s="5"/>
      <c r="S41" s="32"/>
      <c r="T41" s="32"/>
      <c r="U41" s="21">
        <f t="shared" si="6"/>
        <v>0</v>
      </c>
      <c r="V41" s="32"/>
      <c r="W41" s="294">
        <f t="shared" si="7"/>
        <v>0</v>
      </c>
      <c r="X41" s="140"/>
      <c r="Z41" s="5"/>
      <c r="AF41">
        <v>498.5</v>
      </c>
      <c r="AI41" s="326" t="s">
        <v>4001</v>
      </c>
      <c r="AJ41" s="327">
        <v>141</v>
      </c>
      <c r="AL41" s="185"/>
      <c r="AM41" s="185"/>
    </row>
    <row r="42" spans="1:3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>
        <f>+((SUM(O23:O41))-(SUM(P23:P41)))</f>
        <v>276</v>
      </c>
      <c r="Q42" s="5"/>
      <c r="R42" s="5"/>
      <c r="S42" s="5"/>
      <c r="T42" s="5"/>
      <c r="U42" s="5"/>
      <c r="V42" s="5"/>
      <c r="W42" s="5"/>
      <c r="X42" s="141"/>
      <c r="Y42" s="5"/>
      <c r="Z42" s="5"/>
      <c r="AI42" s="162" t="s">
        <v>4002</v>
      </c>
      <c r="AJ42" s="83">
        <f>AJ40+AJ41</f>
        <v>529.5</v>
      </c>
      <c r="AL42" s="185"/>
      <c r="AM42" s="185"/>
    </row>
    <row r="43" spans="1:39" x14ac:dyDescent="0.25">
      <c r="AJ43" s="83"/>
    </row>
    <row r="44" spans="1:39" x14ac:dyDescent="0.25">
      <c r="AE44" s="5"/>
      <c r="AF44" s="5"/>
      <c r="AG44" s="5"/>
      <c r="AH44" s="5"/>
      <c r="AI44" s="5"/>
      <c r="AJ44" s="5"/>
      <c r="AK44" s="5"/>
    </row>
    <row r="45" spans="1:39" x14ac:dyDescent="0.25">
      <c r="AE45" s="5"/>
      <c r="AF45" s="134" t="s">
        <v>20</v>
      </c>
      <c r="AG45" s="362">
        <f>+AJ45+AF41</f>
        <v>972.5</v>
      </c>
      <c r="AH45" s="341" t="s">
        <v>686</v>
      </c>
      <c r="AI45" s="134" t="s">
        <v>20</v>
      </c>
      <c r="AJ45" s="358">
        <f>+AF40</f>
        <v>474</v>
      </c>
      <c r="AK45" s="5"/>
    </row>
    <row r="46" spans="1:39" ht="30" x14ac:dyDescent="0.25">
      <c r="A46" s="1" t="s">
        <v>0</v>
      </c>
      <c r="B46" s="1"/>
      <c r="C46" s="1"/>
      <c r="D46" s="1"/>
      <c r="E46" s="1"/>
      <c r="F46" s="1"/>
      <c r="G46" s="1"/>
      <c r="H46" s="1"/>
      <c r="I46" s="1"/>
      <c r="J46" s="1" t="s">
        <v>148</v>
      </c>
      <c r="K46" s="1"/>
      <c r="L46" s="1"/>
      <c r="M46" s="1"/>
      <c r="N46" s="1"/>
      <c r="O46" s="363" t="s">
        <v>3679</v>
      </c>
      <c r="P46" s="363"/>
      <c r="Q46" s="1"/>
      <c r="R46" s="1"/>
      <c r="S46" s="1"/>
      <c r="T46" s="1"/>
      <c r="U46" s="5"/>
      <c r="V46" s="5"/>
      <c r="W46" s="295" t="s">
        <v>1</v>
      </c>
      <c r="X46" s="139"/>
      <c r="Y46" s="1"/>
      <c r="Z46" s="5"/>
      <c r="AE46" s="5" t="s">
        <v>685</v>
      </c>
      <c r="AF46" s="115" t="s">
        <v>3676</v>
      </c>
      <c r="AG46" s="360"/>
      <c r="AH46" s="341"/>
      <c r="AI46" s="115" t="s">
        <v>684</v>
      </c>
      <c r="AJ46" s="360"/>
      <c r="AK46" s="5"/>
    </row>
    <row r="47" spans="1:39" ht="90" x14ac:dyDescent="0.25">
      <c r="A47" s="6" t="s">
        <v>2</v>
      </c>
      <c r="B47" s="7" t="s">
        <v>3</v>
      </c>
      <c r="C47" s="245" t="s">
        <v>3675</v>
      </c>
      <c r="D47" s="7" t="s">
        <v>4</v>
      </c>
      <c r="E47" s="6" t="s">
        <v>5</v>
      </c>
      <c r="F47" s="6" t="s">
        <v>6</v>
      </c>
      <c r="G47" s="6" t="s">
        <v>7</v>
      </c>
      <c r="H47" s="6" t="s">
        <v>8</v>
      </c>
      <c r="I47" s="8" t="s">
        <v>9</v>
      </c>
      <c r="J47" s="8" t="s">
        <v>10</v>
      </c>
      <c r="K47" s="8" t="s">
        <v>11</v>
      </c>
      <c r="L47" s="76" t="s">
        <v>12</v>
      </c>
      <c r="M47" s="76" t="s">
        <v>13</v>
      </c>
      <c r="N47" s="15" t="s">
        <v>14</v>
      </c>
      <c r="O47" s="15" t="s">
        <v>173</v>
      </c>
      <c r="P47" s="15" t="s">
        <v>174</v>
      </c>
      <c r="Q47" s="76" t="s">
        <v>28</v>
      </c>
      <c r="R47" s="5"/>
      <c r="S47" s="76" t="s">
        <v>16</v>
      </c>
      <c r="T47" s="76" t="s">
        <v>17</v>
      </c>
      <c r="U47" s="76" t="s">
        <v>18</v>
      </c>
      <c r="V47" s="76" t="s">
        <v>19</v>
      </c>
      <c r="W47" s="76" t="s">
        <v>20</v>
      </c>
      <c r="X47" s="13"/>
      <c r="Y47" s="15" t="s">
        <v>23</v>
      </c>
      <c r="Z47" s="5"/>
      <c r="AE47" s="5"/>
      <c r="AF47" s="5"/>
      <c r="AG47" s="5"/>
      <c r="AH47" s="5" t="s">
        <v>3677</v>
      </c>
      <c r="AI47" s="5"/>
      <c r="AJ47" s="5"/>
      <c r="AK47" s="5"/>
    </row>
    <row r="48" spans="1:39" x14ac:dyDescent="0.25">
      <c r="A48" s="16">
        <v>1</v>
      </c>
      <c r="B48" s="92">
        <v>44936</v>
      </c>
      <c r="C48" s="23">
        <v>0.41666666666666669</v>
      </c>
      <c r="D48" s="31" t="s">
        <v>4003</v>
      </c>
      <c r="E48" s="32"/>
      <c r="F48" s="32" t="s">
        <v>4006</v>
      </c>
      <c r="G48" s="39" t="s">
        <v>4005</v>
      </c>
      <c r="H48" s="39"/>
      <c r="I48" s="122">
        <v>300</v>
      </c>
      <c r="J48" s="32">
        <v>284</v>
      </c>
      <c r="K48" s="20">
        <v>15</v>
      </c>
      <c r="L48" s="50">
        <v>1</v>
      </c>
      <c r="M48" s="50">
        <f t="shared" ref="M48:M66" si="8">+J48+K48</f>
        <v>299</v>
      </c>
      <c r="N48" s="50">
        <f t="shared" ref="N48:N66" si="9">+I48-M48</f>
        <v>1</v>
      </c>
      <c r="O48" s="29">
        <v>300</v>
      </c>
      <c r="P48" s="29"/>
      <c r="Q48" s="50"/>
      <c r="R48" s="5"/>
      <c r="S48" s="50">
        <v>300</v>
      </c>
      <c r="T48" s="29"/>
      <c r="U48" s="50">
        <f t="shared" ref="U48:U66" si="10">+S48+T48</f>
        <v>300</v>
      </c>
      <c r="V48" s="50">
        <v>316</v>
      </c>
      <c r="W48" s="294">
        <v>16</v>
      </c>
      <c r="X48" s="13"/>
      <c r="Y48" s="333"/>
      <c r="Z48" s="5"/>
    </row>
    <row r="49" spans="1:39" x14ac:dyDescent="0.25">
      <c r="A49" s="26">
        <v>2</v>
      </c>
      <c r="B49" s="92">
        <v>44936</v>
      </c>
      <c r="C49" s="23">
        <v>0.43055555555555558</v>
      </c>
      <c r="D49" s="31" t="s">
        <v>3133</v>
      </c>
      <c r="E49" s="32"/>
      <c r="F49" s="32" t="s">
        <v>4007</v>
      </c>
      <c r="G49" s="32" t="s">
        <v>26</v>
      </c>
      <c r="H49" s="39" t="s">
        <v>4013</v>
      </c>
      <c r="I49" s="122">
        <v>65</v>
      </c>
      <c r="J49" s="32">
        <v>45</v>
      </c>
      <c r="K49" s="20">
        <v>20</v>
      </c>
      <c r="L49" s="21"/>
      <c r="M49" s="21">
        <f t="shared" si="8"/>
        <v>65</v>
      </c>
      <c r="N49" s="21">
        <f t="shared" si="9"/>
        <v>0</v>
      </c>
      <c r="O49" s="16"/>
      <c r="P49" s="16"/>
      <c r="Q49" s="21"/>
      <c r="R49" s="5"/>
      <c r="S49" s="21">
        <v>200</v>
      </c>
      <c r="T49" s="16"/>
      <c r="U49" s="21">
        <f t="shared" si="10"/>
        <v>200</v>
      </c>
      <c r="V49" s="21">
        <v>220</v>
      </c>
      <c r="W49" s="294">
        <f t="shared" ref="W49:W66" si="11">+V49-U49+O49-Q49-P49</f>
        <v>20</v>
      </c>
      <c r="X49" s="140"/>
      <c r="Y49" s="334"/>
      <c r="Z49" s="5"/>
      <c r="AE49" s="5"/>
      <c r="AF49" s="5"/>
      <c r="AG49" s="5"/>
      <c r="AH49" s="5"/>
      <c r="AI49" s="5"/>
      <c r="AJ49" s="5"/>
      <c r="AK49" s="5"/>
    </row>
    <row r="50" spans="1:39" x14ac:dyDescent="0.25">
      <c r="A50" s="143" t="s">
        <v>148</v>
      </c>
      <c r="B50" s="92">
        <v>44936</v>
      </c>
      <c r="C50" s="23">
        <v>0.44791666666666669</v>
      </c>
      <c r="D50" s="31" t="s">
        <v>3193</v>
      </c>
      <c r="E50" s="32"/>
      <c r="F50" s="32" t="s">
        <v>4008</v>
      </c>
      <c r="G50" s="39" t="s">
        <v>4004</v>
      </c>
      <c r="H50" s="39" t="s">
        <v>4014</v>
      </c>
      <c r="I50" s="122">
        <v>130</v>
      </c>
      <c r="J50" s="32">
        <v>110</v>
      </c>
      <c r="K50" s="20">
        <v>14</v>
      </c>
      <c r="L50" s="21">
        <v>4</v>
      </c>
      <c r="M50" s="21">
        <f t="shared" si="8"/>
        <v>124</v>
      </c>
      <c r="N50" s="21">
        <f t="shared" si="9"/>
        <v>6</v>
      </c>
      <c r="O50" s="16"/>
      <c r="P50" s="16"/>
      <c r="Q50" s="21"/>
      <c r="R50" s="5"/>
      <c r="S50" s="21">
        <v>200</v>
      </c>
      <c r="T50" s="16"/>
      <c r="U50" s="21">
        <f t="shared" si="10"/>
        <v>200</v>
      </c>
      <c r="V50" s="21">
        <v>218</v>
      </c>
      <c r="W50" s="294">
        <f t="shared" si="11"/>
        <v>18</v>
      </c>
      <c r="X50" s="140"/>
      <c r="Y50" s="334"/>
      <c r="Z50" s="5"/>
      <c r="AE50" s="5"/>
      <c r="AF50" s="134" t="s">
        <v>20</v>
      </c>
      <c r="AG50" s="358">
        <f>P42</f>
        <v>276</v>
      </c>
      <c r="AH50" s="341" t="s">
        <v>687</v>
      </c>
      <c r="AI50" s="134" t="s">
        <v>20</v>
      </c>
      <c r="AJ50" s="358">
        <f>+AJ40</f>
        <v>388.5</v>
      </c>
      <c r="AK50" s="5"/>
    </row>
    <row r="51" spans="1:39" x14ac:dyDescent="0.25">
      <c r="A51" s="143">
        <v>4</v>
      </c>
      <c r="B51" s="92">
        <v>44936</v>
      </c>
      <c r="C51" s="23">
        <v>0.45833333333333331</v>
      </c>
      <c r="D51" s="31" t="s">
        <v>48</v>
      </c>
      <c r="E51" s="32"/>
      <c r="F51" s="32" t="s">
        <v>4009</v>
      </c>
      <c r="G51" s="32" t="s">
        <v>4015</v>
      </c>
      <c r="H51" s="32" t="s">
        <v>4010</v>
      </c>
      <c r="I51" s="122">
        <v>100</v>
      </c>
      <c r="J51" s="32">
        <v>83</v>
      </c>
      <c r="K51" s="20">
        <v>17</v>
      </c>
      <c r="L51" s="21"/>
      <c r="M51" s="21">
        <f t="shared" si="8"/>
        <v>100</v>
      </c>
      <c r="N51" s="21">
        <f t="shared" si="9"/>
        <v>0</v>
      </c>
      <c r="O51" s="16">
        <v>100</v>
      </c>
      <c r="P51" s="16"/>
      <c r="Q51" s="21"/>
      <c r="R51" s="5"/>
      <c r="S51" s="21">
        <v>250</v>
      </c>
      <c r="T51" s="16"/>
      <c r="U51" s="21">
        <f t="shared" si="10"/>
        <v>250</v>
      </c>
      <c r="V51" s="21">
        <v>267</v>
      </c>
      <c r="W51" s="294">
        <f t="shared" si="11"/>
        <v>117</v>
      </c>
      <c r="X51" s="140"/>
      <c r="Y51" s="334"/>
      <c r="Z51" s="5"/>
      <c r="AE51" s="5" t="s">
        <v>3679</v>
      </c>
      <c r="AF51" s="115" t="s">
        <v>684</v>
      </c>
      <c r="AG51" s="359"/>
      <c r="AH51" s="341"/>
      <c r="AI51" s="115" t="s">
        <v>684</v>
      </c>
      <c r="AJ51" s="360"/>
      <c r="AK51" s="5"/>
    </row>
    <row r="52" spans="1:39" x14ac:dyDescent="0.25">
      <c r="A52" s="143">
        <v>5</v>
      </c>
      <c r="B52" s="92">
        <v>44936</v>
      </c>
      <c r="C52" s="23">
        <v>4.8611111111111112E-2</v>
      </c>
      <c r="D52" s="31" t="s">
        <v>4011</v>
      </c>
      <c r="E52" s="32"/>
      <c r="F52" s="32" t="s">
        <v>4012</v>
      </c>
      <c r="G52" s="32" t="s">
        <v>4016</v>
      </c>
      <c r="H52" s="32" t="s">
        <v>4017</v>
      </c>
      <c r="I52" s="122">
        <v>50</v>
      </c>
      <c r="J52" s="32">
        <v>30</v>
      </c>
      <c r="K52" s="20">
        <v>15</v>
      </c>
      <c r="L52" s="21">
        <v>5</v>
      </c>
      <c r="M52" s="21">
        <f t="shared" si="8"/>
        <v>45</v>
      </c>
      <c r="N52" s="21">
        <v>0</v>
      </c>
      <c r="O52" s="16"/>
      <c r="P52" s="16"/>
      <c r="Q52" s="21"/>
      <c r="R52" s="5"/>
      <c r="S52" s="18">
        <v>100</v>
      </c>
      <c r="T52" s="16"/>
      <c r="U52" s="21">
        <f t="shared" si="10"/>
        <v>100</v>
      </c>
      <c r="V52" s="21">
        <v>120</v>
      </c>
      <c r="W52" s="294">
        <f t="shared" si="11"/>
        <v>20</v>
      </c>
      <c r="X52" s="140"/>
      <c r="Y52" s="334"/>
      <c r="Z52" s="5"/>
      <c r="AE52" s="5"/>
      <c r="AF52" s="5"/>
      <c r="AG52" s="5"/>
      <c r="AH52" s="5" t="s">
        <v>3678</v>
      </c>
      <c r="AI52" s="5"/>
      <c r="AJ52" s="5"/>
      <c r="AK52" s="5"/>
    </row>
    <row r="53" spans="1:39" x14ac:dyDescent="0.25">
      <c r="A53" s="143">
        <v>6</v>
      </c>
      <c r="B53" s="92">
        <v>44936</v>
      </c>
      <c r="C53" s="23">
        <v>0.17013888888888887</v>
      </c>
      <c r="D53" s="31" t="s">
        <v>4018</v>
      </c>
      <c r="E53" s="32"/>
      <c r="F53" s="32" t="s">
        <v>2273</v>
      </c>
      <c r="G53" s="32" t="s">
        <v>4019</v>
      </c>
      <c r="H53" s="39" t="s">
        <v>4020</v>
      </c>
      <c r="I53" s="39">
        <v>65</v>
      </c>
      <c r="J53" s="42">
        <v>54</v>
      </c>
      <c r="K53" s="20">
        <v>11</v>
      </c>
      <c r="L53" s="21"/>
      <c r="M53" s="21">
        <f t="shared" si="8"/>
        <v>65</v>
      </c>
      <c r="N53" s="21">
        <f t="shared" si="9"/>
        <v>0</v>
      </c>
      <c r="O53" s="16"/>
      <c r="P53" s="16"/>
      <c r="Q53" s="21"/>
      <c r="R53" s="5"/>
      <c r="S53" s="16"/>
      <c r="T53" s="16"/>
      <c r="U53" s="21">
        <f t="shared" si="10"/>
        <v>0</v>
      </c>
      <c r="V53" s="16"/>
      <c r="W53" s="294">
        <f t="shared" si="11"/>
        <v>0</v>
      </c>
      <c r="X53" s="140"/>
      <c r="Y53" s="334"/>
      <c r="Z53" s="5"/>
      <c r="AL53" s="185"/>
      <c r="AM53" s="185"/>
    </row>
    <row r="54" spans="1:39" x14ac:dyDescent="0.25">
      <c r="A54" s="143">
        <v>7</v>
      </c>
      <c r="B54" s="92">
        <v>44936</v>
      </c>
      <c r="C54" s="23">
        <v>0.27361111111111108</v>
      </c>
      <c r="D54" s="31" t="s">
        <v>1912</v>
      </c>
      <c r="E54" s="32"/>
      <c r="F54" s="32" t="s">
        <v>923</v>
      </c>
      <c r="G54" s="32" t="s">
        <v>3147</v>
      </c>
      <c r="H54" s="39" t="s">
        <v>4024</v>
      </c>
      <c r="I54" s="122"/>
      <c r="J54" s="42">
        <v>405</v>
      </c>
      <c r="K54" s="20">
        <v>10</v>
      </c>
      <c r="L54" s="21"/>
      <c r="M54" s="21">
        <f t="shared" si="8"/>
        <v>415</v>
      </c>
      <c r="N54" s="21">
        <f t="shared" si="9"/>
        <v>-415</v>
      </c>
      <c r="O54" s="16"/>
      <c r="P54" s="16"/>
      <c r="Q54" s="21"/>
      <c r="R54" s="5"/>
      <c r="S54" s="16">
        <v>700</v>
      </c>
      <c r="T54" s="16"/>
      <c r="U54" s="21">
        <f t="shared" si="10"/>
        <v>700</v>
      </c>
      <c r="V54" s="16"/>
      <c r="W54" s="294">
        <f t="shared" si="11"/>
        <v>-700</v>
      </c>
      <c r="X54" s="140"/>
      <c r="Y54" s="334"/>
      <c r="Z54" s="5"/>
      <c r="AE54" s="335" t="s">
        <v>160</v>
      </c>
      <c r="AF54" s="336"/>
      <c r="AI54" s="335" t="s">
        <v>170</v>
      </c>
      <c r="AJ54" s="336"/>
      <c r="AL54" s="361"/>
      <c r="AM54" s="361"/>
    </row>
    <row r="55" spans="1:39" ht="45" x14ac:dyDescent="0.25">
      <c r="A55" s="143">
        <v>8</v>
      </c>
      <c r="B55" s="92">
        <v>44936</v>
      </c>
      <c r="C55" s="23"/>
      <c r="D55" s="31" t="s">
        <v>245</v>
      </c>
      <c r="E55" s="123"/>
      <c r="F55" s="123" t="s">
        <v>923</v>
      </c>
      <c r="G55" s="123" t="s">
        <v>1350</v>
      </c>
      <c r="H55" s="123" t="s">
        <v>4025</v>
      </c>
      <c r="I55" s="122"/>
      <c r="J55" s="32">
        <v>72</v>
      </c>
      <c r="K55" s="20">
        <v>10</v>
      </c>
      <c r="L55" s="21"/>
      <c r="M55" s="21">
        <f t="shared" si="8"/>
        <v>82</v>
      </c>
      <c r="N55" s="21">
        <f t="shared" si="9"/>
        <v>-82</v>
      </c>
      <c r="O55" s="16"/>
      <c r="P55" s="16"/>
      <c r="Q55" s="21"/>
      <c r="R55" s="5"/>
      <c r="S55" s="16"/>
      <c r="T55" s="16"/>
      <c r="U55" s="21">
        <f t="shared" si="10"/>
        <v>0</v>
      </c>
      <c r="V55" s="16"/>
      <c r="W55" s="294">
        <f t="shared" si="11"/>
        <v>0</v>
      </c>
      <c r="X55" s="140"/>
      <c r="Y55" s="334"/>
      <c r="Z55" s="5"/>
      <c r="AB55" s="251" t="s">
        <v>2554</v>
      </c>
      <c r="AE55" s="16" t="s">
        <v>161</v>
      </c>
      <c r="AF55" s="58">
        <f>+AD55*10</f>
        <v>0</v>
      </c>
      <c r="AH55">
        <v>4</v>
      </c>
      <c r="AI55" s="16" t="s">
        <v>161</v>
      </c>
      <c r="AJ55" s="58">
        <f>+AH55*10</f>
        <v>40</v>
      </c>
      <c r="AL55" s="185"/>
      <c r="AM55" s="185"/>
    </row>
    <row r="56" spans="1:39" x14ac:dyDescent="0.25">
      <c r="A56" s="143">
        <v>9</v>
      </c>
      <c r="B56" s="92">
        <v>44936</v>
      </c>
      <c r="C56" s="23"/>
      <c r="D56" s="31" t="s">
        <v>1912</v>
      </c>
      <c r="E56" s="32"/>
      <c r="F56" s="32" t="s">
        <v>923</v>
      </c>
      <c r="G56" s="32" t="s">
        <v>3147</v>
      </c>
      <c r="H56" s="39" t="s">
        <v>4026</v>
      </c>
      <c r="I56" s="39"/>
      <c r="J56" s="40">
        <v>250</v>
      </c>
      <c r="K56" s="20">
        <v>10</v>
      </c>
      <c r="L56" s="21"/>
      <c r="M56" s="21">
        <f t="shared" si="8"/>
        <v>260</v>
      </c>
      <c r="N56" s="21">
        <f t="shared" si="9"/>
        <v>-260</v>
      </c>
      <c r="O56" s="16"/>
      <c r="P56" s="16"/>
      <c r="Q56" s="21"/>
      <c r="R56" s="5"/>
      <c r="S56" s="16"/>
      <c r="T56" s="16"/>
      <c r="U56" s="21">
        <f t="shared" si="10"/>
        <v>0</v>
      </c>
      <c r="V56" s="16"/>
      <c r="W56" s="294">
        <f t="shared" si="11"/>
        <v>0</v>
      </c>
      <c r="X56" s="140"/>
      <c r="Y56" s="334"/>
      <c r="Z56" s="5"/>
      <c r="AD56">
        <v>104</v>
      </c>
      <c r="AE56" s="59" t="s">
        <v>162</v>
      </c>
      <c r="AF56" s="18">
        <f>+AD56*1</f>
        <v>104</v>
      </c>
      <c r="AH56">
        <v>123</v>
      </c>
      <c r="AI56" s="59" t="s">
        <v>162</v>
      </c>
      <c r="AJ56" s="18">
        <f>+AH56*1</f>
        <v>123</v>
      </c>
      <c r="AL56" s="185"/>
      <c r="AM56" s="185"/>
    </row>
    <row r="57" spans="1:39" x14ac:dyDescent="0.25">
      <c r="A57" s="143">
        <v>10</v>
      </c>
      <c r="B57" s="92">
        <v>44936</v>
      </c>
      <c r="C57" s="23"/>
      <c r="D57" s="31" t="s">
        <v>2753</v>
      </c>
      <c r="E57" s="32"/>
      <c r="F57" s="32" t="s">
        <v>4028</v>
      </c>
      <c r="G57" s="32" t="s">
        <v>875</v>
      </c>
      <c r="H57" s="39" t="s">
        <v>4027</v>
      </c>
      <c r="I57" s="122"/>
      <c r="J57" s="42">
        <f>17+18</f>
        <v>35</v>
      </c>
      <c r="K57" s="20">
        <v>10</v>
      </c>
      <c r="L57" s="21"/>
      <c r="M57" s="21">
        <f t="shared" si="8"/>
        <v>45</v>
      </c>
      <c r="N57" s="21">
        <f t="shared" si="9"/>
        <v>-45</v>
      </c>
      <c r="O57" s="16"/>
      <c r="P57" s="16"/>
      <c r="Q57" s="21"/>
      <c r="R57" s="5"/>
      <c r="S57" s="16"/>
      <c r="T57" s="16"/>
      <c r="U57" s="21">
        <f t="shared" si="10"/>
        <v>0</v>
      </c>
      <c r="V57" s="16"/>
      <c r="W57" s="294">
        <f t="shared" si="11"/>
        <v>0</v>
      </c>
      <c r="X57" s="140"/>
      <c r="Y57" s="334"/>
      <c r="Z57" s="5"/>
      <c r="AD57">
        <v>1</v>
      </c>
      <c r="AE57" s="16" t="s">
        <v>163</v>
      </c>
      <c r="AF57" s="60">
        <f>+AD57*5</f>
        <v>5</v>
      </c>
      <c r="AH57">
        <v>6</v>
      </c>
      <c r="AI57" s="16" t="s">
        <v>163</v>
      </c>
      <c r="AJ57" s="60">
        <f>+AH57*5</f>
        <v>30</v>
      </c>
      <c r="AL57" s="185"/>
      <c r="AM57" s="185"/>
    </row>
    <row r="58" spans="1:39" x14ac:dyDescent="0.25">
      <c r="A58" s="143">
        <v>11</v>
      </c>
      <c r="B58" s="92">
        <v>44936</v>
      </c>
      <c r="C58" s="23"/>
      <c r="D58" s="31" t="s">
        <v>4021</v>
      </c>
      <c r="E58" s="124"/>
      <c r="F58" s="123" t="s">
        <v>923</v>
      </c>
      <c r="G58" s="123" t="s">
        <v>4030</v>
      </c>
      <c r="H58" s="39" t="s">
        <v>4029</v>
      </c>
      <c r="I58" s="122"/>
      <c r="J58" s="42">
        <v>80</v>
      </c>
      <c r="K58" s="20">
        <v>10</v>
      </c>
      <c r="L58" s="21"/>
      <c r="M58" s="21">
        <f t="shared" si="8"/>
        <v>90</v>
      </c>
      <c r="N58" s="21">
        <f t="shared" si="9"/>
        <v>-90</v>
      </c>
      <c r="O58" s="16"/>
      <c r="P58" s="16"/>
      <c r="Q58" s="21"/>
      <c r="R58" s="5"/>
      <c r="S58" s="16"/>
      <c r="T58" s="16"/>
      <c r="U58" s="21">
        <f t="shared" si="10"/>
        <v>0</v>
      </c>
      <c r="V58" s="16"/>
      <c r="W58" s="294">
        <f t="shared" si="11"/>
        <v>0</v>
      </c>
      <c r="X58" s="140"/>
      <c r="Y58" s="334"/>
      <c r="Z58" s="5"/>
      <c r="AE58" s="16" t="s">
        <v>164</v>
      </c>
      <c r="AF58" s="18">
        <f>+AD58*200</f>
        <v>0</v>
      </c>
      <c r="AI58" s="16" t="s">
        <v>164</v>
      </c>
      <c r="AJ58" s="18">
        <f>+AH58*200</f>
        <v>0</v>
      </c>
      <c r="AL58" s="185"/>
      <c r="AM58" s="185"/>
    </row>
    <row r="59" spans="1:39" x14ac:dyDescent="0.25">
      <c r="A59" s="143">
        <v>12</v>
      </c>
      <c r="B59" s="92">
        <v>44936</v>
      </c>
      <c r="C59" s="23"/>
      <c r="D59" s="32" t="s">
        <v>4041</v>
      </c>
      <c r="E59" s="32"/>
      <c r="F59" s="124" t="s">
        <v>923</v>
      </c>
      <c r="G59" s="123" t="s">
        <v>3190</v>
      </c>
      <c r="H59" s="39" t="s">
        <v>4031</v>
      </c>
      <c r="I59" s="39"/>
      <c r="J59" s="42">
        <v>90</v>
      </c>
      <c r="K59" s="20">
        <v>10</v>
      </c>
      <c r="L59" s="21"/>
      <c r="M59" s="21">
        <f t="shared" si="8"/>
        <v>100</v>
      </c>
      <c r="N59" s="21">
        <f t="shared" si="9"/>
        <v>-100</v>
      </c>
      <c r="O59" s="26">
        <v>120</v>
      </c>
      <c r="P59" s="26"/>
      <c r="Q59" s="21"/>
      <c r="R59" s="5"/>
      <c r="S59" s="45"/>
      <c r="T59" s="44"/>
      <c r="U59" s="21">
        <f t="shared" si="10"/>
        <v>0</v>
      </c>
      <c r="V59" s="45"/>
      <c r="W59" s="294">
        <f t="shared" si="11"/>
        <v>120</v>
      </c>
      <c r="X59" s="140"/>
      <c r="Y59" s="334"/>
      <c r="Z59" s="5"/>
      <c r="AD59">
        <v>2</v>
      </c>
      <c r="AE59" s="16" t="s">
        <v>165</v>
      </c>
      <c r="AF59" s="18">
        <f>+AD59*100</f>
        <v>200</v>
      </c>
      <c r="AH59">
        <v>1</v>
      </c>
      <c r="AI59" s="16" t="s">
        <v>165</v>
      </c>
      <c r="AJ59" s="18">
        <f>+AH59*100</f>
        <v>100</v>
      </c>
      <c r="AL59" s="185"/>
      <c r="AM59" s="185"/>
    </row>
    <row r="60" spans="1:39" x14ac:dyDescent="0.25">
      <c r="A60" s="143">
        <v>13</v>
      </c>
      <c r="B60" s="92">
        <v>44936</v>
      </c>
      <c r="C60" s="23"/>
      <c r="D60" s="32" t="s">
        <v>4022</v>
      </c>
      <c r="E60" s="32"/>
      <c r="F60" s="32" t="s">
        <v>923</v>
      </c>
      <c r="G60" s="32" t="s">
        <v>4033</v>
      </c>
      <c r="H60" s="39" t="s">
        <v>4032</v>
      </c>
      <c r="I60" s="39"/>
      <c r="J60" s="42">
        <f>17*6</f>
        <v>102</v>
      </c>
      <c r="K60" s="108">
        <v>10</v>
      </c>
      <c r="L60" s="21"/>
      <c r="M60" s="21">
        <f t="shared" si="8"/>
        <v>112</v>
      </c>
      <c r="N60" s="78">
        <f t="shared" si="9"/>
        <v>-112</v>
      </c>
      <c r="O60" s="143"/>
      <c r="P60" s="143"/>
      <c r="Q60" s="20"/>
      <c r="R60" s="5"/>
      <c r="S60" s="43"/>
      <c r="T60" s="32"/>
      <c r="U60" s="21">
        <f t="shared" si="10"/>
        <v>0</v>
      </c>
      <c r="V60" s="43"/>
      <c r="W60" s="294">
        <f t="shared" si="11"/>
        <v>0</v>
      </c>
      <c r="X60" s="140"/>
      <c r="Y60" s="334"/>
      <c r="Z60" s="5"/>
      <c r="AD60">
        <v>2</v>
      </c>
      <c r="AE60" s="16" t="s">
        <v>166</v>
      </c>
      <c r="AF60" s="18">
        <f>+AD60*50</f>
        <v>100</v>
      </c>
      <c r="AH60">
        <v>2</v>
      </c>
      <c r="AI60" s="16" t="s">
        <v>166</v>
      </c>
      <c r="AJ60" s="18">
        <f>+AH60*50</f>
        <v>100</v>
      </c>
      <c r="AL60" s="185"/>
      <c r="AM60" s="185"/>
    </row>
    <row r="61" spans="1:39" x14ac:dyDescent="0.25">
      <c r="A61" s="143">
        <v>14</v>
      </c>
      <c r="B61" s="198">
        <v>44936</v>
      </c>
      <c r="C61" s="255"/>
      <c r="D61" s="199" t="s">
        <v>910</v>
      </c>
      <c r="E61" s="207"/>
      <c r="F61" s="207" t="s">
        <v>2854</v>
      </c>
      <c r="G61" s="207" t="s">
        <v>1347</v>
      </c>
      <c r="H61" s="202" t="s">
        <v>4034</v>
      </c>
      <c r="I61" s="202"/>
      <c r="J61" s="204">
        <f>41+46</f>
        <v>87</v>
      </c>
      <c r="K61" s="331">
        <v>10</v>
      </c>
      <c r="L61" s="206"/>
      <c r="M61" s="206">
        <f t="shared" si="8"/>
        <v>97</v>
      </c>
      <c r="N61" s="206">
        <f t="shared" si="9"/>
        <v>-97</v>
      </c>
      <c r="O61" s="332"/>
      <c r="P61" s="332"/>
      <c r="Q61" s="206"/>
      <c r="R61" s="208"/>
      <c r="S61" s="320"/>
      <c r="T61" s="320"/>
      <c r="U61" s="206">
        <f t="shared" si="10"/>
        <v>0</v>
      </c>
      <c r="V61" s="320"/>
      <c r="W61" s="314">
        <f t="shared" si="11"/>
        <v>0</v>
      </c>
      <c r="X61" s="140"/>
      <c r="Y61" s="334"/>
      <c r="Z61" s="5"/>
      <c r="AE61" s="16" t="s">
        <v>167</v>
      </c>
      <c r="AF61" s="18">
        <f>+AD61*20</f>
        <v>0</v>
      </c>
      <c r="AI61" s="16" t="s">
        <v>167</v>
      </c>
      <c r="AJ61" s="18">
        <f>+AH61*20</f>
        <v>0</v>
      </c>
      <c r="AL61" s="185"/>
      <c r="AM61" s="185"/>
    </row>
    <row r="62" spans="1:39" x14ac:dyDescent="0.25">
      <c r="A62" s="197">
        <v>15</v>
      </c>
      <c r="B62" s="198">
        <v>44936</v>
      </c>
      <c r="C62" s="255"/>
      <c r="D62" s="328" t="s">
        <v>245</v>
      </c>
      <c r="E62" s="207"/>
      <c r="F62" s="207" t="s">
        <v>923</v>
      </c>
      <c r="G62" s="329" t="s">
        <v>4035</v>
      </c>
      <c r="H62" s="330" t="s">
        <v>4023</v>
      </c>
      <c r="I62" s="202"/>
      <c r="J62" s="204">
        <v>75</v>
      </c>
      <c r="K62" s="331">
        <v>10</v>
      </c>
      <c r="L62" s="206"/>
      <c r="M62" s="206">
        <f t="shared" si="8"/>
        <v>85</v>
      </c>
      <c r="N62" s="206">
        <f t="shared" si="9"/>
        <v>-85</v>
      </c>
      <c r="O62" s="206"/>
      <c r="P62" s="206"/>
      <c r="Q62" s="206"/>
      <c r="R62" s="208"/>
      <c r="S62" s="320"/>
      <c r="T62" s="320"/>
      <c r="U62" s="206">
        <f t="shared" si="10"/>
        <v>0</v>
      </c>
      <c r="V62" s="320"/>
      <c r="W62" s="314">
        <f t="shared" si="11"/>
        <v>0</v>
      </c>
      <c r="X62" s="140"/>
      <c r="Y62" s="334"/>
      <c r="Z62" s="5"/>
      <c r="AD62">
        <v>1</v>
      </c>
      <c r="AE62" s="16" t="s">
        <v>171</v>
      </c>
      <c r="AF62" s="18">
        <f>+AD62*500</f>
        <v>500</v>
      </c>
      <c r="AH62">
        <v>1</v>
      </c>
      <c r="AI62" s="16" t="s">
        <v>171</v>
      </c>
      <c r="AJ62" s="18">
        <f>+AH62*500</f>
        <v>500</v>
      </c>
      <c r="AL62" s="185"/>
      <c r="AM62" s="185"/>
    </row>
    <row r="63" spans="1:39" x14ac:dyDescent="0.25">
      <c r="A63" s="143">
        <v>16</v>
      </c>
      <c r="B63" s="92">
        <v>44936</v>
      </c>
      <c r="C63" s="23"/>
      <c r="D63" s="31" t="s">
        <v>3927</v>
      </c>
      <c r="E63" s="32"/>
      <c r="F63" s="32" t="s">
        <v>4038</v>
      </c>
      <c r="G63" s="32" t="s">
        <v>4037</v>
      </c>
      <c r="H63" s="39" t="s">
        <v>4036</v>
      </c>
      <c r="I63" s="39"/>
      <c r="J63" s="42">
        <v>164</v>
      </c>
      <c r="K63" s="43">
        <v>10</v>
      </c>
      <c r="L63" s="21"/>
      <c r="M63" s="21">
        <f t="shared" si="8"/>
        <v>174</v>
      </c>
      <c r="N63" s="21">
        <f t="shared" si="9"/>
        <v>-174</v>
      </c>
      <c r="O63" s="21"/>
      <c r="P63" s="21"/>
      <c r="Q63" s="21"/>
      <c r="R63" s="5"/>
      <c r="S63" s="43"/>
      <c r="T63" s="32"/>
      <c r="U63" s="21">
        <f t="shared" si="10"/>
        <v>0</v>
      </c>
      <c r="V63" s="131"/>
      <c r="W63" s="294">
        <f t="shared" si="11"/>
        <v>0</v>
      </c>
      <c r="X63" s="140"/>
      <c r="Y63" s="334"/>
      <c r="Z63" s="5"/>
      <c r="AE63" s="16" t="s">
        <v>168</v>
      </c>
      <c r="AF63" s="18">
        <f>+AD63*1000</f>
        <v>0</v>
      </c>
      <c r="AI63" s="16" t="s">
        <v>168</v>
      </c>
      <c r="AJ63" s="18">
        <f>+AH63*1000</f>
        <v>0</v>
      </c>
      <c r="AL63" s="185"/>
      <c r="AM63" s="185"/>
    </row>
    <row r="64" spans="1:39" x14ac:dyDescent="0.25">
      <c r="A64" s="143">
        <v>17</v>
      </c>
      <c r="B64" s="92">
        <v>44936</v>
      </c>
      <c r="C64" s="23"/>
      <c r="D64" s="31" t="s">
        <v>1912</v>
      </c>
      <c r="E64" s="32"/>
      <c r="F64" s="32" t="s">
        <v>923</v>
      </c>
      <c r="G64" s="32" t="s">
        <v>3147</v>
      </c>
      <c r="H64" s="39" t="s">
        <v>4039</v>
      </c>
      <c r="I64" s="39"/>
      <c r="J64" s="42">
        <v>170</v>
      </c>
      <c r="K64" s="43">
        <v>10</v>
      </c>
      <c r="L64" s="21"/>
      <c r="M64" s="21">
        <f t="shared" si="8"/>
        <v>180</v>
      </c>
      <c r="N64" s="21">
        <f t="shared" si="9"/>
        <v>-180</v>
      </c>
      <c r="O64" s="21"/>
      <c r="P64" s="21"/>
      <c r="Q64" s="21"/>
      <c r="R64" s="5"/>
      <c r="S64" s="43"/>
      <c r="T64" s="32"/>
      <c r="U64" s="21">
        <f t="shared" si="10"/>
        <v>0</v>
      </c>
      <c r="V64" s="132"/>
      <c r="W64" s="294">
        <f t="shared" si="11"/>
        <v>0</v>
      </c>
      <c r="X64" s="140"/>
      <c r="Y64" s="340"/>
      <c r="Z64" s="5"/>
      <c r="AE64" s="26"/>
      <c r="AF64" s="58"/>
      <c r="AI64" s="26"/>
      <c r="AJ64" s="58"/>
      <c r="AL64" s="185"/>
      <c r="AM64" s="185"/>
    </row>
    <row r="65" spans="1:39" x14ac:dyDescent="0.25">
      <c r="A65" s="143">
        <v>18</v>
      </c>
      <c r="B65" s="92">
        <v>44936</v>
      </c>
      <c r="C65" s="32"/>
      <c r="D65" s="31" t="s">
        <v>3100</v>
      </c>
      <c r="E65" s="32"/>
      <c r="F65" s="32" t="s">
        <v>923</v>
      </c>
      <c r="G65" s="32" t="s">
        <v>3147</v>
      </c>
      <c r="H65" s="39" t="s">
        <v>4040</v>
      </c>
      <c r="I65" s="39"/>
      <c r="J65" s="42">
        <v>50</v>
      </c>
      <c r="K65" s="43">
        <v>10</v>
      </c>
      <c r="L65" s="21"/>
      <c r="M65" s="21">
        <f t="shared" si="8"/>
        <v>60</v>
      </c>
      <c r="N65" s="21">
        <f t="shared" si="9"/>
        <v>-60</v>
      </c>
      <c r="O65" s="21"/>
      <c r="P65" s="21"/>
      <c r="Q65" s="21"/>
      <c r="R65" s="5"/>
      <c r="S65" s="135"/>
      <c r="T65" s="104"/>
      <c r="U65" s="21">
        <f t="shared" si="10"/>
        <v>0</v>
      </c>
      <c r="V65" s="131"/>
      <c r="W65" s="294">
        <f t="shared" si="11"/>
        <v>0</v>
      </c>
      <c r="X65" s="140"/>
      <c r="Z65" s="5"/>
      <c r="AE65" s="16" t="s">
        <v>169</v>
      </c>
      <c r="AF65" s="18">
        <f>SUM(AF55:AF64)</f>
        <v>909</v>
      </c>
      <c r="AI65" s="16" t="s">
        <v>169</v>
      </c>
      <c r="AJ65" s="18">
        <f>SUM(AJ55:AJ64)</f>
        <v>893</v>
      </c>
      <c r="AL65" s="185"/>
      <c r="AM65" s="185"/>
    </row>
    <row r="66" spans="1:39" x14ac:dyDescent="0.25">
      <c r="A66" s="143">
        <v>19</v>
      </c>
      <c r="B66" s="92">
        <v>44936</v>
      </c>
      <c r="C66" s="32"/>
      <c r="D66" s="31"/>
      <c r="E66" s="32"/>
      <c r="F66" s="32"/>
      <c r="G66" s="32"/>
      <c r="H66" s="39"/>
      <c r="I66" s="39"/>
      <c r="J66" s="42"/>
      <c r="K66" s="43">
        <v>10</v>
      </c>
      <c r="L66" s="21"/>
      <c r="M66" s="21">
        <f t="shared" si="8"/>
        <v>10</v>
      </c>
      <c r="N66" s="21">
        <f t="shared" si="9"/>
        <v>-10</v>
      </c>
      <c r="O66" s="21"/>
      <c r="P66" s="21"/>
      <c r="Q66" s="21"/>
      <c r="R66" s="5"/>
      <c r="S66" s="32"/>
      <c r="T66" s="32"/>
      <c r="U66" s="21">
        <f t="shared" si="10"/>
        <v>0</v>
      </c>
      <c r="V66" s="32"/>
      <c r="W66" s="294">
        <f t="shared" si="11"/>
        <v>0</v>
      </c>
      <c r="X66" s="140"/>
      <c r="Z66" s="5"/>
      <c r="AL66" s="185"/>
      <c r="AM66" s="185"/>
    </row>
    <row r="67" spans="1:3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>
        <f>+((SUM(O48:O66))-(SUM(P48:P66)))</f>
        <v>520</v>
      </c>
      <c r="Q67" s="5"/>
      <c r="R67" s="5"/>
      <c r="S67" s="5"/>
      <c r="T67" s="5"/>
      <c r="U67" s="5"/>
      <c r="V67" s="5"/>
      <c r="W67" s="5"/>
      <c r="X67" s="141"/>
      <c r="Y67" s="5"/>
      <c r="Z67" s="5"/>
      <c r="AL67" s="185"/>
      <c r="AM67" s="185"/>
    </row>
    <row r="68" spans="1:39" x14ac:dyDescent="0.25">
      <c r="AJ68" s="83"/>
    </row>
    <row r="69" spans="1:39" x14ac:dyDescent="0.25">
      <c r="AE69" s="5"/>
      <c r="AF69" s="5"/>
      <c r="AG69" s="5"/>
      <c r="AH69" s="5"/>
      <c r="AI69" s="5"/>
      <c r="AJ69" s="5"/>
      <c r="AK69" s="5"/>
    </row>
    <row r="70" spans="1:39" x14ac:dyDescent="0.25">
      <c r="AE70" s="5"/>
      <c r="AF70" s="134" t="s">
        <v>20</v>
      </c>
      <c r="AG70" s="362">
        <f>+AJ70+AF66</f>
        <v>909</v>
      </c>
      <c r="AH70" s="341" t="s">
        <v>686</v>
      </c>
      <c r="AI70" s="134" t="s">
        <v>20</v>
      </c>
      <c r="AJ70" s="358">
        <f>+AF65</f>
        <v>909</v>
      </c>
      <c r="AK70" s="5"/>
    </row>
    <row r="71" spans="1:39" x14ac:dyDescent="0.25">
      <c r="AE71" s="5" t="s">
        <v>685</v>
      </c>
      <c r="AF71" s="115" t="s">
        <v>3676</v>
      </c>
      <c r="AG71" s="360"/>
      <c r="AH71" s="341"/>
      <c r="AI71" s="115" t="s">
        <v>684</v>
      </c>
      <c r="AJ71" s="360"/>
      <c r="AK71" s="5"/>
    </row>
    <row r="72" spans="1:39" ht="30" x14ac:dyDescent="0.25">
      <c r="A72" s="1" t="s">
        <v>0</v>
      </c>
      <c r="B72" s="1"/>
      <c r="C72" s="1"/>
      <c r="D72" s="1"/>
      <c r="E72" s="1"/>
      <c r="F72" s="1"/>
      <c r="G72" s="1"/>
      <c r="H72" s="1"/>
      <c r="I72" s="1"/>
      <c r="J72" s="1" t="s">
        <v>148</v>
      </c>
      <c r="K72" s="1"/>
      <c r="L72" s="1"/>
      <c r="M72" s="1"/>
      <c r="N72" s="1"/>
      <c r="O72" s="363" t="s">
        <v>3679</v>
      </c>
      <c r="P72" s="363"/>
      <c r="Q72" s="1"/>
      <c r="R72" s="1"/>
      <c r="S72" s="1"/>
      <c r="T72" s="1"/>
      <c r="U72" s="5"/>
      <c r="V72" s="5"/>
      <c r="W72" s="295" t="s">
        <v>1</v>
      </c>
      <c r="X72" s="139"/>
      <c r="Y72" s="1"/>
      <c r="Z72" s="5"/>
      <c r="AE72" s="5"/>
      <c r="AF72" s="5"/>
      <c r="AG72" s="5"/>
      <c r="AH72" s="5" t="s">
        <v>3677</v>
      </c>
      <c r="AI72" s="5"/>
      <c r="AJ72" s="5"/>
      <c r="AK72" s="5"/>
    </row>
    <row r="73" spans="1:39" ht="90" x14ac:dyDescent="0.25">
      <c r="A73" s="6" t="s">
        <v>2</v>
      </c>
      <c r="B73" s="7" t="s">
        <v>3</v>
      </c>
      <c r="C73" s="245" t="s">
        <v>3675</v>
      </c>
      <c r="D73" s="7" t="s">
        <v>4</v>
      </c>
      <c r="E73" s="6" t="s">
        <v>5</v>
      </c>
      <c r="F73" s="6" t="s">
        <v>6</v>
      </c>
      <c r="G73" s="6" t="s">
        <v>7</v>
      </c>
      <c r="H73" s="6" t="s">
        <v>8</v>
      </c>
      <c r="I73" s="8" t="s">
        <v>9</v>
      </c>
      <c r="J73" s="8" t="s">
        <v>10</v>
      </c>
      <c r="K73" s="8" t="s">
        <v>11</v>
      </c>
      <c r="L73" s="76" t="s">
        <v>12</v>
      </c>
      <c r="M73" s="76" t="s">
        <v>13</v>
      </c>
      <c r="N73" s="15" t="s">
        <v>14</v>
      </c>
      <c r="O73" s="15" t="s">
        <v>173</v>
      </c>
      <c r="P73" s="15" t="s">
        <v>174</v>
      </c>
      <c r="Q73" s="76" t="s">
        <v>28</v>
      </c>
      <c r="R73" s="5"/>
      <c r="S73" s="76" t="s">
        <v>16</v>
      </c>
      <c r="T73" s="76" t="s">
        <v>17</v>
      </c>
      <c r="U73" s="76" t="s">
        <v>18</v>
      </c>
      <c r="V73" s="76" t="s">
        <v>19</v>
      </c>
      <c r="W73" s="76" t="s">
        <v>20</v>
      </c>
      <c r="X73" s="13"/>
      <c r="Y73" s="15" t="s">
        <v>23</v>
      </c>
      <c r="Z73" s="5"/>
    </row>
    <row r="74" spans="1:39" x14ac:dyDescent="0.25">
      <c r="A74" s="16">
        <v>1</v>
      </c>
      <c r="B74" s="92">
        <v>44937</v>
      </c>
      <c r="C74" s="23"/>
      <c r="D74" s="31"/>
      <c r="E74" s="32"/>
      <c r="F74" s="32"/>
      <c r="G74" s="39"/>
      <c r="H74" s="39"/>
      <c r="I74" s="122"/>
      <c r="J74" s="32"/>
      <c r="K74" s="20">
        <v>10</v>
      </c>
      <c r="L74" s="50"/>
      <c r="M74" s="50">
        <f t="shared" ref="M74:M92" si="12">+J74+K74</f>
        <v>10</v>
      </c>
      <c r="N74" s="50">
        <f t="shared" ref="N74:N92" si="13">+I74-M74</f>
        <v>-10</v>
      </c>
      <c r="O74" s="29"/>
      <c r="P74" s="29"/>
      <c r="Q74" s="50"/>
      <c r="R74" s="5"/>
      <c r="S74" s="50"/>
      <c r="T74" s="29"/>
      <c r="U74" s="50">
        <f t="shared" ref="U74:U92" si="14">+S74+T74</f>
        <v>0</v>
      </c>
      <c r="V74" s="50"/>
      <c r="W74" s="294">
        <f>+V74-U74+O74-Q74-P74</f>
        <v>0</v>
      </c>
      <c r="X74" s="13"/>
      <c r="Y74" s="333"/>
      <c r="Z74" s="5"/>
      <c r="AE74" s="5"/>
      <c r="AF74" s="5"/>
      <c r="AG74" s="5"/>
      <c r="AH74" s="5"/>
      <c r="AI74" s="5"/>
      <c r="AJ74" s="5"/>
      <c r="AK74" s="5"/>
    </row>
    <row r="75" spans="1:39" x14ac:dyDescent="0.25">
      <c r="A75" s="26">
        <v>2</v>
      </c>
      <c r="B75" s="92">
        <v>44937</v>
      </c>
      <c r="C75" s="23"/>
      <c r="D75" s="31"/>
      <c r="E75" s="32"/>
      <c r="F75" s="32"/>
      <c r="G75" s="32"/>
      <c r="H75" s="39"/>
      <c r="I75" s="122"/>
      <c r="J75" s="32"/>
      <c r="K75" s="20">
        <v>10</v>
      </c>
      <c r="L75" s="21"/>
      <c r="M75" s="21">
        <f t="shared" si="12"/>
        <v>10</v>
      </c>
      <c r="N75" s="21">
        <f t="shared" si="13"/>
        <v>-10</v>
      </c>
      <c r="O75" s="16"/>
      <c r="P75" s="16"/>
      <c r="Q75" s="21"/>
      <c r="R75" s="5"/>
      <c r="S75" s="21"/>
      <c r="T75" s="16"/>
      <c r="U75" s="21">
        <f t="shared" si="14"/>
        <v>0</v>
      </c>
      <c r="V75" s="21"/>
      <c r="W75" s="294">
        <f t="shared" ref="W75:W92" si="15">+V75-U75+O75-Q75-P75</f>
        <v>0</v>
      </c>
      <c r="X75" s="140"/>
      <c r="Y75" s="334"/>
      <c r="Z75" s="5"/>
      <c r="AE75" s="5"/>
      <c r="AF75" s="134" t="s">
        <v>20</v>
      </c>
      <c r="AG75" s="358">
        <f>P67</f>
        <v>520</v>
      </c>
      <c r="AH75" s="341" t="s">
        <v>687</v>
      </c>
      <c r="AI75" s="134" t="s">
        <v>20</v>
      </c>
      <c r="AJ75" s="358">
        <f>+AJ65</f>
        <v>893</v>
      </c>
      <c r="AK75" s="5"/>
    </row>
    <row r="76" spans="1:39" x14ac:dyDescent="0.25">
      <c r="A76" s="143">
        <v>3</v>
      </c>
      <c r="B76" s="92">
        <v>44937</v>
      </c>
      <c r="C76" s="23"/>
      <c r="D76" s="31"/>
      <c r="E76" s="32"/>
      <c r="F76" s="32"/>
      <c r="G76" s="32"/>
      <c r="H76" s="39"/>
      <c r="I76" s="122"/>
      <c r="J76" s="32"/>
      <c r="K76" s="20">
        <v>10</v>
      </c>
      <c r="L76" s="21"/>
      <c r="M76" s="21">
        <f t="shared" si="12"/>
        <v>10</v>
      </c>
      <c r="N76" s="21">
        <f t="shared" si="13"/>
        <v>-10</v>
      </c>
      <c r="O76" s="16"/>
      <c r="P76" s="16"/>
      <c r="Q76" s="21"/>
      <c r="R76" s="5"/>
      <c r="S76" s="21"/>
      <c r="T76" s="16"/>
      <c r="U76" s="21">
        <f t="shared" si="14"/>
        <v>0</v>
      </c>
      <c r="V76" s="21"/>
      <c r="W76" s="294">
        <f t="shared" si="15"/>
        <v>0</v>
      </c>
      <c r="X76" s="140"/>
      <c r="Y76" s="334"/>
      <c r="Z76" s="5"/>
      <c r="AE76" s="5" t="s">
        <v>3679</v>
      </c>
      <c r="AF76" s="115" t="s">
        <v>684</v>
      </c>
      <c r="AG76" s="359"/>
      <c r="AH76" s="341"/>
      <c r="AI76" s="115" t="s">
        <v>684</v>
      </c>
      <c r="AJ76" s="360"/>
      <c r="AK76" s="5"/>
    </row>
    <row r="77" spans="1:39" x14ac:dyDescent="0.25">
      <c r="A77" s="143">
        <v>4</v>
      </c>
      <c r="B77" s="92">
        <v>44937</v>
      </c>
      <c r="C77" s="23"/>
      <c r="D77" s="31"/>
      <c r="E77" s="32"/>
      <c r="F77" s="32"/>
      <c r="G77" s="32"/>
      <c r="H77" s="39"/>
      <c r="I77" s="122"/>
      <c r="J77" s="32"/>
      <c r="K77" s="20">
        <v>10</v>
      </c>
      <c r="L77" s="21"/>
      <c r="M77" s="21">
        <f t="shared" si="12"/>
        <v>10</v>
      </c>
      <c r="N77" s="21">
        <f t="shared" si="13"/>
        <v>-10</v>
      </c>
      <c r="O77" s="16"/>
      <c r="P77" s="16"/>
      <c r="Q77" s="21"/>
      <c r="R77" s="5"/>
      <c r="S77" s="21"/>
      <c r="T77" s="16"/>
      <c r="U77" s="21">
        <f t="shared" si="14"/>
        <v>0</v>
      </c>
      <c r="V77" s="21"/>
      <c r="W77" s="294">
        <f t="shared" si="15"/>
        <v>0</v>
      </c>
      <c r="X77" s="140"/>
      <c r="Y77" s="334"/>
      <c r="Z77" s="5"/>
      <c r="AE77" s="5"/>
      <c r="AF77" s="5"/>
      <c r="AG77" s="5"/>
      <c r="AH77" s="5" t="s">
        <v>3678</v>
      </c>
      <c r="AI77" s="5"/>
      <c r="AJ77" s="5"/>
      <c r="AK77" s="5"/>
    </row>
    <row r="78" spans="1:39" x14ac:dyDescent="0.25">
      <c r="A78" s="143">
        <v>5</v>
      </c>
      <c r="B78" s="92">
        <v>44937</v>
      </c>
      <c r="C78" s="23"/>
      <c r="D78" s="31"/>
      <c r="E78" s="32"/>
      <c r="F78" s="32"/>
      <c r="G78" s="32"/>
      <c r="H78" s="32"/>
      <c r="I78" s="122"/>
      <c r="J78" s="32"/>
      <c r="K78" s="20">
        <v>10</v>
      </c>
      <c r="L78" s="21"/>
      <c r="M78" s="21">
        <f t="shared" si="12"/>
        <v>10</v>
      </c>
      <c r="N78" s="21">
        <f t="shared" si="13"/>
        <v>-10</v>
      </c>
      <c r="O78" s="16"/>
      <c r="P78" s="16"/>
      <c r="Q78" s="21"/>
      <c r="R78" s="5"/>
      <c r="S78" s="16"/>
      <c r="T78" s="16"/>
      <c r="U78" s="21">
        <f t="shared" si="14"/>
        <v>0</v>
      </c>
      <c r="V78" s="21"/>
      <c r="W78" s="294">
        <f t="shared" si="15"/>
        <v>0</v>
      </c>
      <c r="X78" s="140"/>
      <c r="Y78" s="334"/>
      <c r="Z78" s="5"/>
    </row>
    <row r="79" spans="1:39" x14ac:dyDescent="0.25">
      <c r="A79" s="143">
        <v>6</v>
      </c>
      <c r="B79" s="92">
        <v>44937</v>
      </c>
      <c r="C79" s="23"/>
      <c r="D79" s="31"/>
      <c r="E79" s="32"/>
      <c r="F79" s="32"/>
      <c r="G79" s="32"/>
      <c r="H79" s="39"/>
      <c r="I79" s="39"/>
      <c r="J79" s="42"/>
      <c r="K79" s="20">
        <v>10</v>
      </c>
      <c r="L79" s="21"/>
      <c r="M79" s="21">
        <f t="shared" si="12"/>
        <v>10</v>
      </c>
      <c r="N79" s="21">
        <f t="shared" si="13"/>
        <v>-10</v>
      </c>
      <c r="O79" s="16"/>
      <c r="P79" s="16"/>
      <c r="Q79" s="21"/>
      <c r="R79" s="5"/>
      <c r="S79" s="16"/>
      <c r="T79" s="16"/>
      <c r="U79" s="21">
        <f t="shared" si="14"/>
        <v>0</v>
      </c>
      <c r="V79" s="16"/>
      <c r="W79" s="294">
        <f t="shared" si="15"/>
        <v>0</v>
      </c>
      <c r="X79" s="140"/>
      <c r="Y79" s="334"/>
      <c r="Z79" s="5"/>
      <c r="AL79" s="185"/>
      <c r="AM79" s="185"/>
    </row>
    <row r="80" spans="1:39" x14ac:dyDescent="0.25">
      <c r="A80" s="143">
        <v>7</v>
      </c>
      <c r="B80" s="92">
        <v>44937</v>
      </c>
      <c r="C80" s="23"/>
      <c r="D80" s="31"/>
      <c r="E80" s="32"/>
      <c r="F80" s="32"/>
      <c r="G80" s="32"/>
      <c r="H80" s="39"/>
      <c r="I80" s="122"/>
      <c r="J80" s="42"/>
      <c r="K80" s="20">
        <v>10</v>
      </c>
      <c r="L80" s="21"/>
      <c r="M80" s="21">
        <f t="shared" si="12"/>
        <v>10</v>
      </c>
      <c r="N80" s="21">
        <f t="shared" si="13"/>
        <v>-10</v>
      </c>
      <c r="O80" s="16"/>
      <c r="P80" s="16"/>
      <c r="Q80" s="21"/>
      <c r="R80" s="5"/>
      <c r="S80" s="16"/>
      <c r="T80" s="16"/>
      <c r="U80" s="21">
        <f t="shared" si="14"/>
        <v>0</v>
      </c>
      <c r="V80" s="16"/>
      <c r="W80" s="294">
        <f t="shared" si="15"/>
        <v>0</v>
      </c>
      <c r="X80" s="140"/>
      <c r="Y80" s="334"/>
      <c r="Z80" s="5"/>
      <c r="AE80" s="335" t="s">
        <v>160</v>
      </c>
      <c r="AF80" s="336"/>
      <c r="AI80" s="335" t="s">
        <v>170</v>
      </c>
      <c r="AJ80" s="336"/>
      <c r="AL80" s="361"/>
      <c r="AM80" s="361"/>
    </row>
    <row r="81" spans="1:39" ht="45" x14ac:dyDescent="0.25">
      <c r="A81" s="143">
        <v>8</v>
      </c>
      <c r="B81" s="92">
        <v>44937</v>
      </c>
      <c r="C81" s="23"/>
      <c r="D81" s="31"/>
      <c r="E81" s="123"/>
      <c r="F81" s="123"/>
      <c r="G81" s="123"/>
      <c r="H81" s="39"/>
      <c r="I81" s="122"/>
      <c r="J81" s="32"/>
      <c r="K81" s="20">
        <v>10</v>
      </c>
      <c r="L81" s="21"/>
      <c r="M81" s="21">
        <f t="shared" si="12"/>
        <v>10</v>
      </c>
      <c r="N81" s="21">
        <f t="shared" si="13"/>
        <v>-10</v>
      </c>
      <c r="O81" s="16"/>
      <c r="P81" s="16"/>
      <c r="Q81" s="21"/>
      <c r="R81" s="5"/>
      <c r="S81" s="16"/>
      <c r="T81" s="16"/>
      <c r="U81" s="21">
        <f t="shared" si="14"/>
        <v>0</v>
      </c>
      <c r="V81" s="16"/>
      <c r="W81" s="294">
        <f t="shared" si="15"/>
        <v>0</v>
      </c>
      <c r="X81" s="140"/>
      <c r="Y81" s="334"/>
      <c r="Z81" s="5"/>
      <c r="AB81" s="251" t="s">
        <v>2554</v>
      </c>
      <c r="AE81" s="16" t="s">
        <v>161</v>
      </c>
      <c r="AF81" s="58">
        <f>+AD81*10</f>
        <v>0</v>
      </c>
      <c r="AI81" s="16" t="s">
        <v>161</v>
      </c>
      <c r="AJ81" s="58">
        <f>+AH81*10</f>
        <v>0</v>
      </c>
      <c r="AL81" s="185"/>
      <c r="AM81" s="185"/>
    </row>
    <row r="82" spans="1:39" x14ac:dyDescent="0.25">
      <c r="A82" s="143">
        <v>9</v>
      </c>
      <c r="B82" s="92">
        <v>44937</v>
      </c>
      <c r="C82" s="23"/>
      <c r="D82" s="31"/>
      <c r="E82" s="32"/>
      <c r="F82" s="32"/>
      <c r="G82" s="32"/>
      <c r="H82" s="39"/>
      <c r="I82" s="39"/>
      <c r="J82" s="40"/>
      <c r="K82" s="20">
        <v>10</v>
      </c>
      <c r="L82" s="21"/>
      <c r="M82" s="21">
        <f t="shared" si="12"/>
        <v>10</v>
      </c>
      <c r="N82" s="21">
        <f t="shared" si="13"/>
        <v>-10</v>
      </c>
      <c r="O82" s="16"/>
      <c r="P82" s="16"/>
      <c r="Q82" s="21"/>
      <c r="R82" s="5"/>
      <c r="S82" s="16"/>
      <c r="T82" s="16"/>
      <c r="U82" s="21">
        <f t="shared" si="14"/>
        <v>0</v>
      </c>
      <c r="V82" s="16"/>
      <c r="W82" s="294">
        <f t="shared" si="15"/>
        <v>0</v>
      </c>
      <c r="X82" s="140"/>
      <c r="Y82" s="334"/>
      <c r="Z82" s="5"/>
      <c r="AE82" s="59" t="s">
        <v>162</v>
      </c>
      <c r="AF82" s="18">
        <f>+AD82*1</f>
        <v>0</v>
      </c>
      <c r="AI82" s="59" t="s">
        <v>162</v>
      </c>
      <c r="AJ82" s="18">
        <f>+AH82*1</f>
        <v>0</v>
      </c>
      <c r="AL82" s="185"/>
      <c r="AM82" s="185"/>
    </row>
    <row r="83" spans="1:39" x14ac:dyDescent="0.25">
      <c r="A83" s="143">
        <v>10</v>
      </c>
      <c r="B83" s="92">
        <v>44937</v>
      </c>
      <c r="C83" s="23"/>
      <c r="D83" s="31"/>
      <c r="E83" s="32"/>
      <c r="F83" s="32"/>
      <c r="G83" s="32"/>
      <c r="H83" s="39"/>
      <c r="I83" s="122"/>
      <c r="J83" s="42"/>
      <c r="K83" s="20">
        <v>10</v>
      </c>
      <c r="L83" s="21"/>
      <c r="M83" s="21">
        <f t="shared" si="12"/>
        <v>10</v>
      </c>
      <c r="N83" s="21">
        <f t="shared" si="13"/>
        <v>-10</v>
      </c>
      <c r="O83" s="16"/>
      <c r="P83" s="16"/>
      <c r="Q83" s="21"/>
      <c r="R83" s="5"/>
      <c r="S83" s="16"/>
      <c r="T83" s="16"/>
      <c r="U83" s="21">
        <f t="shared" si="14"/>
        <v>0</v>
      </c>
      <c r="V83" s="16"/>
      <c r="W83" s="294">
        <f t="shared" si="15"/>
        <v>0</v>
      </c>
      <c r="X83" s="140"/>
      <c r="Y83" s="334"/>
      <c r="Z83" s="5"/>
      <c r="AE83" s="16" t="s">
        <v>163</v>
      </c>
      <c r="AF83" s="60">
        <f>+AD83*5</f>
        <v>0</v>
      </c>
      <c r="AI83" s="16" t="s">
        <v>163</v>
      </c>
      <c r="AJ83" s="60">
        <f>+AH83*5</f>
        <v>0</v>
      </c>
      <c r="AL83" s="185"/>
      <c r="AM83" s="185"/>
    </row>
    <row r="84" spans="1:39" x14ac:dyDescent="0.25">
      <c r="A84" s="143">
        <v>11</v>
      </c>
      <c r="B84" s="92">
        <v>44937</v>
      </c>
      <c r="C84" s="23"/>
      <c r="D84" s="31"/>
      <c r="E84" s="124"/>
      <c r="F84" s="123"/>
      <c r="G84" s="123"/>
      <c r="H84" s="39"/>
      <c r="I84" s="122"/>
      <c r="J84" s="42"/>
      <c r="K84" s="20">
        <v>10</v>
      </c>
      <c r="L84" s="21"/>
      <c r="M84" s="21">
        <f t="shared" si="12"/>
        <v>10</v>
      </c>
      <c r="N84" s="21">
        <f t="shared" si="13"/>
        <v>-10</v>
      </c>
      <c r="O84" s="16"/>
      <c r="P84" s="16"/>
      <c r="Q84" s="21"/>
      <c r="R84" s="5"/>
      <c r="S84" s="16"/>
      <c r="T84" s="16"/>
      <c r="U84" s="21">
        <f t="shared" si="14"/>
        <v>0</v>
      </c>
      <c r="V84" s="16"/>
      <c r="W84" s="294">
        <f t="shared" si="15"/>
        <v>0</v>
      </c>
      <c r="X84" s="140"/>
      <c r="Y84" s="334"/>
      <c r="Z84" s="5"/>
      <c r="AE84" s="16" t="s">
        <v>164</v>
      </c>
      <c r="AF84" s="18">
        <f>+AD84*200</f>
        <v>0</v>
      </c>
      <c r="AI84" s="16" t="s">
        <v>164</v>
      </c>
      <c r="AJ84" s="18">
        <f>+AH84*200</f>
        <v>0</v>
      </c>
      <c r="AL84" s="185"/>
      <c r="AM84" s="185"/>
    </row>
    <row r="85" spans="1:39" x14ac:dyDescent="0.25">
      <c r="A85" s="143">
        <v>12</v>
      </c>
      <c r="B85" s="92">
        <v>44937</v>
      </c>
      <c r="C85" s="23"/>
      <c r="D85" s="32"/>
      <c r="E85" s="32"/>
      <c r="F85" s="124"/>
      <c r="G85" s="123"/>
      <c r="H85" s="39"/>
      <c r="I85" s="39"/>
      <c r="J85" s="42"/>
      <c r="K85" s="20">
        <v>10</v>
      </c>
      <c r="L85" s="21"/>
      <c r="M85" s="21">
        <f t="shared" si="12"/>
        <v>10</v>
      </c>
      <c r="N85" s="21">
        <f t="shared" si="13"/>
        <v>-10</v>
      </c>
      <c r="O85" s="26"/>
      <c r="P85" s="26"/>
      <c r="Q85" s="21"/>
      <c r="R85" s="5"/>
      <c r="S85" s="45"/>
      <c r="T85" s="44"/>
      <c r="U85" s="21">
        <f t="shared" si="14"/>
        <v>0</v>
      </c>
      <c r="V85" s="45"/>
      <c r="W85" s="294">
        <f t="shared" si="15"/>
        <v>0</v>
      </c>
      <c r="X85" s="140"/>
      <c r="Y85" s="334"/>
      <c r="Z85" s="5"/>
      <c r="AE85" s="16" t="s">
        <v>165</v>
      </c>
      <c r="AF85" s="18">
        <f>+AD85*100</f>
        <v>0</v>
      </c>
      <c r="AI85" s="16" t="s">
        <v>165</v>
      </c>
      <c r="AJ85" s="18">
        <f>+AH85*100</f>
        <v>0</v>
      </c>
      <c r="AL85" s="185"/>
      <c r="AM85" s="185"/>
    </row>
    <row r="86" spans="1:39" x14ac:dyDescent="0.25">
      <c r="A86" s="143">
        <v>13</v>
      </c>
      <c r="B86" s="92">
        <v>44937</v>
      </c>
      <c r="C86" s="23"/>
      <c r="D86" s="31"/>
      <c r="E86" s="32"/>
      <c r="F86" s="32"/>
      <c r="G86" s="32"/>
      <c r="H86" s="39"/>
      <c r="I86" s="39"/>
      <c r="J86" s="42"/>
      <c r="K86" s="108">
        <v>10</v>
      </c>
      <c r="L86" s="21"/>
      <c r="M86" s="21">
        <f t="shared" si="12"/>
        <v>10</v>
      </c>
      <c r="N86" s="78">
        <f t="shared" si="13"/>
        <v>-10</v>
      </c>
      <c r="O86" s="143"/>
      <c r="P86" s="143"/>
      <c r="Q86" s="20"/>
      <c r="R86" s="5"/>
      <c r="S86" s="43"/>
      <c r="T86" s="32"/>
      <c r="U86" s="21">
        <f t="shared" si="14"/>
        <v>0</v>
      </c>
      <c r="V86" s="43"/>
      <c r="W86" s="294">
        <f t="shared" si="15"/>
        <v>0</v>
      </c>
      <c r="X86" s="140"/>
      <c r="Y86" s="334"/>
      <c r="Z86" s="5"/>
      <c r="AE86" s="16" t="s">
        <v>166</v>
      </c>
      <c r="AF86" s="18">
        <f>+AD86*50</f>
        <v>0</v>
      </c>
      <c r="AI86" s="16" t="s">
        <v>166</v>
      </c>
      <c r="AJ86" s="18">
        <f>+AH86*50</f>
        <v>0</v>
      </c>
      <c r="AL86" s="185"/>
      <c r="AM86" s="185"/>
    </row>
    <row r="87" spans="1:39" x14ac:dyDescent="0.25">
      <c r="A87" s="143">
        <v>14</v>
      </c>
      <c r="B87" s="92">
        <v>44937</v>
      </c>
      <c r="C87" s="23"/>
      <c r="D87" s="31"/>
      <c r="E87" s="32"/>
      <c r="F87" s="32"/>
      <c r="G87" s="32"/>
      <c r="H87" s="39"/>
      <c r="I87" s="39"/>
      <c r="J87" s="42"/>
      <c r="K87" s="108">
        <v>10</v>
      </c>
      <c r="L87" s="21"/>
      <c r="M87" s="21">
        <f t="shared" si="12"/>
        <v>10</v>
      </c>
      <c r="N87" s="21">
        <f t="shared" si="13"/>
        <v>-10</v>
      </c>
      <c r="O87" s="50"/>
      <c r="P87" s="50"/>
      <c r="Q87" s="21"/>
      <c r="R87" s="5"/>
      <c r="S87" s="43"/>
      <c r="T87" s="43"/>
      <c r="U87" s="21">
        <f t="shared" si="14"/>
        <v>0</v>
      </c>
      <c r="V87" s="43"/>
      <c r="W87" s="294">
        <f t="shared" si="15"/>
        <v>0</v>
      </c>
      <c r="X87" s="140"/>
      <c r="Y87" s="334"/>
      <c r="Z87" s="5"/>
      <c r="AE87" s="16" t="s">
        <v>167</v>
      </c>
      <c r="AF87" s="18">
        <f>+AD87*20</f>
        <v>0</v>
      </c>
      <c r="AI87" s="16" t="s">
        <v>167</v>
      </c>
      <c r="AJ87" s="18">
        <f>+AH87*20</f>
        <v>0</v>
      </c>
      <c r="AL87" s="185"/>
      <c r="AM87" s="185"/>
    </row>
    <row r="88" spans="1:39" x14ac:dyDescent="0.25">
      <c r="A88" s="143">
        <v>15</v>
      </c>
      <c r="B88" s="92">
        <v>44937</v>
      </c>
      <c r="C88" s="23"/>
      <c r="D88" s="127"/>
      <c r="E88" s="32"/>
      <c r="F88" s="32"/>
      <c r="G88" s="128"/>
      <c r="H88" s="129"/>
      <c r="I88" s="39"/>
      <c r="J88" s="42"/>
      <c r="K88" s="108">
        <v>10</v>
      </c>
      <c r="L88" s="21"/>
      <c r="M88" s="21">
        <f t="shared" si="12"/>
        <v>10</v>
      </c>
      <c r="N88" s="21">
        <f t="shared" si="13"/>
        <v>-10</v>
      </c>
      <c r="O88" s="21"/>
      <c r="P88" s="21"/>
      <c r="Q88" s="21"/>
      <c r="R88" s="5"/>
      <c r="S88" s="43"/>
      <c r="T88" s="43"/>
      <c r="U88" s="21">
        <f t="shared" si="14"/>
        <v>0</v>
      </c>
      <c r="V88" s="43"/>
      <c r="W88" s="294">
        <f t="shared" si="15"/>
        <v>0</v>
      </c>
      <c r="X88" s="140"/>
      <c r="Y88" s="334"/>
      <c r="Z88" s="5"/>
      <c r="AE88" s="16" t="s">
        <v>171</v>
      </c>
      <c r="AF88" s="18">
        <f>+AD88*500</f>
        <v>0</v>
      </c>
      <c r="AI88" s="16" t="s">
        <v>171</v>
      </c>
      <c r="AJ88" s="18">
        <f>+AH88*500</f>
        <v>0</v>
      </c>
      <c r="AL88" s="185"/>
      <c r="AM88" s="185"/>
    </row>
    <row r="89" spans="1:39" x14ac:dyDescent="0.25">
      <c r="A89" s="143">
        <v>16</v>
      </c>
      <c r="B89" s="92">
        <v>44937</v>
      </c>
      <c r="C89" s="23"/>
      <c r="D89" s="31"/>
      <c r="E89" s="32"/>
      <c r="F89" s="32"/>
      <c r="G89" s="32"/>
      <c r="H89" s="39"/>
      <c r="I89" s="39"/>
      <c r="J89" s="42"/>
      <c r="K89" s="43">
        <v>10</v>
      </c>
      <c r="L89" s="21"/>
      <c r="M89" s="21">
        <f t="shared" si="12"/>
        <v>10</v>
      </c>
      <c r="N89" s="21">
        <f t="shared" si="13"/>
        <v>-10</v>
      </c>
      <c r="O89" s="21"/>
      <c r="P89" s="21"/>
      <c r="Q89" s="21"/>
      <c r="R89" s="5"/>
      <c r="S89" s="43"/>
      <c r="T89" s="32"/>
      <c r="U89" s="21">
        <f t="shared" si="14"/>
        <v>0</v>
      </c>
      <c r="V89" s="131"/>
      <c r="W89" s="294">
        <f t="shared" si="15"/>
        <v>0</v>
      </c>
      <c r="X89" s="140"/>
      <c r="Y89" s="334"/>
      <c r="Z89" s="5"/>
      <c r="AE89" s="16" t="s">
        <v>168</v>
      </c>
      <c r="AF89" s="18">
        <f>+AD89*1000</f>
        <v>0</v>
      </c>
      <c r="AI89" s="16" t="s">
        <v>168</v>
      </c>
      <c r="AJ89" s="18">
        <f>+AH89*1000</f>
        <v>0</v>
      </c>
      <c r="AL89" s="185"/>
      <c r="AM89" s="185"/>
    </row>
    <row r="90" spans="1:39" x14ac:dyDescent="0.25">
      <c r="A90" s="143">
        <v>17</v>
      </c>
      <c r="B90" s="92">
        <v>44937</v>
      </c>
      <c r="C90" s="23"/>
      <c r="D90" s="31"/>
      <c r="E90" s="32"/>
      <c r="F90" s="32"/>
      <c r="G90" s="32"/>
      <c r="H90" s="39"/>
      <c r="I90" s="39"/>
      <c r="J90" s="42"/>
      <c r="K90" s="43">
        <v>10</v>
      </c>
      <c r="L90" s="21"/>
      <c r="M90" s="21">
        <f t="shared" si="12"/>
        <v>10</v>
      </c>
      <c r="N90" s="21">
        <f t="shared" si="13"/>
        <v>-10</v>
      </c>
      <c r="O90" s="21"/>
      <c r="P90" s="21"/>
      <c r="Q90" s="21"/>
      <c r="R90" s="5"/>
      <c r="S90" s="43"/>
      <c r="T90" s="32"/>
      <c r="U90" s="21">
        <f t="shared" si="14"/>
        <v>0</v>
      </c>
      <c r="V90" s="132"/>
      <c r="W90" s="294">
        <f t="shared" si="15"/>
        <v>0</v>
      </c>
      <c r="X90" s="140"/>
      <c r="Y90" s="340"/>
      <c r="Z90" s="5"/>
      <c r="AE90" s="26"/>
      <c r="AF90" s="58"/>
      <c r="AI90" s="26"/>
      <c r="AJ90" s="58"/>
      <c r="AL90" s="185"/>
      <c r="AM90" s="185"/>
    </row>
    <row r="91" spans="1:39" x14ac:dyDescent="0.25">
      <c r="A91" s="143">
        <v>18</v>
      </c>
      <c r="B91" s="92">
        <v>44937</v>
      </c>
      <c r="C91" s="32"/>
      <c r="D91" s="31"/>
      <c r="E91" s="32"/>
      <c r="F91" s="32"/>
      <c r="G91" s="32"/>
      <c r="H91" s="39"/>
      <c r="I91" s="39"/>
      <c r="J91" s="42"/>
      <c r="K91" s="43">
        <v>10</v>
      </c>
      <c r="L91" s="21"/>
      <c r="M91" s="21">
        <f t="shared" si="12"/>
        <v>10</v>
      </c>
      <c r="N91" s="21">
        <f t="shared" si="13"/>
        <v>-10</v>
      </c>
      <c r="O91" s="21"/>
      <c r="P91" s="21"/>
      <c r="Q91" s="21"/>
      <c r="R91" s="5"/>
      <c r="S91" s="135"/>
      <c r="T91" s="104"/>
      <c r="U91" s="21">
        <f t="shared" si="14"/>
        <v>0</v>
      </c>
      <c r="V91" s="131"/>
      <c r="W91" s="294">
        <f t="shared" si="15"/>
        <v>0</v>
      </c>
      <c r="X91" s="140"/>
      <c r="Z91" s="5"/>
      <c r="AE91" s="16" t="s">
        <v>169</v>
      </c>
      <c r="AF91" s="18">
        <f>SUM(AF81:AF90)</f>
        <v>0</v>
      </c>
      <c r="AI91" s="16" t="s">
        <v>169</v>
      </c>
      <c r="AJ91" s="18">
        <f>SUM(AJ81:AJ90)</f>
        <v>0</v>
      </c>
      <c r="AL91" s="185"/>
      <c r="AM91" s="185"/>
    </row>
    <row r="92" spans="1:39" x14ac:dyDescent="0.25">
      <c r="A92" s="143">
        <v>19</v>
      </c>
      <c r="B92" s="92">
        <v>44937</v>
      </c>
      <c r="C92" s="32"/>
      <c r="D92" s="31"/>
      <c r="E92" s="32"/>
      <c r="F92" s="32"/>
      <c r="G92" s="32"/>
      <c r="H92" s="39"/>
      <c r="I92" s="39"/>
      <c r="J92" s="42"/>
      <c r="K92" s="43">
        <v>10</v>
      </c>
      <c r="L92" s="21"/>
      <c r="M92" s="21">
        <f t="shared" si="12"/>
        <v>10</v>
      </c>
      <c r="N92" s="21">
        <f t="shared" si="13"/>
        <v>-10</v>
      </c>
      <c r="O92" s="21"/>
      <c r="P92" s="21"/>
      <c r="Q92" s="21"/>
      <c r="R92" s="5"/>
      <c r="S92" s="32"/>
      <c r="T92" s="32"/>
      <c r="U92" s="21">
        <f t="shared" si="14"/>
        <v>0</v>
      </c>
      <c r="V92" s="32"/>
      <c r="W92" s="294">
        <f t="shared" si="15"/>
        <v>0</v>
      </c>
      <c r="X92" s="140"/>
      <c r="Z92" s="5"/>
      <c r="AL92" s="185"/>
      <c r="AM92" s="185"/>
    </row>
    <row r="93" spans="1:39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>
        <f>+((SUM(O74:O92))-(SUM(P74:P92)))</f>
        <v>0</v>
      </c>
      <c r="Q93" s="5"/>
      <c r="R93" s="5"/>
      <c r="S93" s="5"/>
      <c r="T93" s="5"/>
      <c r="U93" s="5"/>
      <c r="V93" s="5"/>
      <c r="W93" s="5"/>
      <c r="X93" s="141"/>
      <c r="Y93" s="5"/>
      <c r="Z93" s="5"/>
      <c r="AL93" s="185"/>
      <c r="AM93" s="185"/>
    </row>
    <row r="94" spans="1:39" x14ac:dyDescent="0.25">
      <c r="AJ94" s="83"/>
    </row>
    <row r="95" spans="1:39" x14ac:dyDescent="0.25">
      <c r="AE95" s="5"/>
      <c r="AF95" s="5"/>
      <c r="AG95" s="5"/>
      <c r="AH95" s="5"/>
      <c r="AI95" s="5"/>
      <c r="AJ95" s="5"/>
      <c r="AK95" s="5"/>
    </row>
    <row r="96" spans="1:39" x14ac:dyDescent="0.25">
      <c r="AE96" s="5"/>
      <c r="AF96" s="134" t="s">
        <v>20</v>
      </c>
      <c r="AG96" s="362">
        <f>+AJ96+AF92</f>
        <v>0</v>
      </c>
      <c r="AH96" s="341" t="s">
        <v>686</v>
      </c>
      <c r="AI96" s="134" t="s">
        <v>20</v>
      </c>
      <c r="AJ96" s="358">
        <f>+AF91</f>
        <v>0</v>
      </c>
      <c r="AK96" s="5"/>
    </row>
    <row r="97" spans="31:37" x14ac:dyDescent="0.25">
      <c r="AE97" s="5" t="s">
        <v>685</v>
      </c>
      <c r="AF97" s="115" t="s">
        <v>3676</v>
      </c>
      <c r="AG97" s="360"/>
      <c r="AH97" s="341"/>
      <c r="AI97" s="115" t="s">
        <v>684</v>
      </c>
      <c r="AJ97" s="360"/>
      <c r="AK97" s="5"/>
    </row>
    <row r="98" spans="31:37" x14ac:dyDescent="0.25">
      <c r="AE98" s="5"/>
      <c r="AF98" s="5"/>
      <c r="AG98" s="5"/>
      <c r="AH98" s="5" t="s">
        <v>3677</v>
      </c>
      <c r="AI98" s="5"/>
      <c r="AJ98" s="5"/>
      <c r="AK98" s="5"/>
    </row>
    <row r="100" spans="31:37" x14ac:dyDescent="0.25">
      <c r="AE100" s="5"/>
      <c r="AF100" s="5"/>
      <c r="AG100" s="5"/>
      <c r="AH100" s="5"/>
      <c r="AI100" s="5"/>
      <c r="AJ100" s="5"/>
      <c r="AK100" s="5"/>
    </row>
    <row r="101" spans="31:37" x14ac:dyDescent="0.25">
      <c r="AE101" s="5"/>
      <c r="AF101" s="134" t="s">
        <v>20</v>
      </c>
      <c r="AG101" s="358">
        <f>P93</f>
        <v>0</v>
      </c>
      <c r="AH101" s="341" t="s">
        <v>687</v>
      </c>
      <c r="AI101" s="134" t="s">
        <v>20</v>
      </c>
      <c r="AJ101" s="358">
        <f>+AJ91</f>
        <v>0</v>
      </c>
      <c r="AK101" s="5"/>
    </row>
    <row r="102" spans="31:37" x14ac:dyDescent="0.25">
      <c r="AE102" s="5" t="s">
        <v>3679</v>
      </c>
      <c r="AF102" s="115" t="s">
        <v>684</v>
      </c>
      <c r="AG102" s="359"/>
      <c r="AH102" s="341"/>
      <c r="AI102" s="115" t="s">
        <v>684</v>
      </c>
      <c r="AJ102" s="360"/>
      <c r="AK102" s="5"/>
    </row>
    <row r="103" spans="31:37" x14ac:dyDescent="0.25">
      <c r="AE103" s="5"/>
      <c r="AF103" s="5"/>
      <c r="AG103" s="5"/>
      <c r="AH103" s="5" t="s">
        <v>3678</v>
      </c>
      <c r="AI103" s="5"/>
      <c r="AJ103" s="5"/>
      <c r="AK103" s="5"/>
    </row>
  </sheetData>
  <mergeCells count="43">
    <mergeCell ref="AG50:AG51"/>
    <mergeCell ref="AH50:AH51"/>
    <mergeCell ref="AJ50:AJ51"/>
    <mergeCell ref="AE29:AF29"/>
    <mergeCell ref="AI29:AJ29"/>
    <mergeCell ref="AL29:AM29"/>
    <mergeCell ref="Y23:Y39"/>
    <mergeCell ref="AG45:AG46"/>
    <mergeCell ref="AH45:AH46"/>
    <mergeCell ref="AJ45:AJ46"/>
    <mergeCell ref="AL2:AM2"/>
    <mergeCell ref="Y4:Y20"/>
    <mergeCell ref="AG18:AG19"/>
    <mergeCell ref="AH18:AH19"/>
    <mergeCell ref="AJ18:AJ19"/>
    <mergeCell ref="AG23:AG24"/>
    <mergeCell ref="AH23:AH24"/>
    <mergeCell ref="AJ23:AJ24"/>
    <mergeCell ref="O2:P2"/>
    <mergeCell ref="AE2:AF2"/>
    <mergeCell ref="AI2:AJ2"/>
    <mergeCell ref="AL54:AM54"/>
    <mergeCell ref="Y48:Y64"/>
    <mergeCell ref="AG70:AG71"/>
    <mergeCell ref="AH70:AH71"/>
    <mergeCell ref="AJ70:AJ71"/>
    <mergeCell ref="AG75:AG76"/>
    <mergeCell ref="AH75:AH76"/>
    <mergeCell ref="AJ75:AJ76"/>
    <mergeCell ref="O46:P46"/>
    <mergeCell ref="AE54:AF54"/>
    <mergeCell ref="AI54:AJ54"/>
    <mergeCell ref="AL80:AM80"/>
    <mergeCell ref="Y74:Y90"/>
    <mergeCell ref="AG96:AG97"/>
    <mergeCell ref="AH96:AH97"/>
    <mergeCell ref="AJ96:AJ97"/>
    <mergeCell ref="AG101:AG102"/>
    <mergeCell ref="AH101:AH102"/>
    <mergeCell ref="AJ101:AJ102"/>
    <mergeCell ref="O72:P72"/>
    <mergeCell ref="AE80:AF80"/>
    <mergeCell ref="AI80:AJ80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"/>
  <sheetViews>
    <sheetView workbookViewId="0">
      <selection sqref="A1:AM36"/>
    </sheetView>
  </sheetViews>
  <sheetFormatPr baseColWidth="10" defaultRowHeight="15" x14ac:dyDescent="0.25"/>
  <cols>
    <col min="4" max="4" width="18.7109375" bestFit="1" customWidth="1"/>
    <col min="5" max="5" width="14.5703125" bestFit="1" customWidth="1"/>
    <col min="6" max="6" width="12" bestFit="1" customWidth="1"/>
    <col min="7" max="7" width="8.140625" bestFit="1" customWidth="1"/>
    <col min="8" max="8" width="40.42578125" customWidth="1"/>
    <col min="10" max="10" width="8.28515625" customWidth="1"/>
    <col min="11" max="11" width="9.28515625" customWidth="1"/>
    <col min="12" max="12" width="7.85546875" customWidth="1"/>
    <col min="34" max="34" width="16.28515625" customWidth="1"/>
    <col min="37" max="37" width="13.42578125" customWidth="1"/>
  </cols>
  <sheetData>
    <row r="1" spans="1:44" x14ac:dyDescent="0.25">
      <c r="AL1" s="185"/>
      <c r="AM1" s="185"/>
      <c r="AN1" s="185"/>
      <c r="AO1" s="185"/>
      <c r="AP1" s="185"/>
      <c r="AQ1" s="185"/>
      <c r="AR1" s="185"/>
    </row>
    <row r="2" spans="1:44" ht="30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 t="s">
        <v>148</v>
      </c>
      <c r="K2" s="1"/>
      <c r="L2" s="1"/>
      <c r="M2" s="1"/>
      <c r="N2" s="1"/>
      <c r="O2" s="363" t="s">
        <v>3679</v>
      </c>
      <c r="P2" s="363"/>
      <c r="Q2" s="1"/>
      <c r="R2" s="1"/>
      <c r="S2" s="1"/>
      <c r="T2" s="1"/>
      <c r="U2" s="5"/>
      <c r="V2" s="5"/>
      <c r="W2" s="295" t="s">
        <v>1</v>
      </c>
      <c r="X2" s="139"/>
      <c r="Y2" s="1"/>
      <c r="Z2" s="5"/>
      <c r="AE2" s="335" t="s">
        <v>160</v>
      </c>
      <c r="AF2" s="336"/>
      <c r="AI2" s="335" t="s">
        <v>170</v>
      </c>
      <c r="AJ2" s="336"/>
      <c r="AL2" s="361"/>
      <c r="AM2" s="361"/>
      <c r="AN2" s="185"/>
      <c r="AO2" s="361"/>
      <c r="AP2" s="361"/>
      <c r="AQ2" s="185"/>
      <c r="AR2" s="185"/>
    </row>
    <row r="3" spans="1:44" ht="90" x14ac:dyDescent="0.25">
      <c r="A3" s="6" t="s">
        <v>2</v>
      </c>
      <c r="B3" s="7" t="s">
        <v>3</v>
      </c>
      <c r="C3" s="245" t="s">
        <v>3675</v>
      </c>
      <c r="D3" s="7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8" t="s">
        <v>9</v>
      </c>
      <c r="J3" s="8" t="s">
        <v>10</v>
      </c>
      <c r="K3" s="8" t="s">
        <v>11</v>
      </c>
      <c r="L3" s="76" t="s">
        <v>12</v>
      </c>
      <c r="M3" s="76" t="s">
        <v>13</v>
      </c>
      <c r="N3" s="15" t="s">
        <v>14</v>
      </c>
      <c r="O3" s="15" t="s">
        <v>173</v>
      </c>
      <c r="P3" s="15" t="s">
        <v>174</v>
      </c>
      <c r="Q3" s="76" t="s">
        <v>28</v>
      </c>
      <c r="R3" s="5"/>
      <c r="S3" s="76" t="s">
        <v>16</v>
      </c>
      <c r="T3" s="76" t="s">
        <v>17</v>
      </c>
      <c r="U3" s="76" t="s">
        <v>18</v>
      </c>
      <c r="V3" s="76" t="s">
        <v>19</v>
      </c>
      <c r="W3" s="76" t="s">
        <v>20</v>
      </c>
      <c r="X3" s="13"/>
      <c r="Y3" s="15" t="s">
        <v>23</v>
      </c>
      <c r="Z3" s="5"/>
      <c r="AB3" s="251" t="s">
        <v>2554</v>
      </c>
      <c r="AE3" s="16" t="s">
        <v>161</v>
      </c>
      <c r="AF3" s="58">
        <f>+AD3*10</f>
        <v>0</v>
      </c>
      <c r="AI3" s="16" t="s">
        <v>161</v>
      </c>
      <c r="AJ3" s="58">
        <f>+AH3*10</f>
        <v>0</v>
      </c>
      <c r="AL3" s="185"/>
      <c r="AM3" s="185"/>
      <c r="AN3" s="185"/>
      <c r="AO3" s="185"/>
      <c r="AP3" s="296"/>
      <c r="AQ3" s="185"/>
      <c r="AR3" s="185"/>
    </row>
    <row r="4" spans="1:44" x14ac:dyDescent="0.25">
      <c r="A4" s="16">
        <v>1</v>
      </c>
      <c r="B4" s="92">
        <v>45182</v>
      </c>
      <c r="C4" s="23"/>
      <c r="D4" s="31"/>
      <c r="E4" s="32"/>
      <c r="F4" s="32"/>
      <c r="G4" s="39"/>
      <c r="H4" s="39"/>
      <c r="I4" s="122"/>
      <c r="J4" s="32"/>
      <c r="K4" s="20">
        <v>10</v>
      </c>
      <c r="L4" s="50"/>
      <c r="M4" s="50">
        <f t="shared" ref="M4:M22" si="0">+J4+K4</f>
        <v>10</v>
      </c>
      <c r="N4" s="50">
        <f t="shared" ref="N4:N22" si="1">+I4-M4</f>
        <v>-10</v>
      </c>
      <c r="O4" s="29"/>
      <c r="P4" s="29"/>
      <c r="Q4" s="50"/>
      <c r="R4" s="5"/>
      <c r="S4" s="50"/>
      <c r="T4" s="29"/>
      <c r="U4" s="50">
        <f t="shared" ref="U4:U22" si="2">+S4+T4</f>
        <v>0</v>
      </c>
      <c r="V4" s="50"/>
      <c r="W4" s="294">
        <f>+V4-U4+O4-Q4-P4</f>
        <v>0</v>
      </c>
      <c r="X4" s="13"/>
      <c r="Y4" s="333"/>
      <c r="Z4" s="5"/>
      <c r="AE4" s="59" t="s">
        <v>162</v>
      </c>
      <c r="AF4" s="18">
        <f>+AD4*1</f>
        <v>0</v>
      </c>
      <c r="AI4" s="59" t="s">
        <v>162</v>
      </c>
      <c r="AJ4" s="18">
        <f>+AH4*1</f>
        <v>0</v>
      </c>
      <c r="AL4" s="185"/>
      <c r="AM4" s="185"/>
      <c r="AN4" s="185"/>
      <c r="AO4" s="185"/>
      <c r="AP4" s="296"/>
      <c r="AQ4" s="185"/>
      <c r="AR4" s="185"/>
    </row>
    <row r="5" spans="1:44" x14ac:dyDescent="0.25">
      <c r="A5" s="26">
        <v>2</v>
      </c>
      <c r="B5" s="92">
        <v>45182</v>
      </c>
      <c r="C5" s="23"/>
      <c r="D5" s="31"/>
      <c r="E5" s="32"/>
      <c r="F5" s="32"/>
      <c r="G5" s="32"/>
      <c r="H5" s="39"/>
      <c r="I5" s="122"/>
      <c r="J5" s="32"/>
      <c r="K5" s="20">
        <v>10</v>
      </c>
      <c r="L5" s="21"/>
      <c r="M5" s="21">
        <f t="shared" si="0"/>
        <v>10</v>
      </c>
      <c r="N5" s="21">
        <f t="shared" si="1"/>
        <v>-10</v>
      </c>
      <c r="O5" s="16"/>
      <c r="P5" s="16"/>
      <c r="Q5" s="21"/>
      <c r="R5" s="5"/>
      <c r="S5" s="21"/>
      <c r="T5" s="16"/>
      <c r="U5" s="21">
        <f t="shared" si="2"/>
        <v>0</v>
      </c>
      <c r="V5" s="21"/>
      <c r="W5" s="294">
        <f t="shared" ref="W5:W22" si="3">+V5-U5+O5-Q5-P5</f>
        <v>0</v>
      </c>
      <c r="X5" s="140"/>
      <c r="Y5" s="334"/>
      <c r="Z5" s="5"/>
      <c r="AE5" s="16" t="s">
        <v>163</v>
      </c>
      <c r="AF5" s="60">
        <f>+AD5*5</f>
        <v>0</v>
      </c>
      <c r="AI5" s="16" t="s">
        <v>163</v>
      </c>
      <c r="AJ5" s="60">
        <f>+AH5*5</f>
        <v>0</v>
      </c>
      <c r="AL5" s="185"/>
      <c r="AM5" s="185"/>
      <c r="AN5" s="185"/>
      <c r="AO5" s="185"/>
      <c r="AP5" s="296"/>
      <c r="AQ5" s="185"/>
      <c r="AR5" s="185"/>
    </row>
    <row r="6" spans="1:44" x14ac:dyDescent="0.25">
      <c r="A6" s="143">
        <v>3</v>
      </c>
      <c r="B6" s="142">
        <v>45182</v>
      </c>
      <c r="C6" s="23"/>
      <c r="D6" s="31"/>
      <c r="E6" s="32"/>
      <c r="F6" s="32"/>
      <c r="G6" s="32"/>
      <c r="H6" s="39"/>
      <c r="I6" s="122"/>
      <c r="J6" s="32"/>
      <c r="K6" s="20">
        <v>10</v>
      </c>
      <c r="L6" s="21"/>
      <c r="M6" s="21">
        <f t="shared" si="0"/>
        <v>10</v>
      </c>
      <c r="N6" s="21">
        <f t="shared" si="1"/>
        <v>-10</v>
      </c>
      <c r="O6" s="16"/>
      <c r="P6" s="16"/>
      <c r="Q6" s="21"/>
      <c r="R6" s="5"/>
      <c r="S6" s="21"/>
      <c r="T6" s="16"/>
      <c r="U6" s="21">
        <f t="shared" si="2"/>
        <v>0</v>
      </c>
      <c r="V6" s="21"/>
      <c r="W6" s="294">
        <f t="shared" si="3"/>
        <v>0</v>
      </c>
      <c r="X6" s="140"/>
      <c r="Y6" s="334"/>
      <c r="Z6" s="5"/>
      <c r="AE6" s="16" t="s">
        <v>164</v>
      </c>
      <c r="AF6" s="18">
        <f>+AD6*200</f>
        <v>0</v>
      </c>
      <c r="AI6" s="16" t="s">
        <v>164</v>
      </c>
      <c r="AJ6" s="18">
        <f>+AH6*200</f>
        <v>0</v>
      </c>
      <c r="AL6" s="185"/>
      <c r="AM6" s="185"/>
      <c r="AN6" s="185"/>
      <c r="AO6" s="185"/>
      <c r="AP6" s="296"/>
      <c r="AQ6" s="185"/>
      <c r="AR6" s="185"/>
    </row>
    <row r="7" spans="1:44" x14ac:dyDescent="0.25">
      <c r="A7" s="143">
        <v>4</v>
      </c>
      <c r="B7" s="142">
        <v>45182</v>
      </c>
      <c r="C7" s="23"/>
      <c r="D7" s="31"/>
      <c r="E7" s="32"/>
      <c r="F7" s="32"/>
      <c r="G7" s="32"/>
      <c r="H7" s="39"/>
      <c r="I7" s="122"/>
      <c r="J7" s="32"/>
      <c r="K7" s="20">
        <v>10</v>
      </c>
      <c r="L7" s="21"/>
      <c r="M7" s="21">
        <f t="shared" si="0"/>
        <v>10</v>
      </c>
      <c r="N7" s="21">
        <f t="shared" si="1"/>
        <v>-10</v>
      </c>
      <c r="O7" s="16"/>
      <c r="P7" s="16"/>
      <c r="Q7" s="21"/>
      <c r="R7" s="5"/>
      <c r="S7" s="21"/>
      <c r="T7" s="16"/>
      <c r="U7" s="21">
        <f t="shared" si="2"/>
        <v>0</v>
      </c>
      <c r="V7" s="21"/>
      <c r="W7" s="294">
        <f t="shared" si="3"/>
        <v>0</v>
      </c>
      <c r="X7" s="140"/>
      <c r="Y7" s="334"/>
      <c r="Z7" s="5"/>
      <c r="AE7" s="16" t="s">
        <v>165</v>
      </c>
      <c r="AF7" s="18">
        <f>+AD7*100</f>
        <v>0</v>
      </c>
      <c r="AI7" s="16" t="s">
        <v>165</v>
      </c>
      <c r="AJ7" s="18">
        <f>+AH7*100</f>
        <v>0</v>
      </c>
      <c r="AL7" s="185"/>
      <c r="AM7" s="185"/>
      <c r="AN7" s="185"/>
      <c r="AO7" s="185"/>
      <c r="AP7" s="296"/>
      <c r="AQ7" s="185"/>
      <c r="AR7" s="185"/>
    </row>
    <row r="8" spans="1:44" x14ac:dyDescent="0.25">
      <c r="A8" s="143">
        <v>5</v>
      </c>
      <c r="B8" s="142">
        <v>45182</v>
      </c>
      <c r="C8" s="23"/>
      <c r="D8" s="31"/>
      <c r="E8" s="32"/>
      <c r="F8" s="32"/>
      <c r="G8" s="32"/>
      <c r="H8" s="32"/>
      <c r="I8" s="122"/>
      <c r="J8" s="32"/>
      <c r="K8" s="20">
        <v>10</v>
      </c>
      <c r="L8" s="21"/>
      <c r="M8" s="21">
        <f t="shared" si="0"/>
        <v>10</v>
      </c>
      <c r="N8" s="21">
        <f t="shared" si="1"/>
        <v>-10</v>
      </c>
      <c r="O8" s="16"/>
      <c r="P8" s="16"/>
      <c r="Q8" s="21"/>
      <c r="R8" s="5"/>
      <c r="S8" s="16"/>
      <c r="T8" s="16"/>
      <c r="U8" s="21">
        <f t="shared" si="2"/>
        <v>0</v>
      </c>
      <c r="V8" s="21"/>
      <c r="W8" s="294">
        <f t="shared" si="3"/>
        <v>0</v>
      </c>
      <c r="X8" s="140"/>
      <c r="Y8" s="334"/>
      <c r="Z8" s="5"/>
      <c r="AE8" s="16" t="s">
        <v>166</v>
      </c>
      <c r="AF8" s="18">
        <f>+AD8*50</f>
        <v>0</v>
      </c>
      <c r="AI8" s="16" t="s">
        <v>166</v>
      </c>
      <c r="AJ8" s="18">
        <f>+AH8*50</f>
        <v>0</v>
      </c>
      <c r="AL8" s="185"/>
      <c r="AM8" s="185"/>
      <c r="AN8" s="185"/>
      <c r="AO8" s="185"/>
      <c r="AP8" s="296"/>
      <c r="AQ8" s="185"/>
      <c r="AR8" s="185"/>
    </row>
    <row r="9" spans="1:44" x14ac:dyDescent="0.25">
      <c r="A9" s="143">
        <v>6</v>
      </c>
      <c r="B9" s="142">
        <v>45182</v>
      </c>
      <c r="C9" s="23"/>
      <c r="D9" s="31"/>
      <c r="E9" s="32"/>
      <c r="F9" s="32"/>
      <c r="G9" s="32"/>
      <c r="H9" s="39"/>
      <c r="I9" s="39"/>
      <c r="J9" s="42"/>
      <c r="K9" s="20">
        <v>10</v>
      </c>
      <c r="L9" s="21"/>
      <c r="M9" s="21">
        <f t="shared" si="0"/>
        <v>10</v>
      </c>
      <c r="N9" s="21">
        <f t="shared" si="1"/>
        <v>-10</v>
      </c>
      <c r="O9" s="16"/>
      <c r="P9" s="16"/>
      <c r="Q9" s="21"/>
      <c r="R9" s="5"/>
      <c r="S9" s="16"/>
      <c r="T9" s="16"/>
      <c r="U9" s="21">
        <f t="shared" si="2"/>
        <v>0</v>
      </c>
      <c r="V9" s="16"/>
      <c r="W9" s="294">
        <f t="shared" si="3"/>
        <v>0</v>
      </c>
      <c r="X9" s="140"/>
      <c r="Y9" s="334"/>
      <c r="Z9" s="5"/>
      <c r="AE9" s="16" t="s">
        <v>167</v>
      </c>
      <c r="AF9" s="18">
        <f>+AD9*20</f>
        <v>0</v>
      </c>
      <c r="AI9" s="16" t="s">
        <v>167</v>
      </c>
      <c r="AJ9" s="18">
        <f>+AH9*20</f>
        <v>0</v>
      </c>
      <c r="AL9" s="185"/>
      <c r="AM9" s="185"/>
      <c r="AN9" s="185"/>
      <c r="AO9" s="185"/>
      <c r="AP9" s="296"/>
      <c r="AQ9" s="185"/>
      <c r="AR9" s="185"/>
    </row>
    <row r="10" spans="1:44" x14ac:dyDescent="0.25">
      <c r="A10" s="143">
        <v>7</v>
      </c>
      <c r="B10" s="142">
        <v>45182</v>
      </c>
      <c r="C10" s="23"/>
      <c r="D10" s="31"/>
      <c r="E10" s="32"/>
      <c r="F10" s="32"/>
      <c r="G10" s="32"/>
      <c r="H10" s="39"/>
      <c r="I10" s="122"/>
      <c r="J10" s="42"/>
      <c r="K10" s="20">
        <v>10</v>
      </c>
      <c r="L10" s="21"/>
      <c r="M10" s="21">
        <f t="shared" si="0"/>
        <v>10</v>
      </c>
      <c r="N10" s="21">
        <f t="shared" si="1"/>
        <v>-10</v>
      </c>
      <c r="O10" s="16"/>
      <c r="P10" s="16"/>
      <c r="Q10" s="21"/>
      <c r="R10" s="5"/>
      <c r="S10" s="16"/>
      <c r="T10" s="16"/>
      <c r="U10" s="21">
        <f t="shared" si="2"/>
        <v>0</v>
      </c>
      <c r="V10" s="16"/>
      <c r="W10" s="294">
        <f t="shared" si="3"/>
        <v>0</v>
      </c>
      <c r="X10" s="140"/>
      <c r="Y10" s="334"/>
      <c r="Z10" s="5"/>
      <c r="AE10" s="16" t="s">
        <v>171</v>
      </c>
      <c r="AF10" s="18">
        <f>+AD10*500</f>
        <v>0</v>
      </c>
      <c r="AI10" s="16" t="s">
        <v>171</v>
      </c>
      <c r="AJ10" s="18">
        <f>+AH10*500</f>
        <v>0</v>
      </c>
      <c r="AL10" s="185"/>
      <c r="AM10" s="185"/>
      <c r="AN10" s="185"/>
      <c r="AO10" s="185"/>
      <c r="AP10" s="296"/>
      <c r="AQ10" s="185"/>
      <c r="AR10" s="185"/>
    </row>
    <row r="11" spans="1:44" x14ac:dyDescent="0.25">
      <c r="A11" s="143">
        <v>8</v>
      </c>
      <c r="B11" s="142">
        <v>45182</v>
      </c>
      <c r="C11" s="23"/>
      <c r="D11" s="31"/>
      <c r="E11" s="123"/>
      <c r="F11" s="123"/>
      <c r="G11" s="123"/>
      <c r="H11" s="39"/>
      <c r="I11" s="122"/>
      <c r="J11" s="32"/>
      <c r="K11" s="20">
        <v>10</v>
      </c>
      <c r="L11" s="21"/>
      <c r="M11" s="21">
        <f t="shared" si="0"/>
        <v>10</v>
      </c>
      <c r="N11" s="21">
        <f t="shared" si="1"/>
        <v>-10</v>
      </c>
      <c r="O11" s="16"/>
      <c r="P11" s="16"/>
      <c r="Q11" s="21"/>
      <c r="R11" s="5"/>
      <c r="S11" s="16"/>
      <c r="T11" s="16"/>
      <c r="U11" s="21">
        <f t="shared" si="2"/>
        <v>0</v>
      </c>
      <c r="V11" s="16"/>
      <c r="W11" s="294">
        <f t="shared" si="3"/>
        <v>0</v>
      </c>
      <c r="X11" s="140"/>
      <c r="Y11" s="334"/>
      <c r="Z11" s="5"/>
      <c r="AE11" s="16" t="s">
        <v>168</v>
      </c>
      <c r="AF11" s="18">
        <f>+AD11*1000</f>
        <v>0</v>
      </c>
      <c r="AI11" s="16" t="s">
        <v>168</v>
      </c>
      <c r="AJ11" s="18">
        <f>+AH11*1000</f>
        <v>0</v>
      </c>
      <c r="AL11" s="185"/>
      <c r="AM11" s="185"/>
      <c r="AN11" s="185"/>
      <c r="AO11" s="185"/>
      <c r="AP11" s="296"/>
      <c r="AQ11" s="185"/>
      <c r="AR11" s="185"/>
    </row>
    <row r="12" spans="1:44" x14ac:dyDescent="0.25">
      <c r="A12" s="143">
        <v>9</v>
      </c>
      <c r="B12" s="142">
        <v>45182</v>
      </c>
      <c r="C12" s="23"/>
      <c r="D12" s="31"/>
      <c r="E12" s="32"/>
      <c r="F12" s="32"/>
      <c r="G12" s="32"/>
      <c r="H12" s="39"/>
      <c r="I12" s="39"/>
      <c r="J12" s="40"/>
      <c r="K12" s="20">
        <v>10</v>
      </c>
      <c r="L12" s="21"/>
      <c r="M12" s="21">
        <f t="shared" si="0"/>
        <v>10</v>
      </c>
      <c r="N12" s="21">
        <f t="shared" si="1"/>
        <v>-10</v>
      </c>
      <c r="O12" s="16"/>
      <c r="P12" s="16"/>
      <c r="Q12" s="21"/>
      <c r="R12" s="5"/>
      <c r="S12" s="16"/>
      <c r="T12" s="16"/>
      <c r="U12" s="21">
        <f t="shared" si="2"/>
        <v>0</v>
      </c>
      <c r="V12" s="16"/>
      <c r="W12" s="294">
        <f t="shared" si="3"/>
        <v>0</v>
      </c>
      <c r="X12" s="140"/>
      <c r="Y12" s="334"/>
      <c r="Z12" s="5"/>
      <c r="AE12" s="26"/>
      <c r="AF12" s="58"/>
      <c r="AI12" s="26"/>
      <c r="AJ12" s="58"/>
      <c r="AL12" s="185"/>
      <c r="AM12" s="185"/>
      <c r="AN12" s="185"/>
      <c r="AO12" s="185"/>
      <c r="AP12" s="296"/>
      <c r="AQ12" s="185"/>
      <c r="AR12" s="185"/>
    </row>
    <row r="13" spans="1:44" x14ac:dyDescent="0.25">
      <c r="A13" s="143">
        <v>10</v>
      </c>
      <c r="B13" s="142">
        <v>45182</v>
      </c>
      <c r="C13" s="23"/>
      <c r="D13" s="31"/>
      <c r="E13" s="32"/>
      <c r="F13" s="32"/>
      <c r="G13" s="32"/>
      <c r="H13" s="39"/>
      <c r="I13" s="122"/>
      <c r="J13" s="42"/>
      <c r="K13" s="20">
        <v>10</v>
      </c>
      <c r="L13" s="21"/>
      <c r="M13" s="21">
        <f t="shared" si="0"/>
        <v>10</v>
      </c>
      <c r="N13" s="21">
        <f t="shared" si="1"/>
        <v>-10</v>
      </c>
      <c r="O13" s="16"/>
      <c r="P13" s="16"/>
      <c r="Q13" s="21"/>
      <c r="R13" s="5"/>
      <c r="S13" s="16"/>
      <c r="T13" s="16"/>
      <c r="U13" s="21">
        <f t="shared" si="2"/>
        <v>0</v>
      </c>
      <c r="V13" s="16"/>
      <c r="W13" s="294">
        <f t="shared" si="3"/>
        <v>0</v>
      </c>
      <c r="X13" s="140"/>
      <c r="Y13" s="334"/>
      <c r="Z13" s="5"/>
      <c r="AE13" s="16" t="s">
        <v>169</v>
      </c>
      <c r="AF13" s="18">
        <f>SUM(AF3:AF12)</f>
        <v>0</v>
      </c>
      <c r="AI13" s="16" t="s">
        <v>169</v>
      </c>
      <c r="AJ13" s="18">
        <f>SUM(AJ3:AJ12)</f>
        <v>0</v>
      </c>
      <c r="AL13" s="185"/>
      <c r="AM13" s="185"/>
      <c r="AN13" s="185"/>
      <c r="AO13" s="185"/>
      <c r="AP13" s="296"/>
      <c r="AQ13" s="185"/>
      <c r="AR13" s="185"/>
    </row>
    <row r="14" spans="1:44" x14ac:dyDescent="0.25">
      <c r="A14" s="143">
        <v>11</v>
      </c>
      <c r="B14" s="142">
        <v>45182</v>
      </c>
      <c r="C14" s="23"/>
      <c r="D14" s="31"/>
      <c r="E14" s="124"/>
      <c r="F14" s="123"/>
      <c r="G14" s="123"/>
      <c r="H14" s="39"/>
      <c r="I14" s="122"/>
      <c r="J14" s="42"/>
      <c r="K14" s="20">
        <v>10</v>
      </c>
      <c r="L14" s="21"/>
      <c r="M14" s="21">
        <f t="shared" si="0"/>
        <v>10</v>
      </c>
      <c r="N14" s="21">
        <f t="shared" si="1"/>
        <v>-10</v>
      </c>
      <c r="O14" s="16"/>
      <c r="P14" s="16"/>
      <c r="Q14" s="21"/>
      <c r="R14" s="5"/>
      <c r="S14" s="16"/>
      <c r="T14" s="16"/>
      <c r="U14" s="21">
        <f t="shared" si="2"/>
        <v>0</v>
      </c>
      <c r="V14" s="16"/>
      <c r="W14" s="294">
        <f t="shared" si="3"/>
        <v>0</v>
      </c>
      <c r="X14" s="140"/>
      <c r="Y14" s="334"/>
      <c r="Z14" s="5"/>
      <c r="AL14" s="185"/>
      <c r="AM14" s="185"/>
      <c r="AN14" s="185"/>
      <c r="AO14" s="185"/>
      <c r="AP14" s="185"/>
      <c r="AQ14" s="185"/>
      <c r="AR14" s="185"/>
    </row>
    <row r="15" spans="1:44" x14ac:dyDescent="0.25">
      <c r="A15" s="143">
        <v>12</v>
      </c>
      <c r="B15" s="142">
        <v>45182</v>
      </c>
      <c r="C15" s="23"/>
      <c r="D15" s="32"/>
      <c r="E15" s="32"/>
      <c r="F15" s="124"/>
      <c r="G15" s="123"/>
      <c r="H15" s="39"/>
      <c r="I15" s="39"/>
      <c r="J15" s="42"/>
      <c r="K15" s="20">
        <v>10</v>
      </c>
      <c r="L15" s="21"/>
      <c r="M15" s="21">
        <f t="shared" si="0"/>
        <v>10</v>
      </c>
      <c r="N15" s="21">
        <f t="shared" si="1"/>
        <v>-10</v>
      </c>
      <c r="O15" s="26"/>
      <c r="P15" s="26"/>
      <c r="Q15" s="21"/>
      <c r="R15" s="5"/>
      <c r="S15" s="45"/>
      <c r="T15" s="44"/>
      <c r="U15" s="21">
        <f t="shared" si="2"/>
        <v>0</v>
      </c>
      <c r="V15" s="45"/>
      <c r="W15" s="294">
        <f t="shared" si="3"/>
        <v>0</v>
      </c>
      <c r="X15" s="140"/>
      <c r="Y15" s="334"/>
      <c r="Z15" s="5"/>
      <c r="AL15" s="185"/>
      <c r="AM15" s="185"/>
      <c r="AN15" s="185"/>
      <c r="AO15" s="185"/>
      <c r="AP15" s="297"/>
      <c r="AQ15" s="185"/>
      <c r="AR15" s="185"/>
    </row>
    <row r="16" spans="1:44" x14ac:dyDescent="0.25">
      <c r="A16" s="143">
        <v>13</v>
      </c>
      <c r="B16" s="142">
        <v>45182</v>
      </c>
      <c r="C16" s="23"/>
      <c r="D16" s="31"/>
      <c r="E16" s="32"/>
      <c r="F16" s="32"/>
      <c r="G16" s="32"/>
      <c r="H16" s="39"/>
      <c r="I16" s="39"/>
      <c r="J16" s="42"/>
      <c r="K16" s="108">
        <v>10</v>
      </c>
      <c r="L16" s="21"/>
      <c r="M16" s="21">
        <f t="shared" si="0"/>
        <v>10</v>
      </c>
      <c r="N16" s="78">
        <f t="shared" si="1"/>
        <v>-10</v>
      </c>
      <c r="O16" s="143"/>
      <c r="P16" s="143"/>
      <c r="Q16" s="20"/>
      <c r="R16" s="5"/>
      <c r="S16" s="43"/>
      <c r="T16" s="32"/>
      <c r="U16" s="21">
        <f t="shared" si="2"/>
        <v>0</v>
      </c>
      <c r="V16" s="43"/>
      <c r="W16" s="294">
        <f t="shared" si="3"/>
        <v>0</v>
      </c>
      <c r="X16" s="140"/>
      <c r="Y16" s="334"/>
      <c r="Z16" s="5"/>
      <c r="AJ16" s="83"/>
    </row>
    <row r="17" spans="1:37" x14ac:dyDescent="0.25">
      <c r="A17" s="143">
        <v>14</v>
      </c>
      <c r="B17" s="142">
        <v>45182</v>
      </c>
      <c r="C17" s="23"/>
      <c r="D17" s="31"/>
      <c r="E17" s="32"/>
      <c r="F17" s="32"/>
      <c r="G17" s="32"/>
      <c r="H17" s="39"/>
      <c r="I17" s="39"/>
      <c r="J17" s="42"/>
      <c r="K17" s="108">
        <v>10</v>
      </c>
      <c r="L17" s="21"/>
      <c r="M17" s="21">
        <f t="shared" si="0"/>
        <v>10</v>
      </c>
      <c r="N17" s="21">
        <f t="shared" si="1"/>
        <v>-10</v>
      </c>
      <c r="O17" s="50"/>
      <c r="P17" s="50"/>
      <c r="Q17" s="21"/>
      <c r="R17" s="5"/>
      <c r="S17" s="43"/>
      <c r="T17" s="43"/>
      <c r="U17" s="21">
        <f t="shared" si="2"/>
        <v>0</v>
      </c>
      <c r="V17" s="43"/>
      <c r="W17" s="294">
        <f t="shared" si="3"/>
        <v>0</v>
      </c>
      <c r="X17" s="140"/>
      <c r="Y17" s="334"/>
      <c r="Z17" s="5"/>
      <c r="AE17" s="5"/>
      <c r="AF17" s="5"/>
      <c r="AG17" s="5"/>
      <c r="AH17" s="5"/>
      <c r="AI17" s="5"/>
      <c r="AJ17" s="5"/>
      <c r="AK17" s="5"/>
    </row>
    <row r="18" spans="1:37" x14ac:dyDescent="0.25">
      <c r="A18" s="143">
        <v>15</v>
      </c>
      <c r="B18" s="142">
        <v>45182</v>
      </c>
      <c r="C18" s="23"/>
      <c r="D18" s="127"/>
      <c r="E18" s="32"/>
      <c r="F18" s="32"/>
      <c r="G18" s="128"/>
      <c r="H18" s="129"/>
      <c r="I18" s="39"/>
      <c r="J18" s="42"/>
      <c r="K18" s="108">
        <v>10</v>
      </c>
      <c r="L18" s="21"/>
      <c r="M18" s="21">
        <f t="shared" si="0"/>
        <v>10</v>
      </c>
      <c r="N18" s="21">
        <f t="shared" si="1"/>
        <v>-10</v>
      </c>
      <c r="O18" s="21"/>
      <c r="P18" s="21"/>
      <c r="Q18" s="21"/>
      <c r="R18" s="5"/>
      <c r="S18" s="43"/>
      <c r="T18" s="43"/>
      <c r="U18" s="21">
        <f t="shared" si="2"/>
        <v>0</v>
      </c>
      <c r="V18" s="43"/>
      <c r="W18" s="294">
        <f t="shared" si="3"/>
        <v>0</v>
      </c>
      <c r="X18" s="140"/>
      <c r="Y18" s="334"/>
      <c r="Z18" s="5"/>
      <c r="AE18" s="5"/>
      <c r="AF18" s="134" t="s">
        <v>20</v>
      </c>
      <c r="AG18" s="362">
        <f>+AJ18+AF14</f>
        <v>0</v>
      </c>
      <c r="AH18" s="341" t="s">
        <v>686</v>
      </c>
      <c r="AI18" s="134" t="s">
        <v>20</v>
      </c>
      <c r="AJ18" s="358">
        <f>+AF13</f>
        <v>0</v>
      </c>
      <c r="AK18" s="5"/>
    </row>
    <row r="19" spans="1:37" x14ac:dyDescent="0.25">
      <c r="A19" s="143">
        <v>16</v>
      </c>
      <c r="B19" s="142">
        <v>45182</v>
      </c>
      <c r="C19" s="23"/>
      <c r="D19" s="31"/>
      <c r="E19" s="32"/>
      <c r="F19" s="32"/>
      <c r="G19" s="32"/>
      <c r="H19" s="39"/>
      <c r="I19" s="39"/>
      <c r="J19" s="42"/>
      <c r="K19" s="43">
        <v>10</v>
      </c>
      <c r="L19" s="21"/>
      <c r="M19" s="21">
        <f t="shared" si="0"/>
        <v>10</v>
      </c>
      <c r="N19" s="21">
        <f t="shared" si="1"/>
        <v>-10</v>
      </c>
      <c r="O19" s="21"/>
      <c r="P19" s="21"/>
      <c r="Q19" s="21"/>
      <c r="R19" s="5"/>
      <c r="S19" s="43"/>
      <c r="T19" s="32"/>
      <c r="U19" s="21">
        <f t="shared" si="2"/>
        <v>0</v>
      </c>
      <c r="V19" s="131"/>
      <c r="W19" s="294">
        <f t="shared" si="3"/>
        <v>0</v>
      </c>
      <c r="X19" s="140"/>
      <c r="Y19" s="334"/>
      <c r="Z19" s="5"/>
      <c r="AE19" s="5" t="s">
        <v>685</v>
      </c>
      <c r="AF19" s="115" t="s">
        <v>3676</v>
      </c>
      <c r="AG19" s="360"/>
      <c r="AH19" s="341"/>
      <c r="AI19" s="115" t="s">
        <v>684</v>
      </c>
      <c r="AJ19" s="360"/>
      <c r="AK19" s="5"/>
    </row>
    <row r="20" spans="1:37" x14ac:dyDescent="0.25">
      <c r="A20" s="143">
        <v>17</v>
      </c>
      <c r="B20" s="142">
        <v>45182</v>
      </c>
      <c r="C20" s="23"/>
      <c r="D20" s="31"/>
      <c r="E20" s="32"/>
      <c r="F20" s="32"/>
      <c r="G20" s="32"/>
      <c r="H20" s="39"/>
      <c r="I20" s="39"/>
      <c r="J20" s="42"/>
      <c r="K20" s="43">
        <v>10</v>
      </c>
      <c r="L20" s="21"/>
      <c r="M20" s="21">
        <f t="shared" si="0"/>
        <v>10</v>
      </c>
      <c r="N20" s="21">
        <f t="shared" si="1"/>
        <v>-10</v>
      </c>
      <c r="O20" s="21"/>
      <c r="P20" s="21"/>
      <c r="Q20" s="21"/>
      <c r="R20" s="5"/>
      <c r="S20" s="43"/>
      <c r="T20" s="32"/>
      <c r="U20" s="21">
        <f t="shared" si="2"/>
        <v>0</v>
      </c>
      <c r="V20" s="132"/>
      <c r="W20" s="294">
        <f t="shared" si="3"/>
        <v>0</v>
      </c>
      <c r="X20" s="140"/>
      <c r="Y20" s="340"/>
      <c r="Z20" s="5"/>
      <c r="AE20" s="5"/>
      <c r="AF20" s="5"/>
      <c r="AG20" s="5"/>
      <c r="AH20" s="5" t="s">
        <v>3677</v>
      </c>
      <c r="AI20" s="5"/>
      <c r="AJ20" s="5"/>
      <c r="AK20" s="5"/>
    </row>
    <row r="21" spans="1:37" x14ac:dyDescent="0.25">
      <c r="A21" s="143">
        <v>18</v>
      </c>
      <c r="B21" s="142">
        <v>45182</v>
      </c>
      <c r="C21" s="32"/>
      <c r="D21" s="31"/>
      <c r="E21" s="32"/>
      <c r="F21" s="32"/>
      <c r="G21" s="32"/>
      <c r="H21" s="39"/>
      <c r="I21" s="39"/>
      <c r="J21" s="42"/>
      <c r="K21" s="43">
        <v>10</v>
      </c>
      <c r="L21" s="21"/>
      <c r="M21" s="21">
        <f t="shared" si="0"/>
        <v>10</v>
      </c>
      <c r="N21" s="21">
        <f t="shared" si="1"/>
        <v>-10</v>
      </c>
      <c r="O21" s="21"/>
      <c r="P21" s="21"/>
      <c r="Q21" s="21"/>
      <c r="R21" s="5"/>
      <c r="S21" s="135"/>
      <c r="T21" s="104"/>
      <c r="U21" s="21">
        <f t="shared" si="2"/>
        <v>0</v>
      </c>
      <c r="V21" s="131"/>
      <c r="W21" s="294">
        <f t="shared" si="3"/>
        <v>0</v>
      </c>
      <c r="X21" s="140"/>
      <c r="Z21" s="5"/>
    </row>
    <row r="22" spans="1:37" x14ac:dyDescent="0.25">
      <c r="A22" s="143">
        <v>19</v>
      </c>
      <c r="B22" s="142">
        <v>45182</v>
      </c>
      <c r="C22" s="32"/>
      <c r="D22" s="31"/>
      <c r="E22" s="32"/>
      <c r="F22" s="32"/>
      <c r="G22" s="32"/>
      <c r="H22" s="39"/>
      <c r="I22" s="39"/>
      <c r="J22" s="42"/>
      <c r="K22" s="43">
        <v>10</v>
      </c>
      <c r="L22" s="21"/>
      <c r="M22" s="21">
        <f t="shared" si="0"/>
        <v>10</v>
      </c>
      <c r="N22" s="21">
        <f t="shared" si="1"/>
        <v>-10</v>
      </c>
      <c r="O22" s="21"/>
      <c r="P22" s="21"/>
      <c r="Q22" s="21"/>
      <c r="R22" s="5"/>
      <c r="S22" s="32"/>
      <c r="T22" s="32"/>
      <c r="U22" s="21">
        <f t="shared" si="2"/>
        <v>0</v>
      </c>
      <c r="V22" s="32"/>
      <c r="W22" s="294">
        <f t="shared" si="3"/>
        <v>0</v>
      </c>
      <c r="X22" s="140"/>
      <c r="Z22" s="5"/>
      <c r="AE22" s="5"/>
      <c r="AF22" s="5"/>
      <c r="AG22" s="5"/>
      <c r="AH22" s="5"/>
      <c r="AI22" s="5"/>
      <c r="AJ22" s="5"/>
      <c r="AK22" s="5"/>
    </row>
    <row r="23" spans="1:3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>
        <f>+((SUM(O4:O22))-(SUM(P4:P22)))</f>
        <v>0</v>
      </c>
      <c r="Q23" s="5"/>
      <c r="R23" s="5"/>
      <c r="S23" s="5"/>
      <c r="T23" s="5"/>
      <c r="U23" s="5"/>
      <c r="V23" s="5"/>
      <c r="W23" s="5"/>
      <c r="X23" s="141"/>
      <c r="Y23" s="5"/>
      <c r="Z23" s="5"/>
      <c r="AE23" s="5"/>
      <c r="AF23" s="134" t="s">
        <v>20</v>
      </c>
      <c r="AG23" s="358">
        <f>P23</f>
        <v>0</v>
      </c>
      <c r="AH23" s="341" t="s">
        <v>687</v>
      </c>
      <c r="AI23" s="134" t="s">
        <v>20</v>
      </c>
      <c r="AJ23" s="358">
        <f>+AJ13</f>
        <v>0</v>
      </c>
      <c r="AK23" s="5"/>
    </row>
    <row r="24" spans="1:37" x14ac:dyDescent="0.25">
      <c r="AE24" s="5" t="s">
        <v>3679</v>
      </c>
      <c r="AF24" s="115" t="s">
        <v>684</v>
      </c>
      <c r="AG24" s="359"/>
      <c r="AH24" s="341"/>
      <c r="AI24" s="115" t="s">
        <v>684</v>
      </c>
      <c r="AJ24" s="360"/>
      <c r="AK24" s="5"/>
    </row>
    <row r="25" spans="1:37" x14ac:dyDescent="0.25">
      <c r="AE25" s="5"/>
      <c r="AF25" s="5"/>
      <c r="AG25" s="5"/>
      <c r="AH25" s="5" t="s">
        <v>3678</v>
      </c>
      <c r="AI25" s="5"/>
      <c r="AJ25" s="5"/>
      <c r="AK25" s="5"/>
    </row>
  </sheetData>
  <mergeCells count="12">
    <mergeCell ref="AL2:AM2"/>
    <mergeCell ref="AO2:AP2"/>
    <mergeCell ref="O2:P2"/>
    <mergeCell ref="AG23:AG24"/>
    <mergeCell ref="AJ23:AJ24"/>
    <mergeCell ref="Y4:Y20"/>
    <mergeCell ref="AG18:AG19"/>
    <mergeCell ref="AH18:AH19"/>
    <mergeCell ref="AJ18:AJ19"/>
    <mergeCell ref="AH23:AH24"/>
    <mergeCell ref="AE2:AF2"/>
    <mergeCell ref="AI2:AJ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topLeftCell="A4" workbookViewId="0">
      <selection activeCell="A28" sqref="A28"/>
    </sheetView>
  </sheetViews>
  <sheetFormatPr baseColWidth="10" defaultRowHeight="15" x14ac:dyDescent="0.25"/>
  <cols>
    <col min="3" max="3" width="18.42578125" customWidth="1"/>
    <col min="4" max="4" width="11.42578125" customWidth="1"/>
  </cols>
  <sheetData>
    <row r="2" spans="1:4" x14ac:dyDescent="0.25">
      <c r="A2" s="364" t="s">
        <v>158</v>
      </c>
      <c r="B2" s="364"/>
      <c r="C2" s="364" t="s">
        <v>159</v>
      </c>
      <c r="D2" s="364"/>
    </row>
    <row r="3" spans="1:4" x14ac:dyDescent="0.25">
      <c r="A3" t="s">
        <v>155</v>
      </c>
      <c r="B3" s="36">
        <v>5</v>
      </c>
      <c r="C3" s="365">
        <v>22</v>
      </c>
      <c r="D3" s="365"/>
    </row>
    <row r="4" spans="1:4" x14ac:dyDescent="0.25">
      <c r="A4" t="s">
        <v>156</v>
      </c>
      <c r="B4" s="36">
        <v>2</v>
      </c>
      <c r="C4" s="365">
        <v>22</v>
      </c>
      <c r="D4" s="365"/>
    </row>
    <row r="5" spans="1:4" x14ac:dyDescent="0.25">
      <c r="A5" t="s">
        <v>157</v>
      </c>
      <c r="B5" s="36">
        <v>6</v>
      </c>
      <c r="C5" s="365">
        <v>20</v>
      </c>
      <c r="D5" s="365"/>
    </row>
  </sheetData>
  <mergeCells count="5">
    <mergeCell ref="A2:B2"/>
    <mergeCell ref="C2:D2"/>
    <mergeCell ref="C3:D3"/>
    <mergeCell ref="C4:D4"/>
    <mergeCell ref="C5:D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2"/>
  <sheetViews>
    <sheetView topLeftCell="A2" workbookViewId="0">
      <selection activeCell="H10" sqref="H10"/>
    </sheetView>
  </sheetViews>
  <sheetFormatPr baseColWidth="10" defaultRowHeight="15" x14ac:dyDescent="0.25"/>
  <cols>
    <col min="5" max="5" width="15.5703125" bestFit="1" customWidth="1"/>
    <col min="6" max="6" width="14.28515625" bestFit="1" customWidth="1"/>
    <col min="7" max="7" width="19" bestFit="1" customWidth="1"/>
    <col min="8" max="8" width="16.5703125" bestFit="1" customWidth="1"/>
  </cols>
  <sheetData>
    <row r="4" spans="3:8" x14ac:dyDescent="0.25">
      <c r="D4" t="s">
        <v>685</v>
      </c>
    </row>
    <row r="5" spans="3:8" x14ac:dyDescent="0.25">
      <c r="D5" s="27">
        <v>45160</v>
      </c>
    </row>
    <row r="7" spans="3:8" x14ac:dyDescent="0.25">
      <c r="D7" t="s">
        <v>3777</v>
      </c>
      <c r="E7" t="s">
        <v>3780</v>
      </c>
      <c r="F7" t="s">
        <v>3776</v>
      </c>
      <c r="G7" t="s">
        <v>3778</v>
      </c>
      <c r="H7" t="s">
        <v>3779</v>
      </c>
    </row>
    <row r="8" spans="3:8" x14ac:dyDescent="0.25">
      <c r="C8" t="s">
        <v>2477</v>
      </c>
      <c r="D8">
        <v>18</v>
      </c>
      <c r="E8">
        <f>+F8*5</f>
        <v>760</v>
      </c>
      <c r="F8">
        <v>152</v>
      </c>
      <c r="G8" s="36">
        <f>+E8*D8</f>
        <v>13680</v>
      </c>
      <c r="H8" t="s">
        <v>3781</v>
      </c>
    </row>
    <row r="9" spans="3:8" x14ac:dyDescent="0.25">
      <c r="C9" t="s">
        <v>141</v>
      </c>
      <c r="D9">
        <v>18</v>
      </c>
      <c r="G9" s="36">
        <v>30000</v>
      </c>
    </row>
    <row r="10" spans="3:8" x14ac:dyDescent="0.25">
      <c r="C10" t="s">
        <v>3529</v>
      </c>
      <c r="D10">
        <v>18</v>
      </c>
      <c r="E10">
        <f>+F10*6</f>
        <v>912</v>
      </c>
      <c r="F10">
        <v>152</v>
      </c>
      <c r="G10" s="36">
        <f>+E10*D10</f>
        <v>16416</v>
      </c>
      <c r="H10" t="s">
        <v>3782</v>
      </c>
    </row>
    <row r="12" spans="3:8" x14ac:dyDescent="0.25">
      <c r="G12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1"/>
  <sheetViews>
    <sheetView zoomScaleNormal="100" workbookViewId="0">
      <selection activeCell="D1" sqref="D1"/>
    </sheetView>
  </sheetViews>
  <sheetFormatPr baseColWidth="10" defaultRowHeight="15" x14ac:dyDescent="0.25"/>
  <cols>
    <col min="3" max="3" width="14.85546875" customWidth="1"/>
  </cols>
  <sheetData>
    <row r="1" spans="1: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1"/>
      <c r="R1" s="1"/>
      <c r="S1" s="3" t="s">
        <v>1</v>
      </c>
      <c r="T1" s="4"/>
      <c r="U1" s="5"/>
      <c r="V1" s="1"/>
      <c r="W1" s="1"/>
      <c r="X1" s="1"/>
      <c r="Y1" s="1"/>
    </row>
    <row r="2" spans="1:25" ht="90" x14ac:dyDescent="0.25">
      <c r="A2" s="6" t="s">
        <v>2</v>
      </c>
      <c r="B2" s="7" t="s">
        <v>3</v>
      </c>
      <c r="C2" s="7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8" t="s">
        <v>9</v>
      </c>
      <c r="I2" s="9" t="s">
        <v>10</v>
      </c>
      <c r="J2" s="8" t="s">
        <v>11</v>
      </c>
      <c r="K2" s="10" t="s">
        <v>12</v>
      </c>
      <c r="L2" s="10" t="s">
        <v>13</v>
      </c>
      <c r="M2" s="11" t="s">
        <v>14</v>
      </c>
      <c r="N2" s="11" t="s">
        <v>15</v>
      </c>
      <c r="O2" s="12"/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5"/>
      <c r="V2" s="13"/>
      <c r="W2" s="14" t="s">
        <v>21</v>
      </c>
      <c r="X2" s="14" t="s">
        <v>22</v>
      </c>
      <c r="Y2" s="15" t="s">
        <v>23</v>
      </c>
    </row>
    <row r="3" spans="1:25" x14ac:dyDescent="0.25">
      <c r="A3" s="16">
        <v>1</v>
      </c>
      <c r="B3" s="17">
        <v>45173</v>
      </c>
      <c r="C3" s="17" t="s">
        <v>24</v>
      </c>
      <c r="D3" s="16">
        <v>5562236073</v>
      </c>
      <c r="E3" s="16" t="s">
        <v>25</v>
      </c>
      <c r="F3" s="16" t="s">
        <v>26</v>
      </c>
      <c r="G3" s="18" t="s">
        <v>27</v>
      </c>
      <c r="H3" s="19">
        <v>55</v>
      </c>
      <c r="I3" s="16">
        <v>45</v>
      </c>
      <c r="J3" s="20">
        <v>10</v>
      </c>
      <c r="K3" s="21">
        <v>0</v>
      </c>
      <c r="L3" s="21">
        <f t="shared" ref="L3:L15" si="0">+I3+J3</f>
        <v>55</v>
      </c>
      <c r="M3" s="21">
        <f t="shared" ref="M3:M15" si="1">+H3-L3</f>
        <v>0</v>
      </c>
      <c r="N3" s="21"/>
      <c r="O3" s="22"/>
      <c r="P3" s="18">
        <v>45</v>
      </c>
      <c r="Q3" s="16">
        <v>0</v>
      </c>
      <c r="R3" s="21">
        <f t="shared" ref="R3:R17" si="2">+P3+Q3</f>
        <v>45</v>
      </c>
      <c r="S3" s="21">
        <v>55</v>
      </c>
      <c r="T3" s="21">
        <f t="shared" ref="T3:T12" si="3">S3-R3</f>
        <v>10</v>
      </c>
      <c r="U3" s="5"/>
      <c r="V3" s="22"/>
      <c r="W3" s="23"/>
      <c r="X3" s="23"/>
      <c r="Y3" s="333"/>
    </row>
    <row r="4" spans="1:25" x14ac:dyDescent="0.25">
      <c r="A4" s="16">
        <v>2</v>
      </c>
      <c r="B4" s="17">
        <v>45173</v>
      </c>
      <c r="C4" s="17" t="s">
        <v>24</v>
      </c>
      <c r="D4" s="16">
        <v>5562236073</v>
      </c>
      <c r="E4" s="16" t="s">
        <v>28</v>
      </c>
      <c r="F4" s="16" t="s">
        <v>26</v>
      </c>
      <c r="G4" s="18" t="s">
        <v>29</v>
      </c>
      <c r="H4" s="19">
        <v>210</v>
      </c>
      <c r="I4" s="16">
        <v>199</v>
      </c>
      <c r="J4" s="20">
        <v>10</v>
      </c>
      <c r="K4" s="21">
        <f>+T4-J4</f>
        <v>0</v>
      </c>
      <c r="L4" s="21">
        <f t="shared" si="0"/>
        <v>209</v>
      </c>
      <c r="M4" s="21">
        <f t="shared" si="1"/>
        <v>1</v>
      </c>
      <c r="N4" s="21">
        <v>199</v>
      </c>
      <c r="O4" s="22"/>
      <c r="P4" s="18">
        <v>0</v>
      </c>
      <c r="Q4" s="16">
        <v>0</v>
      </c>
      <c r="R4" s="21">
        <v>0</v>
      </c>
      <c r="S4" s="21">
        <v>210</v>
      </c>
      <c r="T4" s="21">
        <v>10</v>
      </c>
      <c r="U4" s="5"/>
      <c r="V4" s="22"/>
      <c r="W4" s="23"/>
      <c r="X4" s="23"/>
      <c r="Y4" s="334"/>
    </row>
    <row r="5" spans="1:25" x14ac:dyDescent="0.25">
      <c r="A5" s="16">
        <v>3</v>
      </c>
      <c r="B5" s="17">
        <v>45173</v>
      </c>
      <c r="C5" s="16" t="s">
        <v>3101</v>
      </c>
      <c r="D5" s="16">
        <v>5615417890</v>
      </c>
      <c r="E5" s="26" t="s">
        <v>31</v>
      </c>
      <c r="F5" s="26" t="s">
        <v>32</v>
      </c>
      <c r="G5" s="18" t="s">
        <v>33</v>
      </c>
      <c r="H5" s="19">
        <v>80</v>
      </c>
      <c r="I5" s="16">
        <v>66</v>
      </c>
      <c r="J5" s="20">
        <v>10</v>
      </c>
      <c r="K5" s="21">
        <v>0</v>
      </c>
      <c r="L5" s="21">
        <f t="shared" si="0"/>
        <v>76</v>
      </c>
      <c r="M5" s="21">
        <f t="shared" si="1"/>
        <v>4</v>
      </c>
      <c r="N5" s="21"/>
      <c r="O5" s="22"/>
      <c r="P5" s="18"/>
      <c r="Q5" s="16"/>
      <c r="R5" s="21">
        <f t="shared" si="2"/>
        <v>0</v>
      </c>
      <c r="S5" s="21">
        <v>80</v>
      </c>
      <c r="T5" s="21">
        <v>14</v>
      </c>
      <c r="U5" s="5"/>
      <c r="V5" s="22"/>
      <c r="W5" s="23"/>
      <c r="X5" s="23"/>
      <c r="Y5" s="334"/>
    </row>
    <row r="6" spans="1:25" x14ac:dyDescent="0.25">
      <c r="A6" s="16">
        <v>4</v>
      </c>
      <c r="B6" s="17">
        <v>45173</v>
      </c>
      <c r="C6" s="27" t="s">
        <v>920</v>
      </c>
      <c r="D6">
        <v>5554180418</v>
      </c>
      <c r="E6" s="16" t="s">
        <v>34</v>
      </c>
      <c r="F6" s="16" t="s">
        <v>35</v>
      </c>
      <c r="G6" s="28" t="s">
        <v>36</v>
      </c>
      <c r="H6" s="19">
        <v>201</v>
      </c>
      <c r="I6" s="16">
        <v>191</v>
      </c>
      <c r="J6" s="20">
        <v>10</v>
      </c>
      <c r="K6" s="21">
        <v>0</v>
      </c>
      <c r="L6" s="21">
        <f t="shared" si="0"/>
        <v>201</v>
      </c>
      <c r="M6" s="21">
        <f t="shared" si="1"/>
        <v>0</v>
      </c>
      <c r="N6" s="21"/>
      <c r="O6" s="22"/>
      <c r="P6" s="18"/>
      <c r="Q6" s="16">
        <v>0</v>
      </c>
      <c r="R6" s="21">
        <v>191</v>
      </c>
      <c r="S6" s="21">
        <v>201</v>
      </c>
      <c r="T6" s="21">
        <f t="shared" si="3"/>
        <v>10</v>
      </c>
      <c r="U6" s="5"/>
      <c r="V6" s="22"/>
      <c r="W6" s="23"/>
      <c r="X6" s="23"/>
      <c r="Y6" s="334"/>
    </row>
    <row r="7" spans="1:25" x14ac:dyDescent="0.25">
      <c r="A7" s="16">
        <v>5</v>
      </c>
      <c r="B7" s="17">
        <v>45173</v>
      </c>
      <c r="C7" s="17" t="s">
        <v>37</v>
      </c>
      <c r="D7" s="16">
        <v>5554180418</v>
      </c>
      <c r="E7" s="29" t="s">
        <v>38</v>
      </c>
      <c r="F7" s="29" t="s">
        <v>39</v>
      </c>
      <c r="G7" s="18" t="s">
        <v>40</v>
      </c>
      <c r="H7" s="19">
        <v>110</v>
      </c>
      <c r="I7" s="16">
        <v>68</v>
      </c>
      <c r="J7" s="20">
        <v>10</v>
      </c>
      <c r="K7" s="21">
        <f>+T7-J7</f>
        <v>0</v>
      </c>
      <c r="L7" s="21">
        <f t="shared" si="0"/>
        <v>78</v>
      </c>
      <c r="M7" s="21">
        <f t="shared" si="1"/>
        <v>32</v>
      </c>
      <c r="N7" s="21"/>
      <c r="O7" s="22"/>
      <c r="P7" s="18"/>
      <c r="Q7" s="16">
        <v>32</v>
      </c>
      <c r="R7" s="21">
        <v>100</v>
      </c>
      <c r="S7" s="21">
        <v>110</v>
      </c>
      <c r="T7" s="21">
        <f t="shared" si="3"/>
        <v>10</v>
      </c>
      <c r="U7" s="5"/>
      <c r="V7" s="5"/>
      <c r="W7" s="23"/>
      <c r="X7" s="23"/>
      <c r="Y7" s="334"/>
    </row>
    <row r="8" spans="1:25" x14ac:dyDescent="0.25">
      <c r="A8" s="30">
        <v>6</v>
      </c>
      <c r="B8" s="17">
        <v>45173</v>
      </c>
      <c r="C8" s="31" t="s">
        <v>2488</v>
      </c>
      <c r="D8" s="32">
        <v>5614683694</v>
      </c>
      <c r="E8" s="32" t="s">
        <v>41</v>
      </c>
      <c r="F8" s="32" t="s">
        <v>42</v>
      </c>
      <c r="G8" s="33" t="s">
        <v>43</v>
      </c>
      <c r="H8" s="34">
        <v>100</v>
      </c>
      <c r="I8" s="35">
        <v>51</v>
      </c>
      <c r="J8" s="20">
        <v>10</v>
      </c>
      <c r="K8" s="21">
        <f>+T8-J8</f>
        <v>0</v>
      </c>
      <c r="L8" s="21">
        <f t="shared" si="0"/>
        <v>61</v>
      </c>
      <c r="M8" s="21">
        <f t="shared" si="1"/>
        <v>39</v>
      </c>
      <c r="N8" s="21"/>
      <c r="O8" s="22"/>
      <c r="P8" s="18"/>
      <c r="Q8" s="16">
        <v>39</v>
      </c>
      <c r="R8" s="21">
        <v>100</v>
      </c>
      <c r="S8" s="16">
        <v>110</v>
      </c>
      <c r="T8" s="21">
        <f t="shared" si="3"/>
        <v>10</v>
      </c>
      <c r="U8" s="5"/>
      <c r="V8" s="5"/>
      <c r="W8" s="23"/>
      <c r="X8" s="23"/>
      <c r="Y8" s="334"/>
    </row>
    <row r="9" spans="1:25" x14ac:dyDescent="0.25">
      <c r="A9" s="30">
        <v>6</v>
      </c>
      <c r="B9" s="17">
        <v>45173</v>
      </c>
      <c r="C9" s="31" t="s">
        <v>2464</v>
      </c>
      <c r="D9" s="32" t="s">
        <v>45</v>
      </c>
      <c r="E9" s="32" t="s">
        <v>38</v>
      </c>
      <c r="F9" s="32" t="s">
        <v>46</v>
      </c>
      <c r="G9" s="36" t="s">
        <v>47</v>
      </c>
      <c r="H9" s="37">
        <v>40</v>
      </c>
      <c r="I9" s="38">
        <v>29</v>
      </c>
      <c r="J9" s="20">
        <v>10</v>
      </c>
      <c r="K9" s="21">
        <v>1</v>
      </c>
      <c r="L9" s="21">
        <f t="shared" si="0"/>
        <v>39</v>
      </c>
      <c r="M9" s="21">
        <f t="shared" si="1"/>
        <v>1</v>
      </c>
      <c r="N9" s="21"/>
      <c r="O9" s="22"/>
      <c r="P9" s="18"/>
      <c r="Q9" s="16"/>
      <c r="R9" s="21">
        <v>30</v>
      </c>
      <c r="S9" s="16">
        <v>41</v>
      </c>
      <c r="T9" s="21">
        <f t="shared" si="3"/>
        <v>11</v>
      </c>
      <c r="U9" s="5"/>
      <c r="V9" s="5"/>
      <c r="W9" s="23"/>
      <c r="X9" s="23"/>
      <c r="Y9" s="334"/>
    </row>
    <row r="10" spans="1:25" x14ac:dyDescent="0.25">
      <c r="A10" s="30">
        <v>7</v>
      </c>
      <c r="B10" s="17">
        <v>45173</v>
      </c>
      <c r="C10" s="27" t="s">
        <v>48</v>
      </c>
      <c r="D10">
        <v>5567925871</v>
      </c>
      <c r="E10" t="s">
        <v>49</v>
      </c>
      <c r="F10" t="s">
        <v>50</v>
      </c>
      <c r="G10" s="36" t="s">
        <v>51</v>
      </c>
      <c r="H10" s="37">
        <v>130</v>
      </c>
      <c r="I10">
        <v>118</v>
      </c>
      <c r="J10" s="20">
        <v>10</v>
      </c>
      <c r="K10" s="21">
        <f>+T10-J10</f>
        <v>2</v>
      </c>
      <c r="L10" s="21">
        <f t="shared" si="0"/>
        <v>128</v>
      </c>
      <c r="M10" s="21">
        <f t="shared" si="1"/>
        <v>2</v>
      </c>
      <c r="N10" s="21"/>
      <c r="O10" s="22"/>
      <c r="P10" s="18"/>
      <c r="Q10" s="16"/>
      <c r="R10" s="21">
        <v>120</v>
      </c>
      <c r="S10" s="16">
        <v>132</v>
      </c>
      <c r="T10" s="21">
        <f t="shared" si="3"/>
        <v>12</v>
      </c>
      <c r="U10" s="5"/>
      <c r="V10" s="5"/>
      <c r="W10" s="23"/>
      <c r="X10" s="23"/>
      <c r="Y10" s="334"/>
    </row>
    <row r="11" spans="1:25" x14ac:dyDescent="0.25">
      <c r="A11" s="32">
        <v>9</v>
      </c>
      <c r="B11" s="17">
        <v>45173</v>
      </c>
      <c r="C11" s="31" t="s">
        <v>82</v>
      </c>
      <c r="D11" s="32">
        <v>5624838493</v>
      </c>
      <c r="E11" s="32" t="s">
        <v>52</v>
      </c>
      <c r="F11" s="32" t="s">
        <v>53</v>
      </c>
      <c r="G11" s="36" t="s">
        <v>54</v>
      </c>
      <c r="H11" s="39">
        <v>89</v>
      </c>
      <c r="I11" s="40">
        <v>79</v>
      </c>
      <c r="J11" s="20">
        <v>10</v>
      </c>
      <c r="K11" s="21">
        <v>0</v>
      </c>
      <c r="L11" s="21">
        <f t="shared" si="0"/>
        <v>89</v>
      </c>
      <c r="M11" s="21">
        <f t="shared" si="1"/>
        <v>0</v>
      </c>
      <c r="N11" s="21">
        <v>79</v>
      </c>
      <c r="O11" s="22"/>
      <c r="P11" s="18"/>
      <c r="Q11" s="16"/>
      <c r="R11" s="21">
        <v>100</v>
      </c>
      <c r="S11" s="16">
        <v>110</v>
      </c>
      <c r="T11" s="21">
        <f t="shared" si="3"/>
        <v>10</v>
      </c>
      <c r="U11" s="5"/>
      <c r="V11" s="5"/>
      <c r="W11" s="23"/>
      <c r="X11" s="23"/>
      <c r="Y11" s="334"/>
    </row>
    <row r="12" spans="1:25" x14ac:dyDescent="0.25">
      <c r="A12" s="41">
        <v>10</v>
      </c>
      <c r="B12" s="17">
        <v>45173</v>
      </c>
      <c r="C12" s="32" t="s">
        <v>2649</v>
      </c>
      <c r="D12" s="32">
        <v>5560555623</v>
      </c>
      <c r="E12" s="32" t="s">
        <v>38</v>
      </c>
      <c r="F12" s="39" t="s">
        <v>55</v>
      </c>
      <c r="G12" s="36" t="s">
        <v>56</v>
      </c>
      <c r="H12" s="39">
        <v>200</v>
      </c>
      <c r="I12" s="42">
        <v>90</v>
      </c>
      <c r="J12" s="20">
        <v>10</v>
      </c>
      <c r="K12" s="21">
        <v>10</v>
      </c>
      <c r="L12" s="21">
        <v>220</v>
      </c>
      <c r="M12" s="21">
        <f t="shared" si="1"/>
        <v>-20</v>
      </c>
      <c r="N12" s="21"/>
      <c r="O12" s="22"/>
      <c r="P12" s="18">
        <v>200</v>
      </c>
      <c r="Q12" s="16"/>
      <c r="R12" s="21">
        <f t="shared" si="2"/>
        <v>200</v>
      </c>
      <c r="S12" s="16">
        <v>220</v>
      </c>
      <c r="T12" s="21">
        <f t="shared" si="3"/>
        <v>20</v>
      </c>
      <c r="U12" s="5"/>
      <c r="V12" s="5"/>
      <c r="W12" s="23"/>
      <c r="X12" s="23"/>
      <c r="Y12" s="334"/>
    </row>
    <row r="13" spans="1:25" x14ac:dyDescent="0.25">
      <c r="A13" s="32">
        <v>11</v>
      </c>
      <c r="B13" s="17">
        <v>45173</v>
      </c>
      <c r="C13" s="17" t="s">
        <v>37</v>
      </c>
      <c r="D13" s="16">
        <v>5554180418</v>
      </c>
      <c r="E13" s="29" t="s">
        <v>52</v>
      </c>
      <c r="F13" s="29" t="s">
        <v>39</v>
      </c>
      <c r="G13" s="39" t="s">
        <v>57</v>
      </c>
      <c r="H13" s="39">
        <v>189</v>
      </c>
      <c r="I13" s="42">
        <v>163</v>
      </c>
      <c r="J13" s="20">
        <v>10</v>
      </c>
      <c r="K13" s="21"/>
      <c r="L13" s="21">
        <v>179</v>
      </c>
      <c r="M13" s="21">
        <f t="shared" si="1"/>
        <v>10</v>
      </c>
      <c r="N13" s="21">
        <v>163</v>
      </c>
      <c r="O13" s="22"/>
      <c r="P13" s="18">
        <v>170</v>
      </c>
      <c r="Q13" s="16"/>
      <c r="R13" s="21"/>
      <c r="S13" s="16">
        <v>189</v>
      </c>
      <c r="T13" s="21">
        <v>19</v>
      </c>
      <c r="U13" s="5"/>
      <c r="V13" s="5"/>
      <c r="W13" s="23"/>
      <c r="X13" s="23"/>
      <c r="Y13" s="334"/>
    </row>
    <row r="14" spans="1:25" x14ac:dyDescent="0.25">
      <c r="A14" s="32">
        <v>12</v>
      </c>
      <c r="B14" s="17">
        <v>45173</v>
      </c>
      <c r="C14" s="31" t="s">
        <v>2650</v>
      </c>
      <c r="D14" s="32">
        <v>5542446107</v>
      </c>
      <c r="E14" s="32" t="s">
        <v>28</v>
      </c>
      <c r="F14" t="s">
        <v>58</v>
      </c>
      <c r="G14" s="39" t="s">
        <v>59</v>
      </c>
      <c r="H14" s="39">
        <v>153</v>
      </c>
      <c r="I14" s="42">
        <v>143</v>
      </c>
      <c r="J14" s="20">
        <v>10</v>
      </c>
      <c r="K14" s="43"/>
      <c r="L14" s="21">
        <f>I14+J14</f>
        <v>153</v>
      </c>
      <c r="M14" s="21">
        <f t="shared" si="1"/>
        <v>0</v>
      </c>
      <c r="N14" s="21">
        <v>143</v>
      </c>
      <c r="O14" s="22"/>
      <c r="P14" s="33"/>
      <c r="Q14" s="44"/>
      <c r="R14" s="21">
        <f t="shared" si="2"/>
        <v>0</v>
      </c>
      <c r="S14" s="45">
        <v>165</v>
      </c>
      <c r="T14" s="21">
        <v>22</v>
      </c>
      <c r="U14" s="5"/>
      <c r="V14" s="5"/>
      <c r="W14" s="23"/>
      <c r="X14" s="23"/>
      <c r="Y14" s="334"/>
    </row>
    <row r="15" spans="1:25" x14ac:dyDescent="0.25">
      <c r="A15" s="32">
        <v>13</v>
      </c>
      <c r="B15" s="17">
        <v>45173</v>
      </c>
      <c r="C15" s="31" t="s">
        <v>60</v>
      </c>
      <c r="D15" s="32">
        <v>5513650898</v>
      </c>
      <c r="E15" s="32" t="s">
        <v>52</v>
      </c>
      <c r="F15" s="32" t="s">
        <v>61</v>
      </c>
      <c r="G15" s="39" t="s">
        <v>62</v>
      </c>
      <c r="H15" s="39">
        <v>83</v>
      </c>
      <c r="I15" s="46">
        <v>78</v>
      </c>
      <c r="J15" s="43">
        <v>10</v>
      </c>
      <c r="K15" s="43"/>
      <c r="L15" s="21">
        <f t="shared" si="0"/>
        <v>88</v>
      </c>
      <c r="M15" s="43">
        <f t="shared" si="1"/>
        <v>-5</v>
      </c>
      <c r="N15" s="43">
        <v>78</v>
      </c>
      <c r="O15" s="22"/>
      <c r="P15" s="39"/>
      <c r="Q15" s="32"/>
      <c r="R15" s="21">
        <f t="shared" si="2"/>
        <v>0</v>
      </c>
      <c r="S15" s="43">
        <v>85</v>
      </c>
      <c r="T15" s="21">
        <v>10</v>
      </c>
      <c r="U15" s="5"/>
      <c r="V15" s="47"/>
      <c r="W15" s="47"/>
      <c r="X15" s="22"/>
      <c r="Y15" s="22"/>
    </row>
    <row r="16" spans="1:25" x14ac:dyDescent="0.25">
      <c r="A16" s="32">
        <v>14</v>
      </c>
      <c r="B16" s="17">
        <v>45173</v>
      </c>
      <c r="C16" s="31"/>
      <c r="D16" s="32"/>
      <c r="E16" s="32"/>
      <c r="F16" s="32"/>
      <c r="G16" s="39"/>
      <c r="H16" s="39"/>
      <c r="I16" s="42"/>
      <c r="J16" s="43"/>
      <c r="K16" s="43"/>
      <c r="L16" s="21"/>
      <c r="M16" s="43"/>
      <c r="N16" s="43"/>
      <c r="O16" s="5"/>
      <c r="P16" s="39"/>
      <c r="Q16" s="43"/>
      <c r="R16" s="21">
        <f t="shared" si="2"/>
        <v>0</v>
      </c>
      <c r="S16" s="43"/>
      <c r="T16" s="21"/>
      <c r="U16" s="5"/>
      <c r="V16" s="5"/>
      <c r="W16" s="5"/>
      <c r="X16" s="5"/>
      <c r="Y16" s="5"/>
    </row>
    <row r="17" spans="1:25" x14ac:dyDescent="0.25">
      <c r="A17" s="32">
        <v>15</v>
      </c>
      <c r="B17" s="17">
        <v>45173</v>
      </c>
      <c r="C17" s="31"/>
      <c r="D17" s="32"/>
      <c r="E17" s="32"/>
      <c r="F17" s="32"/>
      <c r="G17" s="39"/>
      <c r="H17" s="39"/>
      <c r="I17" s="42"/>
      <c r="J17" s="43"/>
      <c r="K17" s="43"/>
      <c r="L17" s="43"/>
      <c r="M17" s="43"/>
      <c r="N17" s="43"/>
      <c r="O17" s="22"/>
      <c r="P17" s="39"/>
      <c r="Q17" s="32"/>
      <c r="R17" s="21">
        <f t="shared" si="2"/>
        <v>0</v>
      </c>
      <c r="S17" s="43"/>
      <c r="T17" s="21">
        <f>S17-R17</f>
        <v>0</v>
      </c>
      <c r="U17" s="5"/>
      <c r="V17" s="5"/>
      <c r="W17" s="5"/>
      <c r="X17" s="5"/>
      <c r="Y17" s="5"/>
    </row>
    <row r="18" spans="1:25" x14ac:dyDescent="0.25">
      <c r="N18" s="83">
        <f>SUM(N4:N15)</f>
        <v>662</v>
      </c>
    </row>
    <row r="20" spans="1:25" x14ac:dyDescent="0.25">
      <c r="A20">
        <v>13</v>
      </c>
      <c r="B20" s="226"/>
    </row>
    <row r="22" spans="1:25" x14ac:dyDescent="0.25">
      <c r="A22" s="1" t="s">
        <v>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"/>
      <c r="Q22" s="1"/>
      <c r="R22" s="1"/>
      <c r="S22" s="3" t="s">
        <v>1</v>
      </c>
      <c r="T22" s="4"/>
      <c r="U22" s="5"/>
      <c r="V22" s="1"/>
      <c r="W22" s="1"/>
      <c r="X22" s="1"/>
      <c r="Y22" s="1"/>
    </row>
    <row r="23" spans="1:25" ht="49.5" customHeight="1" x14ac:dyDescent="0.25">
      <c r="A23" s="6" t="s">
        <v>2</v>
      </c>
      <c r="B23" s="7" t="s">
        <v>3</v>
      </c>
      <c r="C23" s="7" t="s">
        <v>4</v>
      </c>
      <c r="D23" s="6" t="s">
        <v>5</v>
      </c>
      <c r="E23" s="6" t="s">
        <v>6</v>
      </c>
      <c r="F23" s="6" t="s">
        <v>7</v>
      </c>
      <c r="G23" s="6" t="s">
        <v>8</v>
      </c>
      <c r="H23" s="8" t="s">
        <v>9</v>
      </c>
      <c r="I23" s="9" t="s">
        <v>10</v>
      </c>
      <c r="J23" s="8" t="s">
        <v>11</v>
      </c>
      <c r="K23" s="10" t="s">
        <v>12</v>
      </c>
      <c r="L23" s="10" t="s">
        <v>13</v>
      </c>
      <c r="M23" s="11" t="s">
        <v>14</v>
      </c>
      <c r="N23" s="11" t="s">
        <v>15</v>
      </c>
      <c r="O23" s="12"/>
      <c r="P23" s="10" t="s">
        <v>16</v>
      </c>
      <c r="Q23" s="10" t="s">
        <v>17</v>
      </c>
      <c r="R23" s="10" t="s">
        <v>18</v>
      </c>
      <c r="S23" s="10" t="s">
        <v>19</v>
      </c>
      <c r="T23" s="10" t="s">
        <v>20</v>
      </c>
      <c r="U23" s="10" t="s">
        <v>63</v>
      </c>
      <c r="V23" s="13"/>
      <c r="W23" s="14" t="s">
        <v>21</v>
      </c>
      <c r="X23" s="14" t="s">
        <v>22</v>
      </c>
      <c r="Y23" s="15" t="s">
        <v>23</v>
      </c>
    </row>
    <row r="24" spans="1:25" x14ac:dyDescent="0.25">
      <c r="A24" s="16">
        <v>1</v>
      </c>
      <c r="B24" s="17">
        <v>45174</v>
      </c>
      <c r="C24" s="17" t="s">
        <v>64</v>
      </c>
      <c r="D24" s="16">
        <v>5625771181</v>
      </c>
      <c r="E24" s="16" t="s">
        <v>65</v>
      </c>
      <c r="F24" s="16" t="s">
        <v>66</v>
      </c>
      <c r="G24" s="18" t="s">
        <v>67</v>
      </c>
      <c r="H24" s="19">
        <v>100</v>
      </c>
      <c r="I24" s="18">
        <v>80</v>
      </c>
      <c r="J24" s="20">
        <v>10</v>
      </c>
      <c r="K24" s="21">
        <f>+T24-J24</f>
        <v>80</v>
      </c>
      <c r="L24" s="21">
        <f t="shared" ref="L24:L38" si="4">+I24+J24</f>
        <v>90</v>
      </c>
      <c r="M24" s="21">
        <f t="shared" ref="M24:M38" si="5">+H24-L24</f>
        <v>10</v>
      </c>
      <c r="N24" s="21"/>
      <c r="O24" s="22"/>
      <c r="P24" s="18">
        <v>10</v>
      </c>
      <c r="Q24" s="16"/>
      <c r="R24" s="21">
        <f t="shared" ref="R24:R38" si="6">+P24+Q24</f>
        <v>10</v>
      </c>
      <c r="S24" s="21">
        <v>100</v>
      </c>
      <c r="T24" s="21">
        <f t="shared" ref="T24:T33" si="7">S24-R24</f>
        <v>90</v>
      </c>
      <c r="U24" s="21"/>
      <c r="V24" s="22"/>
      <c r="W24" s="23"/>
      <c r="X24" s="23"/>
      <c r="Y24" s="333"/>
    </row>
    <row r="25" spans="1:25" x14ac:dyDescent="0.25">
      <c r="A25" s="16">
        <v>2</v>
      </c>
      <c r="B25" s="17">
        <v>45174</v>
      </c>
      <c r="C25" s="17" t="s">
        <v>260</v>
      </c>
      <c r="D25" s="16">
        <v>5586180942</v>
      </c>
      <c r="E25" s="16" t="s">
        <v>69</v>
      </c>
      <c r="F25" s="16" t="s">
        <v>70</v>
      </c>
      <c r="G25" s="18" t="s">
        <v>71</v>
      </c>
      <c r="H25" s="19">
        <v>200</v>
      </c>
      <c r="I25" s="18">
        <v>140</v>
      </c>
      <c r="J25" s="20">
        <v>10</v>
      </c>
      <c r="K25" s="21">
        <f>+T25-J25</f>
        <v>11</v>
      </c>
      <c r="L25" s="21">
        <f t="shared" si="4"/>
        <v>150</v>
      </c>
      <c r="M25" s="21">
        <f t="shared" si="5"/>
        <v>50</v>
      </c>
      <c r="N25" s="21"/>
      <c r="O25" s="22"/>
      <c r="P25" s="18">
        <v>200</v>
      </c>
      <c r="Q25" s="16"/>
      <c r="R25" s="21">
        <f t="shared" si="6"/>
        <v>200</v>
      </c>
      <c r="S25" s="21">
        <v>221</v>
      </c>
      <c r="T25" s="21">
        <f t="shared" si="7"/>
        <v>21</v>
      </c>
      <c r="U25" s="48"/>
      <c r="V25" s="22"/>
      <c r="W25" s="23"/>
      <c r="X25" s="23"/>
      <c r="Y25" s="334"/>
    </row>
    <row r="26" spans="1:25" x14ac:dyDescent="0.25">
      <c r="A26" s="16">
        <v>3</v>
      </c>
      <c r="B26" s="17">
        <v>45174</v>
      </c>
      <c r="C26" s="16" t="s">
        <v>72</v>
      </c>
      <c r="D26" s="16"/>
      <c r="E26" s="26" t="s">
        <v>73</v>
      </c>
      <c r="F26" s="26" t="s">
        <v>74</v>
      </c>
      <c r="G26" s="18" t="s">
        <v>75</v>
      </c>
      <c r="H26" s="19">
        <v>116</v>
      </c>
      <c r="I26" s="18">
        <v>44</v>
      </c>
      <c r="J26" s="20">
        <v>10</v>
      </c>
      <c r="K26" s="21">
        <f>+T26-J26</f>
        <v>60</v>
      </c>
      <c r="L26" s="21">
        <f t="shared" si="4"/>
        <v>54</v>
      </c>
      <c r="M26" s="21">
        <f t="shared" si="5"/>
        <v>62</v>
      </c>
      <c r="N26" s="21"/>
      <c r="O26" s="22"/>
      <c r="P26" s="18">
        <v>46</v>
      </c>
      <c r="Q26" s="16"/>
      <c r="R26" s="21">
        <f t="shared" si="6"/>
        <v>46</v>
      </c>
      <c r="S26" s="21">
        <v>116</v>
      </c>
      <c r="T26" s="21">
        <f t="shared" si="7"/>
        <v>70</v>
      </c>
      <c r="U26" s="49"/>
      <c r="V26" s="22"/>
      <c r="W26" s="23"/>
      <c r="X26" s="23"/>
      <c r="Y26" s="334"/>
    </row>
    <row r="27" spans="1:25" x14ac:dyDescent="0.25">
      <c r="A27" s="16">
        <v>4</v>
      </c>
      <c r="B27" s="17">
        <v>45174</v>
      </c>
      <c r="C27" s="27" t="s">
        <v>2495</v>
      </c>
      <c r="D27">
        <v>5564963478</v>
      </c>
      <c r="E27" s="16" t="s">
        <v>76</v>
      </c>
      <c r="F27" s="16" t="s">
        <v>77</v>
      </c>
      <c r="G27" s="28" t="s">
        <v>78</v>
      </c>
      <c r="H27" s="19">
        <v>500</v>
      </c>
      <c r="I27" s="18"/>
      <c r="J27" s="20">
        <v>10</v>
      </c>
      <c r="K27" s="21">
        <f t="shared" ref="K27:K37" si="8">+T27-J27</f>
        <v>10</v>
      </c>
      <c r="L27" s="21">
        <f t="shared" si="4"/>
        <v>10</v>
      </c>
      <c r="M27" s="21">
        <f t="shared" si="5"/>
        <v>490</v>
      </c>
      <c r="N27" s="21"/>
      <c r="O27" s="22"/>
      <c r="P27" s="18">
        <v>500</v>
      </c>
      <c r="Q27" s="16"/>
      <c r="R27" s="21">
        <f t="shared" si="6"/>
        <v>500</v>
      </c>
      <c r="S27" s="21">
        <v>520</v>
      </c>
      <c r="T27" s="21">
        <f t="shared" si="7"/>
        <v>20</v>
      </c>
      <c r="U27" s="49"/>
      <c r="V27" s="22"/>
      <c r="W27" s="23"/>
      <c r="X27" s="23"/>
      <c r="Y27" s="334"/>
    </row>
    <row r="28" spans="1:25" x14ac:dyDescent="0.25">
      <c r="A28" s="16">
        <v>5</v>
      </c>
      <c r="B28" s="17">
        <v>45174</v>
      </c>
      <c r="C28" s="17" t="s">
        <v>542</v>
      </c>
      <c r="D28" s="16">
        <v>5617054776</v>
      </c>
      <c r="E28" s="29" t="s">
        <v>79</v>
      </c>
      <c r="F28" s="29" t="s">
        <v>80</v>
      </c>
      <c r="G28" s="18" t="s">
        <v>81</v>
      </c>
      <c r="H28" s="19">
        <v>90</v>
      </c>
      <c r="I28" s="18">
        <v>80</v>
      </c>
      <c r="J28" s="20">
        <v>10</v>
      </c>
      <c r="K28" s="21">
        <f t="shared" si="8"/>
        <v>0</v>
      </c>
      <c r="L28" s="21">
        <f t="shared" si="4"/>
        <v>90</v>
      </c>
      <c r="M28" s="21">
        <f t="shared" si="5"/>
        <v>0</v>
      </c>
      <c r="N28" s="21"/>
      <c r="O28" s="22"/>
      <c r="P28" s="18">
        <v>200</v>
      </c>
      <c r="Q28" s="16"/>
      <c r="R28" s="21">
        <f t="shared" si="6"/>
        <v>200</v>
      </c>
      <c r="S28" s="21">
        <v>210</v>
      </c>
      <c r="T28" s="21">
        <f t="shared" si="7"/>
        <v>10</v>
      </c>
      <c r="U28" s="49"/>
      <c r="V28" s="5"/>
      <c r="W28" s="23"/>
      <c r="X28" s="23"/>
      <c r="Y28" s="334"/>
    </row>
    <row r="29" spans="1:25" x14ac:dyDescent="0.25">
      <c r="A29" s="30">
        <v>6</v>
      </c>
      <c r="B29" s="17">
        <v>45174</v>
      </c>
      <c r="C29" s="31" t="s">
        <v>82</v>
      </c>
      <c r="D29" s="32">
        <v>5624838493</v>
      </c>
      <c r="E29" s="32" t="s">
        <v>83</v>
      </c>
      <c r="F29" s="32" t="s">
        <v>84</v>
      </c>
      <c r="G29" s="33" t="s">
        <v>85</v>
      </c>
      <c r="H29" s="34">
        <v>100</v>
      </c>
      <c r="I29" s="35">
        <v>90</v>
      </c>
      <c r="J29" s="20">
        <v>10</v>
      </c>
      <c r="K29" s="21">
        <f t="shared" si="8"/>
        <v>0</v>
      </c>
      <c r="L29" s="21">
        <f t="shared" si="4"/>
        <v>100</v>
      </c>
      <c r="M29" s="21">
        <f t="shared" si="5"/>
        <v>0</v>
      </c>
      <c r="N29" s="21"/>
      <c r="O29" s="22"/>
      <c r="P29" s="18"/>
      <c r="Q29" s="16"/>
      <c r="R29" s="21">
        <f t="shared" si="6"/>
        <v>0</v>
      </c>
      <c r="S29" s="16">
        <v>10</v>
      </c>
      <c r="T29" s="21">
        <f t="shared" si="7"/>
        <v>10</v>
      </c>
      <c r="U29" s="49"/>
      <c r="V29" s="5"/>
      <c r="W29" s="23"/>
      <c r="X29" s="23"/>
      <c r="Y29" s="334"/>
    </row>
    <row r="30" spans="1:25" x14ac:dyDescent="0.25">
      <c r="A30" s="30">
        <v>7</v>
      </c>
      <c r="B30" s="17">
        <v>45174</v>
      </c>
      <c r="C30" s="31" t="s">
        <v>114</v>
      </c>
      <c r="D30" s="32">
        <v>5560555623</v>
      </c>
      <c r="E30" s="32" t="s">
        <v>86</v>
      </c>
      <c r="F30" s="32" t="s">
        <v>87</v>
      </c>
      <c r="G30" s="36" t="s">
        <v>88</v>
      </c>
      <c r="H30" s="37">
        <v>130</v>
      </c>
      <c r="I30" s="38">
        <v>120</v>
      </c>
      <c r="J30" s="20">
        <v>10</v>
      </c>
      <c r="K30" s="21">
        <f>+T30-J30</f>
        <v>8</v>
      </c>
      <c r="L30" s="21">
        <f t="shared" si="4"/>
        <v>130</v>
      </c>
      <c r="M30" s="21">
        <f t="shared" si="5"/>
        <v>0</v>
      </c>
      <c r="N30" s="21"/>
      <c r="O30" s="22"/>
      <c r="P30" s="18"/>
      <c r="Q30" s="16"/>
      <c r="R30" s="21">
        <f t="shared" si="6"/>
        <v>0</v>
      </c>
      <c r="S30" s="16">
        <v>18</v>
      </c>
      <c r="T30" s="21">
        <f t="shared" si="7"/>
        <v>18</v>
      </c>
      <c r="U30" s="50"/>
      <c r="V30" s="5"/>
      <c r="W30" s="23"/>
      <c r="X30" s="23"/>
      <c r="Y30" s="334"/>
    </row>
    <row r="31" spans="1:25" x14ac:dyDescent="0.25">
      <c r="A31" s="51">
        <v>8</v>
      </c>
      <c r="B31" s="17">
        <v>45174</v>
      </c>
      <c r="C31" s="27" t="s">
        <v>2637</v>
      </c>
      <c r="D31">
        <v>5629985003</v>
      </c>
      <c r="E31" t="s">
        <v>90</v>
      </c>
      <c r="F31" t="s">
        <v>91</v>
      </c>
      <c r="G31" s="36" t="s">
        <v>92</v>
      </c>
      <c r="H31" s="37">
        <v>32</v>
      </c>
      <c r="I31" s="36">
        <v>22</v>
      </c>
      <c r="J31" s="20">
        <v>10</v>
      </c>
      <c r="K31" s="21">
        <f t="shared" si="8"/>
        <v>0</v>
      </c>
      <c r="L31" s="21">
        <f t="shared" si="4"/>
        <v>32</v>
      </c>
      <c r="M31" s="21">
        <f t="shared" si="5"/>
        <v>0</v>
      </c>
      <c r="N31" s="21"/>
      <c r="O31" s="22"/>
      <c r="P31" s="18"/>
      <c r="Q31" s="16"/>
      <c r="R31" s="21">
        <f t="shared" si="6"/>
        <v>0</v>
      </c>
      <c r="S31" s="16">
        <v>32</v>
      </c>
      <c r="T31" s="21">
        <v>10</v>
      </c>
      <c r="U31" s="21"/>
      <c r="V31" s="5"/>
      <c r="W31" s="23"/>
      <c r="X31" s="23"/>
      <c r="Y31" s="334"/>
    </row>
    <row r="32" spans="1:25" x14ac:dyDescent="0.25">
      <c r="A32" s="16">
        <v>9</v>
      </c>
      <c r="B32" s="17">
        <v>45174</v>
      </c>
      <c r="C32" s="31" t="s">
        <v>93</v>
      </c>
      <c r="D32" s="32">
        <v>5529214461</v>
      </c>
      <c r="E32" s="32" t="s">
        <v>52</v>
      </c>
      <c r="F32" s="32" t="s">
        <v>94</v>
      </c>
      <c r="G32" s="36" t="s">
        <v>95</v>
      </c>
      <c r="H32" s="39">
        <v>133</v>
      </c>
      <c r="I32" s="52">
        <v>123</v>
      </c>
      <c r="J32" s="20">
        <v>10</v>
      </c>
      <c r="K32" s="21">
        <f t="shared" si="8"/>
        <v>10</v>
      </c>
      <c r="L32" s="21">
        <f t="shared" si="4"/>
        <v>133</v>
      </c>
      <c r="M32" s="21">
        <f t="shared" si="5"/>
        <v>0</v>
      </c>
      <c r="N32" s="21">
        <v>123</v>
      </c>
      <c r="O32" s="22"/>
      <c r="P32" s="18"/>
      <c r="Q32" s="16"/>
      <c r="R32" s="21">
        <f t="shared" si="6"/>
        <v>0</v>
      </c>
      <c r="S32" s="16">
        <v>143</v>
      </c>
      <c r="T32" s="21">
        <v>20</v>
      </c>
      <c r="U32" s="21"/>
      <c r="V32" s="5"/>
      <c r="W32" s="23"/>
      <c r="X32" s="23"/>
      <c r="Y32" s="334"/>
    </row>
    <row r="33" spans="1:25" x14ac:dyDescent="0.25">
      <c r="A33" s="16">
        <v>10</v>
      </c>
      <c r="B33" s="17">
        <v>45174</v>
      </c>
      <c r="C33" s="32" t="s">
        <v>97</v>
      </c>
      <c r="D33" s="32">
        <v>5522701712</v>
      </c>
      <c r="E33" s="32" t="s">
        <v>52</v>
      </c>
      <c r="F33" s="39" t="s">
        <v>98</v>
      </c>
      <c r="G33" s="36" t="s">
        <v>99</v>
      </c>
      <c r="H33" s="39">
        <v>54</v>
      </c>
      <c r="I33" s="42">
        <v>44</v>
      </c>
      <c r="J33" s="20">
        <v>10</v>
      </c>
      <c r="K33" s="21">
        <f t="shared" si="8"/>
        <v>44</v>
      </c>
      <c r="L33" s="21">
        <f t="shared" si="4"/>
        <v>54</v>
      </c>
      <c r="M33" s="21">
        <f t="shared" si="5"/>
        <v>0</v>
      </c>
      <c r="N33" s="21">
        <v>4</v>
      </c>
      <c r="O33" s="22"/>
      <c r="P33" s="18"/>
      <c r="Q33" s="16"/>
      <c r="R33" s="21">
        <f t="shared" si="6"/>
        <v>0</v>
      </c>
      <c r="S33" s="16">
        <v>54</v>
      </c>
      <c r="T33" s="21">
        <f t="shared" si="7"/>
        <v>54</v>
      </c>
      <c r="U33" s="21"/>
      <c r="V33" s="5"/>
      <c r="W33" s="23"/>
      <c r="X33" s="23"/>
      <c r="Y33" s="334"/>
    </row>
    <row r="34" spans="1:25" x14ac:dyDescent="0.25">
      <c r="A34" s="16">
        <v>11</v>
      </c>
      <c r="B34" s="17">
        <v>45174</v>
      </c>
      <c r="C34" s="31" t="s">
        <v>2637</v>
      </c>
      <c r="D34">
        <v>5629985003</v>
      </c>
      <c r="E34" s="31" t="s">
        <v>52</v>
      </c>
      <c r="F34" s="32" t="s">
        <v>100</v>
      </c>
      <c r="G34" s="39" t="s">
        <v>101</v>
      </c>
      <c r="H34" s="39">
        <v>131</v>
      </c>
      <c r="I34" s="42">
        <v>121</v>
      </c>
      <c r="J34" s="20">
        <v>10</v>
      </c>
      <c r="K34" s="21">
        <f>+T34-J34</f>
        <v>0</v>
      </c>
      <c r="L34" s="21">
        <f t="shared" si="4"/>
        <v>131</v>
      </c>
      <c r="M34" s="21">
        <f t="shared" si="5"/>
        <v>0</v>
      </c>
      <c r="N34" s="21">
        <v>131</v>
      </c>
      <c r="O34" s="22"/>
      <c r="P34" s="18"/>
      <c r="Q34" s="16"/>
      <c r="R34" s="21">
        <f t="shared" si="6"/>
        <v>0</v>
      </c>
      <c r="S34" s="16">
        <v>131</v>
      </c>
      <c r="T34" s="21">
        <v>10</v>
      </c>
      <c r="U34" s="21"/>
      <c r="V34" s="5"/>
      <c r="W34" s="23"/>
      <c r="X34" s="23"/>
      <c r="Y34" s="334"/>
    </row>
    <row r="35" spans="1:25" x14ac:dyDescent="0.25">
      <c r="A35" s="30">
        <v>12</v>
      </c>
      <c r="B35" s="17">
        <v>45174</v>
      </c>
      <c r="C35" s="31" t="s">
        <v>102</v>
      </c>
      <c r="D35" s="32">
        <v>5515121583</v>
      </c>
      <c r="E35" s="32" t="s">
        <v>103</v>
      </c>
      <c r="F35" s="32" t="s">
        <v>100</v>
      </c>
      <c r="G35" s="39" t="s">
        <v>104</v>
      </c>
      <c r="H35" s="39">
        <v>186</v>
      </c>
      <c r="I35" s="42">
        <v>176</v>
      </c>
      <c r="J35" s="20">
        <v>10</v>
      </c>
      <c r="K35" s="21">
        <f t="shared" si="8"/>
        <v>0</v>
      </c>
      <c r="L35" s="21">
        <f t="shared" si="4"/>
        <v>186</v>
      </c>
      <c r="M35" s="21">
        <f t="shared" si="5"/>
        <v>0</v>
      </c>
      <c r="N35" s="21">
        <v>100</v>
      </c>
      <c r="O35" s="22"/>
      <c r="P35" s="33"/>
      <c r="Q35" s="44"/>
      <c r="R35" s="21">
        <f t="shared" si="6"/>
        <v>0</v>
      </c>
      <c r="S35" s="45">
        <v>186</v>
      </c>
      <c r="T35" s="21">
        <v>10</v>
      </c>
      <c r="U35" s="21"/>
      <c r="V35" s="5"/>
      <c r="W35" s="23"/>
      <c r="X35" s="23"/>
      <c r="Y35" s="334"/>
    </row>
    <row r="36" spans="1:25" x14ac:dyDescent="0.25">
      <c r="A36" s="30">
        <v>13</v>
      </c>
      <c r="B36" s="17">
        <v>45174</v>
      </c>
      <c r="C36" s="31" t="s">
        <v>105</v>
      </c>
      <c r="D36" s="32">
        <v>1234567891</v>
      </c>
      <c r="E36" s="32" t="s">
        <v>106</v>
      </c>
      <c r="F36" s="32" t="s">
        <v>107</v>
      </c>
      <c r="G36" s="39" t="s">
        <v>108</v>
      </c>
      <c r="H36" s="39">
        <v>38</v>
      </c>
      <c r="I36" s="42">
        <v>28</v>
      </c>
      <c r="J36" s="43">
        <v>10</v>
      </c>
      <c r="K36" s="21">
        <f t="shared" si="8"/>
        <v>0</v>
      </c>
      <c r="L36" s="21">
        <f t="shared" si="4"/>
        <v>38</v>
      </c>
      <c r="M36" s="21">
        <f t="shared" si="5"/>
        <v>0</v>
      </c>
      <c r="N36" s="43"/>
      <c r="O36" s="22"/>
      <c r="P36" s="39"/>
      <c r="Q36" s="32"/>
      <c r="R36" s="21">
        <f t="shared" si="6"/>
        <v>0</v>
      </c>
      <c r="S36" s="43">
        <v>38</v>
      </c>
      <c r="T36" s="21">
        <v>10</v>
      </c>
      <c r="U36" s="21"/>
      <c r="V36" s="47"/>
      <c r="W36" s="47"/>
      <c r="X36" s="22"/>
      <c r="Y36" s="22"/>
    </row>
    <row r="37" spans="1:25" x14ac:dyDescent="0.25">
      <c r="A37" s="16">
        <v>14</v>
      </c>
      <c r="B37" s="17">
        <v>45174</v>
      </c>
      <c r="C37" s="27" t="s">
        <v>48</v>
      </c>
      <c r="D37">
        <v>5567925871</v>
      </c>
      <c r="E37" t="s">
        <v>109</v>
      </c>
      <c r="F37" t="s">
        <v>110</v>
      </c>
      <c r="G37" s="36" t="s">
        <v>111</v>
      </c>
      <c r="H37" s="39">
        <v>75</v>
      </c>
      <c r="I37" s="42">
        <v>54</v>
      </c>
      <c r="J37" s="43">
        <v>10</v>
      </c>
      <c r="K37" s="21">
        <f t="shared" si="8"/>
        <v>11</v>
      </c>
      <c r="L37" s="21">
        <f t="shared" si="4"/>
        <v>64</v>
      </c>
      <c r="M37" s="21">
        <f t="shared" si="5"/>
        <v>11</v>
      </c>
      <c r="N37" s="43"/>
      <c r="O37" s="5" t="s">
        <v>112</v>
      </c>
      <c r="P37" s="39"/>
      <c r="Q37" s="43"/>
      <c r="R37" s="21">
        <f t="shared" si="6"/>
        <v>0</v>
      </c>
      <c r="S37" s="43">
        <v>64</v>
      </c>
      <c r="T37" s="21">
        <v>21</v>
      </c>
      <c r="U37" s="21"/>
      <c r="V37" s="5"/>
      <c r="W37" s="5"/>
      <c r="X37" s="5"/>
      <c r="Y37" s="5"/>
    </row>
    <row r="38" spans="1:25" x14ac:dyDescent="0.25">
      <c r="A38" s="16">
        <v>15</v>
      </c>
      <c r="B38" s="17">
        <v>45174</v>
      </c>
      <c r="C38" s="31" t="s">
        <v>113</v>
      </c>
      <c r="D38" s="32">
        <v>5616699906</v>
      </c>
      <c r="E38" t="s">
        <v>114</v>
      </c>
      <c r="F38" s="32" t="s">
        <v>115</v>
      </c>
      <c r="G38" s="32" t="s">
        <v>116</v>
      </c>
      <c r="H38" s="39">
        <v>151</v>
      </c>
      <c r="I38" s="42">
        <v>141</v>
      </c>
      <c r="J38" s="43">
        <v>10</v>
      </c>
      <c r="K38" s="43"/>
      <c r="L38" s="43">
        <f t="shared" si="4"/>
        <v>151</v>
      </c>
      <c r="M38" s="43">
        <f t="shared" si="5"/>
        <v>0</v>
      </c>
      <c r="N38" s="43"/>
      <c r="O38" s="22"/>
      <c r="P38" s="39"/>
      <c r="Q38" s="32"/>
      <c r="R38" s="21">
        <f t="shared" si="6"/>
        <v>0</v>
      </c>
      <c r="S38" s="43">
        <v>151</v>
      </c>
      <c r="T38" s="21">
        <v>10</v>
      </c>
      <c r="U38" s="21"/>
      <c r="V38" s="5"/>
      <c r="W38" s="5"/>
      <c r="X38" s="5"/>
      <c r="Y38" s="5"/>
    </row>
    <row r="39" spans="1:25" x14ac:dyDescent="0.25">
      <c r="A39" s="5"/>
      <c r="B39" s="53"/>
      <c r="C39" s="53"/>
      <c r="D39" s="5"/>
      <c r="E39" s="5"/>
      <c r="F39" s="5"/>
      <c r="G39" s="54"/>
      <c r="H39" s="54"/>
      <c r="I39" s="5"/>
      <c r="J39" s="5"/>
      <c r="K39" s="5"/>
      <c r="L39" s="5"/>
      <c r="M39" s="5"/>
      <c r="N39" s="5"/>
      <c r="O39" s="5"/>
      <c r="P39" s="5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N40" s="83">
        <f>SUM(N32:N39)</f>
        <v>358</v>
      </c>
    </row>
    <row r="41" spans="1:25" x14ac:dyDescent="0.25">
      <c r="A41">
        <v>15</v>
      </c>
    </row>
    <row r="44" spans="1:25" x14ac:dyDescent="0.25">
      <c r="A44" s="1" t="s">
        <v>0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3" t="s">
        <v>1</v>
      </c>
      <c r="T44" s="4"/>
      <c r="U44" s="5"/>
    </row>
    <row r="45" spans="1:25" ht="42" customHeight="1" x14ac:dyDescent="0.25">
      <c r="A45" s="6" t="s">
        <v>2</v>
      </c>
      <c r="B45" s="7" t="s">
        <v>3</v>
      </c>
      <c r="C45" s="7" t="s">
        <v>4</v>
      </c>
      <c r="D45" s="6" t="s">
        <v>5</v>
      </c>
      <c r="E45" s="6" t="s">
        <v>6</v>
      </c>
      <c r="F45" s="6" t="s">
        <v>7</v>
      </c>
      <c r="G45" s="6" t="s">
        <v>8</v>
      </c>
      <c r="H45" s="8" t="s">
        <v>9</v>
      </c>
      <c r="I45" s="9" t="s">
        <v>10</v>
      </c>
      <c r="J45" s="8" t="s">
        <v>11</v>
      </c>
      <c r="K45" s="10" t="s">
        <v>12</v>
      </c>
      <c r="L45" s="10" t="s">
        <v>13</v>
      </c>
      <c r="M45" s="11" t="s">
        <v>14</v>
      </c>
      <c r="N45" s="55" t="s">
        <v>117</v>
      </c>
      <c r="O45" s="12"/>
      <c r="P45" s="10" t="s">
        <v>16</v>
      </c>
      <c r="Q45" s="10" t="s">
        <v>17</v>
      </c>
      <c r="R45" s="10" t="s">
        <v>18</v>
      </c>
      <c r="S45" s="10" t="s">
        <v>19</v>
      </c>
      <c r="T45" s="10" t="s">
        <v>20</v>
      </c>
      <c r="U45" s="10" t="s">
        <v>118</v>
      </c>
    </row>
    <row r="46" spans="1:25" x14ac:dyDescent="0.25">
      <c r="A46" s="16">
        <v>1</v>
      </c>
      <c r="B46" s="17">
        <v>45175</v>
      </c>
      <c r="C46" s="17"/>
      <c r="D46" s="16"/>
      <c r="E46" s="16"/>
      <c r="F46" s="16"/>
      <c r="G46" s="18"/>
      <c r="H46" s="19"/>
      <c r="I46" s="16"/>
      <c r="J46" s="20">
        <v>10</v>
      </c>
      <c r="K46" s="21">
        <f>+T46-J46</f>
        <v>-10</v>
      </c>
      <c r="L46" s="21">
        <f t="shared" ref="L46:L57" si="9">+I46+J46</f>
        <v>10</v>
      </c>
      <c r="M46" s="21">
        <f t="shared" ref="M46:M51" si="10">+H46-L46</f>
        <v>-10</v>
      </c>
      <c r="N46" s="56"/>
      <c r="O46" s="22"/>
      <c r="P46" s="21"/>
      <c r="Q46" s="16"/>
      <c r="R46" s="21">
        <f t="shared" ref="R46:R58" si="11">+P46+Q46</f>
        <v>0</v>
      </c>
      <c r="S46" s="21"/>
      <c r="T46" s="21">
        <f t="shared" ref="T46:T58" si="12">S46-R46</f>
        <v>0</v>
      </c>
      <c r="U46" s="21"/>
    </row>
    <row r="47" spans="1:25" x14ac:dyDescent="0.25">
      <c r="A47" s="16">
        <v>2</v>
      </c>
      <c r="B47" s="17">
        <v>45175</v>
      </c>
      <c r="C47" s="17" t="s">
        <v>2464</v>
      </c>
      <c r="D47" s="16">
        <v>5610020620</v>
      </c>
      <c r="E47" s="16" t="s">
        <v>120</v>
      </c>
      <c r="F47" s="16" t="s">
        <v>121</v>
      </c>
      <c r="G47" s="57" t="s">
        <v>122</v>
      </c>
      <c r="H47" s="19">
        <v>200</v>
      </c>
      <c r="I47" s="16">
        <v>20</v>
      </c>
      <c r="J47" s="20">
        <v>10</v>
      </c>
      <c r="K47" s="21">
        <f>+T47-J47</f>
        <v>10</v>
      </c>
      <c r="L47" s="21">
        <f t="shared" si="9"/>
        <v>30</v>
      </c>
      <c r="M47" s="21">
        <f t="shared" si="10"/>
        <v>170</v>
      </c>
      <c r="N47" s="56"/>
      <c r="O47" s="22"/>
      <c r="P47" s="21">
        <v>200</v>
      </c>
      <c r="Q47" s="16"/>
      <c r="R47" s="21">
        <f t="shared" si="11"/>
        <v>200</v>
      </c>
      <c r="S47" s="21">
        <v>220</v>
      </c>
      <c r="T47" s="21">
        <f t="shared" si="12"/>
        <v>20</v>
      </c>
      <c r="U47" s="21"/>
    </row>
    <row r="48" spans="1:25" x14ac:dyDescent="0.25">
      <c r="A48" s="16">
        <v>3</v>
      </c>
      <c r="B48" s="17">
        <v>45175</v>
      </c>
      <c r="C48" s="16" t="s">
        <v>245</v>
      </c>
      <c r="D48" s="16">
        <v>5530508709</v>
      </c>
      <c r="E48" s="26" t="s">
        <v>120</v>
      </c>
      <c r="F48" s="26" t="s">
        <v>123</v>
      </c>
      <c r="G48" s="18" t="s">
        <v>124</v>
      </c>
      <c r="H48" s="19">
        <v>131</v>
      </c>
      <c r="I48" s="16">
        <v>121</v>
      </c>
      <c r="J48" s="20">
        <v>10</v>
      </c>
      <c r="K48" s="21">
        <f>+T48-J48</f>
        <v>21</v>
      </c>
      <c r="L48" s="21">
        <f t="shared" si="9"/>
        <v>131</v>
      </c>
      <c r="M48" s="21">
        <f t="shared" si="10"/>
        <v>0</v>
      </c>
      <c r="N48" s="56"/>
      <c r="O48" s="22"/>
      <c r="P48" s="21">
        <v>200</v>
      </c>
      <c r="Q48" s="16"/>
      <c r="R48" s="21">
        <f t="shared" si="11"/>
        <v>200</v>
      </c>
      <c r="S48" s="21">
        <v>231</v>
      </c>
      <c r="T48" s="21">
        <f t="shared" si="12"/>
        <v>31</v>
      </c>
      <c r="U48" s="21"/>
    </row>
    <row r="49" spans="1:26" x14ac:dyDescent="0.25">
      <c r="A49" s="16">
        <v>4</v>
      </c>
      <c r="B49" s="17">
        <v>45175</v>
      </c>
      <c r="C49" s="31" t="s">
        <v>2045</v>
      </c>
      <c r="D49" s="32"/>
      <c r="E49" s="32" t="s">
        <v>106</v>
      </c>
      <c r="F49" s="32" t="s">
        <v>126</v>
      </c>
      <c r="G49" s="28" t="s">
        <v>127</v>
      </c>
      <c r="H49" s="19">
        <v>500</v>
      </c>
      <c r="I49" s="16">
        <v>163</v>
      </c>
      <c r="J49" s="20">
        <v>10</v>
      </c>
      <c r="K49" s="21">
        <f t="shared" ref="K49:K54" si="13">+T49-J49</f>
        <v>7</v>
      </c>
      <c r="L49" s="21">
        <f t="shared" si="9"/>
        <v>173</v>
      </c>
      <c r="M49" s="21">
        <f t="shared" si="10"/>
        <v>327</v>
      </c>
      <c r="N49" s="56"/>
      <c r="O49" s="22"/>
      <c r="P49" s="21"/>
      <c r="Q49" s="16"/>
      <c r="R49" s="21">
        <f t="shared" si="11"/>
        <v>0</v>
      </c>
      <c r="S49" s="21">
        <v>17</v>
      </c>
      <c r="T49" s="21">
        <f t="shared" si="12"/>
        <v>17</v>
      </c>
      <c r="U49" s="21"/>
    </row>
    <row r="50" spans="1:26" x14ac:dyDescent="0.25">
      <c r="A50" s="16">
        <v>5</v>
      </c>
      <c r="B50" s="17">
        <v>45175</v>
      </c>
      <c r="C50" s="17" t="s">
        <v>48</v>
      </c>
      <c r="D50">
        <v>5530181574</v>
      </c>
      <c r="E50" s="32" t="s">
        <v>106</v>
      </c>
      <c r="F50" t="s">
        <v>129</v>
      </c>
      <c r="G50" s="18" t="s">
        <v>130</v>
      </c>
      <c r="H50" s="19">
        <v>134</v>
      </c>
      <c r="I50" s="16">
        <v>114</v>
      </c>
      <c r="J50" s="20">
        <v>10</v>
      </c>
      <c r="K50" s="21">
        <v>0</v>
      </c>
      <c r="L50" s="21">
        <f t="shared" si="9"/>
        <v>124</v>
      </c>
      <c r="M50" s="21">
        <f t="shared" si="10"/>
        <v>10</v>
      </c>
      <c r="N50" s="56"/>
      <c r="O50" s="22"/>
      <c r="P50" s="16"/>
      <c r="Q50" s="16"/>
      <c r="R50" s="21">
        <f t="shared" si="11"/>
        <v>0</v>
      </c>
      <c r="S50" s="21">
        <v>134</v>
      </c>
      <c r="T50" s="21">
        <v>10</v>
      </c>
      <c r="U50" s="21"/>
    </row>
    <row r="51" spans="1:26" x14ac:dyDescent="0.25">
      <c r="A51" s="30">
        <v>6</v>
      </c>
      <c r="B51" s="17">
        <v>45175</v>
      </c>
      <c r="C51" s="31" t="s">
        <v>2637</v>
      </c>
      <c r="D51">
        <v>5629985003</v>
      </c>
      <c r="E51" s="32" t="s">
        <v>132</v>
      </c>
      <c r="F51" t="s">
        <v>89</v>
      </c>
      <c r="G51" s="33" t="s">
        <v>133</v>
      </c>
      <c r="H51" s="34">
        <v>500</v>
      </c>
      <c r="I51" s="35">
        <v>237</v>
      </c>
      <c r="J51" s="20">
        <v>10</v>
      </c>
      <c r="K51" s="21">
        <v>0</v>
      </c>
      <c r="L51" s="21">
        <f t="shared" si="9"/>
        <v>247</v>
      </c>
      <c r="M51" s="21">
        <f t="shared" si="10"/>
        <v>253</v>
      </c>
      <c r="N51" s="56"/>
      <c r="O51" s="22"/>
      <c r="P51" s="16">
        <v>30</v>
      </c>
      <c r="Q51" s="16">
        <v>250</v>
      </c>
      <c r="R51" s="21">
        <f t="shared" si="11"/>
        <v>280</v>
      </c>
      <c r="S51" s="16">
        <v>500</v>
      </c>
      <c r="T51" s="21">
        <v>15</v>
      </c>
      <c r="U51" s="21"/>
    </row>
    <row r="52" spans="1:26" x14ac:dyDescent="0.25">
      <c r="A52" s="30">
        <v>7</v>
      </c>
      <c r="B52" s="17">
        <v>45175</v>
      </c>
      <c r="C52" s="31" t="s">
        <v>114</v>
      </c>
      <c r="D52" s="32">
        <v>5560555623</v>
      </c>
      <c r="E52" s="32" t="s">
        <v>135</v>
      </c>
      <c r="F52" s="32" t="s">
        <v>136</v>
      </c>
      <c r="G52" s="36" t="s">
        <v>137</v>
      </c>
      <c r="H52" s="37">
        <v>197</v>
      </c>
      <c r="I52" s="38">
        <v>162</v>
      </c>
      <c r="J52" s="20">
        <v>10</v>
      </c>
      <c r="K52" s="21">
        <v>0</v>
      </c>
      <c r="L52" s="21">
        <f t="shared" si="9"/>
        <v>172</v>
      </c>
      <c r="M52" s="21">
        <f t="shared" ref="M52:M57" si="14">+H52-L52</f>
        <v>25</v>
      </c>
      <c r="N52" s="56"/>
      <c r="O52" s="22"/>
      <c r="P52" s="16">
        <v>500</v>
      </c>
      <c r="Q52" s="16"/>
      <c r="R52" s="21">
        <f t="shared" si="11"/>
        <v>500</v>
      </c>
      <c r="S52" s="16">
        <v>510</v>
      </c>
      <c r="T52" s="21">
        <f t="shared" si="12"/>
        <v>10</v>
      </c>
      <c r="U52" s="21"/>
    </row>
    <row r="53" spans="1:26" x14ac:dyDescent="0.25">
      <c r="A53" s="30">
        <v>8</v>
      </c>
      <c r="B53" s="17">
        <v>45175</v>
      </c>
      <c r="C53" s="31" t="s">
        <v>138</v>
      </c>
      <c r="D53" s="32">
        <v>5510466400</v>
      </c>
      <c r="E53" s="32" t="s">
        <v>106</v>
      </c>
      <c r="F53" s="32" t="s">
        <v>139</v>
      </c>
      <c r="G53" s="36" t="s">
        <v>140</v>
      </c>
      <c r="H53" s="37">
        <v>172</v>
      </c>
      <c r="I53">
        <v>162</v>
      </c>
      <c r="J53" s="20">
        <v>10</v>
      </c>
      <c r="K53" s="21">
        <f t="shared" si="13"/>
        <v>0</v>
      </c>
      <c r="L53" s="21">
        <f t="shared" si="9"/>
        <v>172</v>
      </c>
      <c r="M53" s="21">
        <f t="shared" si="14"/>
        <v>0</v>
      </c>
      <c r="N53" s="56">
        <v>162</v>
      </c>
      <c r="O53" s="22"/>
      <c r="P53" s="16"/>
      <c r="Q53" s="16"/>
      <c r="R53" s="21">
        <f t="shared" si="11"/>
        <v>0</v>
      </c>
      <c r="S53" s="16"/>
      <c r="T53" s="21">
        <v>10</v>
      </c>
      <c r="U53" s="21">
        <v>172</v>
      </c>
    </row>
    <row r="54" spans="1:26" x14ac:dyDescent="0.25">
      <c r="A54" s="32">
        <v>9</v>
      </c>
      <c r="B54" s="17">
        <v>45175</v>
      </c>
      <c r="C54" s="31" t="s">
        <v>141</v>
      </c>
      <c r="D54" s="32">
        <v>551015136715</v>
      </c>
      <c r="E54" s="32" t="s">
        <v>41</v>
      </c>
      <c r="F54" s="32" t="s">
        <v>142</v>
      </c>
      <c r="G54" s="36" t="s">
        <v>143</v>
      </c>
      <c r="H54" s="39">
        <v>160</v>
      </c>
      <c r="I54" s="40">
        <v>150</v>
      </c>
      <c r="J54" s="20">
        <v>10</v>
      </c>
      <c r="K54" s="21">
        <f t="shared" si="13"/>
        <v>0</v>
      </c>
      <c r="L54" s="21">
        <f t="shared" si="9"/>
        <v>160</v>
      </c>
      <c r="M54" s="21">
        <f t="shared" si="14"/>
        <v>0</v>
      </c>
      <c r="N54" s="56"/>
      <c r="O54" s="22"/>
      <c r="P54" s="16">
        <v>200</v>
      </c>
      <c r="Q54" s="16"/>
      <c r="R54" s="21">
        <f t="shared" si="11"/>
        <v>200</v>
      </c>
      <c r="S54" s="16">
        <v>210</v>
      </c>
      <c r="T54" s="21">
        <f t="shared" si="12"/>
        <v>10</v>
      </c>
      <c r="U54" s="21"/>
    </row>
    <row r="55" spans="1:26" x14ac:dyDescent="0.25">
      <c r="A55" s="32">
        <v>11</v>
      </c>
      <c r="B55" s="17">
        <v>45175</v>
      </c>
      <c r="C55" s="32" t="s">
        <v>144</v>
      </c>
      <c r="D55" s="32">
        <v>5527189840</v>
      </c>
      <c r="E55" s="32" t="s">
        <v>145</v>
      </c>
      <c r="F55" s="39" t="s">
        <v>146</v>
      </c>
      <c r="G55" s="36" t="s">
        <v>147</v>
      </c>
      <c r="H55" s="39">
        <v>26</v>
      </c>
      <c r="I55" s="42">
        <v>16</v>
      </c>
      <c r="J55" s="20">
        <v>10</v>
      </c>
      <c r="K55" s="21" t="s">
        <v>148</v>
      </c>
      <c r="L55" s="21">
        <f t="shared" si="9"/>
        <v>26</v>
      </c>
      <c r="M55" s="21">
        <f t="shared" si="14"/>
        <v>0</v>
      </c>
      <c r="N55" s="56"/>
      <c r="O55" s="22"/>
      <c r="P55" s="16"/>
      <c r="Q55" s="16">
        <v>74</v>
      </c>
      <c r="R55" s="21">
        <v>100</v>
      </c>
      <c r="S55" s="16"/>
      <c r="T55" s="21">
        <v>10</v>
      </c>
      <c r="U55" s="21"/>
    </row>
    <row r="56" spans="1:26" x14ac:dyDescent="0.25">
      <c r="A56" s="32">
        <v>12</v>
      </c>
      <c r="B56" s="17">
        <v>45175</v>
      </c>
      <c r="C56" s="31" t="s">
        <v>2466</v>
      </c>
      <c r="D56" s="32">
        <v>5532536647</v>
      </c>
      <c r="E56" s="31" t="s">
        <v>52</v>
      </c>
      <c r="F56" s="16" t="s">
        <v>150</v>
      </c>
      <c r="G56" s="39" t="s">
        <v>151</v>
      </c>
      <c r="H56" s="39">
        <v>89</v>
      </c>
      <c r="I56" s="42">
        <v>79</v>
      </c>
      <c r="J56" s="20">
        <v>10</v>
      </c>
      <c r="K56" s="21">
        <v>0</v>
      </c>
      <c r="L56" s="21">
        <f t="shared" si="9"/>
        <v>89</v>
      </c>
      <c r="M56" s="21">
        <f t="shared" si="14"/>
        <v>0</v>
      </c>
      <c r="N56" s="56"/>
      <c r="O56" s="22"/>
      <c r="P56" s="16"/>
      <c r="Q56" s="16"/>
      <c r="R56" s="21">
        <f t="shared" si="11"/>
        <v>0</v>
      </c>
      <c r="S56" s="16"/>
      <c r="T56" s="21">
        <f>SUM(T46:T47)</f>
        <v>20</v>
      </c>
      <c r="U56" s="21"/>
    </row>
    <row r="57" spans="1:26" x14ac:dyDescent="0.25">
      <c r="A57" s="32">
        <v>13</v>
      </c>
      <c r="B57" s="17">
        <v>45175</v>
      </c>
      <c r="C57" s="31" t="s">
        <v>2639</v>
      </c>
      <c r="D57" s="32">
        <v>5572135350</v>
      </c>
      <c r="E57" s="32" t="s">
        <v>106</v>
      </c>
      <c r="F57" t="s">
        <v>153</v>
      </c>
      <c r="G57" s="39" t="s">
        <v>154</v>
      </c>
      <c r="H57" s="39">
        <v>500</v>
      </c>
      <c r="I57" s="42">
        <v>144</v>
      </c>
      <c r="J57" s="20">
        <v>10</v>
      </c>
      <c r="K57" s="43"/>
      <c r="L57" s="21">
        <f t="shared" si="9"/>
        <v>154</v>
      </c>
      <c r="M57" s="21">
        <f t="shared" si="14"/>
        <v>346</v>
      </c>
      <c r="N57" s="56"/>
      <c r="O57" s="22"/>
      <c r="P57" s="45"/>
      <c r="Q57" s="44">
        <v>346</v>
      </c>
      <c r="R57" s="21">
        <v>346</v>
      </c>
      <c r="S57" s="45">
        <v>500</v>
      </c>
      <c r="T57" s="21">
        <v>10</v>
      </c>
      <c r="U57" s="21"/>
    </row>
    <row r="58" spans="1:26" x14ac:dyDescent="0.25">
      <c r="A58" s="32">
        <v>14</v>
      </c>
      <c r="B58" s="17">
        <v>45175</v>
      </c>
      <c r="C58" s="31"/>
      <c r="D58" s="32"/>
      <c r="E58" s="32"/>
      <c r="F58" s="32"/>
      <c r="G58" s="39"/>
      <c r="H58" s="39"/>
      <c r="I58" s="42"/>
      <c r="J58" s="43"/>
      <c r="K58" s="43"/>
      <c r="L58" s="43"/>
      <c r="M58" s="43"/>
      <c r="N58" s="56"/>
      <c r="O58" s="22"/>
      <c r="P58" s="43"/>
      <c r="Q58" s="32"/>
      <c r="R58" s="21">
        <f t="shared" si="11"/>
        <v>0</v>
      </c>
      <c r="S58" s="43"/>
      <c r="T58" s="21">
        <f t="shared" si="12"/>
        <v>0</v>
      </c>
      <c r="U58" s="21"/>
    </row>
    <row r="59" spans="1:26" x14ac:dyDescent="0.25">
      <c r="N59">
        <v>162</v>
      </c>
    </row>
    <row r="60" spans="1:26" x14ac:dyDescent="0.25">
      <c r="A60">
        <v>13</v>
      </c>
    </row>
    <row r="63" spans="1:26" x14ac:dyDescent="0.25">
      <c r="A63" s="1" t="s">
        <v>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3" t="s">
        <v>1</v>
      </c>
      <c r="T63" s="4"/>
      <c r="U63" s="5"/>
      <c r="V63" s="1"/>
      <c r="W63" s="1"/>
      <c r="X63" s="1"/>
      <c r="Y63" s="1"/>
      <c r="Z63" s="5"/>
    </row>
    <row r="64" spans="1:26" ht="61.5" customHeight="1" x14ac:dyDescent="0.25">
      <c r="A64" s="6" t="s">
        <v>2</v>
      </c>
      <c r="B64" s="7" t="s">
        <v>3</v>
      </c>
      <c r="C64" s="7" t="s">
        <v>4</v>
      </c>
      <c r="D64" s="6" t="s">
        <v>5</v>
      </c>
      <c r="E64" s="6" t="s">
        <v>6</v>
      </c>
      <c r="F64" s="6" t="s">
        <v>7</v>
      </c>
      <c r="G64" s="6" t="s">
        <v>8</v>
      </c>
      <c r="H64" s="8" t="s">
        <v>9</v>
      </c>
      <c r="I64" s="9" t="s">
        <v>10</v>
      </c>
      <c r="J64" s="8" t="s">
        <v>11</v>
      </c>
      <c r="K64" s="10" t="s">
        <v>12</v>
      </c>
      <c r="L64" s="10" t="s">
        <v>13</v>
      </c>
      <c r="M64" s="11" t="s">
        <v>14</v>
      </c>
      <c r="N64" s="55" t="s">
        <v>117</v>
      </c>
      <c r="O64" s="12"/>
      <c r="P64" s="10" t="s">
        <v>16</v>
      </c>
      <c r="Q64" s="10" t="s">
        <v>17</v>
      </c>
      <c r="R64" s="10" t="s">
        <v>18</v>
      </c>
      <c r="S64" s="10" t="s">
        <v>19</v>
      </c>
      <c r="T64" s="10" t="s">
        <v>20</v>
      </c>
      <c r="U64" s="10" t="s">
        <v>118</v>
      </c>
      <c r="V64" s="13"/>
      <c r="W64" s="14" t="s">
        <v>21</v>
      </c>
      <c r="X64" s="14" t="s">
        <v>22</v>
      </c>
      <c r="Y64" s="15" t="s">
        <v>23</v>
      </c>
      <c r="Z64" s="5"/>
    </row>
    <row r="65" spans="1:26" x14ac:dyDescent="0.25">
      <c r="A65" s="16">
        <v>1</v>
      </c>
      <c r="B65" s="17">
        <v>45176</v>
      </c>
      <c r="C65" s="17" t="s">
        <v>48</v>
      </c>
      <c r="D65" s="16">
        <v>5530181574</v>
      </c>
      <c r="E65" s="16" t="s">
        <v>175</v>
      </c>
      <c r="F65" t="s">
        <v>129</v>
      </c>
      <c r="G65" s="18" t="s">
        <v>176</v>
      </c>
      <c r="H65" s="19">
        <v>250</v>
      </c>
      <c r="I65" s="16">
        <v>223</v>
      </c>
      <c r="J65" s="20">
        <v>10</v>
      </c>
      <c r="K65" s="21">
        <f>+T65-J65</f>
        <v>17</v>
      </c>
      <c r="L65" s="21">
        <f t="shared" ref="L65:L76" si="15">+I65+J65</f>
        <v>233</v>
      </c>
      <c r="M65" s="21">
        <f t="shared" ref="M65:M70" si="16">+H65-L65</f>
        <v>17</v>
      </c>
      <c r="N65" s="56">
        <v>29</v>
      </c>
      <c r="O65" s="22"/>
      <c r="P65" s="21">
        <v>500</v>
      </c>
      <c r="Q65" s="16"/>
      <c r="R65" s="21">
        <f t="shared" ref="R65:R73" si="17">+P65+Q65</f>
        <v>500</v>
      </c>
      <c r="S65" s="21">
        <v>527</v>
      </c>
      <c r="T65" s="21">
        <f t="shared" ref="T65:T77" si="18">S65-R65</f>
        <v>27</v>
      </c>
      <c r="U65" s="21">
        <v>250</v>
      </c>
      <c r="V65" s="22"/>
      <c r="W65" s="23"/>
      <c r="X65" s="23"/>
      <c r="Y65" s="333"/>
      <c r="Z65" s="5"/>
    </row>
    <row r="66" spans="1:26" x14ac:dyDescent="0.25">
      <c r="A66" s="16">
        <v>2</v>
      </c>
      <c r="B66" s="17">
        <v>45176</v>
      </c>
      <c r="C66" s="17" t="s">
        <v>3095</v>
      </c>
      <c r="D66" s="16">
        <v>9531286830</v>
      </c>
      <c r="E66" s="16" t="s">
        <v>120</v>
      </c>
      <c r="F66" s="16" t="s">
        <v>3094</v>
      </c>
      <c r="G66" s="57" t="s">
        <v>177</v>
      </c>
      <c r="H66" s="19">
        <v>100</v>
      </c>
      <c r="I66" s="16">
        <v>50</v>
      </c>
      <c r="J66" s="20">
        <v>10</v>
      </c>
      <c r="K66" s="21">
        <f>+T66-J66</f>
        <v>0</v>
      </c>
      <c r="L66" s="21">
        <f t="shared" si="15"/>
        <v>60</v>
      </c>
      <c r="M66" s="21">
        <f t="shared" si="16"/>
        <v>40</v>
      </c>
      <c r="N66" s="56"/>
      <c r="O66" s="22"/>
      <c r="P66" s="21"/>
      <c r="Q66" s="16"/>
      <c r="R66" s="21">
        <f t="shared" si="17"/>
        <v>0</v>
      </c>
      <c r="S66" s="21">
        <v>10</v>
      </c>
      <c r="T66" s="21">
        <f t="shared" si="18"/>
        <v>10</v>
      </c>
      <c r="U66" s="21"/>
      <c r="V66" s="22"/>
      <c r="W66" s="23"/>
      <c r="X66" s="23"/>
      <c r="Y66" s="334"/>
      <c r="Z66" s="5"/>
    </row>
    <row r="67" spans="1:26" x14ac:dyDescent="0.25">
      <c r="A67" s="16">
        <v>3</v>
      </c>
      <c r="B67" s="17">
        <v>45176</v>
      </c>
      <c r="C67" s="16" t="s">
        <v>2637</v>
      </c>
      <c r="D67" s="16">
        <v>5629985003</v>
      </c>
      <c r="E67" s="26" t="s">
        <v>106</v>
      </c>
      <c r="F67" s="26" t="s">
        <v>178</v>
      </c>
      <c r="G67" s="18" t="s">
        <v>179</v>
      </c>
      <c r="H67" s="19">
        <v>64</v>
      </c>
      <c r="I67" s="16">
        <v>54</v>
      </c>
      <c r="J67" s="20">
        <v>10</v>
      </c>
      <c r="K67" s="21">
        <f>+T67-J67</f>
        <v>-10</v>
      </c>
      <c r="L67" s="21">
        <f t="shared" si="15"/>
        <v>64</v>
      </c>
      <c r="M67" s="21">
        <f t="shared" si="16"/>
        <v>0</v>
      </c>
      <c r="N67" s="56">
        <v>54</v>
      </c>
      <c r="O67" s="22"/>
      <c r="P67" s="21">
        <v>0</v>
      </c>
      <c r="Q67" s="16"/>
      <c r="R67" s="21">
        <f t="shared" si="17"/>
        <v>0</v>
      </c>
      <c r="S67" s="21"/>
      <c r="T67" s="21">
        <f t="shared" si="18"/>
        <v>0</v>
      </c>
      <c r="U67" s="21"/>
      <c r="V67" s="22"/>
      <c r="W67" s="23"/>
      <c r="X67" s="23"/>
      <c r="Y67" s="334"/>
      <c r="Z67" s="5"/>
    </row>
    <row r="68" spans="1:26" x14ac:dyDescent="0.25">
      <c r="A68" s="16">
        <v>4</v>
      </c>
      <c r="B68" s="17">
        <v>45176</v>
      </c>
      <c r="C68" s="31" t="s">
        <v>3093</v>
      </c>
      <c r="D68" s="32">
        <v>5536801894</v>
      </c>
      <c r="E68" s="32" t="s">
        <v>180</v>
      </c>
      <c r="F68" s="32" t="s">
        <v>181</v>
      </c>
      <c r="G68" s="28" t="s">
        <v>182</v>
      </c>
      <c r="H68" s="19">
        <v>225</v>
      </c>
      <c r="I68" s="16">
        <v>59</v>
      </c>
      <c r="J68" s="20">
        <v>10</v>
      </c>
      <c r="K68" s="21">
        <f>+T68-J68</f>
        <v>15</v>
      </c>
      <c r="L68" s="21">
        <f t="shared" si="15"/>
        <v>69</v>
      </c>
      <c r="M68" s="21">
        <f t="shared" si="16"/>
        <v>156</v>
      </c>
      <c r="N68" s="56">
        <v>59</v>
      </c>
      <c r="O68" s="22" t="s">
        <v>148</v>
      </c>
      <c r="P68" s="21">
        <v>200</v>
      </c>
      <c r="Q68" s="16"/>
      <c r="R68" s="21">
        <f t="shared" si="17"/>
        <v>200</v>
      </c>
      <c r="S68" s="21">
        <v>225</v>
      </c>
      <c r="T68" s="21">
        <f t="shared" si="18"/>
        <v>25</v>
      </c>
      <c r="U68" s="21"/>
      <c r="V68" s="22"/>
      <c r="W68" s="23"/>
      <c r="X68" s="23"/>
      <c r="Y68" s="334"/>
      <c r="Z68" s="5"/>
    </row>
    <row r="69" spans="1:26" x14ac:dyDescent="0.25">
      <c r="A69" s="16">
        <v>5</v>
      </c>
      <c r="B69" s="17">
        <v>45176</v>
      </c>
      <c r="C69" s="17" t="s">
        <v>421</v>
      </c>
      <c r="E69" s="32" t="s">
        <v>28</v>
      </c>
      <c r="F69" t="s">
        <v>183</v>
      </c>
      <c r="G69" s="18" t="s">
        <v>184</v>
      </c>
      <c r="H69" s="19">
        <v>100</v>
      </c>
      <c r="I69" s="16">
        <v>69</v>
      </c>
      <c r="J69" s="20">
        <v>10</v>
      </c>
      <c r="K69" s="21">
        <v>0</v>
      </c>
      <c r="L69" s="21">
        <f t="shared" si="15"/>
        <v>79</v>
      </c>
      <c r="M69" s="21">
        <f t="shared" si="16"/>
        <v>21</v>
      </c>
      <c r="N69" s="16">
        <v>69</v>
      </c>
      <c r="O69" s="22" t="s">
        <v>185</v>
      </c>
      <c r="P69" s="16"/>
      <c r="Q69" s="16"/>
      <c r="R69" s="21">
        <f t="shared" si="17"/>
        <v>0</v>
      </c>
      <c r="S69" s="21">
        <v>10</v>
      </c>
      <c r="T69" s="21">
        <f t="shared" si="18"/>
        <v>10</v>
      </c>
      <c r="U69" s="21"/>
      <c r="V69" s="5"/>
      <c r="W69" s="23"/>
      <c r="X69" s="23"/>
      <c r="Y69" s="334"/>
      <c r="Z69" s="5"/>
    </row>
    <row r="70" spans="1:26" x14ac:dyDescent="0.25">
      <c r="A70" s="30">
        <v>6</v>
      </c>
      <c r="B70" s="17">
        <v>45176</v>
      </c>
      <c r="C70" s="31" t="s">
        <v>260</v>
      </c>
      <c r="D70">
        <v>5586180942</v>
      </c>
      <c r="E70" s="32" t="s">
        <v>186</v>
      </c>
      <c r="F70" t="s">
        <v>187</v>
      </c>
      <c r="G70" s="33" t="s">
        <v>188</v>
      </c>
      <c r="H70" s="34">
        <v>146</v>
      </c>
      <c r="I70" s="35">
        <v>136</v>
      </c>
      <c r="J70" s="20">
        <v>10</v>
      </c>
      <c r="K70" s="21">
        <v>0</v>
      </c>
      <c r="L70" s="21">
        <f t="shared" si="15"/>
        <v>146</v>
      </c>
      <c r="M70" s="21">
        <f t="shared" si="16"/>
        <v>0</v>
      </c>
      <c r="N70" s="56"/>
      <c r="O70" s="22"/>
      <c r="P70" s="16">
        <v>200</v>
      </c>
      <c r="Q70" s="16"/>
      <c r="R70" s="21">
        <f t="shared" si="17"/>
        <v>200</v>
      </c>
      <c r="S70" s="16">
        <v>227.5</v>
      </c>
      <c r="T70" s="21">
        <f t="shared" si="18"/>
        <v>27.5</v>
      </c>
      <c r="U70" s="21"/>
      <c r="V70" s="5"/>
      <c r="W70" s="23"/>
      <c r="X70" s="23"/>
      <c r="Y70" s="334"/>
      <c r="Z70" s="5"/>
    </row>
    <row r="71" spans="1:26" x14ac:dyDescent="0.25">
      <c r="A71" s="30">
        <v>6</v>
      </c>
      <c r="B71" s="17">
        <v>45176</v>
      </c>
      <c r="C71" s="31" t="s">
        <v>2638</v>
      </c>
      <c r="D71" s="32">
        <v>5611728082</v>
      </c>
      <c r="E71" s="32" t="s">
        <v>189</v>
      </c>
      <c r="F71" s="32" t="s">
        <v>190</v>
      </c>
      <c r="G71" s="36" t="s">
        <v>191</v>
      </c>
      <c r="H71" s="37">
        <v>94</v>
      </c>
      <c r="I71" s="38">
        <v>84</v>
      </c>
      <c r="J71" s="20">
        <v>10</v>
      </c>
      <c r="K71" s="21">
        <v>0</v>
      </c>
      <c r="L71" s="21">
        <f t="shared" si="15"/>
        <v>94</v>
      </c>
      <c r="M71" s="21">
        <f t="shared" ref="M71:M76" si="19">+H71-L71</f>
        <v>0</v>
      </c>
      <c r="N71" s="38">
        <v>84</v>
      </c>
      <c r="O71" s="22"/>
      <c r="P71" s="16"/>
      <c r="Q71" s="16"/>
      <c r="R71" s="21">
        <f t="shared" si="17"/>
        <v>0</v>
      </c>
      <c r="S71" s="16">
        <v>94</v>
      </c>
      <c r="T71" s="21">
        <v>10</v>
      </c>
      <c r="U71" s="21"/>
      <c r="V71" s="5"/>
      <c r="W71" s="23"/>
      <c r="X71" s="23"/>
      <c r="Y71" s="334"/>
      <c r="Z71" s="5"/>
    </row>
    <row r="72" spans="1:26" x14ac:dyDescent="0.25">
      <c r="A72" s="30">
        <v>7</v>
      </c>
      <c r="B72" s="17">
        <v>45176</v>
      </c>
      <c r="C72" s="31" t="s">
        <v>2639</v>
      </c>
      <c r="D72" s="32">
        <v>5572135350</v>
      </c>
      <c r="E72" s="32" t="s">
        <v>148</v>
      </c>
      <c r="F72" s="32" t="s">
        <v>192</v>
      </c>
      <c r="G72" s="36" t="s">
        <v>193</v>
      </c>
      <c r="H72" s="37">
        <v>135</v>
      </c>
      <c r="I72">
        <v>125</v>
      </c>
      <c r="J72" s="20">
        <v>10</v>
      </c>
      <c r="K72" s="21">
        <f>+T72-J72</f>
        <v>125</v>
      </c>
      <c r="L72" s="21">
        <f t="shared" si="15"/>
        <v>135</v>
      </c>
      <c r="M72" s="21">
        <f t="shared" si="19"/>
        <v>0</v>
      </c>
      <c r="N72" s="56">
        <v>115</v>
      </c>
      <c r="O72" s="22"/>
      <c r="P72" s="16"/>
      <c r="Q72" s="16">
        <v>0</v>
      </c>
      <c r="R72" s="21">
        <f t="shared" si="17"/>
        <v>0</v>
      </c>
      <c r="S72" s="16">
        <v>135</v>
      </c>
      <c r="T72" s="21">
        <f t="shared" si="18"/>
        <v>135</v>
      </c>
      <c r="U72" s="21"/>
      <c r="V72" s="5"/>
      <c r="W72" s="23"/>
      <c r="X72" s="23"/>
      <c r="Y72" s="334"/>
      <c r="Z72" s="5"/>
    </row>
    <row r="73" spans="1:26" x14ac:dyDescent="0.25">
      <c r="A73" s="32">
        <v>9</v>
      </c>
      <c r="B73" s="17">
        <v>45176</v>
      </c>
      <c r="C73" s="31" t="s">
        <v>2637</v>
      </c>
      <c r="D73" s="32">
        <v>5629985003</v>
      </c>
      <c r="E73" s="64" t="s">
        <v>194</v>
      </c>
      <c r="F73" s="32" t="s">
        <v>195</v>
      </c>
      <c r="G73" s="36" t="s">
        <v>196</v>
      </c>
      <c r="H73" s="39">
        <v>157</v>
      </c>
      <c r="I73" s="40">
        <v>147</v>
      </c>
      <c r="J73" s="20">
        <v>10</v>
      </c>
      <c r="K73" s="21">
        <f>+T73-J73</f>
        <v>-10</v>
      </c>
      <c r="L73" s="21">
        <f t="shared" si="15"/>
        <v>157</v>
      </c>
      <c r="M73" s="21">
        <f t="shared" si="19"/>
        <v>0</v>
      </c>
      <c r="N73" s="56"/>
      <c r="O73" s="22"/>
      <c r="P73" s="16"/>
      <c r="Q73" s="16"/>
      <c r="R73" s="21">
        <f t="shared" si="17"/>
        <v>0</v>
      </c>
      <c r="S73" s="16"/>
      <c r="T73" s="21">
        <f t="shared" si="18"/>
        <v>0</v>
      </c>
      <c r="U73" s="21"/>
      <c r="V73" s="5"/>
      <c r="W73" s="23"/>
      <c r="X73" s="23"/>
      <c r="Y73" s="334"/>
      <c r="Z73" s="5"/>
    </row>
    <row r="74" spans="1:26" x14ac:dyDescent="0.25">
      <c r="A74" s="32">
        <v>10</v>
      </c>
      <c r="B74" s="17">
        <v>45176</v>
      </c>
      <c r="C74" s="32" t="s">
        <v>2492</v>
      </c>
      <c r="D74" s="32">
        <v>5539323944</v>
      </c>
      <c r="E74" s="32" t="s">
        <v>197</v>
      </c>
      <c r="F74" s="39" t="s">
        <v>198</v>
      </c>
      <c r="G74" s="36" t="s">
        <v>199</v>
      </c>
      <c r="H74" s="39">
        <v>20</v>
      </c>
      <c r="I74" s="42">
        <v>10</v>
      </c>
      <c r="J74" s="20">
        <v>10</v>
      </c>
      <c r="K74" s="21" t="s">
        <v>148</v>
      </c>
      <c r="L74" s="21">
        <f t="shared" si="15"/>
        <v>20</v>
      </c>
      <c r="M74" s="21">
        <f t="shared" si="19"/>
        <v>0</v>
      </c>
      <c r="N74" s="56"/>
      <c r="O74" s="22"/>
      <c r="P74" s="16"/>
      <c r="Q74" s="16"/>
      <c r="R74" s="21"/>
      <c r="S74" s="16"/>
      <c r="T74" s="21">
        <f t="shared" si="18"/>
        <v>0</v>
      </c>
      <c r="U74" s="21"/>
      <c r="V74" s="5"/>
      <c r="W74" s="23"/>
      <c r="X74" s="23"/>
      <c r="Y74" s="334"/>
      <c r="Z74" s="5"/>
    </row>
    <row r="75" spans="1:26" x14ac:dyDescent="0.25">
      <c r="A75" s="32">
        <v>11</v>
      </c>
      <c r="B75" s="17">
        <v>45176</v>
      </c>
      <c r="C75" s="31" t="s">
        <v>307</v>
      </c>
      <c r="D75" s="32">
        <v>5527189840</v>
      </c>
      <c r="E75" s="31" t="s">
        <v>52</v>
      </c>
      <c r="F75" s="16" t="s">
        <v>200</v>
      </c>
      <c r="G75" s="39" t="s">
        <v>201</v>
      </c>
      <c r="H75" s="39">
        <v>500</v>
      </c>
      <c r="I75" s="42">
        <v>92</v>
      </c>
      <c r="J75" s="20">
        <v>10</v>
      </c>
      <c r="K75" s="21">
        <v>0</v>
      </c>
      <c r="L75" s="21">
        <f t="shared" si="15"/>
        <v>102</v>
      </c>
      <c r="M75" s="21">
        <f t="shared" si="19"/>
        <v>398</v>
      </c>
      <c r="N75" s="56"/>
      <c r="O75" s="22"/>
      <c r="P75" s="16"/>
      <c r="Q75" s="16"/>
      <c r="R75" s="21">
        <f>+P75+Q75</f>
        <v>0</v>
      </c>
      <c r="S75" s="16"/>
      <c r="T75" s="21">
        <f t="shared" si="18"/>
        <v>0</v>
      </c>
      <c r="U75" s="21"/>
      <c r="V75" s="5"/>
      <c r="W75" s="23"/>
      <c r="X75" s="23"/>
      <c r="Y75" s="334"/>
      <c r="Z75" s="5"/>
    </row>
    <row r="76" spans="1:26" x14ac:dyDescent="0.25">
      <c r="A76" s="32">
        <v>12</v>
      </c>
      <c r="B76" s="17">
        <v>45176</v>
      </c>
      <c r="C76" s="31" t="s">
        <v>2639</v>
      </c>
      <c r="D76" s="32">
        <v>5572135350</v>
      </c>
      <c r="E76" s="32" t="s">
        <v>52</v>
      </c>
      <c r="F76" s="32" t="s">
        <v>192</v>
      </c>
      <c r="G76" s="39" t="s">
        <v>202</v>
      </c>
      <c r="H76" s="39">
        <v>500</v>
      </c>
      <c r="I76" s="42">
        <v>165</v>
      </c>
      <c r="J76" s="20">
        <v>10</v>
      </c>
      <c r="K76" s="43"/>
      <c r="L76" s="21">
        <f t="shared" si="15"/>
        <v>175</v>
      </c>
      <c r="M76" s="21">
        <f t="shared" si="19"/>
        <v>325</v>
      </c>
      <c r="N76" s="56"/>
      <c r="O76" s="22"/>
      <c r="P76" s="45"/>
      <c r="Q76" s="44"/>
      <c r="R76" s="21"/>
      <c r="S76" s="45"/>
      <c r="T76" s="21">
        <f t="shared" si="18"/>
        <v>0</v>
      </c>
      <c r="U76" s="21"/>
      <c r="V76" s="5"/>
      <c r="W76" s="23"/>
      <c r="X76" s="23"/>
      <c r="Y76" s="334"/>
      <c r="Z76" s="5"/>
    </row>
    <row r="77" spans="1:26" x14ac:dyDescent="0.25">
      <c r="A77" s="32">
        <v>13</v>
      </c>
      <c r="B77" s="17">
        <v>45176</v>
      </c>
      <c r="C77" s="31"/>
      <c r="D77" s="32"/>
      <c r="E77" s="32"/>
      <c r="F77" s="32"/>
      <c r="G77" s="39"/>
      <c r="H77" s="39"/>
      <c r="I77" s="42"/>
      <c r="J77" s="43">
        <v>10</v>
      </c>
      <c r="K77" s="43"/>
      <c r="L77" s="43"/>
      <c r="M77" s="43"/>
      <c r="N77" s="56"/>
      <c r="O77" s="22"/>
      <c r="P77" s="43"/>
      <c r="Q77" s="32"/>
      <c r="R77" s="21">
        <f>+P77+Q77</f>
        <v>0</v>
      </c>
      <c r="S77" s="43"/>
      <c r="T77" s="21">
        <f t="shared" si="18"/>
        <v>0</v>
      </c>
      <c r="U77" s="21"/>
      <c r="V77" s="47"/>
      <c r="W77" s="47"/>
      <c r="X77" s="22"/>
      <c r="Y77" s="22"/>
      <c r="Z77" s="5"/>
    </row>
    <row r="78" spans="1:26" x14ac:dyDescent="0.25">
      <c r="A78" s="32">
        <v>14</v>
      </c>
      <c r="B78" s="17">
        <v>45176</v>
      </c>
      <c r="C78" s="31"/>
      <c r="D78" s="32"/>
      <c r="E78" s="32"/>
      <c r="F78" s="32"/>
      <c r="G78" s="39"/>
      <c r="H78" s="39"/>
      <c r="I78" s="42"/>
      <c r="J78" s="43">
        <v>10</v>
      </c>
      <c r="K78" s="43"/>
      <c r="L78" s="43"/>
      <c r="M78" s="43"/>
      <c r="N78" s="65"/>
      <c r="O78" s="5"/>
      <c r="P78" s="43"/>
      <c r="Q78" s="43"/>
      <c r="R78" s="21">
        <f>+P78+Q78</f>
        <v>0</v>
      </c>
      <c r="S78" s="43"/>
      <c r="T78" s="21">
        <f>SUM(T68:T69)</f>
        <v>35</v>
      </c>
      <c r="U78" s="21"/>
      <c r="V78" s="5"/>
      <c r="W78" s="5"/>
      <c r="X78" s="5"/>
      <c r="Y78" s="5"/>
      <c r="Z78" s="5"/>
    </row>
    <row r="79" spans="1:26" x14ac:dyDescent="0.25">
      <c r="A79" s="32">
        <v>15</v>
      </c>
      <c r="B79" s="17">
        <v>45176</v>
      </c>
      <c r="C79" s="31"/>
      <c r="D79" s="32"/>
      <c r="E79" s="32"/>
      <c r="F79" s="32"/>
      <c r="G79" s="39"/>
      <c r="H79" s="39"/>
      <c r="I79" s="42"/>
      <c r="J79" s="43"/>
      <c r="K79" s="43"/>
      <c r="L79" s="43"/>
      <c r="M79" s="43"/>
      <c r="N79" s="66"/>
      <c r="O79" s="22"/>
      <c r="P79" s="43"/>
      <c r="Q79" s="32"/>
      <c r="R79" s="21">
        <f>+P79+Q79</f>
        <v>0</v>
      </c>
      <c r="S79" s="43"/>
      <c r="T79" s="21">
        <f>S79-R79</f>
        <v>0</v>
      </c>
      <c r="U79" s="21"/>
      <c r="V79" s="5"/>
      <c r="W79" s="5"/>
      <c r="X79" s="5"/>
      <c r="Y79" s="5"/>
      <c r="Z79" s="5"/>
    </row>
    <row r="80" spans="1:26" x14ac:dyDescent="0.25">
      <c r="A80" s="5"/>
      <c r="B80" s="53"/>
      <c r="C80" s="53"/>
      <c r="D80" s="5"/>
      <c r="E80" s="5"/>
      <c r="F80" s="5"/>
      <c r="G80" s="54"/>
      <c r="H80" s="5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2" spans="1:26" x14ac:dyDescent="0.25">
      <c r="A82">
        <v>12</v>
      </c>
    </row>
    <row r="85" spans="1:26" x14ac:dyDescent="0.25">
      <c r="A85" s="1" t="s">
        <v>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3" t="s">
        <v>1</v>
      </c>
      <c r="T85" s="4"/>
      <c r="U85" s="5"/>
      <c r="V85" s="1"/>
      <c r="W85" s="1"/>
      <c r="X85" s="1"/>
      <c r="Y85" s="1"/>
      <c r="Z85" s="5"/>
    </row>
    <row r="86" spans="1:26" ht="90" x14ac:dyDescent="0.25">
      <c r="A86" s="6" t="s">
        <v>2</v>
      </c>
      <c r="B86" s="7" t="s">
        <v>3</v>
      </c>
      <c r="C86" s="7" t="s">
        <v>4</v>
      </c>
      <c r="D86" s="6" t="s">
        <v>5</v>
      </c>
      <c r="E86" s="6" t="s">
        <v>6</v>
      </c>
      <c r="F86" s="6" t="s">
        <v>7</v>
      </c>
      <c r="G86" s="6" t="s">
        <v>8</v>
      </c>
      <c r="H86" s="8" t="s">
        <v>9</v>
      </c>
      <c r="I86" s="9" t="s">
        <v>10</v>
      </c>
      <c r="J86" s="8" t="s">
        <v>11</v>
      </c>
      <c r="K86" s="10" t="s">
        <v>12</v>
      </c>
      <c r="L86" s="10" t="s">
        <v>13</v>
      </c>
      <c r="M86" s="11" t="s">
        <v>14</v>
      </c>
      <c r="N86" s="55" t="s">
        <v>117</v>
      </c>
      <c r="O86" s="12"/>
      <c r="P86" s="10" t="s">
        <v>16</v>
      </c>
      <c r="Q86" s="10" t="s">
        <v>17</v>
      </c>
      <c r="R86" s="10" t="s">
        <v>18</v>
      </c>
      <c r="S86" s="10" t="s">
        <v>19</v>
      </c>
      <c r="T86" s="10" t="s">
        <v>20</v>
      </c>
      <c r="U86" s="10" t="s">
        <v>118</v>
      </c>
      <c r="V86" s="13"/>
      <c r="W86" s="14" t="s">
        <v>21</v>
      </c>
      <c r="X86" s="14" t="s">
        <v>22</v>
      </c>
      <c r="Y86" s="15" t="s">
        <v>23</v>
      </c>
      <c r="Z86" s="5"/>
    </row>
    <row r="87" spans="1:26" x14ac:dyDescent="0.25">
      <c r="A87" s="16">
        <v>1</v>
      </c>
      <c r="B87" s="17">
        <v>45177</v>
      </c>
      <c r="C87" s="17" t="s">
        <v>2672</v>
      </c>
      <c r="D87" s="16"/>
      <c r="E87" s="16" t="s">
        <v>204</v>
      </c>
      <c r="F87" s="16" t="s">
        <v>205</v>
      </c>
      <c r="G87" s="18" t="s">
        <v>206</v>
      </c>
      <c r="H87" s="19">
        <v>200</v>
      </c>
      <c r="I87" s="16">
        <v>171</v>
      </c>
      <c r="J87" s="20">
        <v>10</v>
      </c>
      <c r="K87" s="21">
        <f>+T87-J87</f>
        <v>15</v>
      </c>
      <c r="L87" s="21">
        <f t="shared" ref="L87:L101" si="20">+I87+J87</f>
        <v>181</v>
      </c>
      <c r="M87" s="21">
        <f t="shared" ref="M87:M92" si="21">+H87-L87</f>
        <v>19</v>
      </c>
      <c r="N87" s="56"/>
      <c r="O87" s="22"/>
      <c r="P87" s="21"/>
      <c r="Q87" s="16"/>
      <c r="R87" s="21">
        <f t="shared" ref="R87:R95" si="22">+P87+Q87</f>
        <v>0</v>
      </c>
      <c r="S87" s="21">
        <v>25</v>
      </c>
      <c r="T87" s="21">
        <f>S87-R87</f>
        <v>25</v>
      </c>
      <c r="U87" s="21"/>
      <c r="V87" s="22"/>
      <c r="W87" s="23"/>
      <c r="X87" s="23"/>
      <c r="Y87" s="333"/>
      <c r="Z87" s="5"/>
    </row>
    <row r="88" spans="1:26" x14ac:dyDescent="0.25">
      <c r="A88" s="16">
        <v>2</v>
      </c>
      <c r="B88" s="17">
        <v>45177</v>
      </c>
      <c r="C88" s="17" t="s">
        <v>148</v>
      </c>
      <c r="D88" s="16">
        <v>5537803548</v>
      </c>
      <c r="E88" s="16" t="s">
        <v>106</v>
      </c>
      <c r="F88" s="16" t="s">
        <v>207</v>
      </c>
      <c r="G88" s="57" t="s">
        <v>208</v>
      </c>
      <c r="H88" s="19">
        <v>500</v>
      </c>
      <c r="I88" s="16">
        <v>265</v>
      </c>
      <c r="J88" s="20">
        <v>10</v>
      </c>
      <c r="K88" s="21">
        <f>+T88-J88</f>
        <v>15</v>
      </c>
      <c r="L88" s="21">
        <f t="shared" si="20"/>
        <v>275</v>
      </c>
      <c r="M88" s="21">
        <f t="shared" si="21"/>
        <v>225</v>
      </c>
      <c r="N88" s="56"/>
      <c r="O88" s="22"/>
      <c r="P88" s="21">
        <v>500</v>
      </c>
      <c r="Q88" s="16"/>
      <c r="R88" s="21">
        <f t="shared" si="22"/>
        <v>500</v>
      </c>
      <c r="S88" s="21">
        <v>525</v>
      </c>
      <c r="T88" s="21">
        <f>S88-R88</f>
        <v>25</v>
      </c>
      <c r="U88" s="21"/>
      <c r="V88" s="22"/>
      <c r="W88" s="23"/>
      <c r="X88" s="23"/>
      <c r="Y88" s="334"/>
      <c r="Z88" s="5"/>
    </row>
    <row r="89" spans="1:26" x14ac:dyDescent="0.25">
      <c r="A89" s="16">
        <v>3</v>
      </c>
      <c r="B89" s="17">
        <v>45177</v>
      </c>
      <c r="C89" s="16" t="s">
        <v>2640</v>
      </c>
      <c r="D89" s="16">
        <v>5519127819</v>
      </c>
      <c r="E89" s="26" t="s">
        <v>209</v>
      </c>
      <c r="F89" s="26" t="s">
        <v>210</v>
      </c>
      <c r="G89" s="18" t="s">
        <v>211</v>
      </c>
      <c r="H89" s="19">
        <v>500</v>
      </c>
      <c r="I89" s="16">
        <v>112</v>
      </c>
      <c r="J89" s="20">
        <v>10</v>
      </c>
      <c r="K89" s="21">
        <f>+T89-J89</f>
        <v>8</v>
      </c>
      <c r="L89" s="21">
        <f t="shared" si="20"/>
        <v>122</v>
      </c>
      <c r="M89" s="21">
        <f t="shared" si="21"/>
        <v>378</v>
      </c>
      <c r="N89" s="56"/>
      <c r="O89" s="22"/>
      <c r="P89" s="21">
        <v>500</v>
      </c>
      <c r="Q89" s="16"/>
      <c r="R89" s="21">
        <f t="shared" si="22"/>
        <v>500</v>
      </c>
      <c r="S89" s="21">
        <v>518</v>
      </c>
      <c r="T89" s="21">
        <f>S89-R89</f>
        <v>18</v>
      </c>
      <c r="U89" s="21"/>
      <c r="V89" s="22"/>
      <c r="W89" s="23"/>
      <c r="X89" s="23"/>
      <c r="Y89" s="334"/>
      <c r="Z89" s="5"/>
    </row>
    <row r="90" spans="1:26" x14ac:dyDescent="0.25">
      <c r="A90" s="16">
        <v>4</v>
      </c>
      <c r="B90" s="17">
        <v>45177</v>
      </c>
      <c r="C90" s="31" t="s">
        <v>3092</v>
      </c>
      <c r="D90" s="32">
        <v>5554958042</v>
      </c>
      <c r="E90" s="32" t="s">
        <v>213</v>
      </c>
      <c r="F90" s="31" t="s">
        <v>212</v>
      </c>
      <c r="G90" s="67" t="s">
        <v>214</v>
      </c>
      <c r="H90" s="19"/>
      <c r="I90" s="16">
        <v>22</v>
      </c>
      <c r="J90" s="20">
        <v>10</v>
      </c>
      <c r="K90" s="21">
        <f t="shared" ref="K90:K96" si="23">+T90-J90</f>
        <v>-10</v>
      </c>
      <c r="L90" s="21">
        <f t="shared" si="20"/>
        <v>32</v>
      </c>
      <c r="M90" s="21">
        <f t="shared" si="21"/>
        <v>-32</v>
      </c>
      <c r="N90" s="56"/>
      <c r="O90" s="22" t="s">
        <v>215</v>
      </c>
      <c r="P90" s="21"/>
      <c r="Q90" s="16"/>
      <c r="R90" s="21">
        <f t="shared" si="22"/>
        <v>0</v>
      </c>
      <c r="S90" s="21"/>
      <c r="T90" s="21">
        <f>S90-R90</f>
        <v>0</v>
      </c>
      <c r="U90" s="21"/>
      <c r="V90" s="22"/>
      <c r="W90" s="23"/>
      <c r="X90" s="23"/>
      <c r="Y90" s="334"/>
      <c r="Z90" s="5"/>
    </row>
    <row r="91" spans="1:26" x14ac:dyDescent="0.25">
      <c r="A91" s="16">
        <v>5</v>
      </c>
      <c r="B91" s="17">
        <v>45177</v>
      </c>
      <c r="C91" s="17" t="s">
        <v>2672</v>
      </c>
      <c r="E91" s="32" t="s">
        <v>216</v>
      </c>
      <c r="F91" s="59" t="s">
        <v>205</v>
      </c>
      <c r="G91" s="18" t="s">
        <v>217</v>
      </c>
      <c r="H91" s="68">
        <v>50</v>
      </c>
      <c r="I91" s="16">
        <v>27</v>
      </c>
      <c r="J91" s="20">
        <v>10</v>
      </c>
      <c r="K91" s="21">
        <f t="shared" si="23"/>
        <v>30</v>
      </c>
      <c r="L91" s="21">
        <f t="shared" si="20"/>
        <v>37</v>
      </c>
      <c r="M91" s="21">
        <f t="shared" si="21"/>
        <v>13</v>
      </c>
      <c r="N91" s="56"/>
      <c r="O91" s="22"/>
      <c r="P91" s="69">
        <v>18</v>
      </c>
      <c r="Q91" s="16"/>
      <c r="R91" s="21">
        <f t="shared" si="22"/>
        <v>18</v>
      </c>
      <c r="S91" s="21">
        <v>58</v>
      </c>
      <c r="T91" s="21">
        <f>S91-R91</f>
        <v>40</v>
      </c>
      <c r="U91" s="21"/>
      <c r="V91" s="5"/>
      <c r="W91" s="23"/>
      <c r="X91" s="23"/>
      <c r="Y91" s="334"/>
      <c r="Z91" s="5"/>
    </row>
    <row r="92" spans="1:26" x14ac:dyDescent="0.25">
      <c r="A92" s="30">
        <v>6</v>
      </c>
      <c r="B92" s="17">
        <v>45177</v>
      </c>
      <c r="C92" s="16" t="s">
        <v>2640</v>
      </c>
      <c r="D92" s="16">
        <v>5519127819</v>
      </c>
      <c r="E92" s="26" t="s">
        <v>209</v>
      </c>
      <c r="F92" s="26" t="s">
        <v>210</v>
      </c>
      <c r="G92" s="18" t="s">
        <v>218</v>
      </c>
      <c r="H92" s="70">
        <v>53</v>
      </c>
      <c r="I92" s="35">
        <v>43</v>
      </c>
      <c r="J92" s="20">
        <v>10</v>
      </c>
      <c r="K92" s="21">
        <v>0</v>
      </c>
      <c r="L92" s="21">
        <f t="shared" si="20"/>
        <v>53</v>
      </c>
      <c r="M92" s="21">
        <f t="shared" si="21"/>
        <v>0</v>
      </c>
      <c r="N92" s="56"/>
      <c r="O92" s="22"/>
      <c r="P92" s="16"/>
      <c r="Q92" s="16"/>
      <c r="R92" s="21">
        <f t="shared" si="22"/>
        <v>0</v>
      </c>
      <c r="S92" s="16">
        <v>53</v>
      </c>
      <c r="T92" s="21">
        <v>10</v>
      </c>
      <c r="U92" s="21"/>
      <c r="V92" s="5"/>
      <c r="W92" s="23"/>
      <c r="X92" s="23"/>
      <c r="Y92" s="334"/>
      <c r="Z92" s="5"/>
    </row>
    <row r="93" spans="1:26" x14ac:dyDescent="0.25">
      <c r="A93" s="30" t="s">
        <v>148</v>
      </c>
      <c r="B93" s="17">
        <v>45177</v>
      </c>
      <c r="C93" s="31" t="s">
        <v>2485</v>
      </c>
      <c r="D93" s="32">
        <v>5510080515</v>
      </c>
      <c r="E93" s="32" t="s">
        <v>52</v>
      </c>
      <c r="F93" s="71" t="s">
        <v>220</v>
      </c>
      <c r="G93" s="18" t="s">
        <v>221</v>
      </c>
      <c r="H93" s="37">
        <v>240</v>
      </c>
      <c r="I93" s="38">
        <v>230</v>
      </c>
      <c r="J93" s="20">
        <v>10</v>
      </c>
      <c r="K93" s="21">
        <v>10</v>
      </c>
      <c r="L93" s="21">
        <f t="shared" si="20"/>
        <v>240</v>
      </c>
      <c r="M93" s="21">
        <f t="shared" ref="M93:M101" si="24">+H93-L93</f>
        <v>0</v>
      </c>
      <c r="N93" s="56"/>
      <c r="O93" s="22"/>
      <c r="P93" s="16"/>
      <c r="Q93" s="16"/>
      <c r="R93" s="21">
        <f t="shared" si="22"/>
        <v>0</v>
      </c>
      <c r="S93" s="16">
        <v>250</v>
      </c>
      <c r="T93" s="21">
        <v>20</v>
      </c>
      <c r="U93" s="21"/>
      <c r="V93" s="5"/>
      <c r="W93" s="23"/>
      <c r="X93" s="23"/>
      <c r="Y93" s="334"/>
      <c r="Z93" s="5"/>
    </row>
    <row r="94" spans="1:26" x14ac:dyDescent="0.25">
      <c r="A94" s="30">
        <v>7</v>
      </c>
      <c r="B94" s="17">
        <v>45177</v>
      </c>
      <c r="C94" s="31" t="s">
        <v>2641</v>
      </c>
      <c r="D94" s="32"/>
      <c r="E94" s="32" t="s">
        <v>41</v>
      </c>
      <c r="F94" s="71" t="s">
        <v>220</v>
      </c>
      <c r="G94" s="18" t="s">
        <v>223</v>
      </c>
      <c r="H94" s="37">
        <v>90</v>
      </c>
      <c r="I94">
        <v>65</v>
      </c>
      <c r="J94" s="20">
        <v>10</v>
      </c>
      <c r="K94" s="21">
        <f t="shared" si="23"/>
        <v>5</v>
      </c>
      <c r="L94" s="21">
        <f t="shared" si="20"/>
        <v>75</v>
      </c>
      <c r="M94" s="21">
        <f t="shared" si="24"/>
        <v>15</v>
      </c>
      <c r="N94" s="56"/>
      <c r="O94" s="22"/>
      <c r="P94" s="16"/>
      <c r="Q94" s="16"/>
      <c r="R94" s="21">
        <f t="shared" si="22"/>
        <v>0</v>
      </c>
      <c r="S94" s="16">
        <v>90</v>
      </c>
      <c r="T94" s="21">
        <v>15</v>
      </c>
      <c r="U94" s="21"/>
      <c r="V94" s="5"/>
      <c r="W94" s="23"/>
      <c r="X94" s="23"/>
      <c r="Y94" s="334"/>
      <c r="Z94" s="5"/>
    </row>
    <row r="95" spans="1:26" x14ac:dyDescent="0.25">
      <c r="A95" s="32">
        <v>9</v>
      </c>
      <c r="B95" s="17">
        <v>45177</v>
      </c>
      <c r="C95" s="31" t="s">
        <v>2637</v>
      </c>
      <c r="D95" s="32"/>
      <c r="E95" s="32" t="s">
        <v>41</v>
      </c>
      <c r="F95" s="71" t="s">
        <v>195</v>
      </c>
      <c r="G95" s="18" t="s">
        <v>224</v>
      </c>
      <c r="H95" s="72">
        <v>30</v>
      </c>
      <c r="I95" s="40">
        <v>19</v>
      </c>
      <c r="J95" s="20">
        <v>10</v>
      </c>
      <c r="K95" s="21">
        <f t="shared" si="23"/>
        <v>1</v>
      </c>
      <c r="L95" s="21">
        <f t="shared" si="20"/>
        <v>29</v>
      </c>
      <c r="M95" s="21">
        <f t="shared" si="24"/>
        <v>1</v>
      </c>
      <c r="N95" s="56"/>
      <c r="O95" s="22"/>
      <c r="P95" s="16"/>
      <c r="Q95" s="16"/>
      <c r="R95" s="21">
        <f t="shared" si="22"/>
        <v>0</v>
      </c>
      <c r="S95" s="16">
        <v>30</v>
      </c>
      <c r="T95" s="21">
        <v>11</v>
      </c>
      <c r="U95" s="21"/>
      <c r="V95" s="5"/>
      <c r="W95" s="23"/>
      <c r="X95" s="23"/>
      <c r="Y95" s="334"/>
      <c r="Z95" s="5"/>
    </row>
    <row r="96" spans="1:26" x14ac:dyDescent="0.25">
      <c r="A96" s="32">
        <v>10</v>
      </c>
      <c r="B96" s="17">
        <v>45177</v>
      </c>
      <c r="C96" s="32" t="s">
        <v>2464</v>
      </c>
      <c r="D96" s="32">
        <v>5610020620</v>
      </c>
      <c r="E96" s="32" t="s">
        <v>52</v>
      </c>
      <c r="F96" s="73" t="s">
        <v>61</v>
      </c>
      <c r="G96" s="18" t="s">
        <v>226</v>
      </c>
      <c r="H96" s="72">
        <v>42</v>
      </c>
      <c r="I96" s="42">
        <v>42</v>
      </c>
      <c r="J96" s="20">
        <v>0</v>
      </c>
      <c r="K96" s="21">
        <f t="shared" si="23"/>
        <v>0</v>
      </c>
      <c r="L96" s="21">
        <f t="shared" si="20"/>
        <v>42</v>
      </c>
      <c r="M96" s="21">
        <f t="shared" si="24"/>
        <v>0</v>
      </c>
      <c r="N96" s="56"/>
      <c r="O96" s="22"/>
      <c r="P96" s="16"/>
      <c r="Q96" s="16"/>
      <c r="R96" s="21"/>
      <c r="S96" s="16">
        <v>42</v>
      </c>
      <c r="T96" s="21">
        <v>0</v>
      </c>
      <c r="U96" s="21"/>
      <c r="V96" s="5"/>
      <c r="W96" s="23"/>
      <c r="X96" s="23"/>
      <c r="Y96" s="334"/>
      <c r="Z96" s="5"/>
    </row>
    <row r="97" spans="1:37" x14ac:dyDescent="0.25">
      <c r="A97" s="32">
        <v>11</v>
      </c>
      <c r="B97" s="17">
        <v>45177</v>
      </c>
      <c r="C97" s="31" t="s">
        <v>2485</v>
      </c>
      <c r="D97" s="32">
        <v>5510080515</v>
      </c>
      <c r="E97" s="31" t="s">
        <v>52</v>
      </c>
      <c r="F97" s="59" t="s">
        <v>220</v>
      </c>
      <c r="G97" s="18" t="s">
        <v>227</v>
      </c>
      <c r="H97" s="72">
        <v>200</v>
      </c>
      <c r="I97" s="42">
        <v>168</v>
      </c>
      <c r="J97" s="20">
        <v>10</v>
      </c>
      <c r="K97" s="21">
        <v>22</v>
      </c>
      <c r="L97" s="21">
        <f t="shared" si="20"/>
        <v>178</v>
      </c>
      <c r="M97" s="21">
        <v>0</v>
      </c>
      <c r="N97" s="56"/>
      <c r="O97" s="22"/>
      <c r="P97" s="16"/>
      <c r="Q97" s="16"/>
      <c r="R97" s="21">
        <f>+P97+Q97</f>
        <v>0</v>
      </c>
      <c r="S97" s="16">
        <v>200</v>
      </c>
      <c r="T97" s="21">
        <v>32</v>
      </c>
      <c r="U97" s="21"/>
      <c r="V97" s="5"/>
      <c r="W97" s="23"/>
      <c r="X97" s="23"/>
      <c r="Y97" s="334"/>
      <c r="Z97" s="5"/>
    </row>
    <row r="98" spans="1:37" x14ac:dyDescent="0.25">
      <c r="A98" s="32">
        <v>12</v>
      </c>
      <c r="B98" s="17">
        <v>45177</v>
      </c>
      <c r="C98" s="31" t="s">
        <v>2637</v>
      </c>
      <c r="D98" s="32"/>
      <c r="E98" s="32" t="s">
        <v>134</v>
      </c>
      <c r="F98" t="s">
        <v>228</v>
      </c>
      <c r="G98" s="18" t="s">
        <v>229</v>
      </c>
      <c r="H98" s="72">
        <v>98</v>
      </c>
      <c r="I98" s="42">
        <v>88</v>
      </c>
      <c r="J98" s="20">
        <v>10</v>
      </c>
      <c r="K98" s="21">
        <f>+T98-J98</f>
        <v>0</v>
      </c>
      <c r="L98" s="21">
        <f t="shared" si="20"/>
        <v>98</v>
      </c>
      <c r="M98" s="21">
        <f t="shared" si="24"/>
        <v>0</v>
      </c>
      <c r="N98" s="56"/>
      <c r="O98" s="22"/>
      <c r="P98" s="45"/>
      <c r="Q98" s="44"/>
      <c r="R98" s="21"/>
      <c r="S98" s="45">
        <v>98</v>
      </c>
      <c r="T98" s="21">
        <v>10</v>
      </c>
      <c r="U98" s="21"/>
      <c r="V98" s="5"/>
      <c r="W98" s="23"/>
      <c r="X98" s="23"/>
      <c r="Y98" s="334"/>
      <c r="Z98" s="5"/>
    </row>
    <row r="99" spans="1:37" x14ac:dyDescent="0.25">
      <c r="A99" s="32">
        <v>13</v>
      </c>
      <c r="B99" s="17">
        <v>45177</v>
      </c>
      <c r="C99" s="31" t="s">
        <v>230</v>
      </c>
      <c r="D99" s="32"/>
      <c r="E99" s="32" t="s">
        <v>189</v>
      </c>
      <c r="F99" s="32" t="s">
        <v>231</v>
      </c>
      <c r="G99" s="33" t="s">
        <v>232</v>
      </c>
      <c r="H99" s="39">
        <v>500</v>
      </c>
      <c r="I99" s="42">
        <v>480</v>
      </c>
      <c r="J99" s="43">
        <v>10</v>
      </c>
      <c r="K99" s="21">
        <v>10</v>
      </c>
      <c r="L99" s="21">
        <f t="shared" si="20"/>
        <v>490</v>
      </c>
      <c r="M99" s="21">
        <f t="shared" si="24"/>
        <v>10</v>
      </c>
      <c r="N99" s="56"/>
      <c r="O99" s="22"/>
      <c r="P99" s="43"/>
      <c r="Q99" s="32"/>
      <c r="R99" s="21">
        <f>+P99+Q99</f>
        <v>0</v>
      </c>
      <c r="S99" s="43">
        <v>520</v>
      </c>
      <c r="T99" s="21">
        <v>40</v>
      </c>
      <c r="U99" s="21"/>
      <c r="V99" s="47"/>
      <c r="W99" s="47"/>
      <c r="X99" s="22"/>
      <c r="Y99" s="22"/>
      <c r="Z99" s="5"/>
    </row>
    <row r="100" spans="1:37" x14ac:dyDescent="0.25">
      <c r="A100" s="32">
        <v>14</v>
      </c>
      <c r="B100" s="17">
        <v>45177</v>
      </c>
      <c r="C100" s="31" t="s">
        <v>2485</v>
      </c>
      <c r="D100" s="32"/>
      <c r="E100" s="32" t="s">
        <v>52</v>
      </c>
      <c r="F100" s="32"/>
      <c r="G100" s="39" t="s">
        <v>233</v>
      </c>
      <c r="H100" s="39">
        <v>220</v>
      </c>
      <c r="I100" s="42">
        <v>210</v>
      </c>
      <c r="J100" s="43">
        <v>10</v>
      </c>
      <c r="K100" s="21">
        <f>+T100-J100</f>
        <v>0</v>
      </c>
      <c r="L100" s="21">
        <f t="shared" si="20"/>
        <v>220</v>
      </c>
      <c r="M100" s="21">
        <f t="shared" si="24"/>
        <v>0</v>
      </c>
      <c r="N100" s="65"/>
      <c r="O100" s="5"/>
      <c r="P100" s="43"/>
      <c r="Q100" s="43"/>
      <c r="R100" s="21">
        <f>+P100+Q100</f>
        <v>0</v>
      </c>
      <c r="S100" s="43">
        <v>220</v>
      </c>
      <c r="T100" s="21">
        <v>10</v>
      </c>
      <c r="U100" s="21"/>
      <c r="V100" s="5"/>
      <c r="W100" s="5"/>
      <c r="X100" s="5"/>
      <c r="Y100" s="5"/>
      <c r="Z100" s="5"/>
    </row>
    <row r="101" spans="1:37" x14ac:dyDescent="0.25">
      <c r="A101" s="32">
        <v>15</v>
      </c>
      <c r="B101" s="17">
        <v>45177</v>
      </c>
      <c r="C101" s="31" t="s">
        <v>24</v>
      </c>
      <c r="D101" s="32">
        <v>5562236073</v>
      </c>
      <c r="E101" s="32" t="s">
        <v>52</v>
      </c>
      <c r="F101" s="32" t="s">
        <v>234</v>
      </c>
      <c r="G101" s="39" t="s">
        <v>235</v>
      </c>
      <c r="H101" s="39">
        <v>201</v>
      </c>
      <c r="I101" s="42">
        <v>181</v>
      </c>
      <c r="J101" s="43">
        <v>10</v>
      </c>
      <c r="K101" s="21">
        <f>+T101-J101</f>
        <v>10</v>
      </c>
      <c r="L101" s="21">
        <f t="shared" si="20"/>
        <v>191</v>
      </c>
      <c r="M101" s="21">
        <f t="shared" si="24"/>
        <v>10</v>
      </c>
      <c r="N101" s="66"/>
      <c r="O101" s="22"/>
      <c r="P101" s="43"/>
      <c r="Q101" s="32"/>
      <c r="R101" s="21">
        <f>+P101+Q101</f>
        <v>0</v>
      </c>
      <c r="S101" s="43">
        <v>211</v>
      </c>
      <c r="T101" s="21">
        <v>20</v>
      </c>
      <c r="U101" s="21"/>
      <c r="V101" s="5"/>
      <c r="W101" s="5"/>
      <c r="X101" s="5"/>
      <c r="Y101" s="5"/>
      <c r="Z101" s="5"/>
    </row>
    <row r="102" spans="1:37" x14ac:dyDescent="0.25">
      <c r="A102" s="5"/>
      <c r="B102" s="53"/>
      <c r="C102" s="53"/>
      <c r="D102" s="5"/>
      <c r="E102" s="5"/>
      <c r="F102" s="5"/>
      <c r="G102" s="54"/>
      <c r="H102" s="5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22"/>
      <c r="U102" s="5"/>
      <c r="V102" s="5"/>
      <c r="W102" s="5"/>
      <c r="X102" s="5"/>
      <c r="Y102" s="5"/>
      <c r="Z102" s="5"/>
    </row>
    <row r="104" spans="1:37" x14ac:dyDescent="0.25">
      <c r="A104">
        <v>15</v>
      </c>
    </row>
    <row r="105" spans="1:37" x14ac:dyDescent="0.25">
      <c r="H105">
        <f>450+135</f>
        <v>585</v>
      </c>
    </row>
    <row r="107" spans="1:37" x14ac:dyDescent="0.25">
      <c r="A107" s="1" t="s">
        <v>0</v>
      </c>
      <c r="B107" s="1"/>
      <c r="C107" s="1"/>
      <c r="D107" s="1"/>
      <c r="E107" s="1"/>
      <c r="F107" s="1"/>
      <c r="G107" s="1"/>
      <c r="H107" s="1"/>
      <c r="I107" s="1" t="s">
        <v>148</v>
      </c>
      <c r="J107" s="1"/>
      <c r="K107" s="1"/>
      <c r="L107" s="1"/>
      <c r="M107" s="1"/>
      <c r="N107" s="1"/>
      <c r="O107" s="1"/>
      <c r="P107" s="1"/>
      <c r="Q107" s="1"/>
      <c r="R107" s="1"/>
      <c r="S107" s="3" t="s">
        <v>1</v>
      </c>
      <c r="T107" s="4"/>
      <c r="U107" s="5"/>
      <c r="V107" s="1"/>
      <c r="W107" s="1"/>
      <c r="X107" s="1"/>
      <c r="Y107" s="1"/>
      <c r="Z107" s="5"/>
      <c r="AC107" s="335" t="s">
        <v>160</v>
      </c>
      <c r="AD107" s="336"/>
      <c r="AG107" s="335" t="s">
        <v>170</v>
      </c>
      <c r="AH107" s="336"/>
      <c r="AJ107" s="337" t="s">
        <v>172</v>
      </c>
      <c r="AK107" s="337"/>
    </row>
    <row r="108" spans="1:37" ht="57" customHeight="1" x14ac:dyDescent="0.25">
      <c r="A108" s="6" t="s">
        <v>2</v>
      </c>
      <c r="B108" s="7" t="s">
        <v>3</v>
      </c>
      <c r="C108" s="7" t="s">
        <v>4</v>
      </c>
      <c r="D108" s="6" t="s">
        <v>5</v>
      </c>
      <c r="E108" s="6" t="s">
        <v>6</v>
      </c>
      <c r="F108" s="6" t="s">
        <v>7</v>
      </c>
      <c r="G108" s="6" t="s">
        <v>8</v>
      </c>
      <c r="H108" s="8" t="s">
        <v>9</v>
      </c>
      <c r="I108" s="9" t="s">
        <v>10</v>
      </c>
      <c r="J108" s="8" t="s">
        <v>11</v>
      </c>
      <c r="K108" s="10" t="s">
        <v>12</v>
      </c>
      <c r="L108" s="10" t="s">
        <v>13</v>
      </c>
      <c r="M108" s="11" t="s">
        <v>14</v>
      </c>
      <c r="N108" s="12"/>
      <c r="O108" s="12"/>
      <c r="P108" s="10" t="s">
        <v>16</v>
      </c>
      <c r="Q108" s="10" t="s">
        <v>17</v>
      </c>
      <c r="R108" s="10" t="s">
        <v>18</v>
      </c>
      <c r="S108" s="10" t="s">
        <v>19</v>
      </c>
      <c r="T108" s="10" t="s">
        <v>20</v>
      </c>
      <c r="U108" s="10" t="s">
        <v>28</v>
      </c>
      <c r="V108" s="13"/>
      <c r="W108" s="14" t="s">
        <v>21</v>
      </c>
      <c r="X108" s="14" t="s">
        <v>22</v>
      </c>
      <c r="Y108" s="15" t="s">
        <v>23</v>
      </c>
      <c r="Z108" s="5"/>
      <c r="AB108">
        <v>5</v>
      </c>
      <c r="AC108" s="16" t="s">
        <v>161</v>
      </c>
      <c r="AD108" s="58">
        <f>+AB108*10</f>
        <v>50</v>
      </c>
      <c r="AF108">
        <v>3</v>
      </c>
      <c r="AG108" s="16" t="s">
        <v>161</v>
      </c>
      <c r="AH108" s="58">
        <v>0</v>
      </c>
      <c r="AJ108" s="61" t="s">
        <v>173</v>
      </c>
      <c r="AK108" s="62" t="s">
        <v>174</v>
      </c>
    </row>
    <row r="109" spans="1:37" x14ac:dyDescent="0.25">
      <c r="A109" s="16">
        <v>1</v>
      </c>
      <c r="B109" s="17">
        <v>45178</v>
      </c>
      <c r="C109" s="17" t="s">
        <v>37</v>
      </c>
      <c r="D109" s="16">
        <v>5554180418</v>
      </c>
      <c r="E109" s="16" t="s">
        <v>236</v>
      </c>
      <c r="F109" s="16" t="s">
        <v>237</v>
      </c>
      <c r="G109" s="18" t="s">
        <v>238</v>
      </c>
      <c r="H109" s="19">
        <v>200</v>
      </c>
      <c r="I109" s="16">
        <v>78</v>
      </c>
      <c r="J109" s="20">
        <v>10</v>
      </c>
      <c r="K109" s="21">
        <v>12</v>
      </c>
      <c r="L109" s="21">
        <f t="shared" ref="L109:L120" si="25">+I109+J109</f>
        <v>88</v>
      </c>
      <c r="M109" s="21">
        <f t="shared" ref="M109:M114" si="26">+H109-L109</f>
        <v>112</v>
      </c>
      <c r="N109" s="22"/>
      <c r="O109" s="22"/>
      <c r="P109" s="21">
        <v>300</v>
      </c>
      <c r="Q109" s="16"/>
      <c r="R109" s="21">
        <f t="shared" ref="R109:R123" si="27">+P109+Q109</f>
        <v>300</v>
      </c>
      <c r="S109" s="21">
        <v>322</v>
      </c>
      <c r="T109" s="21">
        <f t="shared" ref="T109:U119" si="28">S109-R109</f>
        <v>22</v>
      </c>
      <c r="U109" s="21"/>
      <c r="V109" s="22"/>
      <c r="W109" s="23"/>
      <c r="X109" s="23"/>
      <c r="Y109" s="333"/>
      <c r="Z109" s="5"/>
      <c r="AB109">
        <v>148</v>
      </c>
      <c r="AC109" s="59" t="s">
        <v>162</v>
      </c>
      <c r="AD109" s="18">
        <f>+AB109*1</f>
        <v>148</v>
      </c>
      <c r="AF109">
        <v>14</v>
      </c>
      <c r="AG109" s="59" t="s">
        <v>162</v>
      </c>
      <c r="AH109" s="18"/>
      <c r="AJ109" s="16">
        <v>577</v>
      </c>
      <c r="AK109" s="16"/>
    </row>
    <row r="110" spans="1:37" x14ac:dyDescent="0.25">
      <c r="A110" s="16">
        <v>2</v>
      </c>
      <c r="B110" s="17">
        <v>45178</v>
      </c>
      <c r="C110" s="17" t="s">
        <v>2535</v>
      </c>
      <c r="D110" s="16">
        <v>5530508709</v>
      </c>
      <c r="E110" s="16" t="s">
        <v>28</v>
      </c>
      <c r="F110" s="16" t="s">
        <v>592</v>
      </c>
      <c r="G110" s="18" t="s">
        <v>591</v>
      </c>
      <c r="H110" s="19">
        <v>110</v>
      </c>
      <c r="I110" s="16">
        <v>96</v>
      </c>
      <c r="J110" s="20">
        <v>10</v>
      </c>
      <c r="K110" s="21">
        <f>+T110-J110</f>
        <v>100</v>
      </c>
      <c r="L110" s="21">
        <f t="shared" si="25"/>
        <v>106</v>
      </c>
      <c r="M110" s="21">
        <f t="shared" si="26"/>
        <v>4</v>
      </c>
      <c r="N110" s="22"/>
      <c r="O110" s="22"/>
      <c r="P110" s="21"/>
      <c r="Q110" s="16"/>
      <c r="R110" s="21">
        <f t="shared" si="27"/>
        <v>0</v>
      </c>
      <c r="S110" s="21">
        <v>110</v>
      </c>
      <c r="T110" s="21">
        <f t="shared" si="28"/>
        <v>110</v>
      </c>
      <c r="U110" s="21">
        <v>96</v>
      </c>
      <c r="V110" s="22"/>
      <c r="W110" s="23"/>
      <c r="X110" s="23"/>
      <c r="Y110" s="334"/>
      <c r="Z110" s="5"/>
      <c r="AB110">
        <v>36</v>
      </c>
      <c r="AC110" s="16" t="s">
        <v>163</v>
      </c>
      <c r="AD110" s="60">
        <f>+AB110*5</f>
        <v>180</v>
      </c>
      <c r="AF110">
        <v>14</v>
      </c>
      <c r="AG110" s="16" t="s">
        <v>163</v>
      </c>
      <c r="AH110" s="60"/>
      <c r="AJ110" s="16"/>
      <c r="AK110" s="16"/>
    </row>
    <row r="111" spans="1:37" x14ac:dyDescent="0.25">
      <c r="A111" s="16">
        <v>3</v>
      </c>
      <c r="B111" s="17">
        <v>45178</v>
      </c>
      <c r="C111" s="17" t="s">
        <v>2644</v>
      </c>
      <c r="D111" s="16">
        <v>5537803548</v>
      </c>
      <c r="E111" s="16" t="s">
        <v>106</v>
      </c>
      <c r="F111" s="16" t="s">
        <v>207</v>
      </c>
      <c r="G111" s="18"/>
      <c r="H111" s="19">
        <v>500</v>
      </c>
      <c r="I111" s="16">
        <v>161</v>
      </c>
      <c r="J111" s="20">
        <v>10</v>
      </c>
      <c r="K111" s="21">
        <f>+T111-J111</f>
        <v>-510</v>
      </c>
      <c r="L111" s="21">
        <f t="shared" si="25"/>
        <v>171</v>
      </c>
      <c r="M111" s="21">
        <f t="shared" si="26"/>
        <v>329</v>
      </c>
      <c r="N111" s="22"/>
      <c r="O111" s="22"/>
      <c r="P111" s="21">
        <v>500</v>
      </c>
      <c r="Q111" s="16"/>
      <c r="R111" s="21">
        <f t="shared" si="27"/>
        <v>500</v>
      </c>
      <c r="S111" s="21"/>
      <c r="T111" s="21">
        <f t="shared" si="28"/>
        <v>-500</v>
      </c>
      <c r="U111" s="21"/>
      <c r="V111" s="22"/>
      <c r="W111" s="23"/>
      <c r="X111" s="23"/>
      <c r="Y111" s="334"/>
      <c r="Z111" s="5"/>
      <c r="AC111" s="16" t="s">
        <v>164</v>
      </c>
      <c r="AD111" s="18">
        <f>+AB111*200</f>
        <v>0</v>
      </c>
      <c r="AG111" s="16" t="s">
        <v>164</v>
      </c>
      <c r="AH111" s="18"/>
      <c r="AJ111" s="16"/>
      <c r="AK111" s="16"/>
    </row>
    <row r="112" spans="1:37" x14ac:dyDescent="0.25">
      <c r="A112" s="16">
        <v>4</v>
      </c>
      <c r="B112" s="17">
        <v>45178</v>
      </c>
      <c r="C112" s="17" t="s">
        <v>24</v>
      </c>
      <c r="D112" s="16">
        <v>5562236073</v>
      </c>
      <c r="E112" s="16" t="s">
        <v>594</v>
      </c>
      <c r="F112" s="16" t="s">
        <v>26</v>
      </c>
      <c r="G112" s="28" t="s">
        <v>595</v>
      </c>
      <c r="H112" s="19">
        <v>1000</v>
      </c>
      <c r="I112" s="16">
        <v>451</v>
      </c>
      <c r="J112" s="20">
        <v>20</v>
      </c>
      <c r="K112" s="21">
        <f t="shared" ref="K112:K117" si="29">+T112-J112</f>
        <v>-520</v>
      </c>
      <c r="L112" s="21">
        <f t="shared" si="25"/>
        <v>471</v>
      </c>
      <c r="M112" s="21">
        <f t="shared" si="26"/>
        <v>529</v>
      </c>
      <c r="N112" s="22"/>
      <c r="O112" s="22"/>
      <c r="P112" s="21">
        <v>500</v>
      </c>
      <c r="Q112" s="16"/>
      <c r="R112" s="21">
        <f t="shared" si="27"/>
        <v>500</v>
      </c>
      <c r="S112" s="21"/>
      <c r="T112" s="21">
        <f t="shared" si="28"/>
        <v>-500</v>
      </c>
      <c r="U112" s="21">
        <f t="shared" si="28"/>
        <v>-500</v>
      </c>
      <c r="V112" s="22"/>
      <c r="W112" s="23"/>
      <c r="X112" s="23"/>
      <c r="Y112" s="334"/>
      <c r="Z112" s="5"/>
      <c r="AB112">
        <v>2</v>
      </c>
      <c r="AC112" s="16" t="s">
        <v>165</v>
      </c>
      <c r="AD112" s="18">
        <f>+AB112*100</f>
        <v>200</v>
      </c>
      <c r="AF112">
        <v>4</v>
      </c>
      <c r="AG112" s="16" t="s">
        <v>165</v>
      </c>
      <c r="AH112" s="18"/>
      <c r="AJ112" s="16"/>
      <c r="AK112" s="16"/>
    </row>
    <row r="113" spans="1:37" x14ac:dyDescent="0.25">
      <c r="A113" s="16">
        <v>5</v>
      </c>
      <c r="B113" s="17">
        <v>45178</v>
      </c>
      <c r="C113" s="17"/>
      <c r="D113" s="16"/>
      <c r="E113" s="29"/>
      <c r="F113" s="29"/>
      <c r="G113" s="29"/>
      <c r="H113" s="19"/>
      <c r="I113" s="16"/>
      <c r="J113" s="20">
        <v>10</v>
      </c>
      <c r="K113" s="21">
        <f t="shared" si="29"/>
        <v>-10</v>
      </c>
      <c r="L113" s="21">
        <f t="shared" si="25"/>
        <v>10</v>
      </c>
      <c r="M113" s="21">
        <f t="shared" si="26"/>
        <v>-10</v>
      </c>
      <c r="N113" s="22"/>
      <c r="O113" s="22"/>
      <c r="P113" s="16"/>
      <c r="Q113" s="16"/>
      <c r="R113" s="21">
        <f t="shared" si="27"/>
        <v>0</v>
      </c>
      <c r="S113" s="21"/>
      <c r="T113" s="21">
        <f t="shared" si="28"/>
        <v>0</v>
      </c>
      <c r="U113" s="21">
        <f t="shared" si="28"/>
        <v>0</v>
      </c>
      <c r="V113" s="5"/>
      <c r="W113" s="23"/>
      <c r="X113" s="23"/>
      <c r="Y113" s="334"/>
      <c r="Z113" s="5"/>
      <c r="AB113">
        <v>2</v>
      </c>
      <c r="AC113" s="16" t="s">
        <v>166</v>
      </c>
      <c r="AD113" s="18">
        <f>+AB113*50</f>
        <v>100</v>
      </c>
      <c r="AG113" s="16" t="s">
        <v>166</v>
      </c>
      <c r="AH113" s="18"/>
      <c r="AJ113" s="16"/>
      <c r="AK113" s="16"/>
    </row>
    <row r="114" spans="1:37" x14ac:dyDescent="0.25">
      <c r="A114" s="30">
        <v>6</v>
      </c>
      <c r="B114" s="17">
        <v>45178</v>
      </c>
      <c r="C114" s="17" t="s">
        <v>24</v>
      </c>
      <c r="D114" s="16">
        <v>5562236073</v>
      </c>
      <c r="E114" s="16" t="s">
        <v>28</v>
      </c>
      <c r="F114" s="16" t="s">
        <v>26</v>
      </c>
      <c r="G114" s="33" t="s">
        <v>596</v>
      </c>
      <c r="H114" s="34">
        <v>300</v>
      </c>
      <c r="I114" s="35">
        <v>257</v>
      </c>
      <c r="J114" s="20">
        <v>10</v>
      </c>
      <c r="K114" s="21">
        <f t="shared" si="29"/>
        <v>290</v>
      </c>
      <c r="L114" s="21">
        <f t="shared" si="25"/>
        <v>267</v>
      </c>
      <c r="M114" s="21">
        <f t="shared" si="26"/>
        <v>33</v>
      </c>
      <c r="N114" s="22"/>
      <c r="O114" s="22"/>
      <c r="P114" s="16"/>
      <c r="Q114" s="16"/>
      <c r="R114" s="21">
        <f t="shared" si="27"/>
        <v>0</v>
      </c>
      <c r="S114" s="16">
        <v>300</v>
      </c>
      <c r="T114" s="21">
        <f t="shared" si="28"/>
        <v>300</v>
      </c>
      <c r="U114" s="21">
        <f t="shared" si="28"/>
        <v>0</v>
      </c>
      <c r="V114" s="5">
        <v>33</v>
      </c>
      <c r="W114" s="23"/>
      <c r="X114" s="23"/>
      <c r="Y114" s="334"/>
      <c r="Z114" s="5"/>
      <c r="AB114">
        <v>6</v>
      </c>
      <c r="AC114" s="16" t="s">
        <v>167</v>
      </c>
      <c r="AD114" s="18">
        <f>+AB114*20</f>
        <v>120</v>
      </c>
      <c r="AG114" s="16" t="s">
        <v>167</v>
      </c>
      <c r="AH114" s="18"/>
      <c r="AJ114" s="16"/>
      <c r="AK114" s="16"/>
    </row>
    <row r="115" spans="1:37" x14ac:dyDescent="0.25">
      <c r="A115" s="30">
        <v>6</v>
      </c>
      <c r="B115" s="17">
        <v>45178</v>
      </c>
      <c r="C115" s="31" t="s">
        <v>2486</v>
      </c>
      <c r="D115" s="32">
        <v>5520873875</v>
      </c>
      <c r="E115" s="32" t="s">
        <v>28</v>
      </c>
      <c r="F115" s="32" t="s">
        <v>597</v>
      </c>
      <c r="G115" s="36" t="s">
        <v>598</v>
      </c>
      <c r="H115" s="37">
        <v>95</v>
      </c>
      <c r="I115" s="38">
        <v>85</v>
      </c>
      <c r="J115" s="20">
        <v>10</v>
      </c>
      <c r="K115" s="21">
        <f>+T115-J115</f>
        <v>65</v>
      </c>
      <c r="L115" s="21">
        <f t="shared" si="25"/>
        <v>95</v>
      </c>
      <c r="M115" s="21">
        <f t="shared" ref="M115:M120" si="30">+H115-L115</f>
        <v>0</v>
      </c>
      <c r="N115" s="22"/>
      <c r="O115" s="22"/>
      <c r="P115" s="16">
        <v>20</v>
      </c>
      <c r="Q115" s="16"/>
      <c r="R115" s="21">
        <f t="shared" si="27"/>
        <v>20</v>
      </c>
      <c r="S115" s="16">
        <v>95</v>
      </c>
      <c r="T115" s="21">
        <f t="shared" si="28"/>
        <v>75</v>
      </c>
      <c r="U115" s="21">
        <v>85</v>
      </c>
      <c r="V115" s="5"/>
      <c r="W115" s="23"/>
      <c r="X115" s="23"/>
      <c r="Y115" s="334"/>
      <c r="Z115" s="5"/>
      <c r="AC115" s="16" t="s">
        <v>168</v>
      </c>
      <c r="AD115" s="18">
        <f>+AB115*1000</f>
        <v>0</v>
      </c>
      <c r="AF115">
        <v>3</v>
      </c>
      <c r="AG115" s="16" t="s">
        <v>171</v>
      </c>
      <c r="AH115" s="18"/>
      <c r="AJ115" s="16"/>
      <c r="AK115" s="16"/>
    </row>
    <row r="116" spans="1:37" x14ac:dyDescent="0.25">
      <c r="A116" s="30">
        <v>7</v>
      </c>
      <c r="B116" s="17">
        <v>45178</v>
      </c>
      <c r="C116" s="27" t="s">
        <v>2637</v>
      </c>
      <c r="D116" s="121">
        <v>5629985003</v>
      </c>
      <c r="E116" s="121" t="s">
        <v>28</v>
      </c>
      <c r="F116" s="121" t="s">
        <v>571</v>
      </c>
      <c r="G116" s="36" t="s">
        <v>599</v>
      </c>
      <c r="H116" s="37">
        <v>220</v>
      </c>
      <c r="J116" s="20">
        <v>10</v>
      </c>
      <c r="K116" s="21">
        <f t="shared" si="29"/>
        <v>134</v>
      </c>
      <c r="L116" s="21">
        <f t="shared" si="25"/>
        <v>10</v>
      </c>
      <c r="M116" s="21">
        <f t="shared" si="30"/>
        <v>210</v>
      </c>
      <c r="N116" s="22" t="s">
        <v>575</v>
      </c>
      <c r="O116" s="22"/>
      <c r="P116" s="16">
        <v>56</v>
      </c>
      <c r="Q116" s="16"/>
      <c r="R116" s="21">
        <f t="shared" si="27"/>
        <v>56</v>
      </c>
      <c r="S116" s="16">
        <v>200</v>
      </c>
      <c r="T116" s="21">
        <f t="shared" si="28"/>
        <v>144</v>
      </c>
      <c r="U116" s="21">
        <v>144.5</v>
      </c>
      <c r="V116" s="22"/>
      <c r="W116" s="23"/>
      <c r="X116" s="23"/>
      <c r="Y116" s="334"/>
      <c r="Z116" s="5"/>
      <c r="AC116" s="16"/>
      <c r="AD116" s="18"/>
      <c r="AG116" s="16"/>
      <c r="AH116" s="18"/>
      <c r="AJ116" s="16"/>
      <c r="AK116" s="16"/>
    </row>
    <row r="117" spans="1:37" x14ac:dyDescent="0.25">
      <c r="A117" s="32">
        <v>9</v>
      </c>
      <c r="B117" s="17">
        <v>45178</v>
      </c>
      <c r="C117" s="31" t="s">
        <v>2643</v>
      </c>
      <c r="D117" s="32">
        <v>5621729114</v>
      </c>
      <c r="E117" s="32" t="s">
        <v>602</v>
      </c>
      <c r="F117" s="32" t="s">
        <v>601</v>
      </c>
      <c r="G117" s="36" t="s">
        <v>600</v>
      </c>
      <c r="H117" s="39">
        <v>500</v>
      </c>
      <c r="I117" s="40"/>
      <c r="J117" s="20">
        <v>20</v>
      </c>
      <c r="K117" s="21">
        <f t="shared" si="29"/>
        <v>-10</v>
      </c>
      <c r="L117" s="21">
        <f t="shared" si="25"/>
        <v>20</v>
      </c>
      <c r="M117" s="21">
        <f t="shared" si="30"/>
        <v>480</v>
      </c>
      <c r="N117" s="22"/>
      <c r="O117" s="22"/>
      <c r="P117" s="16">
        <v>220</v>
      </c>
      <c r="Q117" s="16">
        <v>280</v>
      </c>
      <c r="R117" s="21">
        <f t="shared" si="27"/>
        <v>500</v>
      </c>
      <c r="S117" s="16">
        <v>510</v>
      </c>
      <c r="T117" s="21">
        <f t="shared" si="28"/>
        <v>10</v>
      </c>
      <c r="U117" s="21"/>
      <c r="V117" s="5"/>
      <c r="W117" s="23"/>
      <c r="X117" s="23"/>
      <c r="Y117" s="334"/>
      <c r="Z117" s="5"/>
      <c r="AC117" s="26"/>
      <c r="AD117" s="58"/>
      <c r="AG117" s="26"/>
      <c r="AH117" s="58"/>
      <c r="AJ117" s="16"/>
      <c r="AK117" s="16"/>
    </row>
    <row r="118" spans="1:37" x14ac:dyDescent="0.25">
      <c r="A118" s="32">
        <v>10</v>
      </c>
      <c r="B118" s="17">
        <v>45178</v>
      </c>
      <c r="C118" s="17" t="s">
        <v>24</v>
      </c>
      <c r="D118" s="16">
        <v>5562236073</v>
      </c>
      <c r="E118" s="16" t="s">
        <v>28</v>
      </c>
      <c r="F118" s="16" t="s">
        <v>26</v>
      </c>
      <c r="G118" s="28" t="s">
        <v>603</v>
      </c>
      <c r="H118" s="19"/>
      <c r="I118" s="42">
        <v>440</v>
      </c>
      <c r="J118" s="20">
        <v>10</v>
      </c>
      <c r="K118" s="21" t="s">
        <v>148</v>
      </c>
      <c r="L118" s="21">
        <f t="shared" si="25"/>
        <v>450</v>
      </c>
      <c r="M118" s="21">
        <f t="shared" si="30"/>
        <v>-450</v>
      </c>
      <c r="N118" s="22"/>
      <c r="O118" s="22"/>
      <c r="P118" s="16">
        <v>1000</v>
      </c>
      <c r="Q118" s="16"/>
      <c r="R118" s="21">
        <f t="shared" si="27"/>
        <v>1000</v>
      </c>
      <c r="S118" s="16">
        <v>1010</v>
      </c>
      <c r="T118" s="21">
        <f t="shared" si="28"/>
        <v>10</v>
      </c>
      <c r="U118" s="21"/>
      <c r="V118" s="5"/>
      <c r="W118" s="23"/>
      <c r="X118" s="23"/>
      <c r="Y118" s="334"/>
      <c r="Z118" s="5"/>
      <c r="AC118" s="16" t="s">
        <v>169</v>
      </c>
      <c r="AD118" s="18">
        <f>SUM(AD108:AD117)</f>
        <v>798</v>
      </c>
      <c r="AG118" s="16" t="s">
        <v>169</v>
      </c>
      <c r="AH118" s="18">
        <f>SUM(AH108:AH117)</f>
        <v>0</v>
      </c>
      <c r="AJ118" s="16"/>
      <c r="AK118" s="16"/>
    </row>
    <row r="119" spans="1:37" x14ac:dyDescent="0.25">
      <c r="A119" s="32">
        <v>11</v>
      </c>
      <c r="B119" s="17">
        <v>45178</v>
      </c>
      <c r="C119" s="27" t="s">
        <v>2637</v>
      </c>
      <c r="D119" s="121">
        <v>5629985003</v>
      </c>
      <c r="E119" s="121" t="s">
        <v>28</v>
      </c>
      <c r="F119" s="121" t="s">
        <v>571</v>
      </c>
      <c r="G119" s="39" t="s">
        <v>604</v>
      </c>
      <c r="H119" s="39">
        <v>230</v>
      </c>
      <c r="I119" s="42">
        <v>202</v>
      </c>
      <c r="J119" s="20">
        <v>10</v>
      </c>
      <c r="K119" s="21">
        <v>5</v>
      </c>
      <c r="L119" s="21">
        <f t="shared" si="25"/>
        <v>212</v>
      </c>
      <c r="M119" s="21">
        <f t="shared" si="30"/>
        <v>18</v>
      </c>
      <c r="N119" s="22"/>
      <c r="O119" s="22"/>
      <c r="P119" s="16"/>
      <c r="Q119" s="16"/>
      <c r="R119" s="21">
        <f t="shared" si="27"/>
        <v>0</v>
      </c>
      <c r="S119" s="16">
        <v>20</v>
      </c>
      <c r="T119" s="21">
        <f t="shared" si="28"/>
        <v>20</v>
      </c>
      <c r="U119" s="21"/>
      <c r="V119" s="5"/>
      <c r="W119" s="23"/>
      <c r="X119" s="23"/>
      <c r="Y119" s="334"/>
      <c r="Z119" s="5"/>
      <c r="AJ119" s="16"/>
      <c r="AK119" s="16"/>
    </row>
    <row r="120" spans="1:37" x14ac:dyDescent="0.25">
      <c r="A120" s="32">
        <v>12</v>
      </c>
      <c r="B120" s="17">
        <v>45178</v>
      </c>
      <c r="C120" s="31"/>
      <c r="D120" s="32"/>
      <c r="E120" s="32"/>
      <c r="G120" s="39"/>
      <c r="H120" s="39"/>
      <c r="I120" s="42"/>
      <c r="J120" s="20">
        <v>51</v>
      </c>
      <c r="K120" s="43"/>
      <c r="L120" s="21">
        <f t="shared" si="25"/>
        <v>51</v>
      </c>
      <c r="M120" s="21">
        <f t="shared" si="30"/>
        <v>-51</v>
      </c>
      <c r="N120" s="22"/>
      <c r="O120" s="22"/>
      <c r="P120" s="45"/>
      <c r="Q120" s="44"/>
      <c r="R120" s="21">
        <f t="shared" si="27"/>
        <v>0</v>
      </c>
      <c r="S120" s="45"/>
      <c r="T120" s="21"/>
      <c r="U120" s="21"/>
      <c r="V120" s="5"/>
      <c r="W120" s="23"/>
      <c r="X120" s="23"/>
      <c r="Y120" s="334"/>
      <c r="Z120" s="5"/>
      <c r="AJ120" s="63" t="s">
        <v>169</v>
      </c>
      <c r="AK120" s="63">
        <f>+SUM(AJ109:AJ119)-SUM(AK109:AK119)</f>
        <v>577</v>
      </c>
    </row>
    <row r="121" spans="1:37" x14ac:dyDescent="0.25">
      <c r="A121" s="32">
        <v>13</v>
      </c>
      <c r="B121" s="17">
        <v>45178</v>
      </c>
      <c r="C121" s="31"/>
      <c r="D121" s="32"/>
      <c r="E121" s="32"/>
      <c r="F121" s="32"/>
      <c r="G121" s="39"/>
      <c r="H121" s="39"/>
      <c r="I121" s="42"/>
      <c r="J121" s="43">
        <v>10</v>
      </c>
      <c r="K121" s="43">
        <v>10</v>
      </c>
      <c r="L121" s="43"/>
      <c r="M121" s="43"/>
      <c r="N121" s="22"/>
      <c r="O121" s="22"/>
      <c r="P121" s="43"/>
      <c r="Q121" s="32"/>
      <c r="R121" s="21">
        <f t="shared" si="27"/>
        <v>0</v>
      </c>
      <c r="S121" s="43"/>
      <c r="T121" s="21"/>
      <c r="U121" s="21"/>
      <c r="V121" s="47"/>
      <c r="W121" s="47"/>
      <c r="X121" s="22"/>
      <c r="Y121" s="22"/>
      <c r="Z121" s="5"/>
    </row>
    <row r="122" spans="1:37" x14ac:dyDescent="0.25">
      <c r="A122" s="32">
        <v>14</v>
      </c>
      <c r="B122" s="17">
        <v>45178</v>
      </c>
      <c r="C122" s="31"/>
      <c r="D122" s="32"/>
      <c r="E122" s="32"/>
      <c r="F122" s="32"/>
      <c r="G122" s="39"/>
      <c r="H122" s="39"/>
      <c r="I122" s="42"/>
      <c r="J122" s="43">
        <v>10</v>
      </c>
      <c r="K122" s="43"/>
      <c r="L122" s="43"/>
      <c r="M122" s="43"/>
      <c r="N122" s="22"/>
      <c r="O122" s="5"/>
      <c r="P122" s="43"/>
      <c r="Q122" s="43"/>
      <c r="R122" s="21">
        <f t="shared" si="27"/>
        <v>0</v>
      </c>
      <c r="S122" s="43"/>
      <c r="T122" s="21"/>
      <c r="U122" s="21"/>
      <c r="V122" s="5"/>
      <c r="W122" s="5"/>
      <c r="X122" s="5"/>
      <c r="Y122" s="5"/>
      <c r="Z122" s="5"/>
    </row>
    <row r="123" spans="1:37" x14ac:dyDescent="0.25">
      <c r="A123" s="32">
        <v>15</v>
      </c>
      <c r="B123" s="17">
        <v>45178</v>
      </c>
      <c r="C123" s="31"/>
      <c r="D123" s="32"/>
      <c r="E123" s="32"/>
      <c r="F123" s="32"/>
      <c r="G123" s="39"/>
      <c r="H123" s="39"/>
      <c r="I123" s="42"/>
      <c r="J123" s="43"/>
      <c r="K123" s="43"/>
      <c r="L123" s="43"/>
      <c r="M123" s="43"/>
      <c r="N123" s="22"/>
      <c r="O123" s="22"/>
      <c r="P123" s="43"/>
      <c r="Q123" s="32"/>
      <c r="R123" s="21">
        <f t="shared" si="27"/>
        <v>0</v>
      </c>
      <c r="S123" s="43"/>
      <c r="T123" s="21">
        <f>S123-R123</f>
        <v>0</v>
      </c>
      <c r="U123" s="21">
        <f>T123-S123</f>
        <v>0</v>
      </c>
      <c r="V123" s="5"/>
      <c r="W123" s="5"/>
      <c r="X123" s="5"/>
      <c r="Y123" s="5"/>
      <c r="Z123" s="5"/>
    </row>
    <row r="124" spans="1:37" x14ac:dyDescent="0.25">
      <c r="A124" s="5"/>
      <c r="B124" s="53"/>
      <c r="C124" s="53"/>
      <c r="D124" s="5"/>
      <c r="E124" s="5"/>
      <c r="F124" s="5"/>
      <c r="G124" s="54"/>
      <c r="H124" s="5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37" x14ac:dyDescent="0.25">
      <c r="A125" s="121">
        <v>11</v>
      </c>
    </row>
    <row r="126" spans="1:37" x14ac:dyDescent="0.25">
      <c r="A126">
        <f>+A104+A82+A60+A41+A20</f>
        <v>68</v>
      </c>
    </row>
    <row r="127" spans="1:37" x14ac:dyDescent="0.25">
      <c r="B127" s="27">
        <v>45179</v>
      </c>
    </row>
    <row r="128" spans="1:37" x14ac:dyDescent="0.25">
      <c r="C128" s="335" t="s">
        <v>170</v>
      </c>
      <c r="D128" s="336"/>
      <c r="F128" s="337" t="s">
        <v>172</v>
      </c>
      <c r="G128" s="337"/>
    </row>
    <row r="129" spans="2:10" x14ac:dyDescent="0.25">
      <c r="B129">
        <v>5</v>
      </c>
      <c r="C129" s="16" t="s">
        <v>161</v>
      </c>
      <c r="D129" s="58">
        <v>50</v>
      </c>
      <c r="F129" s="61" t="s">
        <v>173</v>
      </c>
      <c r="G129" s="62" t="s">
        <v>174</v>
      </c>
    </row>
    <row r="130" spans="2:10" x14ac:dyDescent="0.25">
      <c r="B130">
        <v>16</v>
      </c>
      <c r="C130" s="59" t="s">
        <v>162</v>
      </c>
      <c r="D130" s="18">
        <v>16</v>
      </c>
      <c r="F130" s="16">
        <v>100</v>
      </c>
      <c r="G130" s="16"/>
      <c r="J130" t="s">
        <v>605</v>
      </c>
    </row>
    <row r="131" spans="2:10" x14ac:dyDescent="0.25">
      <c r="B131">
        <v>15</v>
      </c>
      <c r="C131" s="16" t="s">
        <v>163</v>
      </c>
      <c r="D131" s="60">
        <v>75</v>
      </c>
      <c r="F131" s="16">
        <v>131</v>
      </c>
      <c r="G131" s="16"/>
      <c r="J131" t="s">
        <v>606</v>
      </c>
    </row>
    <row r="132" spans="2:10" x14ac:dyDescent="0.25">
      <c r="B132">
        <v>2</v>
      </c>
      <c r="C132" s="16" t="s">
        <v>164</v>
      </c>
      <c r="D132" s="18">
        <v>400</v>
      </c>
      <c r="F132" s="16"/>
      <c r="G132" s="16"/>
    </row>
    <row r="133" spans="2:10" x14ac:dyDescent="0.25">
      <c r="B133">
        <v>1</v>
      </c>
      <c r="C133" s="16" t="s">
        <v>165</v>
      </c>
      <c r="D133" s="18">
        <v>100</v>
      </c>
      <c r="F133" s="16"/>
      <c r="G133" s="16"/>
    </row>
    <row r="134" spans="2:10" x14ac:dyDescent="0.25">
      <c r="B134">
        <v>5</v>
      </c>
      <c r="C134" s="16" t="s">
        <v>166</v>
      </c>
      <c r="D134" s="18">
        <v>250</v>
      </c>
      <c r="F134" s="16"/>
      <c r="G134" s="16"/>
    </row>
    <row r="135" spans="2:10" x14ac:dyDescent="0.25">
      <c r="B135">
        <v>1</v>
      </c>
      <c r="C135" s="16" t="s">
        <v>167</v>
      </c>
      <c r="D135" s="18">
        <v>20</v>
      </c>
      <c r="F135" s="16"/>
      <c r="G135" s="16"/>
    </row>
    <row r="136" spans="2:10" x14ac:dyDescent="0.25">
      <c r="C136" s="16" t="s">
        <v>171</v>
      </c>
      <c r="D136" s="18"/>
      <c r="F136" s="16"/>
      <c r="G136" s="16"/>
    </row>
    <row r="137" spans="2:10" x14ac:dyDescent="0.25">
      <c r="C137" s="16"/>
      <c r="D137" s="18"/>
      <c r="F137" s="16"/>
      <c r="G137" s="16"/>
    </row>
    <row r="138" spans="2:10" x14ac:dyDescent="0.25">
      <c r="C138" s="26"/>
      <c r="D138" s="58"/>
      <c r="F138" s="16"/>
      <c r="G138" s="16"/>
    </row>
    <row r="139" spans="2:10" x14ac:dyDescent="0.25">
      <c r="C139" s="16" t="s">
        <v>169</v>
      </c>
      <c r="D139" s="18">
        <f>SUM(D129:D138)</f>
        <v>911</v>
      </c>
      <c r="F139" s="16"/>
      <c r="G139" s="16"/>
    </row>
    <row r="140" spans="2:10" x14ac:dyDescent="0.25">
      <c r="F140" s="16"/>
      <c r="G140" s="16"/>
    </row>
    <row r="141" spans="2:10" x14ac:dyDescent="0.25">
      <c r="F141" s="63" t="s">
        <v>169</v>
      </c>
      <c r="G141" s="63">
        <f>+SUM(F130:F140)-SUM(G130:G140)</f>
        <v>231</v>
      </c>
    </row>
  </sheetData>
  <mergeCells count="10">
    <mergeCell ref="AJ107:AK107"/>
    <mergeCell ref="Y3:Y14"/>
    <mergeCell ref="Y24:Y35"/>
    <mergeCell ref="Y65:Y76"/>
    <mergeCell ref="Y87:Y98"/>
    <mergeCell ref="Y109:Y120"/>
    <mergeCell ref="C128:D128"/>
    <mergeCell ref="F128:G128"/>
    <mergeCell ref="AC107:AD107"/>
    <mergeCell ref="AG107:AH1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4"/>
  <sheetViews>
    <sheetView topLeftCell="A147" workbookViewId="0">
      <selection activeCell="C166" sqref="C166"/>
    </sheetView>
  </sheetViews>
  <sheetFormatPr baseColWidth="10" defaultRowHeight="15" x14ac:dyDescent="0.25"/>
  <cols>
    <col min="3" max="3" width="19.42578125" customWidth="1"/>
    <col min="4" max="4" width="25.7109375" customWidth="1"/>
    <col min="5" max="5" width="14" customWidth="1"/>
    <col min="8" max="8" width="10.5703125" bestFit="1" customWidth="1"/>
    <col min="9" max="9" width="18" bestFit="1" customWidth="1"/>
    <col min="10" max="10" width="11.28515625" bestFit="1" customWidth="1"/>
    <col min="14" max="15" width="14.140625" bestFit="1" customWidth="1"/>
    <col min="23" max="23" width="12.42578125" bestFit="1" customWidth="1"/>
    <col min="29" max="29" width="16.28515625" customWidth="1"/>
    <col min="40" max="40" width="14.140625" customWidth="1"/>
  </cols>
  <sheetData>
    <row r="1" spans="1:37" x14ac:dyDescent="0.25">
      <c r="A1" s="1" t="s">
        <v>0</v>
      </c>
      <c r="B1" s="1"/>
      <c r="C1" s="1"/>
      <c r="D1" s="1"/>
      <c r="E1" s="1"/>
      <c r="F1" s="1"/>
      <c r="G1" s="1"/>
      <c r="H1" s="1"/>
      <c r="I1" s="1" t="s">
        <v>148</v>
      </c>
      <c r="J1" s="1"/>
      <c r="K1" s="1"/>
      <c r="L1" s="1"/>
      <c r="M1" s="1"/>
      <c r="N1" s="1"/>
      <c r="O1" s="1"/>
      <c r="P1" s="1"/>
      <c r="Q1" s="1"/>
      <c r="R1" s="1"/>
      <c r="S1" s="3" t="s">
        <v>1</v>
      </c>
      <c r="T1" s="4"/>
      <c r="U1" s="5"/>
      <c r="V1" s="1"/>
      <c r="W1" s="1"/>
      <c r="X1" s="1"/>
      <c r="Y1" s="1"/>
      <c r="Z1" s="5"/>
      <c r="AC1" s="335" t="s">
        <v>160</v>
      </c>
      <c r="AD1" s="336"/>
      <c r="AG1" s="335" t="s">
        <v>170</v>
      </c>
      <c r="AH1" s="336"/>
      <c r="AJ1" s="337" t="s">
        <v>172</v>
      </c>
      <c r="AK1" s="337"/>
    </row>
    <row r="2" spans="1:37" ht="90" x14ac:dyDescent="0.25">
      <c r="A2" s="6" t="s">
        <v>2</v>
      </c>
      <c r="B2" s="7" t="s">
        <v>3</v>
      </c>
      <c r="C2" s="7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8" t="s">
        <v>9</v>
      </c>
      <c r="I2" s="9" t="s">
        <v>10</v>
      </c>
      <c r="J2" s="8" t="s">
        <v>11</v>
      </c>
      <c r="K2" s="10" t="s">
        <v>12</v>
      </c>
      <c r="L2" s="10" t="s">
        <v>13</v>
      </c>
      <c r="M2" s="11" t="s">
        <v>14</v>
      </c>
      <c r="N2" s="12"/>
      <c r="O2" s="12"/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28</v>
      </c>
      <c r="V2" s="13"/>
      <c r="W2" s="14" t="s">
        <v>21</v>
      </c>
      <c r="X2" s="14" t="s">
        <v>22</v>
      </c>
      <c r="Y2" s="15" t="s">
        <v>23</v>
      </c>
      <c r="Z2" s="5"/>
      <c r="AB2">
        <v>6</v>
      </c>
      <c r="AC2" s="16" t="s">
        <v>161</v>
      </c>
      <c r="AD2" s="58">
        <f>+AB2*10</f>
        <v>60</v>
      </c>
      <c r="AF2">
        <v>15</v>
      </c>
      <c r="AG2" s="16" t="s">
        <v>161</v>
      </c>
      <c r="AH2" s="58">
        <v>150</v>
      </c>
      <c r="AJ2" s="61" t="s">
        <v>173</v>
      </c>
      <c r="AK2" s="62" t="s">
        <v>174</v>
      </c>
    </row>
    <row r="3" spans="1:37" x14ac:dyDescent="0.25">
      <c r="A3" s="16">
        <v>1</v>
      </c>
      <c r="B3" s="92">
        <v>45180</v>
      </c>
      <c r="C3" s="31" t="s">
        <v>2567</v>
      </c>
      <c r="D3" s="32">
        <v>5553181586</v>
      </c>
      <c r="E3" s="32" t="s">
        <v>611</v>
      </c>
      <c r="F3" s="32" t="s">
        <v>610</v>
      </c>
      <c r="G3" s="39" t="s">
        <v>609</v>
      </c>
      <c r="H3" s="122">
        <v>200</v>
      </c>
      <c r="I3" s="32">
        <v>150</v>
      </c>
      <c r="J3" s="20">
        <v>10</v>
      </c>
      <c r="K3" s="21">
        <v>12</v>
      </c>
      <c r="L3" s="21">
        <f t="shared" ref="L3:L14" si="0">+I3+J3</f>
        <v>160</v>
      </c>
      <c r="M3" s="21">
        <f t="shared" ref="M3:M8" si="1">+H3-L3</f>
        <v>40</v>
      </c>
      <c r="N3" s="22"/>
      <c r="O3" s="22"/>
      <c r="P3" s="21">
        <v>200</v>
      </c>
      <c r="Q3" s="16"/>
      <c r="R3" s="21">
        <f t="shared" ref="R3:R17" si="2">+P3+Q3</f>
        <v>200</v>
      </c>
      <c r="S3" s="21">
        <v>220</v>
      </c>
      <c r="T3" s="21">
        <f t="shared" ref="T3:T13" si="3">S3-R3</f>
        <v>20</v>
      </c>
      <c r="U3" s="21"/>
      <c r="V3" s="22"/>
      <c r="W3" s="23"/>
      <c r="X3" s="23"/>
      <c r="Y3" s="333"/>
      <c r="Z3" s="5"/>
      <c r="AB3">
        <v>18.5</v>
      </c>
      <c r="AC3" s="59" t="s">
        <v>162</v>
      </c>
      <c r="AD3" s="18">
        <f>+AB3*1</f>
        <v>18.5</v>
      </c>
      <c r="AF3">
        <v>16</v>
      </c>
      <c r="AG3" s="59" t="s">
        <v>162</v>
      </c>
      <c r="AH3" s="18">
        <v>16</v>
      </c>
      <c r="AJ3" s="16">
        <v>180</v>
      </c>
      <c r="AK3" s="16"/>
    </row>
    <row r="4" spans="1:37" x14ac:dyDescent="0.25">
      <c r="A4" s="16">
        <v>2</v>
      </c>
      <c r="B4" s="92">
        <v>45180</v>
      </c>
      <c r="C4" s="31" t="s">
        <v>2489</v>
      </c>
      <c r="D4" s="32">
        <v>5553181275</v>
      </c>
      <c r="E4" s="32" t="s">
        <v>614</v>
      </c>
      <c r="F4" s="32" t="s">
        <v>613</v>
      </c>
      <c r="G4" s="39" t="s">
        <v>612</v>
      </c>
      <c r="H4" s="122"/>
      <c r="I4" s="32"/>
      <c r="J4" s="20">
        <v>10</v>
      </c>
      <c r="K4" s="21">
        <f>+T4-J4</f>
        <v>10</v>
      </c>
      <c r="L4" s="21">
        <f t="shared" si="0"/>
        <v>10</v>
      </c>
      <c r="M4" s="21">
        <f t="shared" si="1"/>
        <v>-10</v>
      </c>
      <c r="N4" s="22"/>
      <c r="O4" s="22"/>
      <c r="P4" s="21">
        <v>400</v>
      </c>
      <c r="Q4" s="16"/>
      <c r="R4" s="21">
        <f t="shared" si="2"/>
        <v>400</v>
      </c>
      <c r="S4" s="21">
        <v>420</v>
      </c>
      <c r="T4" s="21">
        <f t="shared" si="3"/>
        <v>20</v>
      </c>
      <c r="U4" s="21"/>
      <c r="V4" s="22"/>
      <c r="W4" s="23"/>
      <c r="X4" s="23"/>
      <c r="Y4" s="334"/>
      <c r="Z4" s="5"/>
      <c r="AB4">
        <v>15</v>
      </c>
      <c r="AC4" s="16" t="s">
        <v>163</v>
      </c>
      <c r="AD4" s="60">
        <f>+AB4*5</f>
        <v>75</v>
      </c>
      <c r="AF4">
        <v>21</v>
      </c>
      <c r="AG4" s="16" t="s">
        <v>163</v>
      </c>
      <c r="AH4" s="60">
        <v>105</v>
      </c>
      <c r="AJ4" s="16"/>
      <c r="AK4" s="16"/>
    </row>
    <row r="5" spans="1:37" x14ac:dyDescent="0.25">
      <c r="A5" s="16">
        <v>3</v>
      </c>
      <c r="B5" s="92">
        <v>45180</v>
      </c>
      <c r="C5" s="31" t="s">
        <v>3121</v>
      </c>
      <c r="D5" s="32"/>
      <c r="E5" s="32" t="s">
        <v>28</v>
      </c>
      <c r="F5" s="32">
        <v>844</v>
      </c>
      <c r="G5" s="39" t="s">
        <v>615</v>
      </c>
      <c r="H5" s="122">
        <v>80</v>
      </c>
      <c r="I5" s="32">
        <v>70</v>
      </c>
      <c r="J5" s="20">
        <v>10</v>
      </c>
      <c r="K5" s="21">
        <f>+T5-J5</f>
        <v>-10</v>
      </c>
      <c r="L5" s="21">
        <f t="shared" si="0"/>
        <v>80</v>
      </c>
      <c r="M5" s="21">
        <f t="shared" si="1"/>
        <v>0</v>
      </c>
      <c r="N5" s="22"/>
      <c r="O5" s="22"/>
      <c r="P5" s="21"/>
      <c r="Q5" s="16"/>
      <c r="R5" s="21">
        <f t="shared" si="2"/>
        <v>0</v>
      </c>
      <c r="S5" s="21"/>
      <c r="T5" s="21">
        <f t="shared" si="3"/>
        <v>0</v>
      </c>
      <c r="U5" s="21">
        <v>70</v>
      </c>
      <c r="V5" s="22"/>
      <c r="W5" s="23"/>
      <c r="X5" s="23"/>
      <c r="Y5" s="334"/>
      <c r="Z5" s="5"/>
      <c r="AB5">
        <v>2</v>
      </c>
      <c r="AC5" s="16" t="s">
        <v>164</v>
      </c>
      <c r="AD5" s="18">
        <f>+AB5*200</f>
        <v>400</v>
      </c>
      <c r="AF5">
        <v>1</v>
      </c>
      <c r="AG5" s="16" t="s">
        <v>164</v>
      </c>
      <c r="AH5" s="18">
        <v>200</v>
      </c>
      <c r="AJ5" s="16"/>
      <c r="AK5" s="16"/>
    </row>
    <row r="6" spans="1:37" x14ac:dyDescent="0.25">
      <c r="A6" s="16">
        <v>4</v>
      </c>
      <c r="B6" s="92">
        <v>45180</v>
      </c>
      <c r="C6" s="31" t="s">
        <v>921</v>
      </c>
      <c r="D6" s="32">
        <v>5625982564</v>
      </c>
      <c r="E6" s="32" t="s">
        <v>28</v>
      </c>
      <c r="F6" s="32" t="s">
        <v>617</v>
      </c>
      <c r="G6" s="39" t="s">
        <v>616</v>
      </c>
      <c r="H6" s="122">
        <v>80</v>
      </c>
      <c r="I6" s="32">
        <v>69</v>
      </c>
      <c r="J6" s="20">
        <v>10</v>
      </c>
      <c r="K6" s="21">
        <f t="shared" ref="K6:K11" si="4">+T6-J6</f>
        <v>20</v>
      </c>
      <c r="L6" s="21">
        <f t="shared" si="0"/>
        <v>79</v>
      </c>
      <c r="M6" s="21">
        <f t="shared" si="1"/>
        <v>1</v>
      </c>
      <c r="N6" s="22"/>
      <c r="O6" s="22"/>
      <c r="P6" s="21">
        <v>50</v>
      </c>
      <c r="Q6" s="16"/>
      <c r="R6" s="21">
        <f t="shared" si="2"/>
        <v>50</v>
      </c>
      <c r="S6" s="21">
        <v>80</v>
      </c>
      <c r="T6" s="21">
        <f t="shared" si="3"/>
        <v>30</v>
      </c>
      <c r="U6" s="21">
        <v>69</v>
      </c>
      <c r="V6" s="22"/>
      <c r="W6" s="23"/>
      <c r="X6" s="23"/>
      <c r="Y6" s="334"/>
      <c r="Z6" s="5"/>
      <c r="AB6">
        <v>1</v>
      </c>
      <c r="AC6" s="16" t="s">
        <v>165</v>
      </c>
      <c r="AD6" s="18">
        <f>+AB6*100</f>
        <v>100</v>
      </c>
      <c r="AF6">
        <v>2</v>
      </c>
      <c r="AG6" s="16" t="s">
        <v>165</v>
      </c>
      <c r="AH6" s="18">
        <v>200</v>
      </c>
      <c r="AJ6" s="16"/>
      <c r="AK6" s="16"/>
    </row>
    <row r="7" spans="1:37" x14ac:dyDescent="0.25">
      <c r="A7" s="16">
        <v>5</v>
      </c>
      <c r="B7" s="92">
        <v>45180</v>
      </c>
      <c r="C7" s="31" t="s">
        <v>618</v>
      </c>
      <c r="D7" s="32">
        <v>5535658991</v>
      </c>
      <c r="E7" s="32" t="s">
        <v>619</v>
      </c>
      <c r="F7" s="32" t="s">
        <v>620</v>
      </c>
      <c r="G7" s="32" t="s">
        <v>621</v>
      </c>
      <c r="H7" s="122">
        <v>63</v>
      </c>
      <c r="I7" s="32">
        <v>53</v>
      </c>
      <c r="J7" s="20">
        <v>10</v>
      </c>
      <c r="K7" s="21">
        <f t="shared" si="4"/>
        <v>0</v>
      </c>
      <c r="L7" s="21">
        <f t="shared" si="0"/>
        <v>63</v>
      </c>
      <c r="M7" s="21">
        <f t="shared" si="1"/>
        <v>0</v>
      </c>
      <c r="N7" s="22"/>
      <c r="O7" s="22"/>
      <c r="P7" s="16"/>
      <c r="Q7" s="16"/>
      <c r="R7" s="21">
        <f t="shared" si="2"/>
        <v>0</v>
      </c>
      <c r="S7" s="21">
        <v>63</v>
      </c>
      <c r="T7" s="21">
        <v>10</v>
      </c>
      <c r="U7" s="21"/>
      <c r="V7" s="5"/>
      <c r="W7" s="23"/>
      <c r="X7" s="23"/>
      <c r="Y7" s="334"/>
      <c r="Z7" s="5"/>
      <c r="AB7">
        <v>5</v>
      </c>
      <c r="AC7" s="16" t="s">
        <v>166</v>
      </c>
      <c r="AD7" s="18">
        <f>+AB7*50</f>
        <v>250</v>
      </c>
      <c r="AF7">
        <v>8</v>
      </c>
      <c r="AG7" s="16" t="s">
        <v>166</v>
      </c>
      <c r="AH7" s="18">
        <v>400</v>
      </c>
      <c r="AJ7" s="16"/>
      <c r="AK7" s="16"/>
    </row>
    <row r="8" spans="1:37" x14ac:dyDescent="0.25">
      <c r="A8" s="30">
        <v>6</v>
      </c>
      <c r="B8" s="92">
        <v>45180</v>
      </c>
      <c r="C8" s="31" t="s">
        <v>368</v>
      </c>
      <c r="D8" s="32">
        <v>5618718638</v>
      </c>
      <c r="E8" s="32" t="s">
        <v>622</v>
      </c>
      <c r="F8" s="32" t="s">
        <v>623</v>
      </c>
      <c r="G8" s="39" t="s">
        <v>624</v>
      </c>
      <c r="H8" s="39">
        <v>200</v>
      </c>
      <c r="I8" s="42">
        <v>124</v>
      </c>
      <c r="J8" s="20">
        <v>10</v>
      </c>
      <c r="K8" s="21">
        <v>16</v>
      </c>
      <c r="L8" s="21">
        <f>+I8+J8+K8</f>
        <v>150</v>
      </c>
      <c r="M8" s="21">
        <f t="shared" si="1"/>
        <v>50</v>
      </c>
      <c r="N8" s="22"/>
      <c r="O8" s="22"/>
      <c r="P8" s="16">
        <v>200</v>
      </c>
      <c r="Q8" s="16"/>
      <c r="R8" s="21">
        <f t="shared" si="2"/>
        <v>200</v>
      </c>
      <c r="S8" s="16">
        <v>216</v>
      </c>
      <c r="T8" s="21">
        <f t="shared" si="3"/>
        <v>16</v>
      </c>
      <c r="U8" s="21"/>
      <c r="V8" s="5"/>
      <c r="W8" s="23"/>
      <c r="X8" s="23"/>
      <c r="Y8" s="334"/>
      <c r="Z8" s="5"/>
      <c r="AB8">
        <v>1</v>
      </c>
      <c r="AC8" s="16" t="s">
        <v>167</v>
      </c>
      <c r="AD8" s="18">
        <f>+AB8*20</f>
        <v>20</v>
      </c>
      <c r="AF8">
        <v>4</v>
      </c>
      <c r="AG8" s="16" t="s">
        <v>167</v>
      </c>
      <c r="AH8" s="18">
        <v>80</v>
      </c>
      <c r="AJ8" s="16"/>
      <c r="AK8" s="16"/>
    </row>
    <row r="9" spans="1:37" x14ac:dyDescent="0.25">
      <c r="A9" s="30">
        <v>6</v>
      </c>
      <c r="B9" s="92">
        <v>45180</v>
      </c>
      <c r="C9" s="31" t="s">
        <v>3120</v>
      </c>
      <c r="D9" s="32">
        <v>5562236073</v>
      </c>
      <c r="E9" s="32" t="s">
        <v>52</v>
      </c>
      <c r="F9" s="32" t="s">
        <v>625</v>
      </c>
      <c r="G9" s="39" t="s">
        <v>626</v>
      </c>
      <c r="H9" s="122">
        <v>500</v>
      </c>
      <c r="I9" s="42">
        <v>404</v>
      </c>
      <c r="J9" s="20">
        <v>10</v>
      </c>
      <c r="K9" s="21">
        <f>+T9-J9</f>
        <v>0</v>
      </c>
      <c r="L9" s="21">
        <f t="shared" si="0"/>
        <v>414</v>
      </c>
      <c r="M9" s="21">
        <f t="shared" ref="M9:M14" si="5">+H9-L9</f>
        <v>86</v>
      </c>
      <c r="N9" s="22"/>
      <c r="O9" s="22"/>
      <c r="P9" s="16"/>
      <c r="Q9" s="16"/>
      <c r="R9" s="21"/>
      <c r="S9" s="16">
        <v>500</v>
      </c>
      <c r="T9" s="21">
        <v>10</v>
      </c>
      <c r="U9" s="21">
        <v>404</v>
      </c>
      <c r="V9" s="5"/>
      <c r="W9" s="23"/>
      <c r="X9" s="23"/>
      <c r="Y9" s="334"/>
      <c r="Z9" s="5"/>
      <c r="AB9">
        <v>1</v>
      </c>
      <c r="AC9" s="16" t="s">
        <v>171</v>
      </c>
      <c r="AD9" s="18">
        <f>+AB9*500</f>
        <v>500</v>
      </c>
      <c r="AG9" s="16" t="s">
        <v>171</v>
      </c>
      <c r="AH9" s="18"/>
      <c r="AJ9" s="16"/>
      <c r="AK9" s="16"/>
    </row>
    <row r="10" spans="1:37" x14ac:dyDescent="0.25">
      <c r="A10" s="30">
        <v>7</v>
      </c>
      <c r="B10" s="92">
        <v>45180</v>
      </c>
      <c r="C10" s="31" t="s">
        <v>350</v>
      </c>
      <c r="D10" s="123">
        <v>5543821818</v>
      </c>
      <c r="E10" s="123" t="s">
        <v>52</v>
      </c>
      <c r="F10" s="123" t="s">
        <v>628</v>
      </c>
      <c r="G10" s="39" t="s">
        <v>629</v>
      </c>
      <c r="H10" s="122">
        <v>500</v>
      </c>
      <c r="I10" s="32">
        <v>256</v>
      </c>
      <c r="J10" s="20">
        <v>10</v>
      </c>
      <c r="K10" s="21">
        <v>0</v>
      </c>
      <c r="L10" s="21">
        <f t="shared" si="0"/>
        <v>266</v>
      </c>
      <c r="M10" s="21">
        <f t="shared" si="5"/>
        <v>234</v>
      </c>
      <c r="N10" s="22" t="s">
        <v>575</v>
      </c>
      <c r="O10" s="22"/>
      <c r="P10" s="16"/>
      <c r="Q10" s="16">
        <v>234</v>
      </c>
      <c r="R10" s="21">
        <f t="shared" si="2"/>
        <v>234</v>
      </c>
      <c r="S10" s="16">
        <v>510</v>
      </c>
      <c r="T10" s="21">
        <v>10</v>
      </c>
      <c r="U10" s="21">
        <v>256</v>
      </c>
      <c r="V10" s="22"/>
      <c r="W10" s="23"/>
      <c r="X10" s="23"/>
      <c r="Y10" s="334"/>
      <c r="Z10" s="5"/>
      <c r="AB10">
        <v>0</v>
      </c>
      <c r="AC10" s="16" t="s">
        <v>168</v>
      </c>
      <c r="AD10" s="18">
        <f>+AB10*1000</f>
        <v>0</v>
      </c>
      <c r="AG10" s="16"/>
      <c r="AH10" s="18"/>
      <c r="AJ10" s="16"/>
      <c r="AK10" s="16"/>
    </row>
    <row r="11" spans="1:37" x14ac:dyDescent="0.25">
      <c r="A11" s="32">
        <v>9</v>
      </c>
      <c r="B11" s="92">
        <v>45180</v>
      </c>
      <c r="C11" s="31" t="s">
        <v>114</v>
      </c>
      <c r="D11" s="32">
        <v>5570313539</v>
      </c>
      <c r="E11" s="32" t="s">
        <v>630</v>
      </c>
      <c r="F11" s="32" t="s">
        <v>631</v>
      </c>
      <c r="G11" s="39"/>
      <c r="H11" s="39"/>
      <c r="I11" s="40">
        <v>70</v>
      </c>
      <c r="J11" s="20">
        <v>10</v>
      </c>
      <c r="K11" s="21">
        <f t="shared" si="4"/>
        <v>-10</v>
      </c>
      <c r="L11" s="21">
        <f t="shared" si="0"/>
        <v>80</v>
      </c>
      <c r="M11" s="21">
        <f t="shared" si="5"/>
        <v>-80</v>
      </c>
      <c r="N11" s="22"/>
      <c r="O11" s="22"/>
      <c r="P11" s="16"/>
      <c r="Q11" s="16"/>
      <c r="R11" s="21">
        <f t="shared" si="2"/>
        <v>0</v>
      </c>
      <c r="S11" s="16"/>
      <c r="T11" s="21">
        <f t="shared" si="3"/>
        <v>0</v>
      </c>
      <c r="U11" s="21"/>
      <c r="V11" s="5"/>
      <c r="W11" s="23"/>
      <c r="X11" s="23"/>
      <c r="Y11" s="334"/>
      <c r="Z11" s="5"/>
      <c r="AC11" s="26"/>
      <c r="AD11" s="58"/>
      <c r="AG11" s="26"/>
      <c r="AH11" s="58"/>
      <c r="AJ11" s="16"/>
      <c r="AK11" s="16"/>
    </row>
    <row r="12" spans="1:37" x14ac:dyDescent="0.25">
      <c r="A12" s="32">
        <v>10</v>
      </c>
      <c r="B12" s="92">
        <v>45180</v>
      </c>
      <c r="C12" s="31" t="s">
        <v>634</v>
      </c>
      <c r="D12" s="32">
        <v>5617436349</v>
      </c>
      <c r="E12" s="32" t="s">
        <v>52</v>
      </c>
      <c r="F12" s="32" t="s">
        <v>42</v>
      </c>
      <c r="G12" s="39"/>
      <c r="H12" s="122">
        <v>100</v>
      </c>
      <c r="I12" s="42">
        <v>68</v>
      </c>
      <c r="J12" s="20">
        <v>10</v>
      </c>
      <c r="K12" s="21" t="s">
        <v>148</v>
      </c>
      <c r="L12" s="21">
        <f t="shared" si="0"/>
        <v>78</v>
      </c>
      <c r="M12" s="21">
        <f t="shared" si="5"/>
        <v>22</v>
      </c>
      <c r="N12" s="22"/>
      <c r="O12" s="22"/>
      <c r="P12" s="16"/>
      <c r="Q12" s="16"/>
      <c r="R12" s="21">
        <v>68</v>
      </c>
      <c r="S12" s="16">
        <v>78</v>
      </c>
      <c r="T12" s="21">
        <f t="shared" si="3"/>
        <v>10</v>
      </c>
      <c r="U12" s="21">
        <v>68</v>
      </c>
      <c r="V12" s="5"/>
      <c r="W12" s="23"/>
      <c r="X12" s="23"/>
      <c r="Y12" s="334"/>
      <c r="Z12" s="5"/>
      <c r="AC12" s="16" t="s">
        <v>169</v>
      </c>
      <c r="AD12" s="18">
        <f>SUM(AD2:AD11)</f>
        <v>1423.5</v>
      </c>
      <c r="AG12" s="16" t="s">
        <v>169</v>
      </c>
      <c r="AH12" s="18">
        <f>SUM(AH2:AH11)</f>
        <v>1151</v>
      </c>
      <c r="AJ12" s="16"/>
      <c r="AK12" s="16"/>
    </row>
    <row r="13" spans="1:37" x14ac:dyDescent="0.25">
      <c r="A13" s="32">
        <v>11</v>
      </c>
      <c r="B13" s="92">
        <v>45180</v>
      </c>
      <c r="C13" s="31" t="s">
        <v>635</v>
      </c>
      <c r="D13" s="124">
        <v>5611728082</v>
      </c>
      <c r="E13" s="123" t="s">
        <v>52</v>
      </c>
      <c r="F13" s="123" t="s">
        <v>633</v>
      </c>
      <c r="G13" s="39" t="s">
        <v>632</v>
      </c>
      <c r="H13" s="39">
        <v>200</v>
      </c>
      <c r="I13" s="42">
        <v>114</v>
      </c>
      <c r="J13" s="20">
        <v>10</v>
      </c>
      <c r="K13" s="21">
        <v>0</v>
      </c>
      <c r="L13" s="21">
        <f t="shared" si="0"/>
        <v>124</v>
      </c>
      <c r="M13" s="21">
        <f t="shared" si="5"/>
        <v>76</v>
      </c>
      <c r="N13" s="22"/>
      <c r="O13" s="22"/>
      <c r="P13" s="16"/>
      <c r="Q13" s="16"/>
      <c r="R13" s="21">
        <f t="shared" si="2"/>
        <v>0</v>
      </c>
      <c r="S13" s="16"/>
      <c r="T13" s="21">
        <f t="shared" si="3"/>
        <v>0</v>
      </c>
      <c r="U13" s="21"/>
      <c r="V13" s="5"/>
      <c r="W13" s="23"/>
      <c r="X13" s="23"/>
      <c r="Y13" s="334"/>
      <c r="Z13" s="5"/>
      <c r="AJ13" s="16"/>
      <c r="AK13" s="16"/>
    </row>
    <row r="14" spans="1:37" x14ac:dyDescent="0.25">
      <c r="A14" s="32">
        <v>12</v>
      </c>
      <c r="B14" s="92">
        <v>45180</v>
      </c>
      <c r="C14" s="31"/>
      <c r="D14" s="32"/>
      <c r="E14" s="32"/>
      <c r="F14" s="32"/>
      <c r="G14" s="39"/>
      <c r="H14" s="39"/>
      <c r="I14" s="42"/>
      <c r="J14" s="20">
        <v>10</v>
      </c>
      <c r="K14" s="43"/>
      <c r="L14" s="21">
        <f t="shared" si="0"/>
        <v>10</v>
      </c>
      <c r="M14" s="21">
        <f t="shared" si="5"/>
        <v>-10</v>
      </c>
      <c r="N14" s="22"/>
      <c r="O14" s="22"/>
      <c r="P14" s="45"/>
      <c r="Q14" s="44"/>
      <c r="R14" s="21">
        <f t="shared" si="2"/>
        <v>0</v>
      </c>
      <c r="S14" s="45"/>
      <c r="T14" s="21"/>
      <c r="U14" s="21"/>
      <c r="V14" s="5"/>
      <c r="W14" s="23"/>
      <c r="X14" s="23"/>
      <c r="Y14" s="334"/>
      <c r="Z14" s="5"/>
      <c r="AG14" t="s">
        <v>636</v>
      </c>
      <c r="AH14">
        <v>932</v>
      </c>
      <c r="AJ14" s="63" t="s">
        <v>169</v>
      </c>
      <c r="AK14" s="63">
        <f>+SUM(AJ3:AJ13)-SUM(AK3:AK13)</f>
        <v>180</v>
      </c>
    </row>
    <row r="15" spans="1:37" x14ac:dyDescent="0.25">
      <c r="A15" s="32">
        <v>13</v>
      </c>
      <c r="B15" s="92">
        <v>45180</v>
      </c>
      <c r="C15" s="31"/>
      <c r="D15" s="32"/>
      <c r="E15" s="32"/>
      <c r="F15" s="32"/>
      <c r="G15" s="39"/>
      <c r="H15" s="39"/>
      <c r="I15" s="42"/>
      <c r="J15" s="108">
        <v>10</v>
      </c>
      <c r="K15" s="43">
        <v>10</v>
      </c>
      <c r="L15" s="43"/>
      <c r="M15" s="43"/>
      <c r="N15" s="22"/>
      <c r="O15" s="22"/>
      <c r="P15" s="43"/>
      <c r="Q15" s="32"/>
      <c r="R15" s="21">
        <f t="shared" si="2"/>
        <v>0</v>
      </c>
      <c r="S15" s="43"/>
      <c r="T15" s="21"/>
      <c r="U15" s="21"/>
      <c r="V15" s="47"/>
      <c r="W15" s="47"/>
      <c r="X15" s="22"/>
      <c r="Y15" s="22"/>
      <c r="Z15" s="5"/>
      <c r="AG15" t="s">
        <v>637</v>
      </c>
      <c r="AH15" s="83">
        <f>AH12-AH14</f>
        <v>219</v>
      </c>
    </row>
    <row r="16" spans="1:37" x14ac:dyDescent="0.25">
      <c r="A16" s="32">
        <v>14</v>
      </c>
      <c r="B16" s="92">
        <v>45180</v>
      </c>
      <c r="C16" s="31"/>
      <c r="D16" s="32"/>
      <c r="E16" s="32"/>
      <c r="F16" s="32"/>
      <c r="G16" s="39"/>
      <c r="H16" s="39"/>
      <c r="I16" s="42"/>
      <c r="J16" s="108">
        <v>10</v>
      </c>
      <c r="K16" s="43"/>
      <c r="L16" s="43"/>
      <c r="M16" s="43"/>
      <c r="N16" s="22"/>
      <c r="O16" s="5"/>
      <c r="P16" s="43"/>
      <c r="Q16" s="43"/>
      <c r="R16" s="21">
        <f t="shared" si="2"/>
        <v>0</v>
      </c>
      <c r="S16" s="43"/>
      <c r="T16" s="21"/>
      <c r="U16" s="21"/>
      <c r="V16" s="5"/>
      <c r="W16" s="5"/>
      <c r="X16" s="5"/>
      <c r="Y16" s="5"/>
      <c r="Z16" s="5"/>
      <c r="AB16" t="s">
        <v>607</v>
      </c>
    </row>
    <row r="17" spans="1:40" x14ac:dyDescent="0.25">
      <c r="A17" s="32">
        <v>15</v>
      </c>
      <c r="B17" s="17">
        <v>45180</v>
      </c>
      <c r="C17" s="31"/>
      <c r="D17" s="32"/>
      <c r="E17" s="32"/>
      <c r="F17" s="32"/>
      <c r="G17" s="39"/>
      <c r="H17" s="39"/>
      <c r="I17" s="42"/>
      <c r="J17" s="43"/>
      <c r="K17" s="43"/>
      <c r="L17" s="43"/>
      <c r="M17" s="43"/>
      <c r="N17" s="22"/>
      <c r="O17" s="22"/>
      <c r="P17" s="43"/>
      <c r="Q17" s="32"/>
      <c r="R17" s="21">
        <f t="shared" si="2"/>
        <v>0</v>
      </c>
      <c r="S17" s="43"/>
      <c r="T17" s="21">
        <f>S17-R17</f>
        <v>0</v>
      </c>
      <c r="U17" s="21">
        <f>T17-S17</f>
        <v>0</v>
      </c>
      <c r="V17" s="5"/>
      <c r="W17" s="5"/>
      <c r="X17" s="5"/>
      <c r="Y17" s="5"/>
      <c r="Z17" s="5"/>
    </row>
    <row r="18" spans="1:40" x14ac:dyDescent="0.25">
      <c r="A18" s="5"/>
      <c r="B18" s="53"/>
      <c r="C18" s="53"/>
      <c r="D18" s="5"/>
      <c r="E18" s="5"/>
      <c r="F18" s="5"/>
      <c r="G18" s="54"/>
      <c r="H18" s="5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20" spans="1:40" x14ac:dyDescent="0.25">
      <c r="H20">
        <f>+I22+19</f>
        <v>195</v>
      </c>
      <c r="I20">
        <v>128</v>
      </c>
    </row>
    <row r="21" spans="1:40" x14ac:dyDescent="0.25">
      <c r="I21">
        <v>48</v>
      </c>
      <c r="N21" s="36">
        <f>+H30-I30-P30</f>
        <v>10</v>
      </c>
      <c r="O21" s="36"/>
      <c r="R21" t="s">
        <v>640</v>
      </c>
      <c r="S21">
        <v>200</v>
      </c>
    </row>
    <row r="22" spans="1:40" x14ac:dyDescent="0.25">
      <c r="I22">
        <f>+I20+I21</f>
        <v>176</v>
      </c>
      <c r="N22" s="36"/>
      <c r="O22" s="36"/>
    </row>
    <row r="23" spans="1:40" x14ac:dyDescent="0.25">
      <c r="A23" s="1" t="s">
        <v>0</v>
      </c>
      <c r="B23" s="1"/>
      <c r="C23" s="1"/>
      <c r="D23" s="1"/>
      <c r="E23" s="1"/>
      <c r="F23" s="1"/>
      <c r="G23" s="1"/>
      <c r="H23" s="1"/>
      <c r="I23" s="1" t="s">
        <v>148</v>
      </c>
      <c r="J23" s="1"/>
      <c r="K23" s="1"/>
      <c r="L23" s="1"/>
      <c r="M23" s="1"/>
      <c r="N23" s="1"/>
      <c r="O23" s="1"/>
      <c r="P23" s="1"/>
      <c r="Q23" s="1"/>
      <c r="R23" s="1"/>
      <c r="S23" s="3" t="s">
        <v>1</v>
      </c>
      <c r="T23" s="4"/>
      <c r="U23" s="5"/>
      <c r="V23" s="1"/>
      <c r="W23" s="1"/>
      <c r="X23" s="1"/>
      <c r="Y23" s="1"/>
      <c r="Z23" s="5"/>
      <c r="AC23" s="335" t="s">
        <v>160</v>
      </c>
      <c r="AD23" s="336"/>
      <c r="AG23" s="335" t="s">
        <v>170</v>
      </c>
      <c r="AH23" s="336"/>
      <c r="AJ23" s="337" t="s">
        <v>172</v>
      </c>
      <c r="AK23" s="337"/>
      <c r="AM23" s="337" t="s">
        <v>681</v>
      </c>
      <c r="AN23" s="337"/>
    </row>
    <row r="24" spans="1:40" ht="90" x14ac:dyDescent="0.25">
      <c r="A24" s="6" t="s">
        <v>2</v>
      </c>
      <c r="B24" s="7" t="s">
        <v>3</v>
      </c>
      <c r="C24" s="7" t="s">
        <v>4</v>
      </c>
      <c r="D24" s="6" t="s">
        <v>5</v>
      </c>
      <c r="E24" s="6" t="s">
        <v>6</v>
      </c>
      <c r="F24" s="6" t="s">
        <v>7</v>
      </c>
      <c r="G24" s="6" t="s">
        <v>8</v>
      </c>
      <c r="H24" s="8" t="s">
        <v>9</v>
      </c>
      <c r="I24" s="9" t="s">
        <v>10</v>
      </c>
      <c r="J24" s="8" t="s">
        <v>11</v>
      </c>
      <c r="K24" s="10" t="s">
        <v>12</v>
      </c>
      <c r="L24" s="10" t="s">
        <v>13</v>
      </c>
      <c r="M24" s="11" t="s">
        <v>14</v>
      </c>
      <c r="N24" s="12"/>
      <c r="O24" s="12"/>
      <c r="P24" s="10" t="s">
        <v>16</v>
      </c>
      <c r="Q24" s="10" t="s">
        <v>17</v>
      </c>
      <c r="R24" s="10" t="s">
        <v>18</v>
      </c>
      <c r="S24" s="10" t="s">
        <v>19</v>
      </c>
      <c r="T24" s="10" t="s">
        <v>20</v>
      </c>
      <c r="U24" s="10" t="s">
        <v>28</v>
      </c>
      <c r="V24" s="13"/>
      <c r="W24" s="14" t="s">
        <v>21</v>
      </c>
      <c r="X24" s="14" t="s">
        <v>22</v>
      </c>
      <c r="Y24" s="15" t="s">
        <v>23</v>
      </c>
      <c r="Z24" s="5"/>
      <c r="AB24">
        <v>20</v>
      </c>
      <c r="AC24" s="16" t="s">
        <v>161</v>
      </c>
      <c r="AD24" s="58">
        <f>+AB24*10</f>
        <v>200</v>
      </c>
      <c r="AF24">
        <v>0</v>
      </c>
      <c r="AG24" s="16" t="s">
        <v>161</v>
      </c>
      <c r="AH24" s="58"/>
      <c r="AJ24" s="61" t="s">
        <v>173</v>
      </c>
      <c r="AK24" s="62" t="s">
        <v>174</v>
      </c>
      <c r="AL24">
        <v>10</v>
      </c>
      <c r="AM24" s="16" t="s">
        <v>161</v>
      </c>
      <c r="AN24" s="58">
        <v>100</v>
      </c>
    </row>
    <row r="25" spans="1:40" x14ac:dyDescent="0.25">
      <c r="A25" s="16">
        <v>1</v>
      </c>
      <c r="B25" s="92">
        <v>45181</v>
      </c>
      <c r="C25" s="31" t="s">
        <v>3031</v>
      </c>
      <c r="D25" s="32">
        <v>5568676408</v>
      </c>
      <c r="E25" s="32" t="s">
        <v>28</v>
      </c>
      <c r="F25" s="32" t="s">
        <v>639</v>
      </c>
      <c r="G25" s="39" t="s">
        <v>638</v>
      </c>
      <c r="H25" s="122">
        <v>139</v>
      </c>
      <c r="I25" s="32">
        <v>110</v>
      </c>
      <c r="J25" s="20">
        <v>10</v>
      </c>
      <c r="K25" s="21">
        <f>+T25-J25</f>
        <v>9</v>
      </c>
      <c r="L25" s="21">
        <f t="shared" ref="L25:L39" si="6">+I25+J25</f>
        <v>120</v>
      </c>
      <c r="M25" s="21">
        <f t="shared" ref="M25:M30" si="7">+H25-L25</f>
        <v>19</v>
      </c>
      <c r="N25" s="22"/>
      <c r="O25" s="22"/>
      <c r="P25" s="21">
        <v>120</v>
      </c>
      <c r="Q25" s="16"/>
      <c r="R25" s="21">
        <f t="shared" ref="R25:R36" si="8">+P25+Q25</f>
        <v>120</v>
      </c>
      <c r="S25" s="21">
        <v>139</v>
      </c>
      <c r="T25" s="21">
        <f t="shared" ref="T25:T30" si="9">S25-R25</f>
        <v>19</v>
      </c>
      <c r="U25" s="21" t="s">
        <v>96</v>
      </c>
      <c r="V25" s="22"/>
      <c r="W25" s="23"/>
      <c r="X25" s="23"/>
      <c r="Y25" s="333"/>
      <c r="Z25" s="5"/>
      <c r="AB25">
        <v>43.5</v>
      </c>
      <c r="AC25" s="59" t="s">
        <v>162</v>
      </c>
      <c r="AD25" s="18">
        <f>+AB25*1</f>
        <v>43.5</v>
      </c>
      <c r="AF25">
        <v>9</v>
      </c>
      <c r="AG25" s="59" t="s">
        <v>162</v>
      </c>
      <c r="AH25" s="18"/>
      <c r="AJ25" s="16"/>
      <c r="AK25" s="16"/>
      <c r="AL25">
        <v>26</v>
      </c>
      <c r="AM25" s="59" t="s">
        <v>162</v>
      </c>
      <c r="AN25" s="18">
        <v>26</v>
      </c>
    </row>
    <row r="26" spans="1:40" x14ac:dyDescent="0.25">
      <c r="A26" s="16">
        <v>2</v>
      </c>
      <c r="B26" s="92">
        <v>45181</v>
      </c>
      <c r="C26" s="31" t="s">
        <v>3119</v>
      </c>
      <c r="D26" s="32">
        <v>5563467605</v>
      </c>
      <c r="E26" s="32" t="s">
        <v>641</v>
      </c>
      <c r="F26" s="32" t="s">
        <v>642</v>
      </c>
      <c r="G26" s="39" t="s">
        <v>643</v>
      </c>
      <c r="H26" s="122">
        <v>227</v>
      </c>
      <c r="I26" s="32">
        <v>95</v>
      </c>
      <c r="J26" s="20">
        <v>10</v>
      </c>
      <c r="K26" s="21">
        <f>+T26-J26</f>
        <v>17</v>
      </c>
      <c r="L26" s="21">
        <f t="shared" si="6"/>
        <v>105</v>
      </c>
      <c r="M26" s="21">
        <f t="shared" si="7"/>
        <v>122</v>
      </c>
      <c r="N26" s="22"/>
      <c r="O26" s="22"/>
      <c r="P26" s="21">
        <v>100</v>
      </c>
      <c r="Q26" s="16">
        <v>100</v>
      </c>
      <c r="R26" s="21">
        <f t="shared" si="8"/>
        <v>200</v>
      </c>
      <c r="S26" s="21">
        <v>227</v>
      </c>
      <c r="T26" s="21">
        <f t="shared" si="9"/>
        <v>27</v>
      </c>
      <c r="U26" s="21"/>
      <c r="V26" s="22"/>
      <c r="W26" s="23"/>
      <c r="X26" s="23"/>
      <c r="Y26" s="334"/>
      <c r="Z26" s="5"/>
      <c r="AB26">
        <v>29</v>
      </c>
      <c r="AC26" s="16" t="s">
        <v>163</v>
      </c>
      <c r="AD26" s="60">
        <f>+AB26*5</f>
        <v>145</v>
      </c>
      <c r="AF26">
        <v>24</v>
      </c>
      <c r="AG26" s="16" t="s">
        <v>163</v>
      </c>
      <c r="AH26" s="60">
        <v>120</v>
      </c>
      <c r="AJ26" s="16"/>
      <c r="AK26" s="16"/>
      <c r="AL26">
        <v>2</v>
      </c>
      <c r="AM26" s="16" t="s">
        <v>163</v>
      </c>
      <c r="AN26" s="60">
        <v>10</v>
      </c>
    </row>
    <row r="27" spans="1:40" x14ac:dyDescent="0.25">
      <c r="A27" s="16">
        <v>3</v>
      </c>
      <c r="B27" s="92">
        <v>45181</v>
      </c>
      <c r="C27" s="31" t="s">
        <v>2644</v>
      </c>
      <c r="D27" s="32">
        <v>5537803548</v>
      </c>
      <c r="E27" s="32" t="s">
        <v>644</v>
      </c>
      <c r="F27" s="32" t="s">
        <v>645</v>
      </c>
      <c r="G27" s="39" t="s">
        <v>646</v>
      </c>
      <c r="H27" s="122">
        <v>229</v>
      </c>
      <c r="I27" s="32">
        <v>176</v>
      </c>
      <c r="J27" s="20">
        <v>10</v>
      </c>
      <c r="K27" s="21">
        <f>+T27-J27</f>
        <v>19</v>
      </c>
      <c r="L27" s="21">
        <f t="shared" si="6"/>
        <v>186</v>
      </c>
      <c r="M27" s="21">
        <f t="shared" si="7"/>
        <v>43</v>
      </c>
      <c r="N27" s="22"/>
      <c r="O27" s="22"/>
      <c r="P27" s="21">
        <v>200</v>
      </c>
      <c r="Q27" s="16"/>
      <c r="R27" s="21">
        <f t="shared" si="8"/>
        <v>200</v>
      </c>
      <c r="S27" s="21">
        <v>229</v>
      </c>
      <c r="T27" s="21">
        <f t="shared" si="9"/>
        <v>29</v>
      </c>
      <c r="U27" s="21"/>
      <c r="V27" s="22"/>
      <c r="W27" s="23"/>
      <c r="X27" s="23"/>
      <c r="Y27" s="334"/>
      <c r="Z27" s="5"/>
      <c r="AB27">
        <v>1</v>
      </c>
      <c r="AC27" s="16" t="s">
        <v>164</v>
      </c>
      <c r="AD27" s="18">
        <f>+AB27*200</f>
        <v>200</v>
      </c>
      <c r="AF27">
        <v>0</v>
      </c>
      <c r="AG27" s="16" t="s">
        <v>164</v>
      </c>
      <c r="AH27" s="18"/>
      <c r="AJ27" s="16"/>
      <c r="AK27" s="16"/>
      <c r="AM27" s="16" t="s">
        <v>164</v>
      </c>
      <c r="AN27" s="18"/>
    </row>
    <row r="28" spans="1:40" x14ac:dyDescent="0.25">
      <c r="A28" s="16">
        <v>4</v>
      </c>
      <c r="B28" s="92">
        <v>45181</v>
      </c>
      <c r="C28" s="31" t="s">
        <v>3114</v>
      </c>
      <c r="D28" s="32"/>
      <c r="E28" s="32"/>
      <c r="F28" s="32" t="s">
        <v>269</v>
      </c>
      <c r="G28" s="39" t="s">
        <v>647</v>
      </c>
      <c r="H28" s="122">
        <v>50</v>
      </c>
      <c r="I28" s="32">
        <v>33</v>
      </c>
      <c r="J28" s="20">
        <v>10</v>
      </c>
      <c r="K28" s="21">
        <f t="shared" ref="K28:K37" si="10">+T28-J28</f>
        <v>0</v>
      </c>
      <c r="L28" s="21">
        <f t="shared" si="6"/>
        <v>43</v>
      </c>
      <c r="M28" s="21">
        <f t="shared" si="7"/>
        <v>7</v>
      </c>
      <c r="N28" s="22"/>
      <c r="O28" s="22"/>
      <c r="P28" s="21"/>
      <c r="Q28" s="16"/>
      <c r="R28" s="21">
        <f t="shared" si="8"/>
        <v>0</v>
      </c>
      <c r="S28" s="21">
        <v>10</v>
      </c>
      <c r="T28" s="21">
        <f t="shared" si="9"/>
        <v>10</v>
      </c>
      <c r="U28" s="21"/>
      <c r="V28" s="22"/>
      <c r="W28" s="23"/>
      <c r="X28" s="23"/>
      <c r="Y28" s="334"/>
      <c r="Z28" s="5"/>
      <c r="AC28" s="16" t="s">
        <v>165</v>
      </c>
      <c r="AD28" s="18">
        <f>+AB28*100</f>
        <v>0</v>
      </c>
      <c r="AF28">
        <v>1</v>
      </c>
      <c r="AG28" s="16" t="s">
        <v>165</v>
      </c>
      <c r="AH28" s="18">
        <v>100</v>
      </c>
      <c r="AJ28" s="16"/>
      <c r="AK28" s="16"/>
      <c r="AM28" s="16" t="s">
        <v>165</v>
      </c>
      <c r="AN28" s="18"/>
    </row>
    <row r="29" spans="1:40" x14ac:dyDescent="0.25">
      <c r="A29" s="16">
        <v>5</v>
      </c>
      <c r="B29" s="92">
        <v>45181</v>
      </c>
      <c r="C29" s="31" t="s">
        <v>3118</v>
      </c>
      <c r="D29" s="32">
        <v>5550780186</v>
      </c>
      <c r="E29" s="32" t="s">
        <v>106</v>
      </c>
      <c r="F29" s="32" t="s">
        <v>648</v>
      </c>
      <c r="G29" s="32" t="s">
        <v>649</v>
      </c>
      <c r="H29" s="122">
        <v>125</v>
      </c>
      <c r="I29" s="32">
        <v>110</v>
      </c>
      <c r="J29" s="20">
        <v>10</v>
      </c>
      <c r="K29" s="21">
        <f t="shared" si="10"/>
        <v>-10</v>
      </c>
      <c r="L29" s="21">
        <f t="shared" si="6"/>
        <v>120</v>
      </c>
      <c r="M29" s="21">
        <f t="shared" si="7"/>
        <v>5</v>
      </c>
      <c r="N29" s="22"/>
      <c r="O29" s="22"/>
      <c r="P29" s="16"/>
      <c r="Q29" s="16"/>
      <c r="R29" s="21">
        <f t="shared" si="8"/>
        <v>0</v>
      </c>
      <c r="S29" s="21"/>
      <c r="T29" s="21">
        <f t="shared" si="9"/>
        <v>0</v>
      </c>
      <c r="U29" s="21"/>
      <c r="V29" s="5"/>
      <c r="W29" s="23"/>
      <c r="X29" s="23"/>
      <c r="Y29" s="334"/>
      <c r="Z29" s="5"/>
      <c r="AB29">
        <v>7</v>
      </c>
      <c r="AC29" s="16" t="s">
        <v>166</v>
      </c>
      <c r="AD29" s="18">
        <f>+AB29*50</f>
        <v>350</v>
      </c>
      <c r="AF29">
        <v>0</v>
      </c>
      <c r="AG29" s="16" t="s">
        <v>166</v>
      </c>
      <c r="AH29" s="18"/>
      <c r="AJ29" s="16"/>
      <c r="AK29" s="16"/>
      <c r="AM29" s="16" t="s">
        <v>166</v>
      </c>
      <c r="AN29" s="18"/>
    </row>
    <row r="30" spans="1:40" x14ac:dyDescent="0.25">
      <c r="A30" s="125">
        <v>6</v>
      </c>
      <c r="B30" s="92">
        <v>45181</v>
      </c>
      <c r="C30" s="31" t="s">
        <v>3376</v>
      </c>
      <c r="D30" s="32">
        <v>5526260701</v>
      </c>
      <c r="E30" s="32" t="s">
        <v>652</v>
      </c>
      <c r="F30" s="32" t="s">
        <v>653</v>
      </c>
      <c r="G30" s="39" t="s">
        <v>651</v>
      </c>
      <c r="H30" s="39">
        <v>100</v>
      </c>
      <c r="I30" s="42">
        <v>22</v>
      </c>
      <c r="J30" s="20">
        <v>10</v>
      </c>
      <c r="K30" s="21">
        <f t="shared" si="10"/>
        <v>-78</v>
      </c>
      <c r="L30" s="21">
        <f t="shared" si="6"/>
        <v>32</v>
      </c>
      <c r="M30" s="21">
        <f t="shared" si="7"/>
        <v>68</v>
      </c>
      <c r="N30" s="22"/>
      <c r="O30" s="22"/>
      <c r="P30" s="16">
        <v>68</v>
      </c>
      <c r="Q30" s="16"/>
      <c r="R30" s="21">
        <f t="shared" si="8"/>
        <v>68</v>
      </c>
      <c r="S30" s="16"/>
      <c r="T30" s="21">
        <f t="shared" si="9"/>
        <v>-68</v>
      </c>
      <c r="U30" s="21"/>
      <c r="V30" s="5"/>
      <c r="W30" s="23"/>
      <c r="X30" s="23"/>
      <c r="Y30" s="334"/>
      <c r="Z30" s="5"/>
      <c r="AB30">
        <v>5</v>
      </c>
      <c r="AC30" s="16" t="s">
        <v>167</v>
      </c>
      <c r="AD30" s="18">
        <f>+AB30*20</f>
        <v>100</v>
      </c>
      <c r="AF30">
        <v>0</v>
      </c>
      <c r="AG30" s="16" t="s">
        <v>167</v>
      </c>
      <c r="AH30" s="18"/>
      <c r="AJ30" s="16"/>
      <c r="AK30" s="16"/>
      <c r="AL30">
        <v>2</v>
      </c>
      <c r="AM30" s="16" t="s">
        <v>167</v>
      </c>
      <c r="AN30" s="18">
        <v>40</v>
      </c>
    </row>
    <row r="31" spans="1:40" x14ac:dyDescent="0.25">
      <c r="A31" s="30">
        <v>7</v>
      </c>
      <c r="B31" s="92">
        <v>45181</v>
      </c>
      <c r="C31" s="31" t="s">
        <v>2897</v>
      </c>
      <c r="D31" s="32">
        <v>5612050452</v>
      </c>
      <c r="E31" s="32" t="s">
        <v>656</v>
      </c>
      <c r="F31" s="32" t="s">
        <v>655</v>
      </c>
      <c r="G31" s="39" t="s">
        <v>654</v>
      </c>
      <c r="H31" s="122">
        <v>109</v>
      </c>
      <c r="I31" s="42">
        <v>99</v>
      </c>
      <c r="J31" s="20">
        <v>10</v>
      </c>
      <c r="K31" s="21">
        <f t="shared" si="10"/>
        <v>10</v>
      </c>
      <c r="L31" s="21">
        <f t="shared" si="6"/>
        <v>109</v>
      </c>
      <c r="M31" s="21">
        <f t="shared" ref="M31:M39" si="11">+H31-L31</f>
        <v>0</v>
      </c>
      <c r="N31" s="22"/>
      <c r="O31" s="22"/>
      <c r="P31" s="16"/>
      <c r="Q31" s="16"/>
      <c r="R31" s="21">
        <f t="shared" si="8"/>
        <v>0</v>
      </c>
      <c r="S31" s="16">
        <v>119</v>
      </c>
      <c r="T31" s="21">
        <v>20</v>
      </c>
      <c r="U31" s="21"/>
      <c r="V31" s="5"/>
      <c r="W31" s="23"/>
      <c r="X31" s="23"/>
      <c r="Y31" s="334"/>
      <c r="Z31" s="5"/>
      <c r="AC31" s="16" t="s">
        <v>171</v>
      </c>
      <c r="AD31" s="18">
        <f>+AB31*500</f>
        <v>0</v>
      </c>
      <c r="AG31" s="16" t="s">
        <v>171</v>
      </c>
      <c r="AH31" s="18"/>
      <c r="AJ31" s="16"/>
      <c r="AK31" s="16"/>
      <c r="AM31" s="16" t="s">
        <v>171</v>
      </c>
      <c r="AN31" s="18"/>
    </row>
    <row r="32" spans="1:40" x14ac:dyDescent="0.25">
      <c r="A32" s="30">
        <v>8</v>
      </c>
      <c r="B32" s="92">
        <v>45181</v>
      </c>
      <c r="C32" s="31" t="s">
        <v>3117</v>
      </c>
      <c r="D32" s="123">
        <v>5514792533</v>
      </c>
      <c r="E32" s="123" t="s">
        <v>52</v>
      </c>
      <c r="F32" s="123" t="s">
        <v>660</v>
      </c>
      <c r="G32" s="39" t="s">
        <v>659</v>
      </c>
      <c r="H32" s="122">
        <v>36</v>
      </c>
      <c r="I32" s="32">
        <v>26</v>
      </c>
      <c r="J32" s="20">
        <v>10</v>
      </c>
      <c r="K32" s="21" t="s">
        <v>661</v>
      </c>
      <c r="L32" s="21">
        <f t="shared" si="6"/>
        <v>36</v>
      </c>
      <c r="M32" s="21">
        <f t="shared" si="11"/>
        <v>0</v>
      </c>
      <c r="N32" s="22" t="s">
        <v>575</v>
      </c>
      <c r="O32" s="22"/>
      <c r="P32" s="16"/>
      <c r="Q32" s="16"/>
      <c r="R32" s="21">
        <f t="shared" si="8"/>
        <v>0</v>
      </c>
      <c r="S32" s="16">
        <v>36</v>
      </c>
      <c r="T32" s="21">
        <v>10</v>
      </c>
      <c r="U32" s="21"/>
      <c r="V32" s="22"/>
      <c r="W32" s="23"/>
      <c r="X32" s="23"/>
      <c r="Y32" s="334"/>
      <c r="Z32" s="5"/>
      <c r="AC32" s="16" t="s">
        <v>168</v>
      </c>
      <c r="AD32" s="18">
        <f>+AB32*1000</f>
        <v>0</v>
      </c>
      <c r="AG32" s="16"/>
      <c r="AH32" s="18"/>
      <c r="AJ32" s="16"/>
      <c r="AK32" s="16"/>
      <c r="AM32" s="16"/>
      <c r="AN32" s="18"/>
    </row>
    <row r="33" spans="1:40" x14ac:dyDescent="0.25">
      <c r="A33" s="32"/>
      <c r="V33" s="5"/>
      <c r="W33" s="23"/>
      <c r="X33" s="23"/>
      <c r="Y33" s="334"/>
      <c r="Z33" s="5"/>
      <c r="AC33" s="26"/>
      <c r="AD33" s="58"/>
      <c r="AG33" s="26"/>
      <c r="AH33" s="58"/>
      <c r="AJ33" s="16"/>
      <c r="AK33" s="16"/>
      <c r="AM33" s="26"/>
      <c r="AN33" s="58"/>
    </row>
    <row r="34" spans="1:40" x14ac:dyDescent="0.25">
      <c r="A34" s="32">
        <v>9</v>
      </c>
      <c r="B34" s="92">
        <v>45181</v>
      </c>
      <c r="C34" s="31" t="s">
        <v>3116</v>
      </c>
      <c r="D34" s="32">
        <v>5563186070</v>
      </c>
      <c r="E34" s="32" t="s">
        <v>664</v>
      </c>
      <c r="F34" s="32" t="s">
        <v>663</v>
      </c>
      <c r="G34" s="39" t="s">
        <v>668</v>
      </c>
      <c r="H34" s="122">
        <v>34</v>
      </c>
      <c r="I34" s="42">
        <v>24</v>
      </c>
      <c r="J34" s="20">
        <v>10</v>
      </c>
      <c r="K34" s="21">
        <v>6</v>
      </c>
      <c r="L34" s="21">
        <v>40</v>
      </c>
      <c r="M34" s="21">
        <v>0</v>
      </c>
      <c r="N34" s="22"/>
      <c r="O34" s="22"/>
      <c r="P34" s="16"/>
      <c r="Q34" s="16"/>
      <c r="R34" s="21">
        <f t="shared" si="8"/>
        <v>0</v>
      </c>
      <c r="S34" s="16">
        <v>40</v>
      </c>
      <c r="T34" s="21">
        <v>14</v>
      </c>
      <c r="U34" s="21"/>
      <c r="V34" s="5"/>
      <c r="W34" s="23"/>
      <c r="X34" s="23"/>
      <c r="Y34" s="334"/>
      <c r="Z34" s="5"/>
      <c r="AC34" s="16" t="s">
        <v>169</v>
      </c>
      <c r="AD34" s="18">
        <f>SUM(AD24:AD33)</f>
        <v>1038.5</v>
      </c>
      <c r="AG34" s="16" t="s">
        <v>169</v>
      </c>
      <c r="AH34" s="18">
        <f>SUM(AH24:AH33)</f>
        <v>220</v>
      </c>
      <c r="AJ34" s="16"/>
      <c r="AK34" s="16"/>
      <c r="AM34" s="16" t="s">
        <v>169</v>
      </c>
      <c r="AN34" s="18">
        <f>SUM(AN24:AN33)</f>
        <v>176</v>
      </c>
    </row>
    <row r="35" spans="1:40" x14ac:dyDescent="0.25">
      <c r="A35" s="32">
        <v>10</v>
      </c>
      <c r="B35" s="92">
        <v>45181</v>
      </c>
      <c r="C35" s="31" t="s">
        <v>2464</v>
      </c>
      <c r="D35" s="124">
        <v>5610020620</v>
      </c>
      <c r="E35" s="123" t="s">
        <v>619</v>
      </c>
      <c r="F35" s="123" t="s">
        <v>665</v>
      </c>
      <c r="G35" s="39" t="s">
        <v>667</v>
      </c>
      <c r="H35" s="122">
        <v>200</v>
      </c>
      <c r="I35" s="42">
        <v>57</v>
      </c>
      <c r="J35" s="20">
        <v>10</v>
      </c>
      <c r="K35" s="21">
        <v>18</v>
      </c>
      <c r="L35" s="21">
        <f>+I35+J35</f>
        <v>67</v>
      </c>
      <c r="M35" s="21">
        <f>+H35-L35</f>
        <v>133</v>
      </c>
      <c r="N35" s="22"/>
      <c r="O35" s="22"/>
      <c r="P35" s="16"/>
      <c r="Q35" s="16"/>
      <c r="R35" s="21">
        <f t="shared" si="8"/>
        <v>0</v>
      </c>
      <c r="S35" s="16">
        <v>218</v>
      </c>
      <c r="T35" s="21">
        <v>28</v>
      </c>
      <c r="U35" s="21"/>
      <c r="V35" s="5"/>
      <c r="W35" s="23"/>
      <c r="X35" s="23"/>
      <c r="Y35" s="334"/>
      <c r="Z35" s="5"/>
      <c r="AJ35" s="16"/>
      <c r="AK35" s="16"/>
      <c r="AM35" s="16"/>
      <c r="AN35" s="16"/>
    </row>
    <row r="36" spans="1:40" x14ac:dyDescent="0.25">
      <c r="A36" s="32">
        <v>11</v>
      </c>
      <c r="B36" s="92">
        <v>45181</v>
      </c>
      <c r="C36" s="32" t="s">
        <v>671</v>
      </c>
      <c r="D36" s="32">
        <v>5625771181</v>
      </c>
      <c r="E36" s="124" t="s">
        <v>672</v>
      </c>
      <c r="F36" s="123" t="s">
        <v>665</v>
      </c>
      <c r="G36" s="39" t="s">
        <v>674</v>
      </c>
      <c r="H36" s="39">
        <v>100</v>
      </c>
      <c r="I36" s="42">
        <v>53</v>
      </c>
      <c r="J36" s="20">
        <v>20</v>
      </c>
      <c r="K36" s="21">
        <v>0</v>
      </c>
      <c r="L36" s="21">
        <f t="shared" si="6"/>
        <v>73</v>
      </c>
      <c r="M36" s="21">
        <f t="shared" si="11"/>
        <v>27</v>
      </c>
      <c r="N36" s="22"/>
      <c r="O36" s="22"/>
      <c r="P36" s="45"/>
      <c r="Q36" s="44"/>
      <c r="R36" s="21">
        <f t="shared" si="8"/>
        <v>0</v>
      </c>
      <c r="S36" s="45">
        <v>100</v>
      </c>
      <c r="T36" s="21">
        <v>20</v>
      </c>
      <c r="U36" s="21"/>
      <c r="V36" s="5"/>
      <c r="W36" s="23"/>
      <c r="X36" s="23"/>
      <c r="Y36" s="334"/>
      <c r="Z36" s="5"/>
      <c r="AJ36" s="63" t="s">
        <v>169</v>
      </c>
      <c r="AK36" s="63">
        <f>+SUM(AJ25:AJ35)-SUM(AK25:AK35)</f>
        <v>0</v>
      </c>
      <c r="AM36" s="63" t="s">
        <v>169</v>
      </c>
      <c r="AN36" s="85">
        <f>+SUM(AM24:AM35)-SUM(AN25:AN35)</f>
        <v>-252</v>
      </c>
    </row>
    <row r="37" spans="1:40" x14ac:dyDescent="0.25">
      <c r="A37" s="32">
        <v>12</v>
      </c>
      <c r="B37" s="92">
        <v>45181</v>
      </c>
      <c r="C37" s="31" t="s">
        <v>2464</v>
      </c>
      <c r="D37" s="32">
        <v>5610020620</v>
      </c>
      <c r="E37" s="32" t="s">
        <v>52</v>
      </c>
      <c r="F37" s="32" t="s">
        <v>269</v>
      </c>
      <c r="G37" s="39" t="s">
        <v>673</v>
      </c>
      <c r="H37" s="39">
        <v>56</v>
      </c>
      <c r="I37" s="42">
        <v>56</v>
      </c>
      <c r="J37" s="108">
        <v>0</v>
      </c>
      <c r="K37" s="21">
        <f t="shared" si="10"/>
        <v>0</v>
      </c>
      <c r="L37" s="21">
        <f t="shared" si="6"/>
        <v>56</v>
      </c>
      <c r="M37" s="21">
        <f t="shared" si="11"/>
        <v>0</v>
      </c>
      <c r="N37" s="22"/>
      <c r="O37" s="22"/>
      <c r="P37" s="43"/>
      <c r="Q37" s="32"/>
      <c r="R37" s="21">
        <f>+P37+Q37</f>
        <v>0</v>
      </c>
      <c r="S37" s="43"/>
      <c r="T37" s="21">
        <v>0</v>
      </c>
      <c r="U37" s="21" t="s">
        <v>96</v>
      </c>
      <c r="V37" s="47"/>
      <c r="W37" s="47"/>
      <c r="X37" s="22"/>
      <c r="Y37" s="22"/>
      <c r="Z37" s="5"/>
      <c r="AH37" s="83"/>
    </row>
    <row r="38" spans="1:40" x14ac:dyDescent="0.25">
      <c r="A38" s="32">
        <v>13</v>
      </c>
      <c r="B38" s="92">
        <v>45181</v>
      </c>
      <c r="C38" s="31" t="s">
        <v>3381</v>
      </c>
      <c r="D38" s="32">
        <v>5522701712</v>
      </c>
      <c r="E38" s="32" t="s">
        <v>52</v>
      </c>
      <c r="F38" s="32" t="s">
        <v>675</v>
      </c>
      <c r="G38" s="39" t="s">
        <v>676</v>
      </c>
      <c r="H38" s="39">
        <v>200</v>
      </c>
      <c r="I38" s="42">
        <v>43</v>
      </c>
      <c r="J38" s="108">
        <v>10</v>
      </c>
      <c r="K38" s="21">
        <v>0</v>
      </c>
      <c r="L38" s="21">
        <f t="shared" si="6"/>
        <v>53</v>
      </c>
      <c r="M38" s="21">
        <f t="shared" si="11"/>
        <v>147</v>
      </c>
      <c r="N38" s="22"/>
      <c r="O38" s="5"/>
      <c r="P38" s="43"/>
      <c r="Q38" s="43"/>
      <c r="R38" s="21">
        <f>+P38+Q38</f>
        <v>0</v>
      </c>
      <c r="S38" s="43">
        <v>53</v>
      </c>
      <c r="T38" s="21">
        <v>10</v>
      </c>
      <c r="U38" s="21" t="s">
        <v>96</v>
      </c>
      <c r="V38" s="5"/>
      <c r="W38" s="5"/>
      <c r="X38" s="5"/>
      <c r="Y38" s="5"/>
      <c r="Z38" s="5"/>
    </row>
    <row r="39" spans="1:40" x14ac:dyDescent="0.25">
      <c r="A39" s="32">
        <v>14</v>
      </c>
      <c r="B39" s="92">
        <v>45181</v>
      </c>
      <c r="C39" s="127" t="s">
        <v>2467</v>
      </c>
      <c r="D39" s="32">
        <v>5522701712</v>
      </c>
      <c r="E39" s="32" t="s">
        <v>52</v>
      </c>
      <c r="F39" s="128" t="s">
        <v>678</v>
      </c>
      <c r="G39" s="129" t="s">
        <v>679</v>
      </c>
      <c r="H39" s="39">
        <v>130</v>
      </c>
      <c r="I39" s="42">
        <v>106</v>
      </c>
      <c r="J39" s="108">
        <v>10</v>
      </c>
      <c r="K39" s="126"/>
      <c r="L39" s="126">
        <f t="shared" si="6"/>
        <v>116</v>
      </c>
      <c r="M39" s="126">
        <f t="shared" si="11"/>
        <v>14</v>
      </c>
      <c r="N39" s="22"/>
      <c r="O39" s="5"/>
      <c r="P39" s="43"/>
      <c r="Q39" s="43"/>
      <c r="R39" s="21"/>
      <c r="S39" s="43">
        <v>216</v>
      </c>
      <c r="T39" s="21">
        <v>28</v>
      </c>
      <c r="U39" s="21"/>
      <c r="V39" s="5"/>
      <c r="W39" s="5"/>
      <c r="X39" s="5"/>
      <c r="Y39" s="5"/>
      <c r="Z39" s="5"/>
    </row>
    <row r="40" spans="1:40" x14ac:dyDescent="0.25">
      <c r="A40" s="32">
        <v>15</v>
      </c>
      <c r="B40" s="92">
        <v>45181</v>
      </c>
      <c r="C40" s="31" t="s">
        <v>933</v>
      </c>
      <c r="D40" s="32">
        <v>5559971116</v>
      </c>
      <c r="E40" s="32" t="s">
        <v>52</v>
      </c>
      <c r="F40" s="32" t="s">
        <v>220</v>
      </c>
      <c r="G40" s="39" t="s">
        <v>677</v>
      </c>
      <c r="H40" s="39">
        <v>220</v>
      </c>
      <c r="I40" s="42">
        <v>206</v>
      </c>
      <c r="J40" s="43">
        <v>10</v>
      </c>
      <c r="K40" s="43"/>
      <c r="L40" s="43">
        <v>220</v>
      </c>
      <c r="M40" s="43">
        <v>4</v>
      </c>
      <c r="N40" s="22"/>
      <c r="O40" s="22"/>
      <c r="P40" s="43"/>
      <c r="Q40" s="32"/>
      <c r="R40" s="21">
        <f>+P40+Q40</f>
        <v>0</v>
      </c>
      <c r="S40" s="131">
        <v>220</v>
      </c>
      <c r="T40" s="130">
        <v>14</v>
      </c>
      <c r="U40" s="21" t="s">
        <v>96</v>
      </c>
      <c r="V40" s="5"/>
      <c r="W40" s="5"/>
      <c r="X40" s="5"/>
      <c r="Y40" s="5"/>
      <c r="Z40" s="5"/>
      <c r="AC40" t="s">
        <v>669</v>
      </c>
      <c r="AD40" t="s">
        <v>670</v>
      </c>
    </row>
    <row r="41" spans="1:40" x14ac:dyDescent="0.25">
      <c r="A41" s="5">
        <v>16</v>
      </c>
      <c r="B41" s="92">
        <v>45181</v>
      </c>
      <c r="C41" s="31" t="s">
        <v>245</v>
      </c>
      <c r="D41" s="32">
        <v>5559971116</v>
      </c>
      <c r="E41" s="32" t="s">
        <v>52</v>
      </c>
      <c r="F41" s="32" t="s">
        <v>220</v>
      </c>
      <c r="G41" s="39" t="s">
        <v>680</v>
      </c>
      <c r="H41" s="39">
        <v>40</v>
      </c>
      <c r="I41" s="42">
        <v>28</v>
      </c>
      <c r="J41" s="43">
        <v>10</v>
      </c>
      <c r="K41" s="43"/>
      <c r="L41" s="43">
        <v>40</v>
      </c>
      <c r="M41" s="43">
        <v>2</v>
      </c>
      <c r="N41" s="22"/>
      <c r="O41" s="22"/>
      <c r="P41" s="43"/>
      <c r="Q41" s="32"/>
      <c r="R41" s="21">
        <f>+P41+Q41</f>
        <v>0</v>
      </c>
      <c r="S41" s="132">
        <v>40</v>
      </c>
      <c r="T41" s="130">
        <v>12</v>
      </c>
      <c r="U41" s="21" t="s">
        <v>96</v>
      </c>
      <c r="V41" s="5"/>
      <c r="W41" s="5"/>
      <c r="X41" s="5"/>
      <c r="Y41" s="5"/>
      <c r="Z41" s="5"/>
      <c r="AC41" t="s">
        <v>657</v>
      </c>
      <c r="AD41" t="s">
        <v>368</v>
      </c>
      <c r="AE41">
        <v>18</v>
      </c>
    </row>
    <row r="42" spans="1:40" x14ac:dyDescent="0.25">
      <c r="A42" s="133">
        <v>17</v>
      </c>
      <c r="B42" s="92">
        <v>45181</v>
      </c>
      <c r="C42" s="31" t="s">
        <v>933</v>
      </c>
      <c r="D42" s="32">
        <v>5559971116</v>
      </c>
      <c r="E42" s="32" t="s">
        <v>52</v>
      </c>
      <c r="F42" s="32" t="s">
        <v>220</v>
      </c>
      <c r="G42" s="39" t="s">
        <v>536</v>
      </c>
      <c r="H42" s="39">
        <v>220</v>
      </c>
      <c r="I42" s="42">
        <v>168</v>
      </c>
      <c r="J42" s="43">
        <v>10</v>
      </c>
      <c r="K42" s="43">
        <v>10</v>
      </c>
      <c r="L42" s="43">
        <v>22</v>
      </c>
      <c r="M42" s="43">
        <v>200</v>
      </c>
      <c r="N42" s="43">
        <v>0</v>
      </c>
      <c r="O42" s="22"/>
      <c r="P42" s="43"/>
      <c r="Q42" s="32"/>
      <c r="R42" s="21">
        <f>+P42+Q42</f>
        <v>0</v>
      </c>
      <c r="S42" s="131">
        <v>220</v>
      </c>
      <c r="T42" s="130">
        <v>14</v>
      </c>
      <c r="U42" s="21" t="s">
        <v>96</v>
      </c>
      <c r="AC42" t="s">
        <v>658</v>
      </c>
      <c r="AD42" t="s">
        <v>106</v>
      </c>
      <c r="AE42">
        <v>693</v>
      </c>
    </row>
    <row r="43" spans="1:40" x14ac:dyDescent="0.25">
      <c r="S43" s="132">
        <v>200</v>
      </c>
      <c r="T43" s="83">
        <v>20</v>
      </c>
      <c r="AC43" t="s">
        <v>666</v>
      </c>
      <c r="AD43" t="s">
        <v>106</v>
      </c>
      <c r="AE43">
        <v>1101</v>
      </c>
    </row>
    <row r="45" spans="1:40" x14ac:dyDescent="0.25">
      <c r="B45" t="s">
        <v>690</v>
      </c>
      <c r="H45" t="s">
        <v>695</v>
      </c>
    </row>
    <row r="48" spans="1:40" x14ac:dyDescent="0.25">
      <c r="R48" s="83">
        <f>+Q54+R55</f>
        <v>150</v>
      </c>
      <c r="S48" s="83">
        <f>+R48+R49+R50</f>
        <v>180</v>
      </c>
      <c r="T48">
        <v>260</v>
      </c>
    </row>
    <row r="49" spans="1:40" x14ac:dyDescent="0.25">
      <c r="N49">
        <v>255</v>
      </c>
      <c r="R49">
        <v>20</v>
      </c>
      <c r="T49" s="83">
        <f>+T48-S48</f>
        <v>80</v>
      </c>
    </row>
    <row r="50" spans="1:40" x14ac:dyDescent="0.25">
      <c r="R50">
        <v>10</v>
      </c>
    </row>
    <row r="51" spans="1:40" x14ac:dyDescent="0.25">
      <c r="A51" s="1" t="s">
        <v>0</v>
      </c>
      <c r="B51" s="1"/>
      <c r="C51" s="1"/>
      <c r="D51" s="1"/>
      <c r="E51" s="1"/>
      <c r="F51" s="1"/>
      <c r="G51" s="1"/>
      <c r="H51" s="1"/>
      <c r="I51" s="1" t="s">
        <v>148</v>
      </c>
      <c r="J51" s="1"/>
      <c r="K51" s="1"/>
      <c r="L51" s="1"/>
      <c r="M51" s="1"/>
      <c r="N51" s="1"/>
      <c r="O51" s="1"/>
      <c r="P51" s="1"/>
      <c r="Q51" s="1"/>
      <c r="R51" s="1"/>
      <c r="S51" s="342" t="s">
        <v>1</v>
      </c>
      <c r="T51" s="342"/>
      <c r="U51" s="5"/>
      <c r="V51" s="139"/>
      <c r="W51" s="1"/>
      <c r="X51" s="1"/>
      <c r="Y51" s="1"/>
      <c r="Z51" s="5"/>
      <c r="AC51" s="335" t="s">
        <v>160</v>
      </c>
      <c r="AD51" s="336"/>
      <c r="AG51" s="335" t="s">
        <v>170</v>
      </c>
      <c r="AH51" s="336"/>
      <c r="AJ51" s="337" t="s">
        <v>172</v>
      </c>
      <c r="AK51" s="337"/>
      <c r="AM51" s="337" t="s">
        <v>681</v>
      </c>
      <c r="AN51" s="337"/>
    </row>
    <row r="52" spans="1:40" ht="90" x14ac:dyDescent="0.25">
      <c r="A52" s="6" t="s">
        <v>2</v>
      </c>
      <c r="B52" s="7" t="s">
        <v>3</v>
      </c>
      <c r="C52" s="7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8" t="s">
        <v>9</v>
      </c>
      <c r="I52" s="9" t="s">
        <v>10</v>
      </c>
      <c r="J52" s="8" t="s">
        <v>11</v>
      </c>
      <c r="K52" s="10" t="s">
        <v>12</v>
      </c>
      <c r="L52" s="10" t="s">
        <v>13</v>
      </c>
      <c r="M52" s="11" t="s">
        <v>14</v>
      </c>
      <c r="N52" s="10" t="s">
        <v>691</v>
      </c>
      <c r="O52" s="10" t="s">
        <v>28</v>
      </c>
      <c r="P52" s="5"/>
      <c r="Q52" s="10" t="s">
        <v>16</v>
      </c>
      <c r="R52" s="10" t="s">
        <v>17</v>
      </c>
      <c r="S52" s="10" t="s">
        <v>18</v>
      </c>
      <c r="T52" s="10" t="s">
        <v>19</v>
      </c>
      <c r="U52" s="10" t="s">
        <v>20</v>
      </c>
      <c r="V52" s="13"/>
      <c r="W52" s="136" t="s">
        <v>688</v>
      </c>
      <c r="X52" s="14" t="s">
        <v>698</v>
      </c>
      <c r="Y52" s="15" t="s">
        <v>23</v>
      </c>
      <c r="Z52" s="5"/>
      <c r="AB52">
        <v>3</v>
      </c>
      <c r="AC52" s="16" t="s">
        <v>161</v>
      </c>
      <c r="AD52" s="58">
        <f>+AB52*10</f>
        <v>30</v>
      </c>
      <c r="AF52">
        <v>0</v>
      </c>
      <c r="AG52" s="16" t="s">
        <v>161</v>
      </c>
      <c r="AH52" s="58">
        <f>+AF52*10</f>
        <v>0</v>
      </c>
      <c r="AJ52" s="61" t="s">
        <v>173</v>
      </c>
      <c r="AK52" s="62" t="s">
        <v>174</v>
      </c>
      <c r="AL52">
        <v>14</v>
      </c>
      <c r="AM52" s="16" t="s">
        <v>161</v>
      </c>
      <c r="AN52" s="58">
        <f>+AL52*10</f>
        <v>140</v>
      </c>
    </row>
    <row r="53" spans="1:40" x14ac:dyDescent="0.25">
      <c r="A53" s="16">
        <v>1</v>
      </c>
      <c r="B53" s="92">
        <v>45182</v>
      </c>
      <c r="C53" s="31" t="s">
        <v>3101</v>
      </c>
      <c r="D53" s="32">
        <v>5615417890</v>
      </c>
      <c r="E53" s="32" t="s">
        <v>689</v>
      </c>
      <c r="F53" s="39" t="s">
        <v>682</v>
      </c>
      <c r="G53" s="39" t="s">
        <v>683</v>
      </c>
      <c r="H53" s="122">
        <v>212</v>
      </c>
      <c r="I53" s="32">
        <v>78</v>
      </c>
      <c r="J53" s="20">
        <v>10</v>
      </c>
      <c r="K53" s="21">
        <f>U53-J53</f>
        <v>2</v>
      </c>
      <c r="L53" s="21">
        <f t="shared" ref="L53:L72" si="12">+I53+J53</f>
        <v>88</v>
      </c>
      <c r="M53" s="21">
        <f t="shared" ref="M53:M69" si="13">+H53-L53</f>
        <v>124</v>
      </c>
      <c r="N53" s="21"/>
      <c r="O53" s="21"/>
      <c r="P53" s="5"/>
      <c r="Q53" s="21">
        <v>200</v>
      </c>
      <c r="R53" s="16"/>
      <c r="S53" s="21">
        <f t="shared" ref="S53:S76" si="14">+Q53+R53</f>
        <v>200</v>
      </c>
      <c r="T53" s="21">
        <v>212</v>
      </c>
      <c r="U53" s="78">
        <f t="shared" ref="U53:U63" si="15">T53-S53-O53</f>
        <v>12</v>
      </c>
      <c r="V53" s="13"/>
      <c r="W53" s="137">
        <v>0.39652777777777781</v>
      </c>
      <c r="X53" s="343" t="s">
        <v>700</v>
      </c>
      <c r="Y53" s="333"/>
      <c r="Z53" s="5"/>
      <c r="AB53">
        <v>33.5</v>
      </c>
      <c r="AC53" s="59" t="s">
        <v>162</v>
      </c>
      <c r="AD53" s="18">
        <f>+AB53*1</f>
        <v>33.5</v>
      </c>
      <c r="AF53">
        <v>53</v>
      </c>
      <c r="AG53" s="59" t="s">
        <v>162</v>
      </c>
      <c r="AH53" s="18">
        <f>+AF53*1</f>
        <v>53</v>
      </c>
      <c r="AJ53" s="16">
        <v>140</v>
      </c>
      <c r="AK53" s="16"/>
      <c r="AM53" s="59" t="s">
        <v>162</v>
      </c>
      <c r="AN53" s="18">
        <f>+AL53*1</f>
        <v>0</v>
      </c>
    </row>
    <row r="54" spans="1:40" x14ac:dyDescent="0.25">
      <c r="A54" s="26">
        <v>2</v>
      </c>
      <c r="B54" s="92">
        <v>45182</v>
      </c>
      <c r="C54" s="31" t="s">
        <v>3380</v>
      </c>
      <c r="D54" s="32">
        <v>5573606118</v>
      </c>
      <c r="E54" s="32" t="s">
        <v>693</v>
      </c>
      <c r="F54" s="32" t="s">
        <v>285</v>
      </c>
      <c r="G54" s="39" t="s">
        <v>692</v>
      </c>
      <c r="H54" s="122">
        <v>200</v>
      </c>
      <c r="I54" s="32">
        <v>137</v>
      </c>
      <c r="J54" s="20">
        <v>20</v>
      </c>
      <c r="K54" s="21">
        <f>+U54-J54</f>
        <v>3</v>
      </c>
      <c r="L54" s="21">
        <f t="shared" si="12"/>
        <v>157</v>
      </c>
      <c r="M54" s="21">
        <f t="shared" si="13"/>
        <v>43</v>
      </c>
      <c r="N54" s="21"/>
      <c r="O54" s="21">
        <v>77</v>
      </c>
      <c r="P54" s="5"/>
      <c r="Q54" s="21">
        <v>150</v>
      </c>
      <c r="R54" s="16"/>
      <c r="S54" s="21">
        <f t="shared" si="14"/>
        <v>150</v>
      </c>
      <c r="T54" s="21">
        <v>250</v>
      </c>
      <c r="U54" s="78">
        <f t="shared" si="15"/>
        <v>23</v>
      </c>
      <c r="V54" s="140"/>
      <c r="W54" s="137">
        <v>0.47569444444444442</v>
      </c>
      <c r="X54" s="344"/>
      <c r="Y54" s="334"/>
      <c r="Z54" s="5"/>
      <c r="AB54">
        <v>3</v>
      </c>
      <c r="AC54" s="16" t="s">
        <v>163</v>
      </c>
      <c r="AD54" s="60">
        <f>+AB54*5</f>
        <v>15</v>
      </c>
      <c r="AF54">
        <v>13</v>
      </c>
      <c r="AG54" s="16" t="s">
        <v>163</v>
      </c>
      <c r="AH54" s="60">
        <f>+AF54*5</f>
        <v>65</v>
      </c>
      <c r="AJ54" s="16">
        <v>154</v>
      </c>
      <c r="AK54" s="16"/>
      <c r="AL54">
        <v>5</v>
      </c>
      <c r="AM54" s="16" t="s">
        <v>163</v>
      </c>
      <c r="AN54" s="60">
        <f>+AL54*5</f>
        <v>25</v>
      </c>
    </row>
    <row r="55" spans="1:40" x14ac:dyDescent="0.25">
      <c r="A55" s="143">
        <v>3</v>
      </c>
      <c r="B55" s="142">
        <v>45182</v>
      </c>
      <c r="C55" s="31" t="s">
        <v>3114</v>
      </c>
      <c r="D55" s="32"/>
      <c r="E55" s="32" t="s">
        <v>106</v>
      </c>
      <c r="F55" s="32" t="s">
        <v>269</v>
      </c>
      <c r="G55" s="39" t="s">
        <v>694</v>
      </c>
      <c r="H55" s="122">
        <v>58</v>
      </c>
      <c r="I55" s="32">
        <v>25</v>
      </c>
      <c r="J55" s="20">
        <v>10</v>
      </c>
      <c r="K55" s="21">
        <f>U55-J55</f>
        <v>0</v>
      </c>
      <c r="L55" s="21">
        <f t="shared" si="12"/>
        <v>35</v>
      </c>
      <c r="M55" s="21">
        <f t="shared" si="13"/>
        <v>23</v>
      </c>
      <c r="N55" s="21"/>
      <c r="O55" s="21"/>
      <c r="P55" s="5"/>
      <c r="Q55" s="21"/>
      <c r="R55" s="16"/>
      <c r="S55" s="21">
        <f t="shared" si="14"/>
        <v>0</v>
      </c>
      <c r="T55" s="21">
        <v>10</v>
      </c>
      <c r="U55" s="78">
        <f t="shared" si="15"/>
        <v>10</v>
      </c>
      <c r="V55" s="140"/>
      <c r="W55" s="137">
        <v>0.47569444444444442</v>
      </c>
      <c r="X55" s="344"/>
      <c r="Y55" s="334"/>
      <c r="Z55" s="5"/>
      <c r="AC55" s="16" t="s">
        <v>164</v>
      </c>
      <c r="AD55" s="18">
        <f>+AB55*200</f>
        <v>0</v>
      </c>
      <c r="AF55">
        <v>1</v>
      </c>
      <c r="AG55" s="16" t="s">
        <v>164</v>
      </c>
      <c r="AH55" s="18">
        <f>+AF55*200</f>
        <v>200</v>
      </c>
      <c r="AJ55" s="16">
        <v>90</v>
      </c>
      <c r="AK55" s="16"/>
      <c r="AM55" s="16" t="s">
        <v>164</v>
      </c>
      <c r="AN55" s="18">
        <f>+AL55*200</f>
        <v>0</v>
      </c>
    </row>
    <row r="56" spans="1:40" x14ac:dyDescent="0.25">
      <c r="A56" s="143">
        <v>4</v>
      </c>
      <c r="B56" s="142">
        <v>45182</v>
      </c>
      <c r="C56" s="31" t="s">
        <v>3115</v>
      </c>
      <c r="D56" s="32">
        <v>554180418</v>
      </c>
      <c r="E56" s="32" t="s">
        <v>485</v>
      </c>
      <c r="F56" s="32" t="s">
        <v>696</v>
      </c>
      <c r="G56" s="39" t="s">
        <v>697</v>
      </c>
      <c r="H56" s="122">
        <v>200</v>
      </c>
      <c r="I56" s="32">
        <v>100</v>
      </c>
      <c r="J56" s="20">
        <v>10</v>
      </c>
      <c r="K56" s="21">
        <f>+U56-J56</f>
        <v>20</v>
      </c>
      <c r="L56" s="21">
        <f t="shared" si="12"/>
        <v>110</v>
      </c>
      <c r="M56" s="21">
        <f t="shared" si="13"/>
        <v>90</v>
      </c>
      <c r="N56" s="21"/>
      <c r="O56" s="21"/>
      <c r="P56" s="5"/>
      <c r="Q56" s="21">
        <v>200</v>
      </c>
      <c r="R56" s="16">
        <v>80</v>
      </c>
      <c r="S56" s="21">
        <f t="shared" si="14"/>
        <v>280</v>
      </c>
      <c r="T56" s="21">
        <v>310</v>
      </c>
      <c r="U56" s="78">
        <f t="shared" si="15"/>
        <v>30</v>
      </c>
      <c r="V56" s="140"/>
      <c r="W56" s="137">
        <v>0.51111111111111118</v>
      </c>
      <c r="X56" s="344"/>
      <c r="Y56" s="334"/>
      <c r="Z56" s="5"/>
      <c r="AB56">
        <v>1</v>
      </c>
      <c r="AC56" s="16" t="s">
        <v>165</v>
      </c>
      <c r="AD56" s="18">
        <f>+AB56*100</f>
        <v>100</v>
      </c>
      <c r="AF56">
        <v>5</v>
      </c>
      <c r="AG56" s="16" t="s">
        <v>165</v>
      </c>
      <c r="AH56" s="18">
        <f>+AF56*100</f>
        <v>500</v>
      </c>
      <c r="AJ56" s="16"/>
      <c r="AK56" s="16"/>
      <c r="AM56" s="16" t="s">
        <v>165</v>
      </c>
      <c r="AN56" s="18">
        <f>+AL56*100</f>
        <v>0</v>
      </c>
    </row>
    <row r="57" spans="1:40" x14ac:dyDescent="0.25">
      <c r="A57" s="143">
        <v>5</v>
      </c>
      <c r="B57" s="142">
        <v>45182</v>
      </c>
      <c r="C57" s="31" t="s">
        <v>368</v>
      </c>
      <c r="D57" s="32">
        <v>5818718638</v>
      </c>
      <c r="E57" s="32" t="s">
        <v>701</v>
      </c>
      <c r="F57" s="32" t="s">
        <v>702</v>
      </c>
      <c r="G57" s="32" t="s">
        <v>703</v>
      </c>
      <c r="H57" s="122"/>
      <c r="I57" s="32">
        <v>268</v>
      </c>
      <c r="J57" s="20">
        <v>20</v>
      </c>
      <c r="K57" s="21">
        <f>U57-J57</f>
        <v>12</v>
      </c>
      <c r="L57" s="21">
        <f t="shared" si="12"/>
        <v>288</v>
      </c>
      <c r="M57" s="21">
        <f t="shared" si="13"/>
        <v>-288</v>
      </c>
      <c r="N57" s="21"/>
      <c r="O57" s="21"/>
      <c r="P57" s="5"/>
      <c r="Q57" s="16">
        <v>300</v>
      </c>
      <c r="R57" s="16"/>
      <c r="S57" s="21">
        <f t="shared" si="14"/>
        <v>300</v>
      </c>
      <c r="T57" s="21">
        <v>332</v>
      </c>
      <c r="U57" s="78">
        <f t="shared" si="15"/>
        <v>32</v>
      </c>
      <c r="V57" s="140"/>
      <c r="W57" s="137"/>
      <c r="X57" s="344"/>
      <c r="Y57" s="334"/>
      <c r="Z57" s="5"/>
      <c r="AB57">
        <v>2</v>
      </c>
      <c r="AC57" s="16" t="s">
        <v>166</v>
      </c>
      <c r="AD57" s="18">
        <f>+AB57*50</f>
        <v>100</v>
      </c>
      <c r="AF57">
        <v>1</v>
      </c>
      <c r="AG57" s="16" t="s">
        <v>166</v>
      </c>
      <c r="AH57" s="18">
        <f>+AF57*50</f>
        <v>50</v>
      </c>
      <c r="AJ57" s="16"/>
      <c r="AK57" s="16"/>
      <c r="AM57" s="16" t="s">
        <v>166</v>
      </c>
      <c r="AN57" s="18">
        <f>+AL57*50</f>
        <v>0</v>
      </c>
    </row>
    <row r="58" spans="1:40" x14ac:dyDescent="0.25">
      <c r="A58" s="143">
        <v>6</v>
      </c>
      <c r="B58" s="142">
        <v>45182</v>
      </c>
      <c r="C58" s="31" t="s">
        <v>48</v>
      </c>
      <c r="D58" s="32">
        <v>5530181574</v>
      </c>
      <c r="E58" s="32" t="s">
        <v>145</v>
      </c>
      <c r="F58" t="s">
        <v>50</v>
      </c>
      <c r="G58" s="32" t="s">
        <v>632</v>
      </c>
      <c r="H58" s="39">
        <v>140</v>
      </c>
      <c r="I58" s="42">
        <v>114</v>
      </c>
      <c r="J58" s="20">
        <v>10</v>
      </c>
      <c r="K58" s="21">
        <f>+U58-J58</f>
        <v>10</v>
      </c>
      <c r="L58" s="21">
        <f t="shared" si="12"/>
        <v>124</v>
      </c>
      <c r="M58" s="21">
        <f t="shared" si="13"/>
        <v>16</v>
      </c>
      <c r="N58" s="21"/>
      <c r="O58" s="21"/>
      <c r="P58" s="5"/>
      <c r="Q58" s="16">
        <v>120</v>
      </c>
      <c r="R58" s="16"/>
      <c r="S58" s="21">
        <f t="shared" si="14"/>
        <v>120</v>
      </c>
      <c r="T58" s="16">
        <v>140</v>
      </c>
      <c r="U58" s="78">
        <f t="shared" si="15"/>
        <v>20</v>
      </c>
      <c r="V58" s="140"/>
      <c r="W58" s="137">
        <v>0.53402777777777777</v>
      </c>
      <c r="X58" s="344"/>
      <c r="Y58" s="334"/>
      <c r="Z58" s="5"/>
      <c r="AB58">
        <v>4</v>
      </c>
      <c r="AC58" s="16" t="s">
        <v>167</v>
      </c>
      <c r="AD58" s="18">
        <f>+AB58*20</f>
        <v>80</v>
      </c>
      <c r="AF58">
        <v>5</v>
      </c>
      <c r="AG58" s="16" t="s">
        <v>167</v>
      </c>
      <c r="AH58" s="18">
        <f>+AF58*20</f>
        <v>100</v>
      </c>
      <c r="AJ58" s="16"/>
      <c r="AK58" s="16"/>
      <c r="AL58">
        <v>6</v>
      </c>
      <c r="AM58" s="16" t="s">
        <v>167</v>
      </c>
      <c r="AN58" s="18">
        <f>+AL58*20</f>
        <v>120</v>
      </c>
    </row>
    <row r="59" spans="1:40" x14ac:dyDescent="0.25">
      <c r="A59" s="143">
        <v>7</v>
      </c>
      <c r="B59" s="142">
        <v>45182</v>
      </c>
      <c r="C59" s="31" t="s">
        <v>24</v>
      </c>
      <c r="D59" s="32">
        <v>5562236073</v>
      </c>
      <c r="E59" s="32" t="s">
        <v>704</v>
      </c>
      <c r="F59" s="16" t="s">
        <v>26</v>
      </c>
      <c r="G59" s="39" t="s">
        <v>707</v>
      </c>
      <c r="H59" s="122">
        <v>510</v>
      </c>
      <c r="I59" s="42">
        <v>500</v>
      </c>
      <c r="J59" s="20">
        <v>10</v>
      </c>
      <c r="K59" s="21">
        <f>U59-J59</f>
        <v>0</v>
      </c>
      <c r="L59" s="21">
        <f t="shared" si="12"/>
        <v>510</v>
      </c>
      <c r="M59" s="21">
        <f t="shared" si="13"/>
        <v>0</v>
      </c>
      <c r="N59" s="21"/>
      <c r="O59" s="21"/>
      <c r="P59" s="5"/>
      <c r="Q59" s="16"/>
      <c r="R59" s="16"/>
      <c r="S59" s="21">
        <f t="shared" si="14"/>
        <v>0</v>
      </c>
      <c r="T59" s="16">
        <v>10</v>
      </c>
      <c r="U59" s="78">
        <f t="shared" si="15"/>
        <v>10</v>
      </c>
      <c r="V59" s="140"/>
      <c r="W59" s="137">
        <v>0.55625000000000002</v>
      </c>
      <c r="X59" s="344"/>
      <c r="Y59" s="334"/>
      <c r="Z59" s="5"/>
      <c r="AC59" s="16" t="s">
        <v>171</v>
      </c>
      <c r="AD59" s="18">
        <f>+AB59*500</f>
        <v>0</v>
      </c>
      <c r="AG59" s="16" t="s">
        <v>171</v>
      </c>
      <c r="AH59" s="18">
        <f>+AF59*500</f>
        <v>0</v>
      </c>
      <c r="AJ59" s="16"/>
      <c r="AK59" s="16"/>
      <c r="AM59" s="16" t="s">
        <v>171</v>
      </c>
      <c r="AN59" s="18">
        <f>+AL59*500</f>
        <v>0</v>
      </c>
    </row>
    <row r="60" spans="1:40" x14ac:dyDescent="0.25">
      <c r="A60" s="143">
        <v>8</v>
      </c>
      <c r="B60" s="142">
        <v>45182</v>
      </c>
      <c r="C60" s="31" t="s">
        <v>3376</v>
      </c>
      <c r="D60" s="123">
        <v>5526260701</v>
      </c>
      <c r="E60" s="123" t="s">
        <v>705</v>
      </c>
      <c r="F60" s="32" t="s">
        <v>653</v>
      </c>
      <c r="G60" s="39" t="s">
        <v>706</v>
      </c>
      <c r="H60" s="122">
        <v>330</v>
      </c>
      <c r="I60" s="32">
        <v>300</v>
      </c>
      <c r="J60" s="20">
        <v>10</v>
      </c>
      <c r="K60" s="21">
        <f>+U60-J60</f>
        <v>20</v>
      </c>
      <c r="L60" s="21">
        <f t="shared" si="12"/>
        <v>310</v>
      </c>
      <c r="M60" s="21">
        <f t="shared" si="13"/>
        <v>20</v>
      </c>
      <c r="N60" s="21"/>
      <c r="O60" s="21"/>
      <c r="P60" s="5"/>
      <c r="Q60" s="16">
        <v>300</v>
      </c>
      <c r="R60" s="16"/>
      <c r="S60" s="21">
        <f t="shared" si="14"/>
        <v>300</v>
      </c>
      <c r="T60" s="16">
        <v>330</v>
      </c>
      <c r="U60" s="78">
        <f t="shared" si="15"/>
        <v>30</v>
      </c>
      <c r="V60" s="140"/>
      <c r="W60" s="137">
        <v>0.5625</v>
      </c>
      <c r="X60" s="344"/>
      <c r="Y60" s="334"/>
      <c r="Z60" s="5"/>
      <c r="AC60" s="16" t="s">
        <v>168</v>
      </c>
      <c r="AD60" s="18">
        <f>+AB60*1000</f>
        <v>0</v>
      </c>
      <c r="AG60" s="16"/>
      <c r="AH60" s="18">
        <f>+AF60*1000</f>
        <v>0</v>
      </c>
      <c r="AJ60" s="16"/>
      <c r="AK60" s="16"/>
      <c r="AM60" s="16"/>
      <c r="AN60" s="18">
        <f>+AL60*1000</f>
        <v>0</v>
      </c>
    </row>
    <row r="61" spans="1:40" x14ac:dyDescent="0.25">
      <c r="A61" s="143">
        <v>9</v>
      </c>
      <c r="B61" s="142">
        <v>45182</v>
      </c>
      <c r="C61" s="31" t="s">
        <v>3113</v>
      </c>
      <c r="D61" s="32">
        <v>5548418857</v>
      </c>
      <c r="E61" s="32" t="s">
        <v>106</v>
      </c>
      <c r="F61" s="32" t="s">
        <v>709</v>
      </c>
      <c r="G61" s="39" t="s">
        <v>708</v>
      </c>
      <c r="H61" s="39">
        <v>500</v>
      </c>
      <c r="I61" s="40">
        <v>95</v>
      </c>
      <c r="J61" s="20">
        <v>10</v>
      </c>
      <c r="K61" s="21">
        <f>U61-J61</f>
        <v>20</v>
      </c>
      <c r="L61" s="21">
        <f t="shared" si="12"/>
        <v>105</v>
      </c>
      <c r="M61" s="21">
        <f t="shared" si="13"/>
        <v>395</v>
      </c>
      <c r="N61" s="21"/>
      <c r="O61" s="21">
        <v>500</v>
      </c>
      <c r="P61" s="5"/>
      <c r="Q61" s="16"/>
      <c r="R61" s="16"/>
      <c r="S61" s="21">
        <f t="shared" si="14"/>
        <v>0</v>
      </c>
      <c r="T61" s="16">
        <v>530</v>
      </c>
      <c r="U61" s="78">
        <f t="shared" si="15"/>
        <v>30</v>
      </c>
      <c r="V61" s="140"/>
      <c r="W61" s="137">
        <v>0.58333333333333337</v>
      </c>
      <c r="X61" s="344"/>
      <c r="Y61" s="334"/>
      <c r="Z61" s="5"/>
      <c r="AC61" s="26"/>
      <c r="AD61" s="58"/>
      <c r="AG61" s="26"/>
      <c r="AH61" s="58"/>
      <c r="AJ61" s="16"/>
      <c r="AK61" s="16"/>
      <c r="AM61" s="26"/>
      <c r="AN61" s="58"/>
    </row>
    <row r="62" spans="1:40" x14ac:dyDescent="0.25">
      <c r="A62" s="143">
        <v>10</v>
      </c>
      <c r="B62" s="142">
        <v>45182</v>
      </c>
      <c r="C62" s="31" t="s">
        <v>260</v>
      </c>
      <c r="D62" s="32">
        <v>5586180942</v>
      </c>
      <c r="E62" s="32" t="s">
        <v>710</v>
      </c>
      <c r="F62" s="32" t="s">
        <v>711</v>
      </c>
      <c r="G62" s="39" t="s">
        <v>712</v>
      </c>
      <c r="H62" s="122">
        <v>118</v>
      </c>
      <c r="I62" s="42">
        <v>82</v>
      </c>
      <c r="J62" s="20">
        <v>10</v>
      </c>
      <c r="K62" s="21">
        <f>+U62-J62</f>
        <v>8</v>
      </c>
      <c r="L62" s="21">
        <f t="shared" si="12"/>
        <v>92</v>
      </c>
      <c r="M62" s="21">
        <f t="shared" si="13"/>
        <v>26</v>
      </c>
      <c r="N62" s="21"/>
      <c r="O62" s="21"/>
      <c r="P62" s="5"/>
      <c r="Q62" s="16">
        <v>100</v>
      </c>
      <c r="R62" s="16"/>
      <c r="S62" s="21">
        <f t="shared" si="14"/>
        <v>100</v>
      </c>
      <c r="T62" s="16">
        <v>118</v>
      </c>
      <c r="U62" s="78">
        <f t="shared" si="15"/>
        <v>18</v>
      </c>
      <c r="V62" s="140"/>
      <c r="W62" s="137">
        <v>0.65069444444444446</v>
      </c>
      <c r="X62" s="344"/>
      <c r="Y62" s="334"/>
      <c r="Z62" s="5"/>
      <c r="AC62" s="16" t="s">
        <v>169</v>
      </c>
      <c r="AD62" s="18">
        <f>SUM(AD52:AD61)</f>
        <v>358.5</v>
      </c>
      <c r="AG62" s="16" t="s">
        <v>169</v>
      </c>
      <c r="AH62" s="18">
        <f>SUM(AH52:AH61)</f>
        <v>968</v>
      </c>
      <c r="AJ62" s="16"/>
      <c r="AK62" s="16"/>
      <c r="AM62" s="16"/>
    </row>
    <row r="63" spans="1:40" x14ac:dyDescent="0.25">
      <c r="A63" s="146">
        <v>11</v>
      </c>
      <c r="B63" s="142">
        <v>45182</v>
      </c>
      <c r="C63" s="31" t="s">
        <v>2489</v>
      </c>
      <c r="D63" s="124">
        <v>553181275</v>
      </c>
      <c r="E63" s="123" t="s">
        <v>713</v>
      </c>
      <c r="F63" s="123" t="s">
        <v>498</v>
      </c>
      <c r="G63" s="39" t="s">
        <v>714</v>
      </c>
      <c r="H63" s="122">
        <v>500</v>
      </c>
      <c r="I63" s="42">
        <v>100</v>
      </c>
      <c r="J63" s="20">
        <v>10</v>
      </c>
      <c r="K63" s="21">
        <f>U63-J63</f>
        <v>10</v>
      </c>
      <c r="L63" s="21">
        <f t="shared" si="12"/>
        <v>110</v>
      </c>
      <c r="M63" s="21">
        <f t="shared" si="13"/>
        <v>390</v>
      </c>
      <c r="N63" s="21"/>
      <c r="O63" s="21"/>
      <c r="P63" s="5"/>
      <c r="Q63" s="16">
        <v>500</v>
      </c>
      <c r="R63" s="16"/>
      <c r="S63" s="21">
        <f t="shared" si="14"/>
        <v>500</v>
      </c>
      <c r="T63" s="16">
        <v>520</v>
      </c>
      <c r="U63" s="78">
        <f t="shared" si="15"/>
        <v>20</v>
      </c>
      <c r="V63" s="140"/>
      <c r="W63" s="137"/>
      <c r="X63" s="344"/>
      <c r="Y63" s="334"/>
      <c r="Z63" s="5"/>
      <c r="AJ63" s="16"/>
      <c r="AK63" s="16"/>
      <c r="AM63" s="16"/>
    </row>
    <row r="64" spans="1:40" x14ac:dyDescent="0.25">
      <c r="A64" s="143">
        <v>12</v>
      </c>
      <c r="B64" s="142">
        <v>45182</v>
      </c>
      <c r="C64" s="32" t="s">
        <v>3112</v>
      </c>
      <c r="D64" s="32">
        <v>5527259975</v>
      </c>
      <c r="E64" s="124" t="s">
        <v>718</v>
      </c>
      <c r="F64" s="123" t="s">
        <v>716</v>
      </c>
      <c r="G64" s="39" t="s">
        <v>632</v>
      </c>
      <c r="H64" s="39">
        <v>134</v>
      </c>
      <c r="I64" s="42">
        <v>114</v>
      </c>
      <c r="J64" s="20">
        <v>10</v>
      </c>
      <c r="K64" s="21">
        <v>10</v>
      </c>
      <c r="L64" s="21">
        <f t="shared" si="12"/>
        <v>124</v>
      </c>
      <c r="M64" s="21">
        <v>0</v>
      </c>
      <c r="N64" s="21"/>
      <c r="O64" s="21"/>
      <c r="P64" s="5"/>
      <c r="Q64" s="45"/>
      <c r="R64" s="44"/>
      <c r="S64" s="21">
        <f t="shared" si="14"/>
        <v>0</v>
      </c>
      <c r="T64" s="45">
        <v>134</v>
      </c>
      <c r="U64" s="78">
        <v>20</v>
      </c>
      <c r="V64" s="140"/>
      <c r="W64" s="137" t="s">
        <v>717</v>
      </c>
      <c r="X64" s="144"/>
      <c r="Y64" s="334"/>
      <c r="Z64" s="5"/>
      <c r="AJ64" s="63" t="s">
        <v>169</v>
      </c>
      <c r="AK64" s="63">
        <f>+SUM(AJ53:AJ63)-SUM(AK53:AK63)</f>
        <v>384</v>
      </c>
      <c r="AM64" s="63" t="s">
        <v>169</v>
      </c>
      <c r="AN64" s="18">
        <f>SUM(AN52:AN61)</f>
        <v>285</v>
      </c>
    </row>
    <row r="65" spans="1:38" x14ac:dyDescent="0.25">
      <c r="A65" s="143">
        <v>13</v>
      </c>
      <c r="B65" s="92">
        <v>45181</v>
      </c>
      <c r="C65" s="31" t="s">
        <v>3379</v>
      </c>
      <c r="D65" s="32">
        <v>5541831909</v>
      </c>
      <c r="E65" s="32" t="s">
        <v>619</v>
      </c>
      <c r="F65" s="32" t="s">
        <v>662</v>
      </c>
      <c r="G65" s="39" t="s">
        <v>730</v>
      </c>
      <c r="H65" s="39">
        <v>200</v>
      </c>
      <c r="I65" s="40">
        <v>171</v>
      </c>
      <c r="J65" s="20">
        <v>10</v>
      </c>
      <c r="K65" s="21">
        <v>9</v>
      </c>
      <c r="L65" s="21">
        <v>191</v>
      </c>
      <c r="M65" s="21"/>
      <c r="N65" s="21"/>
      <c r="O65" s="21"/>
      <c r="P65" s="16"/>
      <c r="Q65" s="16"/>
      <c r="R65" s="21">
        <f>+P65+Q65</f>
        <v>0</v>
      </c>
      <c r="S65" s="16"/>
      <c r="T65" s="21">
        <v>191</v>
      </c>
      <c r="U65" s="21">
        <v>19</v>
      </c>
      <c r="V65" s="140"/>
      <c r="W65" s="137">
        <v>0.69513888888888886</v>
      </c>
      <c r="X65" s="144" t="s">
        <v>699</v>
      </c>
      <c r="Y65" s="334"/>
      <c r="Z65" s="5"/>
      <c r="AH65" s="83">
        <v>40</v>
      </c>
    </row>
    <row r="66" spans="1:38" x14ac:dyDescent="0.25">
      <c r="A66" s="143">
        <v>14</v>
      </c>
      <c r="B66" s="142">
        <v>45182</v>
      </c>
      <c r="C66" s="31" t="s">
        <v>721</v>
      </c>
      <c r="D66" s="32">
        <v>5625771181</v>
      </c>
      <c r="E66" s="32" t="s">
        <v>701</v>
      </c>
      <c r="F66" s="32" t="s">
        <v>720</v>
      </c>
      <c r="G66" s="39" t="s">
        <v>719</v>
      </c>
      <c r="H66" s="39">
        <v>76</v>
      </c>
      <c r="I66" s="42">
        <v>56</v>
      </c>
      <c r="J66" s="108">
        <v>20</v>
      </c>
      <c r="K66" s="21">
        <v>10</v>
      </c>
      <c r="L66" s="21">
        <v>76</v>
      </c>
      <c r="M66" s="21">
        <v>0</v>
      </c>
      <c r="N66" s="21"/>
      <c r="O66" s="21"/>
      <c r="P66" s="5"/>
      <c r="Q66" s="43"/>
      <c r="R66" s="43"/>
      <c r="S66" s="21">
        <f t="shared" si="14"/>
        <v>0</v>
      </c>
      <c r="T66" s="43">
        <v>76</v>
      </c>
      <c r="U66" s="78">
        <v>20</v>
      </c>
      <c r="V66" s="140"/>
      <c r="W66" s="137">
        <v>0.7104166666666667</v>
      </c>
      <c r="X66" s="144"/>
      <c r="Y66" s="334"/>
      <c r="Z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x14ac:dyDescent="0.25">
      <c r="A67" s="143">
        <v>15</v>
      </c>
      <c r="B67" s="142">
        <v>45182</v>
      </c>
      <c r="C67" s="127" t="s">
        <v>2464</v>
      </c>
      <c r="D67" s="32">
        <v>5610020620</v>
      </c>
      <c r="E67" s="32" t="s">
        <v>52</v>
      </c>
      <c r="F67" s="128" t="s">
        <v>729</v>
      </c>
      <c r="G67" s="129" t="s">
        <v>722</v>
      </c>
      <c r="H67" s="39">
        <v>500</v>
      </c>
      <c r="I67" s="42">
        <v>209</v>
      </c>
      <c r="J67" s="108">
        <v>10</v>
      </c>
      <c r="K67" s="21">
        <f>U67-J67</f>
        <v>0</v>
      </c>
      <c r="L67" s="21">
        <f t="shared" si="12"/>
        <v>219</v>
      </c>
      <c r="M67" s="21">
        <f t="shared" si="13"/>
        <v>281</v>
      </c>
      <c r="N67" s="21"/>
      <c r="O67" s="21">
        <v>209</v>
      </c>
      <c r="P67" s="5"/>
      <c r="Q67" s="43"/>
      <c r="R67" s="43"/>
      <c r="S67" s="21">
        <f t="shared" si="14"/>
        <v>0</v>
      </c>
      <c r="T67" s="43">
        <v>219</v>
      </c>
      <c r="U67" s="78">
        <v>10</v>
      </c>
      <c r="V67" s="140"/>
      <c r="W67" s="137" t="s">
        <v>731</v>
      </c>
      <c r="X67" s="144"/>
      <c r="Y67" s="334"/>
      <c r="Z67" s="5"/>
      <c r="AC67" s="5"/>
      <c r="AD67" s="134" t="s">
        <v>20</v>
      </c>
      <c r="AE67" s="338">
        <v>175</v>
      </c>
      <c r="AF67" s="341" t="s">
        <v>686</v>
      </c>
      <c r="AG67" s="134" t="s">
        <v>20</v>
      </c>
      <c r="AH67" s="338">
        <v>195</v>
      </c>
      <c r="AI67" s="341" t="s">
        <v>687</v>
      </c>
      <c r="AJ67" s="134" t="s">
        <v>20</v>
      </c>
      <c r="AK67" s="338">
        <v>285</v>
      </c>
      <c r="AL67" s="5"/>
    </row>
    <row r="68" spans="1:38" x14ac:dyDescent="0.25">
      <c r="A68" s="143">
        <v>16</v>
      </c>
      <c r="B68" s="142">
        <v>45182</v>
      </c>
      <c r="C68" s="127" t="s">
        <v>245</v>
      </c>
      <c r="D68" s="32">
        <v>5530508709</v>
      </c>
      <c r="E68" s="32" t="s">
        <v>52</v>
      </c>
      <c r="F68" s="32" t="s">
        <v>724</v>
      </c>
      <c r="G68" s="39" t="s">
        <v>723</v>
      </c>
      <c r="H68" s="39">
        <v>154</v>
      </c>
      <c r="I68" s="42">
        <v>144</v>
      </c>
      <c r="J68" s="43">
        <v>10</v>
      </c>
      <c r="K68" s="21">
        <f>+U68-J68</f>
        <v>0</v>
      </c>
      <c r="L68" s="21">
        <f t="shared" si="12"/>
        <v>154</v>
      </c>
      <c r="M68" s="21">
        <f t="shared" si="13"/>
        <v>0</v>
      </c>
      <c r="N68" s="21">
        <v>154</v>
      </c>
      <c r="O68" s="21">
        <v>144</v>
      </c>
      <c r="P68" s="5"/>
      <c r="Q68" s="43"/>
      <c r="R68" s="32"/>
      <c r="S68" s="21">
        <f t="shared" si="14"/>
        <v>0</v>
      </c>
      <c r="T68" s="131">
        <v>154</v>
      </c>
      <c r="U68" s="78">
        <v>10</v>
      </c>
      <c r="V68" s="140"/>
      <c r="W68" s="137" t="s">
        <v>732</v>
      </c>
      <c r="X68" s="144"/>
      <c r="Y68" s="334"/>
      <c r="Z68" s="5"/>
      <c r="AC68" s="5" t="s">
        <v>685</v>
      </c>
      <c r="AD68" s="115" t="s">
        <v>684</v>
      </c>
      <c r="AE68" s="339"/>
      <c r="AF68" s="341"/>
      <c r="AG68" s="115" t="s">
        <v>684</v>
      </c>
      <c r="AH68" s="339"/>
      <c r="AI68" s="341"/>
      <c r="AJ68" s="115" t="s">
        <v>684</v>
      </c>
      <c r="AK68" s="339"/>
      <c r="AL68" s="5"/>
    </row>
    <row r="69" spans="1:38" x14ac:dyDescent="0.25">
      <c r="A69" s="143">
        <v>17</v>
      </c>
      <c r="B69" s="142">
        <v>45182</v>
      </c>
      <c r="C69" s="31" t="s">
        <v>2637</v>
      </c>
      <c r="D69" s="32">
        <v>5629985003</v>
      </c>
      <c r="E69" s="32" t="s">
        <v>728</v>
      </c>
      <c r="F69" s="32" t="s">
        <v>195</v>
      </c>
      <c r="G69" s="39" t="s">
        <v>727</v>
      </c>
      <c r="H69" s="39">
        <v>170</v>
      </c>
      <c r="I69" s="42">
        <v>160</v>
      </c>
      <c r="J69" s="43">
        <v>10</v>
      </c>
      <c r="K69" s="21">
        <f>U69-J69</f>
        <v>0</v>
      </c>
      <c r="L69" s="21">
        <f t="shared" si="12"/>
        <v>170</v>
      </c>
      <c r="M69" s="21">
        <f t="shared" si="13"/>
        <v>0</v>
      </c>
      <c r="N69" s="21"/>
      <c r="O69" s="21">
        <v>130</v>
      </c>
      <c r="P69" s="5"/>
      <c r="Q69" s="43"/>
      <c r="R69" s="32"/>
      <c r="S69" s="21">
        <f t="shared" si="14"/>
        <v>0</v>
      </c>
      <c r="T69" s="132">
        <v>170</v>
      </c>
      <c r="U69" s="78">
        <v>10</v>
      </c>
      <c r="V69" s="140"/>
      <c r="W69" s="147" t="s">
        <v>733</v>
      </c>
      <c r="X69" s="144"/>
      <c r="Y69" s="334"/>
      <c r="Z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x14ac:dyDescent="0.25">
      <c r="A70" s="143">
        <v>18</v>
      </c>
      <c r="B70" s="142">
        <v>45182</v>
      </c>
      <c r="C70" s="31" t="s">
        <v>3111</v>
      </c>
      <c r="D70" s="32">
        <v>5527614858</v>
      </c>
      <c r="E70" s="32" t="s">
        <v>52</v>
      </c>
      <c r="F70" s="32" t="s">
        <v>735</v>
      </c>
      <c r="G70" s="39" t="s">
        <v>734</v>
      </c>
      <c r="H70" s="39">
        <v>90</v>
      </c>
      <c r="I70" s="42">
        <v>75</v>
      </c>
      <c r="J70" s="43">
        <v>10</v>
      </c>
      <c r="K70" s="21">
        <v>5</v>
      </c>
      <c r="L70" s="21">
        <f t="shared" si="12"/>
        <v>85</v>
      </c>
      <c r="M70" s="21">
        <v>0</v>
      </c>
      <c r="N70" s="21">
        <v>90</v>
      </c>
      <c r="O70" s="21">
        <v>75</v>
      </c>
      <c r="P70" s="5"/>
      <c r="Q70" s="135"/>
      <c r="R70" s="104"/>
      <c r="S70" s="21">
        <f t="shared" si="14"/>
        <v>0</v>
      </c>
      <c r="T70" s="131">
        <v>90</v>
      </c>
      <c r="U70" s="78">
        <v>15</v>
      </c>
      <c r="V70" s="140"/>
      <c r="W70" s="138" t="s">
        <v>736</v>
      </c>
      <c r="X70" s="144"/>
      <c r="Y70" s="334"/>
      <c r="Z70" s="5"/>
    </row>
    <row r="71" spans="1:38" x14ac:dyDescent="0.25">
      <c r="A71" s="143">
        <v>19</v>
      </c>
      <c r="B71" s="142">
        <v>45182</v>
      </c>
      <c r="C71" s="31" t="s">
        <v>933</v>
      </c>
      <c r="D71" s="32">
        <v>5559971116</v>
      </c>
      <c r="E71" s="32" t="s">
        <v>52</v>
      </c>
      <c r="F71" s="32" t="s">
        <v>220</v>
      </c>
      <c r="G71" s="39" t="s">
        <v>737</v>
      </c>
      <c r="H71" s="39">
        <v>169</v>
      </c>
      <c r="I71" s="42">
        <v>159</v>
      </c>
      <c r="J71" s="43">
        <v>10</v>
      </c>
      <c r="K71" s="21"/>
      <c r="L71" s="21">
        <f t="shared" si="12"/>
        <v>169</v>
      </c>
      <c r="M71" s="21"/>
      <c r="N71" s="21"/>
      <c r="O71" s="21">
        <v>159</v>
      </c>
      <c r="P71" s="5"/>
      <c r="Q71" s="135"/>
      <c r="R71" s="104"/>
      <c r="S71" s="21"/>
      <c r="T71" s="131">
        <v>159</v>
      </c>
      <c r="U71" s="78">
        <v>10</v>
      </c>
      <c r="V71" s="140"/>
      <c r="W71" s="148">
        <v>0.87569444444444444</v>
      </c>
      <c r="X71" s="144"/>
      <c r="Y71" s="334"/>
      <c r="Z71" s="5"/>
    </row>
    <row r="72" spans="1:38" x14ac:dyDescent="0.25">
      <c r="A72" s="143">
        <v>20</v>
      </c>
      <c r="B72" s="142">
        <v>45182</v>
      </c>
      <c r="C72" s="31" t="s">
        <v>82</v>
      </c>
      <c r="D72" s="32">
        <v>5624838493</v>
      </c>
      <c r="E72" s="32" t="s">
        <v>52</v>
      </c>
      <c r="F72" s="32" t="s">
        <v>445</v>
      </c>
      <c r="G72" s="39" t="s">
        <v>738</v>
      </c>
      <c r="H72" s="39">
        <v>150</v>
      </c>
      <c r="I72" s="42">
        <v>130</v>
      </c>
      <c r="J72" s="43">
        <v>10</v>
      </c>
      <c r="K72" s="21"/>
      <c r="L72" s="21">
        <f t="shared" si="12"/>
        <v>140</v>
      </c>
      <c r="M72" s="21"/>
      <c r="N72" s="21"/>
      <c r="O72" s="21">
        <v>130</v>
      </c>
      <c r="P72" s="5"/>
      <c r="Q72" s="135"/>
      <c r="R72" s="104"/>
      <c r="S72" s="21"/>
      <c r="T72" s="131">
        <v>140</v>
      </c>
      <c r="U72" s="78">
        <v>10</v>
      </c>
      <c r="V72" s="140"/>
      <c r="W72" s="148">
        <v>0.91666666666666663</v>
      </c>
      <c r="X72" s="144"/>
      <c r="Y72" s="5"/>
      <c r="Z72" s="5"/>
    </row>
    <row r="73" spans="1:38" x14ac:dyDescent="0.25">
      <c r="A73" s="143">
        <v>21</v>
      </c>
      <c r="B73" s="142">
        <v>45182</v>
      </c>
      <c r="C73" s="31"/>
      <c r="D73" s="32"/>
      <c r="E73" s="32"/>
      <c r="F73" s="32"/>
      <c r="G73" s="39"/>
      <c r="H73" s="39"/>
      <c r="I73" s="42"/>
      <c r="J73" s="43">
        <v>10</v>
      </c>
      <c r="K73" s="21"/>
      <c r="L73" s="21"/>
      <c r="M73" s="21"/>
      <c r="N73" s="21"/>
      <c r="O73" s="21"/>
      <c r="P73" s="5"/>
      <c r="Q73" s="135"/>
      <c r="R73" s="104"/>
      <c r="S73" s="21"/>
      <c r="T73" s="131"/>
      <c r="U73" s="78"/>
      <c r="V73" s="140"/>
      <c r="W73" s="138"/>
      <c r="X73" s="144"/>
    </row>
    <row r="74" spans="1:38" x14ac:dyDescent="0.25">
      <c r="A74" s="143">
        <v>22</v>
      </c>
      <c r="B74" s="142">
        <v>45182</v>
      </c>
      <c r="C74" s="31"/>
      <c r="D74" s="32"/>
      <c r="E74" s="32"/>
      <c r="F74" s="32"/>
      <c r="G74" s="39"/>
      <c r="H74" s="39"/>
      <c r="I74" s="42"/>
      <c r="J74" s="43">
        <v>10</v>
      </c>
      <c r="K74" s="21"/>
      <c r="L74" s="21"/>
      <c r="M74" s="21"/>
      <c r="N74" s="21"/>
      <c r="O74" s="21"/>
      <c r="P74" s="5"/>
      <c r="Q74" s="135"/>
      <c r="R74" s="104"/>
      <c r="S74" s="21"/>
      <c r="T74" s="131"/>
      <c r="U74" s="78"/>
      <c r="V74" s="140"/>
      <c r="W74" s="138"/>
      <c r="X74" s="144"/>
    </row>
    <row r="75" spans="1:38" x14ac:dyDescent="0.25">
      <c r="A75" s="143">
        <v>23</v>
      </c>
      <c r="B75" s="142">
        <v>45182</v>
      </c>
      <c r="C75" s="31"/>
      <c r="D75" s="32"/>
      <c r="E75" s="32"/>
      <c r="F75" s="32"/>
      <c r="G75" s="39"/>
      <c r="H75" s="39"/>
      <c r="I75" s="42"/>
      <c r="J75" s="43">
        <v>10</v>
      </c>
      <c r="K75" s="21"/>
      <c r="L75" s="21"/>
      <c r="M75" s="21"/>
      <c r="N75" s="21"/>
      <c r="O75" s="21"/>
      <c r="P75" s="5"/>
      <c r="Q75" s="135"/>
      <c r="R75" s="104"/>
      <c r="S75" s="21"/>
      <c r="T75" s="131"/>
      <c r="U75" s="78"/>
      <c r="V75" s="140"/>
      <c r="W75" s="138"/>
      <c r="X75" s="144"/>
    </row>
    <row r="76" spans="1:38" x14ac:dyDescent="0.25">
      <c r="A76" s="143">
        <v>24</v>
      </c>
      <c r="B76" s="142">
        <v>45182</v>
      </c>
      <c r="C76" s="31"/>
      <c r="D76" s="32"/>
      <c r="E76" s="32"/>
      <c r="F76" s="32"/>
      <c r="G76" s="39"/>
      <c r="H76" s="39"/>
      <c r="I76" s="42"/>
      <c r="J76" s="43">
        <v>10</v>
      </c>
      <c r="K76" s="21">
        <f>U76-J76</f>
        <v>-10</v>
      </c>
      <c r="L76" s="21">
        <f>+I76+J76</f>
        <v>10</v>
      </c>
      <c r="M76" s="21">
        <f>+H76-L76</f>
        <v>-10</v>
      </c>
      <c r="N76" s="21"/>
      <c r="O76" s="21"/>
      <c r="P76" s="5"/>
      <c r="Q76" s="32"/>
      <c r="R76" s="32"/>
      <c r="S76" s="21">
        <f t="shared" si="14"/>
        <v>0</v>
      </c>
      <c r="T76" s="32"/>
      <c r="U76" s="78">
        <f>T76-S76-O76</f>
        <v>0</v>
      </c>
      <c r="V76" s="140"/>
      <c r="W76" s="138"/>
      <c r="X76" s="145"/>
    </row>
    <row r="77" spans="1:38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141"/>
      <c r="W77" s="5"/>
      <c r="X77" s="5"/>
    </row>
    <row r="80" spans="1:38" x14ac:dyDescent="0.25">
      <c r="I80" t="s">
        <v>726</v>
      </c>
    </row>
    <row r="81" spans="1:40" x14ac:dyDescent="0.25">
      <c r="I81" t="s">
        <v>725</v>
      </c>
    </row>
    <row r="86" spans="1:40" x14ac:dyDescent="0.25">
      <c r="A86" s="1" t="s">
        <v>0</v>
      </c>
      <c r="B86" s="1"/>
      <c r="C86" s="1"/>
      <c r="D86" s="1"/>
      <c r="E86" s="1"/>
      <c r="F86" s="1"/>
      <c r="G86" s="1"/>
      <c r="H86" s="1"/>
      <c r="I86" s="1" t="s">
        <v>148</v>
      </c>
      <c r="J86" s="1"/>
      <c r="K86" s="1"/>
      <c r="L86" s="1"/>
      <c r="M86" s="1"/>
      <c r="N86" s="1"/>
      <c r="O86" s="1"/>
      <c r="P86" s="1"/>
      <c r="Q86" s="1"/>
      <c r="R86" s="1"/>
      <c r="S86" s="342" t="s">
        <v>1</v>
      </c>
      <c r="T86" s="342"/>
      <c r="U86" s="5"/>
      <c r="V86" s="139"/>
      <c r="W86" s="1"/>
      <c r="X86" s="1"/>
      <c r="Y86" s="1"/>
      <c r="Z86" s="5"/>
      <c r="AC86" s="335" t="s">
        <v>160</v>
      </c>
      <c r="AD86" s="336"/>
      <c r="AG86" s="335" t="s">
        <v>170</v>
      </c>
      <c r="AH86" s="336"/>
      <c r="AJ86" s="337" t="s">
        <v>172</v>
      </c>
      <c r="AK86" s="337"/>
      <c r="AM86" s="337" t="s">
        <v>681</v>
      </c>
      <c r="AN86" s="337"/>
    </row>
    <row r="87" spans="1:40" ht="90" x14ac:dyDescent="0.25">
      <c r="A87" s="6" t="s">
        <v>2</v>
      </c>
      <c r="B87" s="7" t="s">
        <v>3</v>
      </c>
      <c r="C87" s="7" t="s">
        <v>4</v>
      </c>
      <c r="D87" s="6" t="s">
        <v>5</v>
      </c>
      <c r="E87" s="6" t="s">
        <v>6</v>
      </c>
      <c r="F87" s="6" t="s">
        <v>7</v>
      </c>
      <c r="G87" s="6" t="s">
        <v>8</v>
      </c>
      <c r="H87" s="8" t="s">
        <v>9</v>
      </c>
      <c r="I87" s="9" t="s">
        <v>10</v>
      </c>
      <c r="J87" s="8" t="s">
        <v>11</v>
      </c>
      <c r="K87" s="10" t="s">
        <v>12</v>
      </c>
      <c r="L87" s="10" t="s">
        <v>13</v>
      </c>
      <c r="M87" s="11" t="s">
        <v>14</v>
      </c>
      <c r="N87" s="10" t="s">
        <v>691</v>
      </c>
      <c r="O87" s="10" t="s">
        <v>28</v>
      </c>
      <c r="P87" s="5"/>
      <c r="Q87" s="10" t="s">
        <v>16</v>
      </c>
      <c r="R87" s="10" t="s">
        <v>17</v>
      </c>
      <c r="S87" s="10" t="s">
        <v>18</v>
      </c>
      <c r="T87" s="10" t="s">
        <v>19</v>
      </c>
      <c r="U87" s="10" t="s">
        <v>20</v>
      </c>
      <c r="V87" s="13"/>
      <c r="W87" s="136" t="s">
        <v>688</v>
      </c>
      <c r="X87" s="14" t="s">
        <v>698</v>
      </c>
      <c r="Y87" s="15" t="s">
        <v>23</v>
      </c>
      <c r="Z87" s="5"/>
      <c r="AB87">
        <v>8</v>
      </c>
      <c r="AC87" s="16" t="s">
        <v>161</v>
      </c>
      <c r="AD87" s="58">
        <f>+AB87*10</f>
        <v>80</v>
      </c>
      <c r="AF87">
        <v>6</v>
      </c>
      <c r="AG87" s="16" t="s">
        <v>161</v>
      </c>
      <c r="AH87" s="58">
        <f>+AF87*10</f>
        <v>60</v>
      </c>
      <c r="AJ87" s="61" t="s">
        <v>173</v>
      </c>
      <c r="AK87" s="62" t="s">
        <v>174</v>
      </c>
      <c r="AL87">
        <v>14</v>
      </c>
      <c r="AM87" s="16" t="s">
        <v>161</v>
      </c>
      <c r="AN87" s="58">
        <f>+AL87*10</f>
        <v>140</v>
      </c>
    </row>
    <row r="88" spans="1:40" x14ac:dyDescent="0.25">
      <c r="A88" s="16">
        <v>1</v>
      </c>
      <c r="B88" s="92">
        <v>45183</v>
      </c>
      <c r="C88" s="31" t="s">
        <v>2806</v>
      </c>
      <c r="D88" s="32"/>
      <c r="E88" s="32" t="s">
        <v>485</v>
      </c>
      <c r="F88" s="39" t="s">
        <v>301</v>
      </c>
      <c r="G88" s="39" t="s">
        <v>739</v>
      </c>
      <c r="H88" s="122">
        <v>232</v>
      </c>
      <c r="I88" s="32">
        <v>122</v>
      </c>
      <c r="J88" s="20">
        <v>10</v>
      </c>
      <c r="K88" s="21">
        <f>U88-J88-O88</f>
        <v>22</v>
      </c>
      <c r="L88" s="21">
        <f t="shared" ref="L88:L106" si="16">+I88+J88</f>
        <v>132</v>
      </c>
      <c r="M88" s="21">
        <f t="shared" ref="M88:M106" si="17">+H88-L88</f>
        <v>100</v>
      </c>
      <c r="N88" s="21"/>
      <c r="O88" s="21"/>
      <c r="P88" s="5"/>
      <c r="Q88" s="21">
        <v>200</v>
      </c>
      <c r="R88" s="16"/>
      <c r="S88" s="21">
        <f t="shared" ref="S88:S106" si="18">+Q88+R88</f>
        <v>200</v>
      </c>
      <c r="T88" s="21">
        <v>232</v>
      </c>
      <c r="U88" s="78">
        <f>T88-S88-O88</f>
        <v>32</v>
      </c>
      <c r="V88" s="13"/>
      <c r="W88" s="147"/>
      <c r="X88" s="343" t="s">
        <v>700</v>
      </c>
      <c r="Y88" s="333"/>
      <c r="Z88" s="5"/>
      <c r="AA88">
        <v>25</v>
      </c>
      <c r="AB88">
        <v>48.5</v>
      </c>
      <c r="AC88" s="59" t="s">
        <v>162</v>
      </c>
      <c r="AD88" s="18">
        <f>+AB88*1</f>
        <v>48.5</v>
      </c>
      <c r="AF88">
        <v>46</v>
      </c>
      <c r="AG88" s="59" t="s">
        <v>162</v>
      </c>
      <c r="AH88" s="18">
        <f>+AF88*1</f>
        <v>46</v>
      </c>
      <c r="AJ88" s="16">
        <v>84</v>
      </c>
      <c r="AK88" s="16"/>
      <c r="AL88">
        <v>3</v>
      </c>
      <c r="AM88" s="59" t="s">
        <v>162</v>
      </c>
      <c r="AN88" s="18">
        <f>+AL88*1</f>
        <v>3</v>
      </c>
    </row>
    <row r="89" spans="1:40" x14ac:dyDescent="0.25">
      <c r="A89" s="26">
        <v>2</v>
      </c>
      <c r="B89" s="92">
        <v>45183</v>
      </c>
      <c r="C89" s="31" t="s">
        <v>3095</v>
      </c>
      <c r="D89" s="32">
        <v>9531286830</v>
      </c>
      <c r="E89" s="32" t="s">
        <v>742</v>
      </c>
      <c r="F89" s="32" t="s">
        <v>740</v>
      </c>
      <c r="G89" s="39" t="s">
        <v>743</v>
      </c>
      <c r="H89" s="122">
        <v>500</v>
      </c>
      <c r="I89" s="32">
        <v>140</v>
      </c>
      <c r="J89" s="20">
        <v>10</v>
      </c>
      <c r="K89" s="21">
        <f>U89-J89-O89</f>
        <v>0</v>
      </c>
      <c r="L89" s="21">
        <f t="shared" si="16"/>
        <v>150</v>
      </c>
      <c r="M89" s="21">
        <f t="shared" si="17"/>
        <v>350</v>
      </c>
      <c r="N89" s="21"/>
      <c r="O89" s="21"/>
      <c r="P89" s="5"/>
      <c r="Q89" s="21">
        <v>500</v>
      </c>
      <c r="R89" s="16"/>
      <c r="S89" s="21">
        <f t="shared" si="18"/>
        <v>500</v>
      </c>
      <c r="T89" s="21">
        <v>510</v>
      </c>
      <c r="U89" s="78">
        <f t="shared" ref="U89:U106" si="19">T89-S89-O89</f>
        <v>10</v>
      </c>
      <c r="V89" s="140"/>
      <c r="W89" s="147"/>
      <c r="X89" s="344"/>
      <c r="Y89" s="334"/>
      <c r="Z89" s="5"/>
      <c r="AA89">
        <v>3.5</v>
      </c>
      <c r="AB89">
        <v>15</v>
      </c>
      <c r="AC89" s="16" t="s">
        <v>163</v>
      </c>
      <c r="AD89" s="60">
        <f>+AB89*5</f>
        <v>75</v>
      </c>
      <c r="AF89">
        <v>25</v>
      </c>
      <c r="AG89" s="16" t="s">
        <v>163</v>
      </c>
      <c r="AH89" s="60">
        <f>+AF89*5</f>
        <v>125</v>
      </c>
      <c r="AJ89" s="16">
        <v>462</v>
      </c>
      <c r="AK89" s="16"/>
      <c r="AL89">
        <v>3</v>
      </c>
      <c r="AM89" s="16" t="s">
        <v>163</v>
      </c>
      <c r="AN89" s="60">
        <f>+AL89*5</f>
        <v>15</v>
      </c>
    </row>
    <row r="90" spans="1:40" x14ac:dyDescent="0.25">
      <c r="A90" s="143">
        <v>3</v>
      </c>
      <c r="B90" s="92">
        <v>45183</v>
      </c>
      <c r="C90" s="31" t="s">
        <v>2625</v>
      </c>
      <c r="D90" s="32"/>
      <c r="E90" s="32"/>
      <c r="F90" s="32"/>
      <c r="G90" s="39"/>
      <c r="H90" s="122">
        <v>108</v>
      </c>
      <c r="I90" s="32">
        <v>90</v>
      </c>
      <c r="J90" s="20">
        <v>10</v>
      </c>
      <c r="K90" s="21">
        <v>10</v>
      </c>
      <c r="L90" s="21">
        <f t="shared" si="16"/>
        <v>100</v>
      </c>
      <c r="M90" s="21">
        <f t="shared" si="17"/>
        <v>8</v>
      </c>
      <c r="N90" s="21"/>
      <c r="O90" s="21">
        <v>84</v>
      </c>
      <c r="P90" s="5"/>
      <c r="Q90" s="21"/>
      <c r="R90" s="16"/>
      <c r="S90" s="21">
        <f t="shared" si="18"/>
        <v>0</v>
      </c>
      <c r="T90" s="21">
        <v>10</v>
      </c>
      <c r="U90" s="78">
        <f t="shared" si="19"/>
        <v>-74</v>
      </c>
      <c r="V90" s="140"/>
      <c r="W90" s="147"/>
      <c r="X90" s="344"/>
      <c r="Y90" s="334"/>
      <c r="Z90" s="5"/>
      <c r="AA90">
        <v>20</v>
      </c>
      <c r="AC90" s="16" t="s">
        <v>164</v>
      </c>
      <c r="AD90" s="18">
        <f>+AB90*200</f>
        <v>0</v>
      </c>
      <c r="AF90">
        <v>0</v>
      </c>
      <c r="AG90" s="16" t="s">
        <v>164</v>
      </c>
      <c r="AH90" s="18">
        <f>+AF90*200</f>
        <v>0</v>
      </c>
      <c r="AJ90" s="16"/>
      <c r="AK90" s="16"/>
      <c r="AM90" s="16" t="s">
        <v>164</v>
      </c>
      <c r="AN90" s="18">
        <f>+AL90*200</f>
        <v>0</v>
      </c>
    </row>
    <row r="91" spans="1:40" x14ac:dyDescent="0.25">
      <c r="A91" s="143">
        <v>4</v>
      </c>
      <c r="B91" s="92">
        <v>45183</v>
      </c>
      <c r="C91" s="31" t="s">
        <v>3110</v>
      </c>
      <c r="D91" s="32">
        <v>5584289593</v>
      </c>
      <c r="E91" s="32" t="s">
        <v>106</v>
      </c>
      <c r="F91" s="32" t="s">
        <v>744</v>
      </c>
      <c r="G91" s="39" t="s">
        <v>632</v>
      </c>
      <c r="H91" s="122">
        <v>150</v>
      </c>
      <c r="I91" s="32">
        <v>114</v>
      </c>
      <c r="J91" s="20">
        <v>10</v>
      </c>
      <c r="K91" s="21">
        <f>U91-J91-O91+T91</f>
        <v>36</v>
      </c>
      <c r="L91" s="21">
        <f t="shared" si="16"/>
        <v>124</v>
      </c>
      <c r="M91" s="21">
        <f t="shared" si="17"/>
        <v>26</v>
      </c>
      <c r="N91" s="21"/>
      <c r="O91" s="21">
        <v>114</v>
      </c>
      <c r="P91" s="5"/>
      <c r="Q91" s="21"/>
      <c r="R91" s="16">
        <v>26</v>
      </c>
      <c r="S91" s="21">
        <f t="shared" si="18"/>
        <v>26</v>
      </c>
      <c r="T91" s="21">
        <v>150</v>
      </c>
      <c r="U91" s="78">
        <f>T91-S91-O91</f>
        <v>10</v>
      </c>
      <c r="V91" s="140"/>
      <c r="W91" s="147"/>
      <c r="X91" s="344"/>
      <c r="Y91" s="334"/>
      <c r="Z91" s="5"/>
      <c r="AA91">
        <f>+AA88+AA89+AA90</f>
        <v>48.5</v>
      </c>
      <c r="AB91">
        <v>5</v>
      </c>
      <c r="AC91" s="16" t="s">
        <v>165</v>
      </c>
      <c r="AD91" s="18">
        <f>+AB91*100</f>
        <v>500</v>
      </c>
      <c r="AF91">
        <v>1</v>
      </c>
      <c r="AG91" s="16" t="s">
        <v>165</v>
      </c>
      <c r="AH91" s="18">
        <f>+AF91*100</f>
        <v>100</v>
      </c>
      <c r="AJ91" s="16"/>
      <c r="AK91" s="16"/>
      <c r="AM91" s="16" t="s">
        <v>165</v>
      </c>
      <c r="AN91" s="18">
        <f>+AL91*100</f>
        <v>0</v>
      </c>
    </row>
    <row r="92" spans="1:40" x14ac:dyDescent="0.25">
      <c r="A92" s="143">
        <v>5</v>
      </c>
      <c r="B92" s="92">
        <v>45183</v>
      </c>
      <c r="C92" s="31" t="s">
        <v>2045</v>
      </c>
      <c r="D92" s="32">
        <v>5529573104</v>
      </c>
      <c r="E92" s="32" t="s">
        <v>106</v>
      </c>
      <c r="F92" s="32" t="s">
        <v>745</v>
      </c>
      <c r="G92" s="32" t="s">
        <v>746</v>
      </c>
      <c r="H92" s="122">
        <v>120</v>
      </c>
      <c r="I92" s="32">
        <v>94</v>
      </c>
      <c r="J92" s="20">
        <v>10</v>
      </c>
      <c r="K92" s="21">
        <f>+T92-S92-J92-I92</f>
        <v>16</v>
      </c>
      <c r="L92" s="21">
        <f t="shared" si="16"/>
        <v>104</v>
      </c>
      <c r="M92" s="21">
        <f t="shared" si="17"/>
        <v>16</v>
      </c>
      <c r="N92" s="21"/>
      <c r="O92" s="21">
        <v>94</v>
      </c>
      <c r="P92" s="5"/>
      <c r="Q92" s="16">
        <v>100</v>
      </c>
      <c r="R92" s="16"/>
      <c r="S92" s="21">
        <f t="shared" si="18"/>
        <v>100</v>
      </c>
      <c r="T92" s="21">
        <v>220</v>
      </c>
      <c r="U92" s="78">
        <f>T92-S92-O92</f>
        <v>26</v>
      </c>
      <c r="V92" s="140"/>
      <c r="W92" s="147"/>
      <c r="X92" s="344"/>
      <c r="Y92" s="334"/>
      <c r="Z92" s="5"/>
      <c r="AB92">
        <v>4</v>
      </c>
      <c r="AC92" s="16" t="s">
        <v>166</v>
      </c>
      <c r="AD92" s="18">
        <f>+AB92*50</f>
        <v>200</v>
      </c>
      <c r="AF92">
        <v>6</v>
      </c>
      <c r="AG92" s="16" t="s">
        <v>166</v>
      </c>
      <c r="AH92" s="18">
        <f>+AF92*50</f>
        <v>300</v>
      </c>
      <c r="AJ92" s="16"/>
      <c r="AK92" s="16"/>
      <c r="AM92" s="16" t="s">
        <v>166</v>
      </c>
      <c r="AN92" s="18">
        <f>+AL92*50</f>
        <v>0</v>
      </c>
    </row>
    <row r="93" spans="1:40" x14ac:dyDescent="0.25">
      <c r="A93" s="143">
        <v>6</v>
      </c>
      <c r="B93" s="92">
        <v>45183</v>
      </c>
      <c r="C93" s="31" t="s">
        <v>921</v>
      </c>
      <c r="D93" s="32">
        <v>5625982564</v>
      </c>
      <c r="E93" s="30" t="s">
        <v>106</v>
      </c>
      <c r="F93" t="s">
        <v>748</v>
      </c>
      <c r="G93" s="39" t="s">
        <v>747</v>
      </c>
      <c r="H93" s="39">
        <v>80</v>
      </c>
      <c r="I93" s="42">
        <v>60</v>
      </c>
      <c r="J93" s="20">
        <v>10</v>
      </c>
      <c r="K93" s="21">
        <f>+T93-S93-J93-I93</f>
        <v>10</v>
      </c>
      <c r="L93" s="21">
        <f t="shared" si="16"/>
        <v>70</v>
      </c>
      <c r="M93" s="21">
        <f t="shared" si="17"/>
        <v>10</v>
      </c>
      <c r="N93" s="21"/>
      <c r="O93" s="21">
        <v>60</v>
      </c>
      <c r="P93" s="5"/>
      <c r="Q93" s="16"/>
      <c r="R93" s="16"/>
      <c r="S93" s="21">
        <f t="shared" si="18"/>
        <v>0</v>
      </c>
      <c r="T93" s="21">
        <v>80</v>
      </c>
      <c r="U93" s="78">
        <f t="shared" si="19"/>
        <v>20</v>
      </c>
      <c r="V93" s="140"/>
      <c r="W93" s="147"/>
      <c r="X93" s="344"/>
      <c r="Y93" s="334"/>
      <c r="Z93" s="5"/>
      <c r="AB93">
        <v>11</v>
      </c>
      <c r="AC93" s="16" t="s">
        <v>167</v>
      </c>
      <c r="AD93" s="18">
        <f>+AB93*20</f>
        <v>220</v>
      </c>
      <c r="AF93">
        <v>11</v>
      </c>
      <c r="AG93" s="16" t="s">
        <v>167</v>
      </c>
      <c r="AH93" s="18">
        <f>+AF93*20</f>
        <v>220</v>
      </c>
      <c r="AJ93" s="16"/>
      <c r="AK93" s="16"/>
      <c r="AL93">
        <v>4</v>
      </c>
      <c r="AM93" s="16" t="s">
        <v>167</v>
      </c>
      <c r="AN93" s="18">
        <f>+AL93*20</f>
        <v>80</v>
      </c>
    </row>
    <row r="94" spans="1:40" x14ac:dyDescent="0.25">
      <c r="A94" s="41">
        <v>7</v>
      </c>
      <c r="B94" s="92">
        <v>45183</v>
      </c>
      <c r="C94" s="31" t="s">
        <v>82</v>
      </c>
      <c r="D94" s="32">
        <v>5624838493</v>
      </c>
      <c r="E94" s="32" t="s">
        <v>749</v>
      </c>
      <c r="F94" s="32" t="s">
        <v>751</v>
      </c>
      <c r="G94" s="39" t="s">
        <v>750</v>
      </c>
      <c r="H94" s="122">
        <v>110</v>
      </c>
      <c r="I94" s="42">
        <v>43</v>
      </c>
      <c r="J94" s="20">
        <v>10</v>
      </c>
      <c r="K94" s="21">
        <f>+T94-H94</f>
        <v>10</v>
      </c>
      <c r="L94" s="21">
        <f t="shared" si="16"/>
        <v>53</v>
      </c>
      <c r="M94" s="21">
        <f t="shared" si="17"/>
        <v>57</v>
      </c>
      <c r="N94" s="21"/>
      <c r="O94" s="21"/>
      <c r="P94" s="5"/>
      <c r="Q94" s="16">
        <v>100</v>
      </c>
      <c r="R94" s="16"/>
      <c r="S94" s="21">
        <f t="shared" si="18"/>
        <v>100</v>
      </c>
      <c r="T94" s="16">
        <v>120</v>
      </c>
      <c r="U94" s="78">
        <f t="shared" si="19"/>
        <v>20</v>
      </c>
      <c r="V94" s="140"/>
      <c r="W94" s="147"/>
      <c r="X94" s="344"/>
      <c r="Y94" s="334"/>
      <c r="Z94" s="5"/>
      <c r="AC94" s="16" t="s">
        <v>171</v>
      </c>
      <c r="AD94" s="18">
        <f>+AB94*500</f>
        <v>0</v>
      </c>
      <c r="AG94" s="16" t="s">
        <v>171</v>
      </c>
      <c r="AH94" s="18">
        <f>+AF94*500</f>
        <v>0</v>
      </c>
      <c r="AJ94" s="16"/>
      <c r="AK94" s="16"/>
      <c r="AM94" s="16" t="s">
        <v>171</v>
      </c>
      <c r="AN94" s="18">
        <f>+AL94*500</f>
        <v>0</v>
      </c>
    </row>
    <row r="95" spans="1:40" x14ac:dyDescent="0.25">
      <c r="A95" s="143">
        <v>8</v>
      </c>
      <c r="B95" s="92">
        <v>45183</v>
      </c>
      <c r="C95" s="31" t="s">
        <v>3109</v>
      </c>
      <c r="D95" s="123">
        <v>5625880146</v>
      </c>
      <c r="E95" s="123" t="s">
        <v>752</v>
      </c>
      <c r="F95" s="123" t="s">
        <v>777</v>
      </c>
      <c r="G95" s="39" t="s">
        <v>754</v>
      </c>
      <c r="H95" s="122">
        <v>200</v>
      </c>
      <c r="I95" s="32">
        <v>127</v>
      </c>
      <c r="J95" s="20">
        <v>10</v>
      </c>
      <c r="K95" s="21">
        <v>20</v>
      </c>
      <c r="L95" s="21">
        <f t="shared" si="16"/>
        <v>137</v>
      </c>
      <c r="M95" s="21">
        <f t="shared" si="17"/>
        <v>63</v>
      </c>
      <c r="N95" s="21"/>
      <c r="O95" s="21">
        <v>94</v>
      </c>
      <c r="P95" s="5"/>
      <c r="Q95" s="16"/>
      <c r="R95" s="16"/>
      <c r="S95" s="21">
        <f t="shared" si="18"/>
        <v>0</v>
      </c>
      <c r="T95" s="16">
        <v>147</v>
      </c>
      <c r="U95" s="78">
        <v>30</v>
      </c>
      <c r="V95" s="140"/>
      <c r="W95" s="147">
        <v>0.80138888888888893</v>
      </c>
      <c r="X95" s="344"/>
      <c r="Y95" s="334"/>
      <c r="Z95" s="5"/>
      <c r="AC95" s="16" t="s">
        <v>168</v>
      </c>
      <c r="AD95" s="18">
        <f>+AB95*1000</f>
        <v>0</v>
      </c>
      <c r="AG95" s="16" t="s">
        <v>168</v>
      </c>
      <c r="AH95" s="18">
        <f>+AF95*1000</f>
        <v>0</v>
      </c>
      <c r="AJ95" s="16"/>
      <c r="AK95" s="16"/>
      <c r="AM95" s="16" t="s">
        <v>168</v>
      </c>
      <c r="AN95" s="18">
        <f>+AL95*1000</f>
        <v>0</v>
      </c>
    </row>
    <row r="96" spans="1:40" x14ac:dyDescent="0.25">
      <c r="A96" s="143">
        <v>9</v>
      </c>
      <c r="B96" s="92">
        <v>45183</v>
      </c>
      <c r="C96" s="31" t="s">
        <v>2478</v>
      </c>
      <c r="D96" s="32">
        <v>5513650898</v>
      </c>
      <c r="E96" s="32" t="s">
        <v>52</v>
      </c>
      <c r="F96" s="32" t="s">
        <v>142</v>
      </c>
      <c r="G96" s="39" t="s">
        <v>755</v>
      </c>
      <c r="H96" s="39">
        <v>84</v>
      </c>
      <c r="I96" s="40">
        <v>84</v>
      </c>
      <c r="J96" s="20">
        <v>0</v>
      </c>
      <c r="K96" s="21">
        <f>U96-J96-O96</f>
        <v>-88</v>
      </c>
      <c r="L96" s="21">
        <f t="shared" si="16"/>
        <v>84</v>
      </c>
      <c r="M96" s="21">
        <f t="shared" si="17"/>
        <v>0</v>
      </c>
      <c r="N96" s="21"/>
      <c r="O96" s="21">
        <v>88</v>
      </c>
      <c r="P96" s="5"/>
      <c r="Q96" s="16"/>
      <c r="R96" s="16"/>
      <c r="S96" s="21">
        <f t="shared" si="18"/>
        <v>0</v>
      </c>
      <c r="T96" s="16">
        <v>84</v>
      </c>
      <c r="U96" s="78">
        <v>0</v>
      </c>
      <c r="V96" s="140"/>
      <c r="W96" s="147">
        <v>0.81944444444444453</v>
      </c>
      <c r="X96" s="344"/>
      <c r="Y96" s="334"/>
      <c r="Z96" s="5"/>
      <c r="AC96" s="26"/>
      <c r="AD96" s="58"/>
      <c r="AG96" s="26"/>
      <c r="AH96" s="58"/>
      <c r="AJ96" s="16"/>
      <c r="AK96" s="16"/>
      <c r="AM96" s="26"/>
      <c r="AN96" s="58"/>
    </row>
    <row r="97" spans="1:41" x14ac:dyDescent="0.25">
      <c r="A97" s="143">
        <v>10</v>
      </c>
      <c r="B97" s="92">
        <v>45183</v>
      </c>
      <c r="C97" s="31" t="s">
        <v>756</v>
      </c>
      <c r="D97" s="32">
        <v>1234567899</v>
      </c>
      <c r="E97" s="32" t="s">
        <v>41</v>
      </c>
      <c r="F97" s="32" t="s">
        <v>220</v>
      </c>
      <c r="G97" s="39" t="s">
        <v>757</v>
      </c>
      <c r="H97" s="122">
        <v>500</v>
      </c>
      <c r="I97" s="42">
        <v>198</v>
      </c>
      <c r="J97" s="20">
        <v>10</v>
      </c>
      <c r="K97" s="21">
        <v>8</v>
      </c>
      <c r="L97" s="21">
        <f t="shared" si="16"/>
        <v>208</v>
      </c>
      <c r="M97" s="21">
        <f t="shared" si="17"/>
        <v>292</v>
      </c>
      <c r="N97" s="21"/>
      <c r="O97" s="21"/>
      <c r="P97" s="5"/>
      <c r="Q97" s="16"/>
      <c r="R97" s="16"/>
      <c r="S97" s="21">
        <f t="shared" si="18"/>
        <v>0</v>
      </c>
      <c r="T97" s="16">
        <v>500</v>
      </c>
      <c r="U97" s="78">
        <v>18</v>
      </c>
      <c r="V97" s="140"/>
      <c r="W97" s="147" t="s">
        <v>761</v>
      </c>
      <c r="X97" s="344"/>
      <c r="Y97" s="334"/>
      <c r="Z97" s="5"/>
      <c r="AC97" s="16" t="s">
        <v>169</v>
      </c>
      <c r="AD97" s="18">
        <f>SUM(AD87:AD96)</f>
        <v>1123.5</v>
      </c>
      <c r="AG97" s="16" t="s">
        <v>169</v>
      </c>
      <c r="AH97" s="18">
        <f>SUM(AH87:AH96)</f>
        <v>851</v>
      </c>
      <c r="AJ97" s="16"/>
      <c r="AK97" s="16"/>
      <c r="AM97" s="16" t="s">
        <v>169</v>
      </c>
      <c r="AN97" s="18"/>
    </row>
    <row r="98" spans="1:41" x14ac:dyDescent="0.25">
      <c r="A98" s="143">
        <v>11</v>
      </c>
      <c r="B98" s="92">
        <v>45183</v>
      </c>
      <c r="C98" s="31" t="s">
        <v>2897</v>
      </c>
      <c r="D98" s="124">
        <v>5612050452</v>
      </c>
      <c r="E98" s="123" t="s">
        <v>52</v>
      </c>
      <c r="F98" s="123" t="s">
        <v>539</v>
      </c>
      <c r="G98" s="39" t="s">
        <v>759</v>
      </c>
      <c r="H98" s="122">
        <v>94</v>
      </c>
      <c r="I98" s="42">
        <v>74</v>
      </c>
      <c r="J98" s="20">
        <v>10</v>
      </c>
      <c r="K98" s="21">
        <v>20</v>
      </c>
      <c r="L98" s="21">
        <f t="shared" si="16"/>
        <v>84</v>
      </c>
      <c r="M98" s="21">
        <v>0</v>
      </c>
      <c r="N98" s="21"/>
      <c r="O98" s="21">
        <v>74</v>
      </c>
      <c r="P98" s="5"/>
      <c r="Q98" s="16"/>
      <c r="R98" s="16"/>
      <c r="S98" s="21">
        <f t="shared" si="18"/>
        <v>0</v>
      </c>
      <c r="T98" s="16">
        <v>94</v>
      </c>
      <c r="U98" s="78">
        <v>30</v>
      </c>
      <c r="V98" s="140"/>
      <c r="W98" s="147" t="s">
        <v>762</v>
      </c>
      <c r="X98" s="344"/>
      <c r="Y98" s="334"/>
      <c r="Z98" s="5"/>
      <c r="AJ98" s="16"/>
      <c r="AK98" s="16"/>
      <c r="AM98" s="16"/>
      <c r="AN98" s="16"/>
    </row>
    <row r="99" spans="1:41" x14ac:dyDescent="0.25">
      <c r="A99" s="143">
        <v>12</v>
      </c>
      <c r="B99" s="92">
        <v>45183</v>
      </c>
      <c r="C99" s="32" t="s">
        <v>2464</v>
      </c>
      <c r="D99" s="32">
        <v>5646787898</v>
      </c>
      <c r="E99" s="124" t="s">
        <v>52</v>
      </c>
      <c r="F99" s="123" t="s">
        <v>142</v>
      </c>
      <c r="G99" s="39" t="s">
        <v>755</v>
      </c>
      <c r="H99" s="39">
        <v>88</v>
      </c>
      <c r="I99" s="42">
        <v>88</v>
      </c>
      <c r="J99" s="20">
        <v>0</v>
      </c>
      <c r="K99" s="21">
        <f>U99-J99-O99</f>
        <v>-88</v>
      </c>
      <c r="L99" s="21">
        <f t="shared" si="16"/>
        <v>88</v>
      </c>
      <c r="M99" s="21">
        <f t="shared" si="17"/>
        <v>0</v>
      </c>
      <c r="N99" s="21"/>
      <c r="O99" s="21">
        <v>88</v>
      </c>
      <c r="P99" s="5"/>
      <c r="Q99" s="45"/>
      <c r="R99" s="44"/>
      <c r="S99" s="21">
        <f t="shared" si="18"/>
        <v>0</v>
      </c>
      <c r="T99" s="45">
        <v>88</v>
      </c>
      <c r="U99" s="78">
        <v>0</v>
      </c>
      <c r="V99" s="140"/>
      <c r="W99" s="147" t="s">
        <v>763</v>
      </c>
      <c r="X99" s="144"/>
      <c r="Y99" s="334"/>
      <c r="Z99" s="5"/>
      <c r="AJ99" s="63" t="s">
        <v>169</v>
      </c>
      <c r="AK99" s="63">
        <f>+SUM(AJ88:AJ98)-SUM(AK88:AK98)</f>
        <v>546</v>
      </c>
      <c r="AM99" s="63" t="s">
        <v>169</v>
      </c>
      <c r="AN99" s="85">
        <f>+SUM(AM87:AM98)-SUM(AN87:AN98)</f>
        <v>-238</v>
      </c>
    </row>
    <row r="100" spans="1:41" x14ac:dyDescent="0.25">
      <c r="A100" s="64">
        <v>13</v>
      </c>
      <c r="B100" s="92">
        <v>45183</v>
      </c>
      <c r="C100" s="31" t="s">
        <v>2467</v>
      </c>
      <c r="D100" s="32">
        <v>5520873875</v>
      </c>
      <c r="E100" s="32" t="s">
        <v>775</v>
      </c>
      <c r="F100" s="32" t="s">
        <v>760</v>
      </c>
      <c r="G100" s="39" t="s">
        <v>776</v>
      </c>
      <c r="H100" s="39">
        <v>200</v>
      </c>
      <c r="I100" s="42">
        <v>138</v>
      </c>
      <c r="J100" s="108">
        <v>10</v>
      </c>
      <c r="K100" s="21">
        <f>U100-J100-O100</f>
        <v>-76</v>
      </c>
      <c r="L100" s="21">
        <f t="shared" si="16"/>
        <v>148</v>
      </c>
      <c r="M100" s="21">
        <f t="shared" si="17"/>
        <v>52</v>
      </c>
      <c r="N100" s="21"/>
      <c r="O100" s="21">
        <v>33</v>
      </c>
      <c r="P100" s="5"/>
      <c r="Q100" s="43"/>
      <c r="R100" s="32"/>
      <c r="S100" s="21">
        <f t="shared" si="18"/>
        <v>0</v>
      </c>
      <c r="T100" s="43"/>
      <c r="U100" s="78">
        <f t="shared" si="19"/>
        <v>-33</v>
      </c>
      <c r="V100" s="140"/>
      <c r="W100" s="147" t="s">
        <v>764</v>
      </c>
      <c r="X100" s="144" t="s">
        <v>699</v>
      </c>
      <c r="Y100" s="334"/>
      <c r="Z100" s="5"/>
      <c r="AH100" s="83"/>
    </row>
    <row r="101" spans="1:41" x14ac:dyDescent="0.25">
      <c r="A101" s="143">
        <v>14</v>
      </c>
      <c r="B101" s="92">
        <v>45183</v>
      </c>
      <c r="C101" s="31" t="s">
        <v>48</v>
      </c>
      <c r="D101" s="32">
        <v>5567925871</v>
      </c>
      <c r="E101" s="32" t="s">
        <v>769</v>
      </c>
      <c r="F101" s="32">
        <v>844</v>
      </c>
      <c r="G101" s="39" t="s">
        <v>770</v>
      </c>
      <c r="H101" s="39">
        <v>462</v>
      </c>
      <c r="I101" s="42">
        <v>437</v>
      </c>
      <c r="J101" s="108">
        <v>10</v>
      </c>
      <c r="K101" s="21">
        <v>10</v>
      </c>
      <c r="L101" s="21">
        <v>5</v>
      </c>
      <c r="M101" s="21">
        <f t="shared" si="17"/>
        <v>457</v>
      </c>
      <c r="N101" s="21"/>
      <c r="O101" s="21"/>
      <c r="P101" s="5"/>
      <c r="Q101" s="43"/>
      <c r="R101" s="43"/>
      <c r="S101" s="21">
        <f t="shared" si="18"/>
        <v>0</v>
      </c>
      <c r="T101" s="43"/>
      <c r="U101" s="78">
        <f t="shared" si="19"/>
        <v>0</v>
      </c>
      <c r="V101" s="140"/>
      <c r="W101" s="147"/>
      <c r="X101" s="144"/>
      <c r="Y101" s="334"/>
      <c r="Z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</row>
    <row r="102" spans="1:41" x14ac:dyDescent="0.25">
      <c r="A102" s="143">
        <v>15</v>
      </c>
      <c r="B102" s="92">
        <v>45183</v>
      </c>
      <c r="C102" s="127" t="s">
        <v>37</v>
      </c>
      <c r="D102" s="32">
        <v>5554180418</v>
      </c>
      <c r="E102" s="124" t="s">
        <v>52</v>
      </c>
      <c r="F102" s="32" t="s">
        <v>237</v>
      </c>
      <c r="G102" s="129" t="s">
        <v>766</v>
      </c>
      <c r="H102" s="39">
        <v>152</v>
      </c>
      <c r="I102" s="42">
        <v>142.5</v>
      </c>
      <c r="J102" s="108">
        <v>10</v>
      </c>
      <c r="K102" s="21">
        <f>U102-J102-O102</f>
        <v>-295</v>
      </c>
      <c r="L102" s="21">
        <f t="shared" si="16"/>
        <v>152.5</v>
      </c>
      <c r="M102" s="21">
        <f t="shared" si="17"/>
        <v>-0.5</v>
      </c>
      <c r="N102" s="21"/>
      <c r="O102" s="21">
        <v>142.5</v>
      </c>
      <c r="P102" s="5"/>
      <c r="Q102" s="43"/>
      <c r="R102" s="43"/>
      <c r="S102" s="21">
        <f t="shared" si="18"/>
        <v>0</v>
      </c>
      <c r="T102" s="43"/>
      <c r="U102" s="78">
        <f t="shared" si="19"/>
        <v>-142.5</v>
      </c>
      <c r="V102" s="140"/>
      <c r="W102" s="147"/>
      <c r="X102" s="144"/>
      <c r="Y102" s="334"/>
      <c r="Z102" s="5"/>
      <c r="AC102" s="5"/>
      <c r="AD102" s="134" t="s">
        <v>20</v>
      </c>
      <c r="AE102" s="338">
        <v>300</v>
      </c>
      <c r="AF102" s="341" t="s">
        <v>686</v>
      </c>
      <c r="AG102" s="134" t="s">
        <v>20</v>
      </c>
      <c r="AH102" s="338">
        <v>98</v>
      </c>
      <c r="AI102" s="341" t="s">
        <v>687</v>
      </c>
      <c r="AJ102" s="134" t="s">
        <v>20</v>
      </c>
      <c r="AK102" s="338">
        <v>140</v>
      </c>
      <c r="AL102" s="5"/>
      <c r="AM102" s="134" t="s">
        <v>20</v>
      </c>
      <c r="AN102" s="338">
        <f>AH102+AK102</f>
        <v>238</v>
      </c>
      <c r="AO102" s="5"/>
    </row>
    <row r="103" spans="1:41" x14ac:dyDescent="0.25">
      <c r="A103" s="143">
        <v>16</v>
      </c>
      <c r="B103" s="92">
        <v>45183</v>
      </c>
      <c r="C103" s="149" t="s">
        <v>933</v>
      </c>
      <c r="D103" s="32">
        <v>5523456789</v>
      </c>
      <c r="E103" s="32" t="s">
        <v>451</v>
      </c>
      <c r="F103" s="32" t="s">
        <v>220</v>
      </c>
      <c r="G103" s="39" t="s">
        <v>768</v>
      </c>
      <c r="H103" s="39">
        <v>220</v>
      </c>
      <c r="I103" s="42">
        <v>210</v>
      </c>
      <c r="J103" s="43">
        <v>10</v>
      </c>
      <c r="K103" s="21">
        <f>U103-J103-O103</f>
        <v>-430</v>
      </c>
      <c r="L103" s="21">
        <f t="shared" si="16"/>
        <v>220</v>
      </c>
      <c r="M103" s="21">
        <f t="shared" si="17"/>
        <v>0</v>
      </c>
      <c r="N103" s="21"/>
      <c r="O103" s="21">
        <v>210</v>
      </c>
      <c r="P103" s="5"/>
      <c r="Q103" s="43"/>
      <c r="R103" s="32"/>
      <c r="S103" s="21">
        <f t="shared" si="18"/>
        <v>0</v>
      </c>
      <c r="T103" s="131"/>
      <c r="U103" s="78">
        <f t="shared" si="19"/>
        <v>-210</v>
      </c>
      <c r="V103" s="140"/>
      <c r="W103" s="147"/>
      <c r="X103" s="144"/>
      <c r="Y103" s="334"/>
      <c r="Z103" s="5"/>
      <c r="AC103" s="5" t="s">
        <v>685</v>
      </c>
      <c r="AD103" s="115" t="s">
        <v>684</v>
      </c>
      <c r="AE103" s="339"/>
      <c r="AF103" s="341"/>
      <c r="AG103" s="115" t="s">
        <v>684</v>
      </c>
      <c r="AH103" s="339"/>
      <c r="AI103" s="341"/>
      <c r="AJ103" s="115" t="s">
        <v>684</v>
      </c>
      <c r="AK103" s="339"/>
      <c r="AL103" s="5"/>
      <c r="AM103" s="115" t="s">
        <v>779</v>
      </c>
      <c r="AN103" s="339"/>
      <c r="AO103" s="5"/>
    </row>
    <row r="104" spans="1:41" x14ac:dyDescent="0.25">
      <c r="A104" s="143">
        <v>17</v>
      </c>
      <c r="B104" s="92">
        <v>45183</v>
      </c>
      <c r="C104" s="32" t="s">
        <v>3101</v>
      </c>
      <c r="D104" s="32">
        <v>5615417890</v>
      </c>
      <c r="E104" s="32" t="s">
        <v>52</v>
      </c>
      <c r="F104" s="32" t="s">
        <v>772</v>
      </c>
      <c r="G104" s="39" t="s">
        <v>774</v>
      </c>
      <c r="H104" s="39">
        <v>73</v>
      </c>
      <c r="I104" s="42">
        <v>63</v>
      </c>
      <c r="J104" s="43">
        <v>10</v>
      </c>
      <c r="K104" s="21">
        <v>0</v>
      </c>
      <c r="L104" s="21">
        <f t="shared" si="16"/>
        <v>73</v>
      </c>
      <c r="M104" s="21">
        <f t="shared" si="17"/>
        <v>0</v>
      </c>
      <c r="N104" s="21"/>
      <c r="O104" s="21">
        <v>63</v>
      </c>
      <c r="P104" s="5"/>
      <c r="Q104" s="43"/>
      <c r="R104" s="32"/>
      <c r="S104" s="21">
        <f t="shared" si="18"/>
        <v>0</v>
      </c>
      <c r="T104" s="132"/>
      <c r="U104" s="78">
        <f t="shared" si="19"/>
        <v>-63</v>
      </c>
      <c r="V104" s="140"/>
      <c r="W104" s="147"/>
      <c r="X104" s="144"/>
      <c r="Y104" s="340"/>
      <c r="Z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</row>
    <row r="105" spans="1:41" x14ac:dyDescent="0.25">
      <c r="A105" s="143">
        <v>18</v>
      </c>
      <c r="B105" s="92">
        <v>45183</v>
      </c>
      <c r="C105" s="31" t="s">
        <v>3108</v>
      </c>
      <c r="D105" s="32">
        <v>5566712323</v>
      </c>
      <c r="E105" s="32" t="s">
        <v>38</v>
      </c>
      <c r="F105" s="32" t="s">
        <v>773</v>
      </c>
      <c r="G105" s="39" t="s">
        <v>771</v>
      </c>
      <c r="H105" s="39">
        <v>70</v>
      </c>
      <c r="I105" s="42">
        <v>60</v>
      </c>
      <c r="J105" s="43">
        <v>10</v>
      </c>
      <c r="K105" s="21">
        <f>U105-J105-O105</f>
        <v>-10</v>
      </c>
      <c r="L105" s="21">
        <f t="shared" si="16"/>
        <v>70</v>
      </c>
      <c r="M105" s="21">
        <f t="shared" si="17"/>
        <v>0</v>
      </c>
      <c r="N105" s="21"/>
      <c r="O105" s="21"/>
      <c r="P105" s="5"/>
      <c r="Q105" s="135"/>
      <c r="R105" s="104"/>
      <c r="S105" s="21">
        <f t="shared" si="18"/>
        <v>0</v>
      </c>
      <c r="T105" s="131"/>
      <c r="U105" s="78">
        <f t="shared" si="19"/>
        <v>0</v>
      </c>
      <c r="V105" s="140"/>
      <c r="W105" s="138"/>
      <c r="X105" s="144"/>
      <c r="Z105" s="5"/>
    </row>
    <row r="106" spans="1:41" x14ac:dyDescent="0.25">
      <c r="A106" s="143">
        <v>19</v>
      </c>
      <c r="B106" s="92">
        <v>45183</v>
      </c>
      <c r="C106" s="31"/>
      <c r="D106" s="32"/>
      <c r="E106" s="32"/>
      <c r="F106" s="32"/>
      <c r="G106" s="39"/>
      <c r="H106" s="39"/>
      <c r="I106" s="42"/>
      <c r="J106" s="43">
        <v>10</v>
      </c>
      <c r="K106" s="21">
        <f>U106-J106-O106</f>
        <v>-10</v>
      </c>
      <c r="L106" s="21">
        <f t="shared" si="16"/>
        <v>10</v>
      </c>
      <c r="M106" s="21">
        <f t="shared" si="17"/>
        <v>-10</v>
      </c>
      <c r="N106" s="21"/>
      <c r="O106" s="21"/>
      <c r="P106" s="5"/>
      <c r="Q106" s="32"/>
      <c r="R106" s="32"/>
      <c r="S106" s="21">
        <f t="shared" si="18"/>
        <v>0</v>
      </c>
      <c r="T106" s="32"/>
      <c r="U106" s="78">
        <f t="shared" si="19"/>
        <v>0</v>
      </c>
      <c r="V106" s="140"/>
      <c r="W106" s="138"/>
      <c r="X106" s="144"/>
      <c r="Z106" s="5"/>
    </row>
    <row r="107" spans="1:4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141"/>
      <c r="W107" s="5"/>
      <c r="X107" s="144"/>
      <c r="Y107" s="5"/>
      <c r="Z107" s="5"/>
    </row>
    <row r="108" spans="1:41" x14ac:dyDescent="0.25">
      <c r="X108" s="144"/>
    </row>
    <row r="109" spans="1:41" x14ac:dyDescent="0.25">
      <c r="A109" s="150">
        <v>13</v>
      </c>
      <c r="B109" t="s">
        <v>778</v>
      </c>
      <c r="O109" s="83">
        <f>SUM(O90:O104)</f>
        <v>1144.5</v>
      </c>
      <c r="X109" s="144"/>
    </row>
    <row r="110" spans="1:41" x14ac:dyDescent="0.25">
      <c r="X110" s="144"/>
    </row>
    <row r="111" spans="1:41" x14ac:dyDescent="0.25">
      <c r="T111">
        <f>300+228+10</f>
        <v>538</v>
      </c>
      <c r="X111" s="145"/>
    </row>
    <row r="112" spans="1:41" x14ac:dyDescent="0.25">
      <c r="X112" s="5"/>
    </row>
    <row r="113" spans="1:40" x14ac:dyDescent="0.25">
      <c r="O113" t="s">
        <v>791</v>
      </c>
    </row>
    <row r="116" spans="1:40" x14ac:dyDescent="0.25">
      <c r="A116" s="1" t="s">
        <v>0</v>
      </c>
      <c r="B116" s="1"/>
      <c r="C116" s="1"/>
      <c r="D116" s="1"/>
      <c r="E116" s="1"/>
      <c r="F116" s="1"/>
      <c r="G116" s="1"/>
      <c r="H116" s="1"/>
      <c r="I116" s="1" t="s">
        <v>148</v>
      </c>
      <c r="J116" s="1"/>
      <c r="K116" s="1"/>
      <c r="L116" s="1"/>
      <c r="M116" s="1"/>
      <c r="N116" s="1"/>
      <c r="O116" s="1"/>
      <c r="P116" s="1"/>
      <c r="Q116" s="1"/>
      <c r="R116" s="1"/>
      <c r="S116" s="342" t="s">
        <v>1</v>
      </c>
      <c r="T116" s="342"/>
      <c r="U116" s="5"/>
      <c r="V116" s="139"/>
      <c r="W116" s="1"/>
      <c r="X116" s="1"/>
      <c r="Y116" s="1"/>
      <c r="Z116" s="5"/>
      <c r="AC116" s="335" t="s">
        <v>160</v>
      </c>
      <c r="AD116" s="336"/>
      <c r="AG116" s="335" t="s">
        <v>170</v>
      </c>
      <c r="AH116" s="336"/>
      <c r="AJ116" s="337" t="s">
        <v>172</v>
      </c>
      <c r="AK116" s="337"/>
      <c r="AM116" s="337" t="s">
        <v>681</v>
      </c>
      <c r="AN116" s="337"/>
    </row>
    <row r="117" spans="1:40" ht="90" x14ac:dyDescent="0.25">
      <c r="A117" s="6" t="s">
        <v>2</v>
      </c>
      <c r="B117" s="7" t="s">
        <v>3</v>
      </c>
      <c r="C117" s="7" t="s">
        <v>4</v>
      </c>
      <c r="D117" s="6" t="s">
        <v>5</v>
      </c>
      <c r="E117" s="6" t="s">
        <v>6</v>
      </c>
      <c r="F117" s="6" t="s">
        <v>7</v>
      </c>
      <c r="G117" s="6" t="s">
        <v>8</v>
      </c>
      <c r="H117" s="8" t="s">
        <v>9</v>
      </c>
      <c r="I117" s="9" t="s">
        <v>10</v>
      </c>
      <c r="J117" s="8" t="s">
        <v>11</v>
      </c>
      <c r="K117" s="10" t="s">
        <v>12</v>
      </c>
      <c r="L117" s="10" t="s">
        <v>13</v>
      </c>
      <c r="M117" s="11" t="s">
        <v>14</v>
      </c>
      <c r="N117" s="10" t="s">
        <v>691</v>
      </c>
      <c r="O117" s="10" t="s">
        <v>28</v>
      </c>
      <c r="P117" s="5"/>
      <c r="Q117" s="10" t="s">
        <v>16</v>
      </c>
      <c r="R117" s="10" t="s">
        <v>17</v>
      </c>
      <c r="S117" s="10" t="s">
        <v>18</v>
      </c>
      <c r="T117" s="10" t="s">
        <v>19</v>
      </c>
      <c r="U117" s="10" t="s">
        <v>20</v>
      </c>
      <c r="V117" s="13"/>
      <c r="W117" s="136" t="s">
        <v>688</v>
      </c>
      <c r="X117" s="14" t="s">
        <v>22</v>
      </c>
      <c r="Y117" s="15" t="s">
        <v>23</v>
      </c>
      <c r="Z117" s="5"/>
      <c r="AB117">
        <v>22</v>
      </c>
      <c r="AC117" s="16" t="s">
        <v>161</v>
      </c>
      <c r="AD117" s="58">
        <f>+AB117*10</f>
        <v>220</v>
      </c>
      <c r="AF117">
        <v>20</v>
      </c>
      <c r="AG117" s="16" t="s">
        <v>161</v>
      </c>
      <c r="AH117" s="58">
        <f>+AF117*10</f>
        <v>200</v>
      </c>
      <c r="AJ117" s="61" t="s">
        <v>173</v>
      </c>
      <c r="AK117" s="62" t="s">
        <v>174</v>
      </c>
      <c r="AM117" s="16" t="s">
        <v>161</v>
      </c>
      <c r="AN117" s="58">
        <f>+AL117*10</f>
        <v>0</v>
      </c>
    </row>
    <row r="118" spans="1:40" x14ac:dyDescent="0.25">
      <c r="A118" s="16">
        <v>1</v>
      </c>
      <c r="B118" s="92">
        <v>45184</v>
      </c>
      <c r="C118" s="31" t="s">
        <v>24</v>
      </c>
      <c r="D118" s="32">
        <v>5562236073</v>
      </c>
      <c r="E118" s="32" t="s">
        <v>485</v>
      </c>
      <c r="F118" s="32" t="s">
        <v>625</v>
      </c>
      <c r="G118" s="39" t="s">
        <v>780</v>
      </c>
      <c r="H118" s="122">
        <v>75</v>
      </c>
      <c r="I118" s="32">
        <v>55</v>
      </c>
      <c r="J118" s="20">
        <v>20</v>
      </c>
      <c r="K118" s="21">
        <f>U118-J118-O118</f>
        <v>0</v>
      </c>
      <c r="L118" s="21">
        <f t="shared" ref="L118:L135" si="20">+I118+J118</f>
        <v>75</v>
      </c>
      <c r="M118" s="21">
        <f t="shared" ref="M118:M135" si="21">+H118-L118</f>
        <v>0</v>
      </c>
      <c r="N118" s="21"/>
      <c r="O118" s="21"/>
      <c r="P118" s="5"/>
      <c r="Q118" s="21">
        <v>150</v>
      </c>
      <c r="R118" s="16"/>
      <c r="S118" s="21">
        <f t="shared" ref="S118:S135" si="22">+Q118+R118</f>
        <v>150</v>
      </c>
      <c r="T118" s="21">
        <v>170</v>
      </c>
      <c r="U118" s="78">
        <f>T118-S118-O118</f>
        <v>20</v>
      </c>
      <c r="V118" s="13"/>
      <c r="W118" s="147"/>
      <c r="X118" s="23"/>
      <c r="Y118" s="333"/>
      <c r="Z118" s="5"/>
      <c r="AB118">
        <v>52.5</v>
      </c>
      <c r="AC118" s="59" t="s">
        <v>162</v>
      </c>
      <c r="AD118" s="18">
        <f>+AB118*1</f>
        <v>52.5</v>
      </c>
      <c r="AE118">
        <v>150</v>
      </c>
      <c r="AF118">
        <v>72</v>
      </c>
      <c r="AG118" s="59" t="s">
        <v>162</v>
      </c>
      <c r="AH118" s="18">
        <f>+AF118*1</f>
        <v>72</v>
      </c>
      <c r="AJ118" s="16">
        <v>100</v>
      </c>
      <c r="AK118" s="16"/>
      <c r="AM118" s="59" t="s">
        <v>162</v>
      </c>
      <c r="AN118" s="18">
        <f>+AL118*1</f>
        <v>0</v>
      </c>
    </row>
    <row r="119" spans="1:40" x14ac:dyDescent="0.25">
      <c r="A119" s="26">
        <v>2</v>
      </c>
      <c r="B119" s="92">
        <v>45184</v>
      </c>
      <c r="C119" s="31" t="s">
        <v>260</v>
      </c>
      <c r="D119" s="32">
        <v>5586180942</v>
      </c>
      <c r="E119" s="32" t="s">
        <v>76</v>
      </c>
      <c r="F119" s="32" t="s">
        <v>409</v>
      </c>
      <c r="G119" s="39" t="s">
        <v>781</v>
      </c>
      <c r="H119" s="122">
        <v>500</v>
      </c>
      <c r="I119" s="32">
        <v>383</v>
      </c>
      <c r="J119" s="20">
        <v>10</v>
      </c>
      <c r="K119" s="21">
        <f t="shared" ref="K119:K133" si="23">U119-J119-O119</f>
        <v>0</v>
      </c>
      <c r="L119" s="21">
        <f t="shared" si="20"/>
        <v>393</v>
      </c>
      <c r="M119" s="21">
        <f t="shared" si="21"/>
        <v>107</v>
      </c>
      <c r="N119" s="21"/>
      <c r="O119" s="21"/>
      <c r="P119" s="5"/>
      <c r="Q119" s="21">
        <v>393</v>
      </c>
      <c r="R119" s="16">
        <v>107</v>
      </c>
      <c r="S119" s="21">
        <f t="shared" si="22"/>
        <v>500</v>
      </c>
      <c r="T119" s="21">
        <v>510</v>
      </c>
      <c r="U119" s="78">
        <f t="shared" ref="U119:U135" si="24">T119-S119-O119</f>
        <v>10</v>
      </c>
      <c r="V119" s="140"/>
      <c r="W119" s="147"/>
      <c r="X119" s="23"/>
      <c r="Y119" s="334"/>
      <c r="Z119" s="5"/>
      <c r="AB119">
        <v>31</v>
      </c>
      <c r="AC119" s="16" t="s">
        <v>163</v>
      </c>
      <c r="AD119" s="60">
        <f>+AB119*5</f>
        <v>155</v>
      </c>
      <c r="AF119">
        <v>36</v>
      </c>
      <c r="AG119" s="16" t="s">
        <v>163</v>
      </c>
      <c r="AH119" s="60">
        <f>+AF119*5</f>
        <v>180</v>
      </c>
      <c r="AJ119" s="16">
        <v>185</v>
      </c>
      <c r="AK119" s="16"/>
      <c r="AM119" s="16" t="s">
        <v>163</v>
      </c>
      <c r="AN119" s="60">
        <f>+AL119*5</f>
        <v>0</v>
      </c>
    </row>
    <row r="120" spans="1:40" x14ac:dyDescent="0.25">
      <c r="A120" s="143">
        <v>3</v>
      </c>
      <c r="B120" s="92">
        <v>45184</v>
      </c>
      <c r="C120" s="31" t="s">
        <v>24</v>
      </c>
      <c r="D120" s="32">
        <v>5562236073</v>
      </c>
      <c r="E120" s="32" t="s">
        <v>787</v>
      </c>
      <c r="F120" s="32" t="s">
        <v>625</v>
      </c>
      <c r="G120" s="39"/>
      <c r="H120" s="122"/>
      <c r="I120" s="32"/>
      <c r="J120" s="20">
        <v>10</v>
      </c>
      <c r="K120" s="21">
        <f t="shared" si="23"/>
        <v>0</v>
      </c>
      <c r="L120" s="21">
        <f t="shared" si="20"/>
        <v>10</v>
      </c>
      <c r="M120" s="21">
        <f t="shared" si="21"/>
        <v>-10</v>
      </c>
      <c r="N120" s="21"/>
      <c r="O120" s="21"/>
      <c r="P120" s="5"/>
      <c r="Q120" s="21">
        <v>200</v>
      </c>
      <c r="R120" s="16"/>
      <c r="S120" s="21">
        <f t="shared" si="22"/>
        <v>200</v>
      </c>
      <c r="T120" s="21">
        <v>210</v>
      </c>
      <c r="U120" s="78">
        <f t="shared" si="24"/>
        <v>10</v>
      </c>
      <c r="V120" s="140"/>
      <c r="W120" s="147"/>
      <c r="X120" s="23"/>
      <c r="Y120" s="334"/>
      <c r="Z120" s="5"/>
      <c r="AB120">
        <v>1</v>
      </c>
      <c r="AC120" s="16" t="s">
        <v>164</v>
      </c>
      <c r="AD120" s="18">
        <f>+AB120*200</f>
        <v>200</v>
      </c>
      <c r="AG120" s="16" t="s">
        <v>164</v>
      </c>
      <c r="AH120" s="18">
        <f>+AF120*200</f>
        <v>0</v>
      </c>
      <c r="AJ120" s="16">
        <v>443</v>
      </c>
      <c r="AK120" s="16"/>
      <c r="AM120" s="16" t="s">
        <v>164</v>
      </c>
      <c r="AN120" s="18">
        <f>+AL120*200</f>
        <v>0</v>
      </c>
    </row>
    <row r="121" spans="1:40" x14ac:dyDescent="0.25">
      <c r="A121" s="143">
        <v>4</v>
      </c>
      <c r="B121" s="92">
        <v>45184</v>
      </c>
      <c r="C121" s="31" t="s">
        <v>3107</v>
      </c>
      <c r="D121" s="32">
        <v>5539245551</v>
      </c>
      <c r="E121" s="32"/>
      <c r="F121" s="32" t="s">
        <v>782</v>
      </c>
      <c r="G121" s="39" t="s">
        <v>783</v>
      </c>
      <c r="H121" s="122">
        <v>97</v>
      </c>
      <c r="I121" s="32">
        <v>85</v>
      </c>
      <c r="J121" s="20">
        <v>10</v>
      </c>
      <c r="K121" s="21">
        <f t="shared" si="23"/>
        <v>2</v>
      </c>
      <c r="L121" s="21">
        <f t="shared" si="20"/>
        <v>95</v>
      </c>
      <c r="M121" s="21">
        <f t="shared" si="21"/>
        <v>2</v>
      </c>
      <c r="N121" s="21"/>
      <c r="O121" s="21"/>
      <c r="P121" s="5"/>
      <c r="Q121" s="21"/>
      <c r="R121" s="16"/>
      <c r="S121" s="21">
        <f t="shared" si="22"/>
        <v>0</v>
      </c>
      <c r="T121" s="21">
        <v>12</v>
      </c>
      <c r="U121" s="78">
        <f t="shared" si="24"/>
        <v>12</v>
      </c>
      <c r="V121" s="140"/>
      <c r="W121" s="147"/>
      <c r="X121" s="23"/>
      <c r="Y121" s="334"/>
      <c r="Z121" s="5"/>
      <c r="AB121">
        <v>2</v>
      </c>
      <c r="AC121" s="16" t="s">
        <v>165</v>
      </c>
      <c r="AD121" s="18">
        <f>+AB121*100</f>
        <v>200</v>
      </c>
      <c r="AG121" s="16" t="s">
        <v>165</v>
      </c>
      <c r="AH121" s="18">
        <f>+AF121*100</f>
        <v>0</v>
      </c>
      <c r="AJ121" s="16">
        <v>164</v>
      </c>
      <c r="AK121" s="16"/>
      <c r="AM121" s="16" t="s">
        <v>165</v>
      </c>
      <c r="AN121" s="18">
        <f>+AL121*100</f>
        <v>0</v>
      </c>
    </row>
    <row r="122" spans="1:40" x14ac:dyDescent="0.25">
      <c r="A122" s="143">
        <v>5</v>
      </c>
      <c r="B122" s="92">
        <v>45184</v>
      </c>
      <c r="C122" s="31" t="s">
        <v>1143</v>
      </c>
      <c r="D122" s="32"/>
      <c r="E122" s="32" t="s">
        <v>788</v>
      </c>
      <c r="F122" s="32" t="s">
        <v>785</v>
      </c>
      <c r="G122" s="151" t="s">
        <v>786</v>
      </c>
      <c r="H122" s="122">
        <v>70</v>
      </c>
      <c r="I122" s="32">
        <v>66</v>
      </c>
      <c r="J122" s="20">
        <v>10</v>
      </c>
      <c r="K122" s="21">
        <f t="shared" si="23"/>
        <v>10</v>
      </c>
      <c r="L122" s="21">
        <f t="shared" si="20"/>
        <v>76</v>
      </c>
      <c r="M122" s="21">
        <f t="shared" si="21"/>
        <v>-6</v>
      </c>
      <c r="N122" s="21"/>
      <c r="O122" s="21"/>
      <c r="P122" s="5"/>
      <c r="Q122" s="16"/>
      <c r="R122" s="16"/>
      <c r="S122" s="21">
        <f t="shared" si="22"/>
        <v>0</v>
      </c>
      <c r="T122" s="21">
        <v>20</v>
      </c>
      <c r="U122" s="78">
        <f t="shared" si="24"/>
        <v>20</v>
      </c>
      <c r="V122" s="140"/>
      <c r="W122" s="147"/>
      <c r="X122" s="23"/>
      <c r="Y122" s="334"/>
      <c r="Z122" s="5"/>
      <c r="AB122">
        <v>2</v>
      </c>
      <c r="AC122" s="16" t="s">
        <v>166</v>
      </c>
      <c r="AD122" s="18">
        <f>+AB122*50</f>
        <v>100</v>
      </c>
      <c r="AF122">
        <v>4</v>
      </c>
      <c r="AG122" s="16" t="s">
        <v>166</v>
      </c>
      <c r="AH122" s="18">
        <f>+AF122*50</f>
        <v>200</v>
      </c>
      <c r="AJ122" s="16"/>
      <c r="AK122" s="16"/>
      <c r="AM122" s="16" t="s">
        <v>166</v>
      </c>
      <c r="AN122" s="18">
        <f>+AL122*50</f>
        <v>0</v>
      </c>
    </row>
    <row r="123" spans="1:40" x14ac:dyDescent="0.25">
      <c r="A123" s="143">
        <v>6</v>
      </c>
      <c r="B123" s="92">
        <v>45184</v>
      </c>
      <c r="C123" s="31" t="s">
        <v>2644</v>
      </c>
      <c r="D123" s="32">
        <v>5537803548</v>
      </c>
      <c r="E123" s="32"/>
      <c r="F123" s="32" t="s">
        <v>207</v>
      </c>
      <c r="G123" s="39" t="s">
        <v>789</v>
      </c>
      <c r="H123" s="39"/>
      <c r="I123" s="42">
        <v>350</v>
      </c>
      <c r="J123" s="20">
        <v>10</v>
      </c>
      <c r="K123" s="21">
        <f t="shared" si="23"/>
        <v>-205</v>
      </c>
      <c r="L123" s="21">
        <f t="shared" si="20"/>
        <v>360</v>
      </c>
      <c r="M123" s="21">
        <f t="shared" si="21"/>
        <v>-360</v>
      </c>
      <c r="N123" s="21"/>
      <c r="O123" s="21">
        <v>228</v>
      </c>
      <c r="P123" s="5"/>
      <c r="Q123" s="16">
        <v>300</v>
      </c>
      <c r="R123" s="16"/>
      <c r="S123" s="21">
        <f t="shared" si="22"/>
        <v>300</v>
      </c>
      <c r="T123" s="16">
        <v>561</v>
      </c>
      <c r="U123" s="78">
        <f t="shared" si="24"/>
        <v>33</v>
      </c>
      <c r="V123" s="140"/>
      <c r="W123" s="147"/>
      <c r="X123" s="23"/>
      <c r="Y123" s="334"/>
      <c r="Z123" s="5"/>
      <c r="AB123">
        <v>8</v>
      </c>
      <c r="AC123" s="16" t="s">
        <v>167</v>
      </c>
      <c r="AD123" s="18">
        <f>+AB123*20</f>
        <v>160</v>
      </c>
      <c r="AF123">
        <v>15</v>
      </c>
      <c r="AG123" s="16" t="s">
        <v>167</v>
      </c>
      <c r="AH123" s="18">
        <f>+AF123*20</f>
        <v>300</v>
      </c>
      <c r="AJ123" s="16"/>
      <c r="AK123" s="16"/>
      <c r="AM123" s="16" t="s">
        <v>167</v>
      </c>
      <c r="AN123" s="18">
        <f>+AL123*20</f>
        <v>0</v>
      </c>
    </row>
    <row r="124" spans="1:40" x14ac:dyDescent="0.25">
      <c r="A124" s="143">
        <v>7</v>
      </c>
      <c r="B124" s="92">
        <v>45184</v>
      </c>
      <c r="C124" s="31" t="s">
        <v>3106</v>
      </c>
      <c r="D124" s="32"/>
      <c r="E124" s="32" t="s">
        <v>76</v>
      </c>
      <c r="F124" s="32" t="s">
        <v>790</v>
      </c>
      <c r="G124" s="39" t="s">
        <v>792</v>
      </c>
      <c r="H124" s="122">
        <v>466</v>
      </c>
      <c r="I124" s="42">
        <v>436</v>
      </c>
      <c r="J124" s="20">
        <v>10</v>
      </c>
      <c r="K124" s="21">
        <f t="shared" si="23"/>
        <v>20</v>
      </c>
      <c r="L124" s="21">
        <f t="shared" si="20"/>
        <v>446</v>
      </c>
      <c r="M124" s="21">
        <f t="shared" si="21"/>
        <v>20</v>
      </c>
      <c r="N124" s="21"/>
      <c r="O124" s="21"/>
      <c r="P124" s="5"/>
      <c r="Q124" s="16">
        <v>500</v>
      </c>
      <c r="R124" s="16"/>
      <c r="S124" s="21">
        <f t="shared" si="22"/>
        <v>500</v>
      </c>
      <c r="T124" s="16">
        <v>530</v>
      </c>
      <c r="U124" s="78">
        <f t="shared" si="24"/>
        <v>30</v>
      </c>
      <c r="V124" s="140"/>
      <c r="W124" s="147"/>
      <c r="X124" s="23"/>
      <c r="Y124" s="334"/>
      <c r="Z124" s="5"/>
      <c r="AC124" s="16" t="s">
        <v>171</v>
      </c>
      <c r="AD124" s="18">
        <f>+AB124*500</f>
        <v>0</v>
      </c>
      <c r="AG124" s="16" t="s">
        <v>171</v>
      </c>
      <c r="AH124" s="18">
        <f>+AF124*500</f>
        <v>0</v>
      </c>
      <c r="AJ124" s="16"/>
      <c r="AK124" s="16"/>
      <c r="AM124" s="16" t="s">
        <v>171</v>
      </c>
      <c r="AN124" s="18">
        <f>+AL124*500</f>
        <v>0</v>
      </c>
    </row>
    <row r="125" spans="1:40" x14ac:dyDescent="0.25">
      <c r="A125" s="143">
        <v>8</v>
      </c>
      <c r="B125" s="92">
        <v>45184</v>
      </c>
      <c r="C125" s="31" t="s">
        <v>1500</v>
      </c>
      <c r="D125" s="123">
        <v>5639611669</v>
      </c>
      <c r="E125" s="123" t="s">
        <v>408</v>
      </c>
      <c r="F125" s="123" t="s">
        <v>793</v>
      </c>
      <c r="G125" s="39" t="s">
        <v>794</v>
      </c>
      <c r="H125" s="122"/>
      <c r="I125" s="32">
        <v>286</v>
      </c>
      <c r="J125" s="20">
        <v>10</v>
      </c>
      <c r="K125" s="21">
        <f t="shared" si="23"/>
        <v>2</v>
      </c>
      <c r="L125" s="21">
        <f t="shared" si="20"/>
        <v>296</v>
      </c>
      <c r="M125" s="21">
        <f t="shared" si="21"/>
        <v>-296</v>
      </c>
      <c r="N125" s="21"/>
      <c r="O125" s="21"/>
      <c r="P125" s="5"/>
      <c r="Q125" s="16">
        <v>500</v>
      </c>
      <c r="R125" s="16"/>
      <c r="S125" s="21">
        <f t="shared" si="22"/>
        <v>500</v>
      </c>
      <c r="T125" s="16">
        <v>512</v>
      </c>
      <c r="U125" s="78">
        <f t="shared" si="24"/>
        <v>12</v>
      </c>
      <c r="V125" s="140"/>
      <c r="W125" s="147"/>
      <c r="X125" s="23"/>
      <c r="Y125" s="334"/>
      <c r="Z125" s="5"/>
      <c r="AC125" s="16" t="s">
        <v>168</v>
      </c>
      <c r="AD125" s="18">
        <f>+AB125*1000</f>
        <v>0</v>
      </c>
      <c r="AG125" s="16" t="s">
        <v>168</v>
      </c>
      <c r="AH125" s="18">
        <f>+AF125*1000</f>
        <v>0</v>
      </c>
      <c r="AJ125" s="16"/>
      <c r="AK125" s="16"/>
      <c r="AM125" s="16" t="s">
        <v>168</v>
      </c>
      <c r="AN125" s="18">
        <f>+AL125*1000</f>
        <v>0</v>
      </c>
    </row>
    <row r="126" spans="1:40" x14ac:dyDescent="0.25">
      <c r="A126" s="143">
        <v>9</v>
      </c>
      <c r="B126" s="92">
        <v>45184</v>
      </c>
      <c r="C126" s="31" t="s">
        <v>2489</v>
      </c>
      <c r="D126" s="32">
        <v>5553181275</v>
      </c>
      <c r="E126" s="32" t="s">
        <v>106</v>
      </c>
      <c r="F126" s="32" t="s">
        <v>795</v>
      </c>
      <c r="G126" s="39" t="s">
        <v>796</v>
      </c>
      <c r="H126" s="39">
        <v>60</v>
      </c>
      <c r="I126" s="40">
        <v>50</v>
      </c>
      <c r="J126" s="20">
        <v>10</v>
      </c>
      <c r="K126" s="21">
        <f t="shared" si="23"/>
        <v>-98</v>
      </c>
      <c r="L126" s="21">
        <f t="shared" si="20"/>
        <v>60</v>
      </c>
      <c r="M126" s="21">
        <f t="shared" si="21"/>
        <v>0</v>
      </c>
      <c r="N126" s="21"/>
      <c r="O126" s="21">
        <v>50</v>
      </c>
      <c r="P126" s="5"/>
      <c r="Q126" s="16"/>
      <c r="R126" s="16"/>
      <c r="S126" s="21">
        <f t="shared" si="22"/>
        <v>0</v>
      </c>
      <c r="T126" s="16">
        <v>12</v>
      </c>
      <c r="U126" s="78">
        <f t="shared" si="24"/>
        <v>-38</v>
      </c>
      <c r="V126" s="140"/>
      <c r="W126" s="147"/>
      <c r="X126" s="23"/>
      <c r="Y126" s="334"/>
      <c r="Z126" s="5"/>
      <c r="AC126" s="26"/>
      <c r="AD126" s="58"/>
      <c r="AG126" s="26"/>
      <c r="AH126" s="58"/>
      <c r="AJ126" s="16"/>
      <c r="AK126" s="16"/>
      <c r="AM126" s="26"/>
      <c r="AN126" s="58"/>
    </row>
    <row r="127" spans="1:40" x14ac:dyDescent="0.25">
      <c r="A127" s="143">
        <v>10</v>
      </c>
      <c r="B127" s="92">
        <v>45184</v>
      </c>
      <c r="C127" s="31" t="s">
        <v>48</v>
      </c>
      <c r="D127" s="32">
        <v>5530181574</v>
      </c>
      <c r="E127" s="32" t="s">
        <v>798</v>
      </c>
      <c r="F127" t="s">
        <v>50</v>
      </c>
      <c r="G127" s="39" t="s">
        <v>797</v>
      </c>
      <c r="H127" s="122">
        <v>100</v>
      </c>
      <c r="I127" s="42">
        <v>80</v>
      </c>
      <c r="J127" s="20">
        <v>10</v>
      </c>
      <c r="K127" s="21">
        <f t="shared" si="23"/>
        <v>-10</v>
      </c>
      <c r="L127" s="21">
        <f t="shared" si="20"/>
        <v>90</v>
      </c>
      <c r="M127" s="21">
        <f t="shared" si="21"/>
        <v>10</v>
      </c>
      <c r="N127" s="21"/>
      <c r="O127" s="21"/>
      <c r="P127" s="5"/>
      <c r="Q127" s="16"/>
      <c r="R127" s="16"/>
      <c r="S127" s="21">
        <f t="shared" si="22"/>
        <v>0</v>
      </c>
      <c r="T127" s="16"/>
      <c r="U127" s="78">
        <f t="shared" si="24"/>
        <v>0</v>
      </c>
      <c r="V127" s="140"/>
      <c r="W127" s="147"/>
      <c r="X127" s="23"/>
      <c r="Y127" s="334"/>
      <c r="Z127" s="5"/>
      <c r="AC127" s="16" t="s">
        <v>169</v>
      </c>
      <c r="AD127" s="18">
        <f>SUM(AD117:AD126)</f>
        <v>1087.5</v>
      </c>
      <c r="AG127" s="16" t="s">
        <v>169</v>
      </c>
      <c r="AH127" s="18">
        <f>SUM(AH117:AH126)</f>
        <v>952</v>
      </c>
      <c r="AJ127" s="16"/>
      <c r="AK127" s="16"/>
      <c r="AM127" s="16" t="s">
        <v>169</v>
      </c>
      <c r="AN127" s="18"/>
    </row>
    <row r="128" spans="1:40" x14ac:dyDescent="0.25">
      <c r="A128" s="143">
        <v>11</v>
      </c>
      <c r="B128" s="92">
        <v>45184</v>
      </c>
      <c r="C128" s="31" t="s">
        <v>24</v>
      </c>
      <c r="D128" s="32">
        <v>5562236073</v>
      </c>
      <c r="E128" s="32" t="s">
        <v>799</v>
      </c>
      <c r="F128" s="32" t="s">
        <v>625</v>
      </c>
      <c r="G128" s="39"/>
      <c r="H128" s="122">
        <v>318</v>
      </c>
      <c r="I128" s="42">
        <v>298</v>
      </c>
      <c r="J128" s="20">
        <v>20</v>
      </c>
      <c r="K128" s="21">
        <f t="shared" si="23"/>
        <v>0</v>
      </c>
      <c r="L128" s="21">
        <f t="shared" si="20"/>
        <v>318</v>
      </c>
      <c r="M128" s="21">
        <f t="shared" si="21"/>
        <v>0</v>
      </c>
      <c r="N128" s="21"/>
      <c r="O128" s="21"/>
      <c r="P128" s="5"/>
      <c r="Q128" s="16">
        <v>240</v>
      </c>
      <c r="R128" s="16">
        <v>40</v>
      </c>
      <c r="S128" s="21">
        <f t="shared" si="22"/>
        <v>280</v>
      </c>
      <c r="T128" s="16">
        <v>300</v>
      </c>
      <c r="U128" s="78">
        <f t="shared" si="24"/>
        <v>20</v>
      </c>
      <c r="V128" s="140"/>
      <c r="W128" s="147"/>
      <c r="X128" s="23"/>
      <c r="Y128" s="334"/>
      <c r="Z128" s="5"/>
      <c r="AJ128" s="16"/>
      <c r="AK128" s="16"/>
      <c r="AM128" s="16"/>
      <c r="AN128" s="16"/>
    </row>
    <row r="129" spans="1:41" x14ac:dyDescent="0.25">
      <c r="A129" s="143">
        <v>12</v>
      </c>
      <c r="B129" s="92">
        <v>45184</v>
      </c>
      <c r="C129" s="32" t="s">
        <v>230</v>
      </c>
      <c r="D129" s="32"/>
      <c r="E129" s="124" t="s">
        <v>38</v>
      </c>
      <c r="F129" s="123" t="s">
        <v>801</v>
      </c>
      <c r="G129" s="39" t="s">
        <v>800</v>
      </c>
      <c r="H129" s="39">
        <v>100</v>
      </c>
      <c r="I129" s="42">
        <v>85</v>
      </c>
      <c r="J129" s="20">
        <v>10</v>
      </c>
      <c r="K129" s="21">
        <f t="shared" si="23"/>
        <v>25</v>
      </c>
      <c r="L129" s="21">
        <f t="shared" si="20"/>
        <v>95</v>
      </c>
      <c r="M129" s="21">
        <f t="shared" si="21"/>
        <v>5</v>
      </c>
      <c r="N129" s="21"/>
      <c r="O129" s="21"/>
      <c r="P129" s="5"/>
      <c r="Q129" s="45">
        <v>200</v>
      </c>
      <c r="R129" s="44"/>
      <c r="S129" s="21">
        <f t="shared" si="22"/>
        <v>200</v>
      </c>
      <c r="T129" s="45">
        <v>235</v>
      </c>
      <c r="U129" s="78">
        <f t="shared" si="24"/>
        <v>35</v>
      </c>
      <c r="V129" s="140"/>
      <c r="W129" s="147"/>
      <c r="X129" s="23"/>
      <c r="Y129" s="334"/>
      <c r="Z129" s="5"/>
      <c r="AD129">
        <v>816</v>
      </c>
      <c r="AJ129" s="63" t="s">
        <v>169</v>
      </c>
      <c r="AK129" s="63">
        <f>+SUM(AJ118:AJ128)-SUM(AK118:AK128)</f>
        <v>892</v>
      </c>
      <c r="AM129" s="63" t="s">
        <v>169</v>
      </c>
      <c r="AN129" s="85">
        <f>+SUM(AM117:AM128)-SUM(AN118:AN128)</f>
        <v>0</v>
      </c>
    </row>
    <row r="130" spans="1:41" x14ac:dyDescent="0.25">
      <c r="A130" s="143">
        <v>13</v>
      </c>
      <c r="B130" s="92">
        <v>45184</v>
      </c>
      <c r="C130" s="31" t="s">
        <v>3105</v>
      </c>
      <c r="D130" s="32"/>
      <c r="E130" s="32" t="s">
        <v>41</v>
      </c>
      <c r="F130" s="32" t="s">
        <v>802</v>
      </c>
      <c r="G130" s="39" t="s">
        <v>803</v>
      </c>
      <c r="H130" s="39">
        <v>200</v>
      </c>
      <c r="I130" s="42"/>
      <c r="J130" s="108">
        <v>10</v>
      </c>
      <c r="K130" s="21">
        <f t="shared" si="23"/>
        <v>-10</v>
      </c>
      <c r="L130" s="21">
        <f t="shared" si="20"/>
        <v>10</v>
      </c>
      <c r="M130" s="21">
        <f t="shared" si="21"/>
        <v>190</v>
      </c>
      <c r="N130" s="21"/>
      <c r="O130" s="21"/>
      <c r="P130" s="5"/>
      <c r="Q130" s="43"/>
      <c r="R130" s="32"/>
      <c r="S130" s="21">
        <f t="shared" si="22"/>
        <v>0</v>
      </c>
      <c r="T130" s="43"/>
      <c r="U130" s="78">
        <f t="shared" si="24"/>
        <v>0</v>
      </c>
      <c r="V130" s="140"/>
      <c r="W130" s="147"/>
      <c r="X130" s="23"/>
      <c r="Y130" s="334"/>
      <c r="Z130" s="5"/>
      <c r="AH130" s="83"/>
    </row>
    <row r="131" spans="1:41" x14ac:dyDescent="0.25">
      <c r="A131" s="143">
        <v>14</v>
      </c>
      <c r="B131" s="92">
        <v>45184</v>
      </c>
      <c r="C131" s="31" t="s">
        <v>114</v>
      </c>
      <c r="D131" s="32">
        <v>5560555623</v>
      </c>
      <c r="E131" s="32" t="s">
        <v>807</v>
      </c>
      <c r="F131" s="32" t="s">
        <v>806</v>
      </c>
      <c r="G131" s="32" t="s">
        <v>805</v>
      </c>
      <c r="H131" s="39">
        <v>200</v>
      </c>
      <c r="I131" s="42">
        <v>74</v>
      </c>
      <c r="J131" s="108">
        <v>10</v>
      </c>
      <c r="K131" s="21">
        <f t="shared" si="23"/>
        <v>16</v>
      </c>
      <c r="L131" s="21">
        <f t="shared" si="20"/>
        <v>84</v>
      </c>
      <c r="M131" s="21">
        <f t="shared" si="21"/>
        <v>116</v>
      </c>
      <c r="N131" s="21"/>
      <c r="O131" s="21"/>
      <c r="P131" s="5"/>
      <c r="Q131" s="43">
        <v>250</v>
      </c>
      <c r="R131" s="43"/>
      <c r="S131" s="21">
        <f>+Q131+R131</f>
        <v>250</v>
      </c>
      <c r="T131" s="43">
        <v>276</v>
      </c>
      <c r="U131" s="78">
        <f t="shared" si="24"/>
        <v>26</v>
      </c>
      <c r="V131" s="140"/>
      <c r="W131" s="147"/>
      <c r="X131" s="23"/>
      <c r="Y131" s="334"/>
      <c r="Z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41" x14ac:dyDescent="0.25">
      <c r="A132" s="143">
        <v>15</v>
      </c>
      <c r="B132" s="92">
        <v>45184</v>
      </c>
      <c r="C132" s="127" t="s">
        <v>2637</v>
      </c>
      <c r="D132" s="32"/>
      <c r="E132" s="32" t="s">
        <v>619</v>
      </c>
      <c r="F132" s="128" t="s">
        <v>809</v>
      </c>
      <c r="G132" s="129" t="s">
        <v>808</v>
      </c>
      <c r="H132" s="39">
        <v>28</v>
      </c>
      <c r="I132" s="42">
        <v>18</v>
      </c>
      <c r="J132" s="108">
        <v>10</v>
      </c>
      <c r="K132" s="21">
        <f t="shared" si="23"/>
        <v>0</v>
      </c>
      <c r="L132" s="21">
        <f t="shared" si="20"/>
        <v>28</v>
      </c>
      <c r="M132" s="21">
        <f t="shared" si="21"/>
        <v>0</v>
      </c>
      <c r="N132" s="21"/>
      <c r="O132" s="21"/>
      <c r="P132" s="5"/>
      <c r="Q132" s="43"/>
      <c r="R132" s="43"/>
      <c r="S132" s="21"/>
      <c r="T132" s="43">
        <v>10</v>
      </c>
      <c r="U132" s="78">
        <f t="shared" si="24"/>
        <v>10</v>
      </c>
      <c r="V132" s="140"/>
      <c r="W132" s="147"/>
      <c r="X132" s="23"/>
      <c r="Y132" s="334"/>
      <c r="Z132" s="5"/>
      <c r="AC132" s="5"/>
      <c r="AD132" s="134" t="s">
        <v>20</v>
      </c>
      <c r="AE132" s="338">
        <v>230</v>
      </c>
      <c r="AF132" s="341" t="s">
        <v>686</v>
      </c>
      <c r="AG132" s="134" t="s">
        <v>20</v>
      </c>
      <c r="AH132" s="338">
        <v>254</v>
      </c>
      <c r="AI132" s="341" t="s">
        <v>687</v>
      </c>
      <c r="AJ132" s="134" t="s">
        <v>20</v>
      </c>
      <c r="AK132" s="338">
        <v>377</v>
      </c>
      <c r="AL132" s="5"/>
      <c r="AN132" t="s">
        <v>804</v>
      </c>
    </row>
    <row r="133" spans="1:41" x14ac:dyDescent="0.25">
      <c r="A133" s="41">
        <v>16</v>
      </c>
      <c r="B133" s="92">
        <v>45184</v>
      </c>
      <c r="C133" s="31" t="s">
        <v>2637</v>
      </c>
      <c r="D133" s="32"/>
      <c r="E133" s="32" t="s">
        <v>817</v>
      </c>
      <c r="F133" s="32" t="s">
        <v>809</v>
      </c>
      <c r="G133" s="39" t="s">
        <v>812</v>
      </c>
      <c r="H133" s="39">
        <v>193</v>
      </c>
      <c r="I133" s="42">
        <v>183</v>
      </c>
      <c r="J133" s="43">
        <v>10</v>
      </c>
      <c r="K133" s="21">
        <f t="shared" si="23"/>
        <v>-342</v>
      </c>
      <c r="L133" s="21">
        <f t="shared" si="20"/>
        <v>193</v>
      </c>
      <c r="M133" s="21">
        <f t="shared" si="21"/>
        <v>0</v>
      </c>
      <c r="N133" s="21"/>
      <c r="O133" s="21">
        <v>166</v>
      </c>
      <c r="P133" s="5"/>
      <c r="Q133" s="43"/>
      <c r="R133" s="32"/>
      <c r="S133" s="21">
        <f t="shared" si="22"/>
        <v>0</v>
      </c>
      <c r="T133" s="131"/>
      <c r="U133" s="78">
        <f t="shared" si="24"/>
        <v>-166</v>
      </c>
      <c r="V133" s="140"/>
      <c r="W133" s="147"/>
      <c r="X133" s="23"/>
      <c r="Y133" s="334"/>
      <c r="Z133" s="5"/>
      <c r="AC133" s="5" t="s">
        <v>685</v>
      </c>
      <c r="AD133" s="115" t="s">
        <v>684</v>
      </c>
      <c r="AE133" s="339"/>
      <c r="AF133" s="341"/>
      <c r="AG133" s="115" t="s">
        <v>684</v>
      </c>
      <c r="AH133" s="339"/>
      <c r="AI133" s="341"/>
      <c r="AJ133" s="115" t="s">
        <v>684</v>
      </c>
      <c r="AK133" s="339"/>
      <c r="AL133" s="5"/>
      <c r="AN133" t="s">
        <v>810</v>
      </c>
      <c r="AO133">
        <v>170</v>
      </c>
    </row>
    <row r="134" spans="1:41" x14ac:dyDescent="0.25">
      <c r="A134" s="143">
        <v>17</v>
      </c>
      <c r="B134" s="92">
        <v>45184</v>
      </c>
      <c r="C134" s="31" t="s">
        <v>1500</v>
      </c>
      <c r="D134" s="123">
        <v>5639611669</v>
      </c>
      <c r="E134" s="123" t="s">
        <v>156</v>
      </c>
      <c r="F134" s="123" t="s">
        <v>793</v>
      </c>
      <c r="G134" s="39" t="s">
        <v>816</v>
      </c>
      <c r="H134" s="39">
        <v>36</v>
      </c>
      <c r="I134" s="42">
        <v>20</v>
      </c>
      <c r="J134" s="43">
        <v>10</v>
      </c>
      <c r="K134" s="21">
        <v>6</v>
      </c>
      <c r="L134" s="21">
        <f t="shared" si="20"/>
        <v>30</v>
      </c>
      <c r="M134" s="21">
        <v>0</v>
      </c>
      <c r="N134" s="21"/>
      <c r="O134" s="21"/>
      <c r="P134" s="5"/>
      <c r="Q134" s="43"/>
      <c r="R134" s="32"/>
      <c r="S134" s="21">
        <f t="shared" si="22"/>
        <v>0</v>
      </c>
      <c r="T134" s="132"/>
      <c r="U134" s="78">
        <f t="shared" si="24"/>
        <v>0</v>
      </c>
      <c r="V134" s="140"/>
      <c r="W134" s="147"/>
      <c r="X134" s="23"/>
      <c r="Y134" s="340"/>
      <c r="Z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N134" t="s">
        <v>811</v>
      </c>
      <c r="AO134">
        <v>130</v>
      </c>
    </row>
    <row r="135" spans="1:41" x14ac:dyDescent="0.25">
      <c r="A135" s="143">
        <v>18</v>
      </c>
      <c r="B135" s="92">
        <v>45184</v>
      </c>
      <c r="C135" s="31" t="s">
        <v>2639</v>
      </c>
      <c r="D135" s="32">
        <v>5572135330</v>
      </c>
      <c r="E135" s="32" t="s">
        <v>106</v>
      </c>
      <c r="F135" s="32" t="s">
        <v>814</v>
      </c>
      <c r="G135" s="39" t="s">
        <v>813</v>
      </c>
      <c r="H135" s="39">
        <v>61</v>
      </c>
      <c r="I135" s="42">
        <v>51</v>
      </c>
      <c r="J135" s="43">
        <v>10</v>
      </c>
      <c r="K135" s="21">
        <v>0</v>
      </c>
      <c r="L135" s="21">
        <f t="shared" si="20"/>
        <v>61</v>
      </c>
      <c r="M135" s="21">
        <f t="shared" si="21"/>
        <v>0</v>
      </c>
      <c r="N135" s="21"/>
      <c r="O135" s="21">
        <v>51</v>
      </c>
      <c r="P135" s="5"/>
      <c r="Q135" s="135"/>
      <c r="R135" s="104"/>
      <c r="S135" s="21">
        <f t="shared" si="22"/>
        <v>0</v>
      </c>
      <c r="T135" s="131"/>
      <c r="U135" s="78">
        <f t="shared" si="24"/>
        <v>-51</v>
      </c>
      <c r="V135" s="140"/>
      <c r="W135" s="138"/>
      <c r="X135" s="32"/>
      <c r="Z135" s="5"/>
      <c r="AO135">
        <f>+AO133+AO134-300</f>
        <v>0</v>
      </c>
    </row>
    <row r="136" spans="1:41" x14ac:dyDescent="0.25">
      <c r="A136" s="143">
        <v>19</v>
      </c>
      <c r="B136" s="92">
        <v>45184</v>
      </c>
      <c r="C136" s="31" t="s">
        <v>397</v>
      </c>
      <c r="D136" s="32">
        <v>5532536647</v>
      </c>
      <c r="E136" s="32" t="s">
        <v>52</v>
      </c>
      <c r="F136" s="32" t="s">
        <v>818</v>
      </c>
      <c r="G136" s="39" t="s">
        <v>819</v>
      </c>
      <c r="H136" s="39">
        <v>102</v>
      </c>
      <c r="I136" s="42">
        <v>92</v>
      </c>
      <c r="J136" s="43">
        <v>10</v>
      </c>
      <c r="K136" s="21">
        <v>8</v>
      </c>
      <c r="L136" s="21">
        <f>+I136+J136</f>
        <v>102</v>
      </c>
      <c r="M136" s="21">
        <f>+H136-L136</f>
        <v>0</v>
      </c>
      <c r="N136" s="21"/>
      <c r="O136" s="21">
        <v>55</v>
      </c>
      <c r="P136" s="5"/>
      <c r="Q136" s="135"/>
      <c r="R136" s="104"/>
      <c r="S136" s="21">
        <f>+Q136+R136</f>
        <v>0</v>
      </c>
      <c r="T136" s="131"/>
      <c r="U136" s="78">
        <f>T136-S136-O136</f>
        <v>-55</v>
      </c>
      <c r="V136" s="140"/>
      <c r="W136" s="138"/>
      <c r="X136" s="32"/>
      <c r="Z136" s="5"/>
    </row>
    <row r="137" spans="1:41" x14ac:dyDescent="0.25">
      <c r="A137" s="143">
        <v>20</v>
      </c>
      <c r="B137" s="92">
        <v>45184</v>
      </c>
      <c r="C137" s="31" t="s">
        <v>721</v>
      </c>
      <c r="D137" s="32">
        <v>5625771181</v>
      </c>
      <c r="E137" s="32" t="s">
        <v>821</v>
      </c>
      <c r="F137" s="32" t="s">
        <v>827</v>
      </c>
      <c r="G137" s="39" t="s">
        <v>820</v>
      </c>
      <c r="H137" s="39">
        <v>185</v>
      </c>
      <c r="I137" s="42">
        <v>165</v>
      </c>
      <c r="J137" s="43">
        <v>20</v>
      </c>
      <c r="K137" s="21">
        <v>0</v>
      </c>
      <c r="L137" s="21">
        <f>+I137+J137</f>
        <v>185</v>
      </c>
      <c r="M137" s="21">
        <f>+H137-L137</f>
        <v>0</v>
      </c>
      <c r="N137" s="21">
        <v>185</v>
      </c>
      <c r="O137" s="21"/>
      <c r="P137" s="5"/>
      <c r="Q137" s="135"/>
      <c r="R137" s="104"/>
      <c r="S137" s="21">
        <f>+Q137+R137</f>
        <v>0</v>
      </c>
      <c r="T137" s="131"/>
      <c r="U137" s="78">
        <f>T137-S137-O137</f>
        <v>0</v>
      </c>
      <c r="V137" s="140"/>
      <c r="W137" s="138"/>
      <c r="X137" s="32"/>
      <c r="Z137" s="5"/>
    </row>
    <row r="138" spans="1:41" x14ac:dyDescent="0.25">
      <c r="A138" s="143">
        <v>21</v>
      </c>
      <c r="B138" s="92">
        <v>45184</v>
      </c>
      <c r="C138" s="31" t="s">
        <v>2639</v>
      </c>
      <c r="D138" s="32">
        <v>5572135330</v>
      </c>
      <c r="E138" s="32" t="s">
        <v>828</v>
      </c>
      <c r="F138" s="32" t="s">
        <v>814</v>
      </c>
      <c r="G138" s="39" t="s">
        <v>832</v>
      </c>
      <c r="H138" s="39">
        <v>136</v>
      </c>
      <c r="I138" s="42">
        <v>126</v>
      </c>
      <c r="J138" s="43">
        <v>10</v>
      </c>
      <c r="K138" s="21">
        <f>U138-J138-O138</f>
        <v>-104</v>
      </c>
      <c r="L138" s="21">
        <f>+I138+J138</f>
        <v>136</v>
      </c>
      <c r="M138" s="21">
        <f>+H138-L138</f>
        <v>0</v>
      </c>
      <c r="N138" s="21"/>
      <c r="O138" s="21">
        <v>47</v>
      </c>
      <c r="P138" s="5"/>
      <c r="Q138" s="135"/>
      <c r="R138" s="104"/>
      <c r="S138" s="21">
        <f>+Q138+R138</f>
        <v>0</v>
      </c>
      <c r="T138" s="131"/>
      <c r="U138" s="78">
        <f>T138-S138-O138</f>
        <v>-47</v>
      </c>
      <c r="V138" s="140"/>
      <c r="W138" s="138"/>
      <c r="X138" s="32"/>
      <c r="Z138" s="5"/>
    </row>
    <row r="139" spans="1:41" x14ac:dyDescent="0.25">
      <c r="A139" s="143">
        <v>22</v>
      </c>
      <c r="B139" s="92">
        <v>45184</v>
      </c>
      <c r="C139" s="31" t="s">
        <v>447</v>
      </c>
      <c r="D139" s="32">
        <v>5522701719</v>
      </c>
      <c r="E139" s="32" t="s">
        <v>822</v>
      </c>
      <c r="F139" s="32" t="s">
        <v>98</v>
      </c>
      <c r="G139" s="39" t="s">
        <v>826</v>
      </c>
      <c r="H139" s="39">
        <v>42</v>
      </c>
      <c r="I139" s="42">
        <v>32</v>
      </c>
      <c r="J139" s="43">
        <v>10</v>
      </c>
      <c r="K139" s="21">
        <f t="shared" ref="K139:K150" si="25">U139-J139-O139</f>
        <v>-10</v>
      </c>
      <c r="L139" s="21">
        <f t="shared" ref="L139:L150" si="26">+I139+J139</f>
        <v>42</v>
      </c>
      <c r="M139" s="21">
        <f t="shared" ref="M139:M150" si="27">+H139-L139</f>
        <v>0</v>
      </c>
      <c r="N139" s="21"/>
      <c r="O139" s="21"/>
      <c r="P139" s="5"/>
      <c r="Q139" s="135"/>
      <c r="R139" s="104"/>
      <c r="S139" s="21">
        <f t="shared" ref="S139:S150" si="28">+Q139+R139</f>
        <v>0</v>
      </c>
      <c r="T139" s="131"/>
      <c r="U139" s="78">
        <f t="shared" ref="U139:U150" si="29">T139-S139-O139</f>
        <v>0</v>
      </c>
      <c r="V139" s="140"/>
      <c r="W139" s="138"/>
      <c r="X139" s="32"/>
      <c r="Z139" s="5"/>
    </row>
    <row r="140" spans="1:41" x14ac:dyDescent="0.25">
      <c r="A140" s="143">
        <v>23</v>
      </c>
      <c r="B140" s="92">
        <v>45184</v>
      </c>
      <c r="C140" s="31" t="s">
        <v>823</v>
      </c>
      <c r="D140" s="32">
        <v>5553945187</v>
      </c>
      <c r="E140" s="32" t="s">
        <v>41</v>
      </c>
      <c r="F140" s="32" t="s">
        <v>824</v>
      </c>
      <c r="G140" s="39" t="s">
        <v>825</v>
      </c>
      <c r="H140" s="39">
        <v>79</v>
      </c>
      <c r="I140" s="42">
        <v>69</v>
      </c>
      <c r="J140" s="43">
        <v>10</v>
      </c>
      <c r="K140" s="21">
        <f t="shared" si="25"/>
        <v>-10</v>
      </c>
      <c r="L140" s="21">
        <f t="shared" si="26"/>
        <v>79</v>
      </c>
      <c r="M140" s="21">
        <f t="shared" si="27"/>
        <v>0</v>
      </c>
      <c r="N140" s="21"/>
      <c r="O140" s="21"/>
      <c r="P140" s="5"/>
      <c r="Q140" s="135"/>
      <c r="R140" s="104"/>
      <c r="S140" s="21">
        <f t="shared" si="28"/>
        <v>0</v>
      </c>
      <c r="T140" s="131"/>
      <c r="U140" s="78">
        <f t="shared" si="29"/>
        <v>0</v>
      </c>
      <c r="V140" s="140"/>
      <c r="W140" s="138"/>
      <c r="X140" s="32"/>
      <c r="Z140" s="5"/>
    </row>
    <row r="141" spans="1:41" x14ac:dyDescent="0.25">
      <c r="A141" s="143">
        <v>24</v>
      </c>
      <c r="B141" s="92">
        <v>45184</v>
      </c>
      <c r="C141" s="31" t="s">
        <v>829</v>
      </c>
      <c r="D141" s="32">
        <v>5545917658</v>
      </c>
      <c r="E141" s="124" t="s">
        <v>41</v>
      </c>
      <c r="F141" s="32" t="s">
        <v>831</v>
      </c>
      <c r="G141" s="32" t="s">
        <v>830</v>
      </c>
      <c r="H141" s="39">
        <v>20</v>
      </c>
      <c r="I141" s="42">
        <v>20</v>
      </c>
      <c r="J141" s="43">
        <v>10</v>
      </c>
      <c r="K141" s="21">
        <f t="shared" si="25"/>
        <v>-10</v>
      </c>
      <c r="L141" s="21">
        <f t="shared" si="26"/>
        <v>30</v>
      </c>
      <c r="M141" s="21">
        <f t="shared" si="27"/>
        <v>-10</v>
      </c>
      <c r="N141" s="21"/>
      <c r="O141" s="21"/>
      <c r="P141" s="5"/>
      <c r="Q141" s="135"/>
      <c r="R141" s="104"/>
      <c r="S141" s="21">
        <f t="shared" si="28"/>
        <v>0</v>
      </c>
      <c r="T141" s="131"/>
      <c r="U141" s="78">
        <f t="shared" si="29"/>
        <v>0</v>
      </c>
      <c r="V141" s="140"/>
      <c r="W141" s="138"/>
      <c r="X141" s="32"/>
      <c r="Z141" s="5"/>
    </row>
    <row r="142" spans="1:41" x14ac:dyDescent="0.25">
      <c r="A142" s="143">
        <v>25</v>
      </c>
      <c r="B142" s="92">
        <v>45184</v>
      </c>
      <c r="C142" s="31" t="s">
        <v>245</v>
      </c>
      <c r="D142" s="32">
        <v>5530508709</v>
      </c>
      <c r="E142" s="32" t="s">
        <v>52</v>
      </c>
      <c r="F142" s="32" t="s">
        <v>245</v>
      </c>
      <c r="G142" s="39" t="s">
        <v>833</v>
      </c>
      <c r="H142" s="39">
        <v>160</v>
      </c>
      <c r="I142" s="42">
        <v>148</v>
      </c>
      <c r="J142" s="43">
        <v>10</v>
      </c>
      <c r="K142" s="21">
        <v>2</v>
      </c>
      <c r="L142" s="21">
        <f t="shared" si="26"/>
        <v>158</v>
      </c>
      <c r="M142" s="21">
        <f t="shared" si="27"/>
        <v>2</v>
      </c>
      <c r="N142" s="21">
        <v>158</v>
      </c>
      <c r="O142" s="21">
        <v>83</v>
      </c>
      <c r="P142" s="5"/>
      <c r="Q142" s="135"/>
      <c r="R142" s="104"/>
      <c r="S142" s="21">
        <f t="shared" si="28"/>
        <v>0</v>
      </c>
      <c r="T142" s="131"/>
      <c r="U142" s="78">
        <f t="shared" si="29"/>
        <v>-83</v>
      </c>
      <c r="V142" s="140"/>
      <c r="W142" s="138"/>
      <c r="X142" s="32"/>
      <c r="Z142" s="5"/>
    </row>
    <row r="143" spans="1:41" x14ac:dyDescent="0.25">
      <c r="A143" s="143">
        <v>26</v>
      </c>
      <c r="B143" s="92">
        <v>45184</v>
      </c>
      <c r="C143" s="31" t="s">
        <v>1500</v>
      </c>
      <c r="D143" s="123">
        <v>5639611669</v>
      </c>
      <c r="E143" s="123" t="s">
        <v>52</v>
      </c>
      <c r="F143" s="123" t="s">
        <v>793</v>
      </c>
      <c r="G143" s="39" t="s">
        <v>834</v>
      </c>
      <c r="H143" s="39">
        <v>200</v>
      </c>
      <c r="I143" s="42">
        <v>162</v>
      </c>
      <c r="J143" s="43">
        <v>10</v>
      </c>
      <c r="K143" s="21">
        <f t="shared" si="25"/>
        <v>-334</v>
      </c>
      <c r="L143" s="21">
        <f t="shared" si="26"/>
        <v>172</v>
      </c>
      <c r="M143" s="21">
        <f t="shared" si="27"/>
        <v>28</v>
      </c>
      <c r="N143" s="21"/>
      <c r="O143" s="21">
        <v>162</v>
      </c>
      <c r="P143" s="5"/>
      <c r="Q143" s="135"/>
      <c r="R143" s="104"/>
      <c r="S143" s="21">
        <f t="shared" si="28"/>
        <v>0</v>
      </c>
      <c r="T143" s="131"/>
      <c r="U143" s="78">
        <f t="shared" si="29"/>
        <v>-162</v>
      </c>
      <c r="V143" s="140"/>
      <c r="W143" s="138"/>
      <c r="X143" s="32"/>
      <c r="Z143" s="5"/>
    </row>
    <row r="144" spans="1:41" x14ac:dyDescent="0.25">
      <c r="A144" s="143">
        <v>27</v>
      </c>
      <c r="B144" s="92">
        <v>45184</v>
      </c>
      <c r="C144" s="31" t="s">
        <v>634</v>
      </c>
      <c r="D144" s="32"/>
      <c r="E144" s="32" t="s">
        <v>52</v>
      </c>
      <c r="F144" s="32" t="s">
        <v>835</v>
      </c>
      <c r="G144" s="39" t="s">
        <v>836</v>
      </c>
      <c r="H144" s="39">
        <v>100</v>
      </c>
      <c r="I144" s="42">
        <v>68</v>
      </c>
      <c r="J144" s="43">
        <v>10</v>
      </c>
      <c r="K144" s="21">
        <f t="shared" si="25"/>
        <v>-146</v>
      </c>
      <c r="L144" s="21">
        <f t="shared" si="26"/>
        <v>78</v>
      </c>
      <c r="M144" s="21">
        <f t="shared" si="27"/>
        <v>22</v>
      </c>
      <c r="N144" s="21"/>
      <c r="O144" s="21">
        <v>68</v>
      </c>
      <c r="P144" s="5"/>
      <c r="Q144" s="135"/>
      <c r="R144" s="104"/>
      <c r="S144" s="21">
        <f t="shared" si="28"/>
        <v>0</v>
      </c>
      <c r="T144" s="131"/>
      <c r="U144" s="78">
        <f t="shared" si="29"/>
        <v>-68</v>
      </c>
      <c r="V144" s="140"/>
      <c r="W144" s="138"/>
      <c r="X144" s="32"/>
      <c r="Z144" s="5"/>
    </row>
    <row r="145" spans="1:44" x14ac:dyDescent="0.25">
      <c r="A145" s="143">
        <v>28</v>
      </c>
      <c r="B145" s="92">
        <v>45184</v>
      </c>
      <c r="C145" s="31" t="s">
        <v>2644</v>
      </c>
      <c r="D145" s="32">
        <v>5537303548</v>
      </c>
      <c r="E145" s="32" t="s">
        <v>52</v>
      </c>
      <c r="F145" s="32" t="s">
        <v>837</v>
      </c>
      <c r="G145" s="39" t="s">
        <v>838</v>
      </c>
      <c r="H145" s="39">
        <v>100</v>
      </c>
      <c r="I145" s="42">
        <v>90</v>
      </c>
      <c r="J145" s="43">
        <v>10</v>
      </c>
      <c r="K145" s="21">
        <f t="shared" si="25"/>
        <v>-190</v>
      </c>
      <c r="L145" s="21">
        <f t="shared" si="26"/>
        <v>100</v>
      </c>
      <c r="M145" s="21">
        <f t="shared" si="27"/>
        <v>0</v>
      </c>
      <c r="N145" s="21"/>
      <c r="O145" s="21">
        <v>90</v>
      </c>
      <c r="P145" s="5"/>
      <c r="Q145" s="135"/>
      <c r="R145" s="104"/>
      <c r="S145" s="21">
        <f t="shared" si="28"/>
        <v>0</v>
      </c>
      <c r="T145" s="131"/>
      <c r="U145" s="78">
        <f t="shared" si="29"/>
        <v>-90</v>
      </c>
      <c r="V145" s="140"/>
      <c r="W145" s="138"/>
      <c r="X145" s="32"/>
      <c r="Z145" s="5"/>
    </row>
    <row r="146" spans="1:44" x14ac:dyDescent="0.25">
      <c r="A146" s="143">
        <v>29</v>
      </c>
      <c r="B146" s="92">
        <v>45184</v>
      </c>
      <c r="C146" s="31"/>
      <c r="D146" s="32"/>
      <c r="E146" s="32"/>
      <c r="F146" s="32"/>
      <c r="G146" s="39"/>
      <c r="H146" s="39"/>
      <c r="I146" s="42"/>
      <c r="J146" s="43">
        <v>10</v>
      </c>
      <c r="K146" s="21">
        <f t="shared" si="25"/>
        <v>-10</v>
      </c>
      <c r="L146" s="21">
        <f t="shared" si="26"/>
        <v>10</v>
      </c>
      <c r="M146" s="21">
        <f t="shared" si="27"/>
        <v>-10</v>
      </c>
      <c r="N146" s="21"/>
      <c r="O146" s="21"/>
      <c r="P146" s="5"/>
      <c r="Q146" s="135"/>
      <c r="R146" s="104"/>
      <c r="S146" s="21">
        <f t="shared" si="28"/>
        <v>0</v>
      </c>
      <c r="T146" s="131"/>
      <c r="U146" s="78">
        <f t="shared" si="29"/>
        <v>0</v>
      </c>
      <c r="V146" s="140"/>
      <c r="W146" s="138"/>
      <c r="X146" s="32"/>
      <c r="Z146" s="5"/>
    </row>
    <row r="147" spans="1:44" x14ac:dyDescent="0.25">
      <c r="A147" s="143">
        <v>30</v>
      </c>
      <c r="B147" s="92">
        <v>45184</v>
      </c>
      <c r="C147" s="31" t="s">
        <v>839</v>
      </c>
      <c r="D147" s="32">
        <v>5581654672</v>
      </c>
      <c r="E147" s="32" t="s">
        <v>41</v>
      </c>
      <c r="F147" s="32" t="s">
        <v>840</v>
      </c>
      <c r="G147" s="39" t="s">
        <v>841</v>
      </c>
      <c r="H147" s="39">
        <v>453</v>
      </c>
      <c r="I147" s="42">
        <v>443</v>
      </c>
      <c r="J147" s="43">
        <v>10</v>
      </c>
      <c r="K147" s="21">
        <f t="shared" si="25"/>
        <v>-10</v>
      </c>
      <c r="L147" s="21">
        <f t="shared" si="26"/>
        <v>453</v>
      </c>
      <c r="M147" s="21">
        <f t="shared" si="27"/>
        <v>0</v>
      </c>
      <c r="N147" s="21">
        <v>453</v>
      </c>
      <c r="O147" s="21"/>
      <c r="P147" s="5"/>
      <c r="Q147" s="135"/>
      <c r="R147" s="104"/>
      <c r="S147" s="21">
        <f t="shared" si="28"/>
        <v>0</v>
      </c>
      <c r="T147" s="131"/>
      <c r="U147" s="78">
        <f t="shared" si="29"/>
        <v>0</v>
      </c>
      <c r="V147" s="140"/>
      <c r="W147" s="138"/>
      <c r="X147" s="32"/>
      <c r="Z147" s="5"/>
    </row>
    <row r="148" spans="1:44" x14ac:dyDescent="0.25">
      <c r="A148" s="143">
        <v>31</v>
      </c>
      <c r="B148" s="92">
        <v>45184</v>
      </c>
      <c r="C148" s="31"/>
      <c r="D148" s="32"/>
      <c r="E148" s="32"/>
      <c r="F148" s="32"/>
      <c r="G148" s="39"/>
      <c r="H148" s="39"/>
      <c r="I148" s="42"/>
      <c r="J148" s="43">
        <v>10</v>
      </c>
      <c r="K148" s="21">
        <f t="shared" si="25"/>
        <v>-10</v>
      </c>
      <c r="L148" s="21">
        <f t="shared" si="26"/>
        <v>10</v>
      </c>
      <c r="M148" s="21">
        <f t="shared" si="27"/>
        <v>-10</v>
      </c>
      <c r="N148" s="21"/>
      <c r="O148" s="21"/>
      <c r="P148" s="5"/>
      <c r="Q148" s="135"/>
      <c r="R148" s="104"/>
      <c r="S148" s="21">
        <f t="shared" si="28"/>
        <v>0</v>
      </c>
      <c r="T148" s="131"/>
      <c r="U148" s="78">
        <f t="shared" si="29"/>
        <v>0</v>
      </c>
      <c r="V148" s="140"/>
      <c r="W148" s="138"/>
      <c r="X148" s="32"/>
      <c r="Z148" s="5"/>
    </row>
    <row r="149" spans="1:44" x14ac:dyDescent="0.25">
      <c r="A149" s="143">
        <v>32</v>
      </c>
      <c r="B149" s="92">
        <v>45184</v>
      </c>
      <c r="C149" s="31"/>
      <c r="D149" s="32"/>
      <c r="E149" s="32"/>
      <c r="F149" s="32"/>
      <c r="G149" s="39"/>
      <c r="H149" s="39"/>
      <c r="I149" s="42"/>
      <c r="J149" s="43">
        <v>10</v>
      </c>
      <c r="K149" s="21">
        <f t="shared" si="25"/>
        <v>-10</v>
      </c>
      <c r="L149" s="21">
        <f t="shared" si="26"/>
        <v>10</v>
      </c>
      <c r="M149" s="21">
        <f t="shared" si="27"/>
        <v>-10</v>
      </c>
      <c r="N149" s="21"/>
      <c r="O149" s="21"/>
      <c r="P149" s="5"/>
      <c r="Q149" s="135"/>
      <c r="R149" s="104"/>
      <c r="S149" s="21">
        <f t="shared" si="28"/>
        <v>0</v>
      </c>
      <c r="T149" s="131"/>
      <c r="U149" s="78">
        <f t="shared" si="29"/>
        <v>0</v>
      </c>
      <c r="V149" s="140"/>
      <c r="W149" s="138"/>
      <c r="X149" s="32"/>
      <c r="Z149" s="5"/>
    </row>
    <row r="150" spans="1:44" x14ac:dyDescent="0.25">
      <c r="A150" s="143">
        <v>33</v>
      </c>
      <c r="B150" s="92">
        <v>45184</v>
      </c>
      <c r="C150" s="31"/>
      <c r="D150" s="32"/>
      <c r="E150" s="32"/>
      <c r="F150" s="32"/>
      <c r="G150" s="39"/>
      <c r="H150" s="39"/>
      <c r="I150" s="42"/>
      <c r="J150" s="43">
        <v>10</v>
      </c>
      <c r="K150" s="21">
        <f t="shared" si="25"/>
        <v>-2010</v>
      </c>
      <c r="L150" s="21">
        <f t="shared" si="26"/>
        <v>10</v>
      </c>
      <c r="M150" s="21">
        <f t="shared" si="27"/>
        <v>-10</v>
      </c>
      <c r="N150" s="21"/>
      <c r="O150" s="21">
        <f>SUM(O118:O145)</f>
        <v>1000</v>
      </c>
      <c r="P150" s="5"/>
      <c r="Q150" s="135"/>
      <c r="R150" s="104"/>
      <c r="S150" s="21">
        <f t="shared" si="28"/>
        <v>0</v>
      </c>
      <c r="T150" s="131"/>
      <c r="U150" s="78">
        <f t="shared" si="29"/>
        <v>-1000</v>
      </c>
      <c r="V150" s="140"/>
      <c r="W150" s="138"/>
      <c r="X150" s="32"/>
      <c r="Z150" s="5"/>
    </row>
    <row r="151" spans="1:44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141"/>
      <c r="W151" s="5"/>
      <c r="X151" s="5"/>
      <c r="Y151" s="5"/>
      <c r="Z151" s="5"/>
    </row>
    <row r="153" spans="1:44" x14ac:dyDescent="0.25">
      <c r="P153" s="83">
        <f>+I167-Q167</f>
        <v>-72</v>
      </c>
    </row>
    <row r="154" spans="1:44" x14ac:dyDescent="0.25">
      <c r="P154" s="83">
        <f>+Q167+I167+J167</f>
        <v>378</v>
      </c>
      <c r="T154">
        <v>590</v>
      </c>
    </row>
    <row r="156" spans="1:44" x14ac:dyDescent="0.25">
      <c r="A156" s="1" t="s">
        <v>0</v>
      </c>
      <c r="B156" s="1"/>
      <c r="C156" s="1"/>
      <c r="D156" s="1"/>
      <c r="E156" s="1"/>
      <c r="F156" s="1"/>
      <c r="G156" s="1"/>
      <c r="H156" s="1"/>
      <c r="I156" s="1" t="s">
        <v>148</v>
      </c>
      <c r="J156" s="1"/>
      <c r="K156" s="1"/>
      <c r="L156" s="1"/>
      <c r="M156" s="1"/>
      <c r="N156" s="1"/>
      <c r="O156" s="1"/>
      <c r="P156" s="1"/>
      <c r="Q156" s="1"/>
      <c r="R156" s="1"/>
      <c r="S156" s="342" t="s">
        <v>1</v>
      </c>
      <c r="T156" s="342"/>
      <c r="U156" s="5"/>
      <c r="V156" s="139"/>
      <c r="W156" s="1"/>
      <c r="X156" s="1"/>
      <c r="Y156" s="1"/>
      <c r="Z156" s="5"/>
      <c r="AC156" s="335" t="s">
        <v>160</v>
      </c>
      <c r="AD156" s="336"/>
      <c r="AG156" s="335" t="s">
        <v>170</v>
      </c>
      <c r="AH156" s="336"/>
      <c r="AJ156" s="337" t="s">
        <v>172</v>
      </c>
      <c r="AK156" s="337"/>
      <c r="AM156" s="337" t="s">
        <v>681</v>
      </c>
      <c r="AN156" s="337"/>
      <c r="AQ156" s="335" t="s">
        <v>861</v>
      </c>
      <c r="AR156" s="336"/>
    </row>
    <row r="157" spans="1:44" ht="90" x14ac:dyDescent="0.25">
      <c r="A157" s="6" t="s">
        <v>2</v>
      </c>
      <c r="B157" s="7" t="s">
        <v>3</v>
      </c>
      <c r="C157" s="7" t="s">
        <v>4</v>
      </c>
      <c r="D157" s="6" t="s">
        <v>5</v>
      </c>
      <c r="E157" s="6" t="s">
        <v>6</v>
      </c>
      <c r="F157" s="6" t="s">
        <v>7</v>
      </c>
      <c r="G157" s="6" t="s">
        <v>8</v>
      </c>
      <c r="H157" s="8" t="s">
        <v>9</v>
      </c>
      <c r="I157" s="9" t="s">
        <v>10</v>
      </c>
      <c r="J157" s="8" t="s">
        <v>11</v>
      </c>
      <c r="K157" s="10" t="s">
        <v>12</v>
      </c>
      <c r="L157" s="10" t="s">
        <v>13</v>
      </c>
      <c r="M157" s="11" t="s">
        <v>14</v>
      </c>
      <c r="N157" s="10" t="s">
        <v>691</v>
      </c>
      <c r="O157" s="10" t="s">
        <v>28</v>
      </c>
      <c r="P157" s="5"/>
      <c r="Q157" s="10" t="s">
        <v>16</v>
      </c>
      <c r="R157" s="10" t="s">
        <v>17</v>
      </c>
      <c r="S157" s="10" t="s">
        <v>18</v>
      </c>
      <c r="T157" s="10" t="s">
        <v>19</v>
      </c>
      <c r="U157" s="10" t="s">
        <v>20</v>
      </c>
      <c r="V157" s="13"/>
      <c r="W157" s="136" t="s">
        <v>688</v>
      </c>
      <c r="X157" s="14" t="s">
        <v>22</v>
      </c>
      <c r="Y157" s="15" t="s">
        <v>23</v>
      </c>
      <c r="Z157" s="5"/>
      <c r="AB157">
        <v>38</v>
      </c>
      <c r="AC157" s="16" t="s">
        <v>161</v>
      </c>
      <c r="AD157" s="58">
        <f>+AB157*10</f>
        <v>380</v>
      </c>
      <c r="AF157">
        <v>35</v>
      </c>
      <c r="AG157" s="16" t="s">
        <v>161</v>
      </c>
      <c r="AH157" s="58">
        <f>+AF157*10</f>
        <v>350</v>
      </c>
      <c r="AJ157" s="61" t="s">
        <v>173</v>
      </c>
      <c r="AK157" s="62" t="s">
        <v>174</v>
      </c>
      <c r="AL157">
        <v>3</v>
      </c>
      <c r="AM157" s="16" t="s">
        <v>161</v>
      </c>
      <c r="AN157" s="58">
        <f>+AL157*10</f>
        <v>30</v>
      </c>
      <c r="AP157">
        <v>3</v>
      </c>
      <c r="AQ157" s="16" t="s">
        <v>161</v>
      </c>
      <c r="AR157" s="58">
        <f>+AP157*10</f>
        <v>30</v>
      </c>
    </row>
    <row r="158" spans="1:44" x14ac:dyDescent="0.25">
      <c r="A158" s="16">
        <v>1</v>
      </c>
      <c r="B158" s="92">
        <v>45185</v>
      </c>
      <c r="C158" s="31" t="s">
        <v>3104</v>
      </c>
      <c r="D158" s="32">
        <v>5514732212</v>
      </c>
      <c r="E158" s="32" t="s">
        <v>38</v>
      </c>
      <c r="F158" s="39" t="s">
        <v>848</v>
      </c>
      <c r="G158" s="39" t="s">
        <v>843</v>
      </c>
      <c r="H158" s="122">
        <v>166</v>
      </c>
      <c r="I158" s="32">
        <v>146</v>
      </c>
      <c r="J158" s="20">
        <v>10</v>
      </c>
      <c r="K158" s="21">
        <v>10</v>
      </c>
      <c r="L158" s="21">
        <f t="shared" ref="L158:L180" si="30">+I158+J158</f>
        <v>156</v>
      </c>
      <c r="M158" s="21">
        <v>0</v>
      </c>
      <c r="N158" s="21"/>
      <c r="O158" s="21"/>
      <c r="P158" s="5"/>
      <c r="Q158" s="21"/>
      <c r="R158" s="16"/>
      <c r="S158" s="21">
        <f t="shared" ref="S158:S180" si="31">+Q158+R158</f>
        <v>0</v>
      </c>
      <c r="T158" s="21">
        <v>166</v>
      </c>
      <c r="U158" s="78">
        <v>20</v>
      </c>
      <c r="V158" s="13"/>
      <c r="W158" s="147"/>
      <c r="X158" s="23"/>
      <c r="Y158" s="333"/>
      <c r="Z158" s="5"/>
      <c r="AB158">
        <v>84</v>
      </c>
      <c r="AC158" s="59" t="s">
        <v>162</v>
      </c>
      <c r="AD158" s="18">
        <f>+AB158*1</f>
        <v>84</v>
      </c>
      <c r="AF158">
        <v>135.5</v>
      </c>
      <c r="AG158" s="59" t="s">
        <v>162</v>
      </c>
      <c r="AH158" s="18">
        <f>+AF158*1</f>
        <v>135.5</v>
      </c>
      <c r="AJ158" s="16">
        <v>103</v>
      </c>
      <c r="AK158" s="16"/>
      <c r="AL158">
        <v>2</v>
      </c>
      <c r="AM158" s="59" t="s">
        <v>162</v>
      </c>
      <c r="AN158" s="18">
        <f>+AL158*1</f>
        <v>2</v>
      </c>
      <c r="AP158">
        <v>2</v>
      </c>
      <c r="AQ158" s="59" t="s">
        <v>162</v>
      </c>
      <c r="AR158" s="18">
        <f>+AP158*1</f>
        <v>2</v>
      </c>
    </row>
    <row r="159" spans="1:44" x14ac:dyDescent="0.25">
      <c r="A159" s="26">
        <v>2</v>
      </c>
      <c r="B159" s="92">
        <v>45185</v>
      </c>
      <c r="C159" s="31" t="s">
        <v>82</v>
      </c>
      <c r="D159" s="32">
        <v>5624838493</v>
      </c>
      <c r="E159" s="32" t="s">
        <v>38</v>
      </c>
      <c r="F159" s="32" t="s">
        <v>445</v>
      </c>
      <c r="G159" s="39" t="s">
        <v>845</v>
      </c>
      <c r="H159" s="122">
        <v>100</v>
      </c>
      <c r="I159" s="32">
        <v>90</v>
      </c>
      <c r="J159" s="20">
        <v>10</v>
      </c>
      <c r="K159" s="21">
        <f t="shared" ref="K159:K180" si="32">U159-J159-O159</f>
        <v>0</v>
      </c>
      <c r="L159" s="21">
        <f t="shared" si="30"/>
        <v>100</v>
      </c>
      <c r="M159" s="21">
        <f t="shared" ref="M159:M180" si="33">+H159-L159</f>
        <v>0</v>
      </c>
      <c r="N159" s="21"/>
      <c r="O159" s="21"/>
      <c r="P159" s="5"/>
      <c r="Q159" s="21"/>
      <c r="R159" s="16"/>
      <c r="S159" s="21">
        <f t="shared" si="31"/>
        <v>0</v>
      </c>
      <c r="T159" s="21">
        <v>100</v>
      </c>
      <c r="U159" s="78">
        <v>10</v>
      </c>
      <c r="V159" s="140"/>
      <c r="W159" s="147"/>
      <c r="X159" s="23"/>
      <c r="Y159" s="334"/>
      <c r="Z159" s="5"/>
      <c r="AB159">
        <v>51</v>
      </c>
      <c r="AC159" s="16" t="s">
        <v>163</v>
      </c>
      <c r="AD159" s="60">
        <f>+AB159*5</f>
        <v>255</v>
      </c>
      <c r="AF159">
        <v>63</v>
      </c>
      <c r="AG159" s="16" t="s">
        <v>163</v>
      </c>
      <c r="AH159" s="60">
        <f>+AF159*5</f>
        <v>315</v>
      </c>
      <c r="AJ159" s="16">
        <v>53</v>
      </c>
      <c r="AK159" s="16"/>
      <c r="AL159">
        <v>18</v>
      </c>
      <c r="AM159" s="16" t="s">
        <v>163</v>
      </c>
      <c r="AN159" s="60">
        <f>+AL159*5</f>
        <v>90</v>
      </c>
      <c r="AP159">
        <v>18</v>
      </c>
      <c r="AQ159" s="16" t="s">
        <v>163</v>
      </c>
      <c r="AR159" s="60">
        <f>+AP159*5</f>
        <v>90</v>
      </c>
    </row>
    <row r="160" spans="1:44" x14ac:dyDescent="0.25">
      <c r="A160" s="143">
        <v>3</v>
      </c>
      <c r="B160" s="92">
        <v>45185</v>
      </c>
      <c r="C160" s="31" t="s">
        <v>2486</v>
      </c>
      <c r="D160" s="32">
        <v>5514732212</v>
      </c>
      <c r="E160" s="32" t="s">
        <v>847</v>
      </c>
      <c r="F160" s="32" t="s">
        <v>620</v>
      </c>
      <c r="G160" s="39" t="s">
        <v>844</v>
      </c>
      <c r="H160" s="122">
        <v>113</v>
      </c>
      <c r="I160" s="32">
        <v>103</v>
      </c>
      <c r="J160" s="20">
        <v>10</v>
      </c>
      <c r="K160" s="21">
        <f t="shared" si="32"/>
        <v>-38</v>
      </c>
      <c r="L160" s="21">
        <f t="shared" si="30"/>
        <v>113</v>
      </c>
      <c r="M160" s="21">
        <f t="shared" si="33"/>
        <v>0</v>
      </c>
      <c r="N160" s="21">
        <v>103</v>
      </c>
      <c r="O160" s="21">
        <v>38</v>
      </c>
      <c r="P160" s="5"/>
      <c r="Q160" s="21"/>
      <c r="R160" s="16"/>
      <c r="S160" s="21">
        <f t="shared" si="31"/>
        <v>0</v>
      </c>
      <c r="T160" s="21">
        <v>113</v>
      </c>
      <c r="U160" s="78">
        <v>10</v>
      </c>
      <c r="V160" s="140"/>
      <c r="W160" s="147"/>
      <c r="X160" s="23"/>
      <c r="Y160" s="334"/>
      <c r="Z160" s="5"/>
      <c r="AB160">
        <v>3</v>
      </c>
      <c r="AC160" s="16" t="s">
        <v>164</v>
      </c>
      <c r="AD160" s="18">
        <f>+AB160*200</f>
        <v>600</v>
      </c>
      <c r="AG160" s="16" t="s">
        <v>164</v>
      </c>
      <c r="AH160" s="18">
        <f>+AF160*200</f>
        <v>0</v>
      </c>
      <c r="AJ160" s="16"/>
      <c r="AK160" s="16"/>
      <c r="AL160">
        <v>1</v>
      </c>
      <c r="AM160" s="16" t="s">
        <v>164</v>
      </c>
      <c r="AN160" s="18">
        <f>+AL160*200</f>
        <v>200</v>
      </c>
      <c r="AP160">
        <v>1</v>
      </c>
      <c r="AQ160" s="16" t="s">
        <v>164</v>
      </c>
      <c r="AR160" s="18">
        <f>+AP160*200</f>
        <v>200</v>
      </c>
    </row>
    <row r="161" spans="1:44" x14ac:dyDescent="0.25">
      <c r="A161" s="143">
        <v>4</v>
      </c>
      <c r="B161" s="92">
        <v>45185</v>
      </c>
      <c r="C161" s="31" t="s">
        <v>2472</v>
      </c>
      <c r="D161" s="32">
        <v>5510466400</v>
      </c>
      <c r="E161" s="32" t="s">
        <v>849</v>
      </c>
      <c r="F161" s="32" t="s">
        <v>850</v>
      </c>
      <c r="G161" s="39" t="s">
        <v>851</v>
      </c>
      <c r="H161" s="122">
        <v>80</v>
      </c>
      <c r="I161" s="32">
        <v>70</v>
      </c>
      <c r="J161" s="20">
        <v>10</v>
      </c>
      <c r="K161" s="21">
        <f t="shared" si="32"/>
        <v>-70</v>
      </c>
      <c r="L161" s="21">
        <f t="shared" si="30"/>
        <v>80</v>
      </c>
      <c r="M161" s="21">
        <f t="shared" si="33"/>
        <v>0</v>
      </c>
      <c r="N161" s="21"/>
      <c r="O161" s="21">
        <v>70</v>
      </c>
      <c r="P161" s="5"/>
      <c r="Q161" s="21"/>
      <c r="R161" s="16"/>
      <c r="S161" s="21">
        <f t="shared" si="31"/>
        <v>0</v>
      </c>
      <c r="T161" s="21">
        <v>80</v>
      </c>
      <c r="U161" s="78">
        <f t="shared" ref="U161:U180" si="34">T161-S161-O161</f>
        <v>10</v>
      </c>
      <c r="V161" s="140"/>
      <c r="W161" s="147"/>
      <c r="X161" s="23"/>
      <c r="Y161" s="334"/>
      <c r="Z161" s="5"/>
      <c r="AB161">
        <v>2</v>
      </c>
      <c r="AC161" s="16" t="s">
        <v>165</v>
      </c>
      <c r="AD161" s="18">
        <f>+AB161*100</f>
        <v>200</v>
      </c>
      <c r="AF161">
        <v>3</v>
      </c>
      <c r="AG161" s="16" t="s">
        <v>165</v>
      </c>
      <c r="AH161" s="18">
        <f>+AF161*100</f>
        <v>300</v>
      </c>
      <c r="AJ161" s="16"/>
      <c r="AK161" s="16"/>
      <c r="AL161">
        <v>2</v>
      </c>
      <c r="AM161" s="16" t="s">
        <v>165</v>
      </c>
      <c r="AN161" s="18">
        <f>+AL161*100</f>
        <v>200</v>
      </c>
      <c r="AP161">
        <v>2</v>
      </c>
      <c r="AQ161" s="16" t="s">
        <v>165</v>
      </c>
      <c r="AR161" s="18">
        <f>+AP161*100</f>
        <v>200</v>
      </c>
    </row>
    <row r="162" spans="1:44" x14ac:dyDescent="0.25">
      <c r="A162" s="143">
        <v>5</v>
      </c>
      <c r="B162" s="92">
        <v>45185</v>
      </c>
      <c r="C162" s="31" t="s">
        <v>3103</v>
      </c>
      <c r="D162" s="32">
        <v>5526375988</v>
      </c>
      <c r="E162" s="32" t="s">
        <v>38</v>
      </c>
      <c r="F162" s="32" t="s">
        <v>853</v>
      </c>
      <c r="G162" s="32" t="s">
        <v>852</v>
      </c>
      <c r="H162" s="122">
        <v>76</v>
      </c>
      <c r="I162" s="32">
        <v>61</v>
      </c>
      <c r="J162" s="20">
        <v>10</v>
      </c>
      <c r="K162" s="21">
        <v>5</v>
      </c>
      <c r="L162" s="21">
        <f t="shared" si="30"/>
        <v>71</v>
      </c>
      <c r="M162" s="21">
        <v>0</v>
      </c>
      <c r="N162" s="21"/>
      <c r="O162" s="21"/>
      <c r="P162" s="5"/>
      <c r="Q162" s="16"/>
      <c r="R162" s="16"/>
      <c r="S162" s="21">
        <f t="shared" si="31"/>
        <v>0</v>
      </c>
      <c r="T162" s="21">
        <v>75</v>
      </c>
      <c r="U162" s="78">
        <v>15</v>
      </c>
      <c r="V162" s="140"/>
      <c r="W162" s="147"/>
      <c r="X162" s="23"/>
      <c r="Y162" s="334"/>
      <c r="Z162" s="5"/>
      <c r="AB162">
        <v>2</v>
      </c>
      <c r="AC162" s="16" t="s">
        <v>166</v>
      </c>
      <c r="AD162" s="18">
        <f>+AB162*50</f>
        <v>100</v>
      </c>
      <c r="AF162">
        <v>5</v>
      </c>
      <c r="AG162" s="16" t="s">
        <v>166</v>
      </c>
      <c r="AH162" s="18">
        <f>+AF162*50</f>
        <v>250</v>
      </c>
      <c r="AJ162" s="16"/>
      <c r="AK162" s="16"/>
      <c r="AL162">
        <v>1</v>
      </c>
      <c r="AM162" s="16" t="s">
        <v>166</v>
      </c>
      <c r="AN162" s="18">
        <f>+AL162*50</f>
        <v>50</v>
      </c>
      <c r="AP162">
        <v>1</v>
      </c>
      <c r="AQ162" s="16" t="s">
        <v>166</v>
      </c>
      <c r="AR162" s="18">
        <f>+AP162*50</f>
        <v>50</v>
      </c>
    </row>
    <row r="163" spans="1:44" x14ac:dyDescent="0.25">
      <c r="A163" s="143">
        <v>6</v>
      </c>
      <c r="B163" s="92">
        <v>45185</v>
      </c>
      <c r="C163" s="31" t="s">
        <v>24</v>
      </c>
      <c r="D163" s="32">
        <v>5562236073</v>
      </c>
      <c r="E163" s="32" t="s">
        <v>656</v>
      </c>
      <c r="F163" s="32" t="s">
        <v>625</v>
      </c>
      <c r="G163" s="39" t="s">
        <v>854</v>
      </c>
      <c r="H163" s="39">
        <v>20</v>
      </c>
      <c r="I163" s="42">
        <v>10</v>
      </c>
      <c r="J163" s="20">
        <v>10</v>
      </c>
      <c r="K163" s="21">
        <f t="shared" si="32"/>
        <v>0</v>
      </c>
      <c r="L163" s="21">
        <f t="shared" si="30"/>
        <v>20</v>
      </c>
      <c r="M163" s="21">
        <v>0</v>
      </c>
      <c r="N163" s="21"/>
      <c r="O163" s="21"/>
      <c r="P163" s="5"/>
      <c r="Q163" s="16"/>
      <c r="R163" s="16"/>
      <c r="S163" s="21">
        <f t="shared" si="31"/>
        <v>0</v>
      </c>
      <c r="T163" s="16">
        <v>176</v>
      </c>
      <c r="U163" s="78">
        <v>10</v>
      </c>
      <c r="V163" s="140"/>
      <c r="W163" s="147"/>
      <c r="X163" s="23"/>
      <c r="Y163" s="334"/>
      <c r="Z163" s="5"/>
      <c r="AB163">
        <v>0</v>
      </c>
      <c r="AC163" s="16" t="s">
        <v>167</v>
      </c>
      <c r="AD163" s="18">
        <f>+AB163*20</f>
        <v>0</v>
      </c>
      <c r="AF163">
        <v>6</v>
      </c>
      <c r="AG163" s="16" t="s">
        <v>167</v>
      </c>
      <c r="AH163" s="18">
        <f>+AF163*20</f>
        <v>120</v>
      </c>
      <c r="AJ163" s="16"/>
      <c r="AK163" s="16"/>
      <c r="AL163">
        <v>5</v>
      </c>
      <c r="AM163" s="16" t="s">
        <v>167</v>
      </c>
      <c r="AN163" s="18">
        <f>+AL163*20</f>
        <v>100</v>
      </c>
      <c r="AP163">
        <v>5</v>
      </c>
      <c r="AQ163" s="16" t="s">
        <v>167</v>
      </c>
      <c r="AR163" s="18">
        <f>+AP163*20</f>
        <v>100</v>
      </c>
    </row>
    <row r="164" spans="1:44" x14ac:dyDescent="0.25">
      <c r="A164" s="143">
        <v>7</v>
      </c>
      <c r="B164" s="92">
        <v>45185</v>
      </c>
      <c r="C164" s="31" t="s">
        <v>473</v>
      </c>
      <c r="D164" s="32">
        <v>5621699116</v>
      </c>
      <c r="E164" s="32" t="s">
        <v>28</v>
      </c>
      <c r="F164" s="32" t="s">
        <v>855</v>
      </c>
      <c r="G164" s="39" t="s">
        <v>858</v>
      </c>
      <c r="H164" s="152">
        <v>200</v>
      </c>
      <c r="I164" s="42">
        <v>253</v>
      </c>
      <c r="J164" s="20">
        <v>10</v>
      </c>
      <c r="K164" s="21">
        <v>0</v>
      </c>
      <c r="L164" s="21">
        <f t="shared" si="30"/>
        <v>263</v>
      </c>
      <c r="M164" s="21">
        <v>0</v>
      </c>
      <c r="N164" s="21">
        <v>53</v>
      </c>
      <c r="O164" s="21"/>
      <c r="P164" s="5"/>
      <c r="Q164" s="16"/>
      <c r="R164" s="16"/>
      <c r="S164" s="21">
        <f t="shared" si="31"/>
        <v>0</v>
      </c>
      <c r="T164" s="16"/>
      <c r="U164" s="78">
        <f t="shared" si="34"/>
        <v>0</v>
      </c>
      <c r="V164" s="140"/>
      <c r="W164" s="147"/>
      <c r="X164" s="23"/>
      <c r="Y164" s="334"/>
      <c r="Z164" s="5"/>
      <c r="AC164" s="16" t="s">
        <v>171</v>
      </c>
      <c r="AD164" s="18">
        <f>+AB164*500</f>
        <v>0</v>
      </c>
      <c r="AG164" s="16" t="s">
        <v>171</v>
      </c>
      <c r="AH164" s="18">
        <f>+AF164*500</f>
        <v>0</v>
      </c>
      <c r="AJ164" s="16"/>
      <c r="AK164" s="16"/>
      <c r="AM164" s="16" t="s">
        <v>171</v>
      </c>
      <c r="AN164" s="18">
        <f>+AL164*500</f>
        <v>0</v>
      </c>
      <c r="AQ164" s="16" t="s">
        <v>171</v>
      </c>
      <c r="AR164" s="18">
        <f>+AP164*500</f>
        <v>0</v>
      </c>
    </row>
    <row r="165" spans="1:44" x14ac:dyDescent="0.25">
      <c r="A165" s="143">
        <v>8</v>
      </c>
      <c r="B165" s="92">
        <v>45185</v>
      </c>
      <c r="C165" s="31" t="s">
        <v>2644</v>
      </c>
      <c r="D165" s="123"/>
      <c r="E165" s="123" t="s">
        <v>52</v>
      </c>
      <c r="F165" s="123" t="s">
        <v>837</v>
      </c>
      <c r="G165" s="39" t="s">
        <v>856</v>
      </c>
      <c r="H165" s="122">
        <v>500</v>
      </c>
      <c r="I165" s="32">
        <v>302</v>
      </c>
      <c r="J165" s="20">
        <v>10</v>
      </c>
      <c r="K165" s="21">
        <f t="shared" si="32"/>
        <v>-261</v>
      </c>
      <c r="L165" s="21">
        <f t="shared" si="30"/>
        <v>312</v>
      </c>
      <c r="M165" s="21">
        <f t="shared" si="33"/>
        <v>188</v>
      </c>
      <c r="N165" s="21"/>
      <c r="O165" s="21">
        <v>266</v>
      </c>
      <c r="P165" s="5"/>
      <c r="Q165" s="16"/>
      <c r="R165" s="16"/>
      <c r="S165" s="21">
        <f t="shared" si="31"/>
        <v>0</v>
      </c>
      <c r="T165" s="16">
        <v>500</v>
      </c>
      <c r="U165" s="78">
        <v>15</v>
      </c>
      <c r="V165" s="140"/>
      <c r="W165" s="147"/>
      <c r="X165" s="23"/>
      <c r="Y165" s="334"/>
      <c r="Z165" s="5"/>
      <c r="AC165" s="16" t="s">
        <v>168</v>
      </c>
      <c r="AD165" s="18">
        <f>+AB165*1000</f>
        <v>0</v>
      </c>
      <c r="AG165" s="16" t="s">
        <v>168</v>
      </c>
      <c r="AH165" s="18">
        <f>+AF165*1000</f>
        <v>0</v>
      </c>
      <c r="AJ165" s="16"/>
      <c r="AK165" s="16"/>
      <c r="AM165" s="16" t="s">
        <v>168</v>
      </c>
      <c r="AN165" s="18">
        <f>+AL165*1000</f>
        <v>0</v>
      </c>
      <c r="AQ165" s="16" t="s">
        <v>168</v>
      </c>
      <c r="AR165" s="18">
        <f>+AP165*1000</f>
        <v>0</v>
      </c>
    </row>
    <row r="166" spans="1:44" x14ac:dyDescent="0.25">
      <c r="A166" s="41">
        <v>9</v>
      </c>
      <c r="B166" s="92">
        <v>45185</v>
      </c>
      <c r="C166" s="31" t="s">
        <v>473</v>
      </c>
      <c r="D166" s="32">
        <v>5564121405</v>
      </c>
      <c r="E166" s="32" t="s">
        <v>859</v>
      </c>
      <c r="F166" s="32" t="s">
        <v>857</v>
      </c>
      <c r="G166" s="39"/>
      <c r="H166" s="122"/>
      <c r="I166" s="42">
        <v>333</v>
      </c>
      <c r="J166" s="20">
        <v>10</v>
      </c>
      <c r="K166" s="21">
        <v>50</v>
      </c>
      <c r="L166" s="21">
        <f t="shared" si="30"/>
        <v>343</v>
      </c>
      <c r="M166" s="21">
        <f t="shared" si="33"/>
        <v>-343</v>
      </c>
      <c r="N166" s="21"/>
      <c r="O166" s="21">
        <v>312</v>
      </c>
      <c r="P166" s="5"/>
      <c r="Q166" s="16"/>
      <c r="R166" s="16"/>
      <c r="S166" s="21">
        <f t="shared" si="31"/>
        <v>0</v>
      </c>
      <c r="T166" s="16">
        <v>333</v>
      </c>
      <c r="U166" s="78">
        <v>60</v>
      </c>
      <c r="V166" s="140"/>
      <c r="W166" s="147"/>
      <c r="X166" s="23"/>
      <c r="Y166" s="334"/>
      <c r="Z166" s="5"/>
      <c r="AC166" s="16" t="s">
        <v>169</v>
      </c>
      <c r="AD166" s="18">
        <f>SUM(AD157:AD165)</f>
        <v>1619</v>
      </c>
      <c r="AG166" s="16" t="s">
        <v>169</v>
      </c>
      <c r="AH166" s="18">
        <f>SUM(AH157:AH165)</f>
        <v>1470.5</v>
      </c>
      <c r="AJ166" s="16"/>
      <c r="AK166" s="16"/>
      <c r="AM166" s="16" t="s">
        <v>169</v>
      </c>
      <c r="AN166" s="18">
        <f>SUM(AN157:AN165)</f>
        <v>672</v>
      </c>
      <c r="AQ166" s="16" t="s">
        <v>169</v>
      </c>
      <c r="AR166" s="18">
        <f>SUM(AR157:AR165)</f>
        <v>672</v>
      </c>
    </row>
    <row r="167" spans="1:44" x14ac:dyDescent="0.25">
      <c r="A167" s="143">
        <v>10</v>
      </c>
      <c r="B167" s="92">
        <v>45185</v>
      </c>
      <c r="C167" s="31" t="s">
        <v>2637</v>
      </c>
      <c r="D167" s="159"/>
      <c r="E167" s="32" t="s">
        <v>106</v>
      </c>
      <c r="F167" s="32" t="s">
        <v>571</v>
      </c>
      <c r="G167" s="39" t="s">
        <v>862</v>
      </c>
      <c r="H167" s="122">
        <v>242</v>
      </c>
      <c r="I167" s="42">
        <v>148</v>
      </c>
      <c r="J167" s="20">
        <v>10</v>
      </c>
      <c r="K167" s="21">
        <f t="shared" si="32"/>
        <v>12</v>
      </c>
      <c r="L167" s="21">
        <f t="shared" si="30"/>
        <v>158</v>
      </c>
      <c r="M167" s="21">
        <f t="shared" si="33"/>
        <v>84</v>
      </c>
      <c r="N167" s="21"/>
      <c r="O167" s="21"/>
      <c r="P167" s="5"/>
      <c r="Q167" s="16">
        <v>220</v>
      </c>
      <c r="R167" s="16"/>
      <c r="S167" s="21">
        <f t="shared" si="31"/>
        <v>220</v>
      </c>
      <c r="T167" s="16">
        <v>242</v>
      </c>
      <c r="U167" s="78">
        <f>T167-S167-O167</f>
        <v>22</v>
      </c>
      <c r="V167" s="140"/>
      <c r="W167" s="147"/>
      <c r="X167" s="23"/>
      <c r="Y167" s="334"/>
      <c r="Z167" s="5"/>
      <c r="AJ167" s="16"/>
      <c r="AK167" s="16"/>
      <c r="AM167" s="16"/>
      <c r="AN167" s="16"/>
    </row>
    <row r="168" spans="1:44" x14ac:dyDescent="0.25">
      <c r="A168" s="143">
        <v>11</v>
      </c>
      <c r="B168" s="92">
        <v>45185</v>
      </c>
      <c r="C168" s="32" t="s">
        <v>3102</v>
      </c>
      <c r="D168" s="32"/>
      <c r="E168" s="124"/>
      <c r="F168" s="123" t="s">
        <v>864</v>
      </c>
      <c r="G168" s="39" t="s">
        <v>863</v>
      </c>
      <c r="H168" s="39"/>
      <c r="I168" s="42"/>
      <c r="J168" s="20">
        <v>10</v>
      </c>
      <c r="K168" s="21">
        <f t="shared" si="32"/>
        <v>14.5</v>
      </c>
      <c r="L168" s="21">
        <f t="shared" si="30"/>
        <v>10</v>
      </c>
      <c r="M168" s="21">
        <f t="shared" si="33"/>
        <v>-10</v>
      </c>
      <c r="N168" s="21"/>
      <c r="O168" s="21"/>
      <c r="P168" s="5"/>
      <c r="Q168" s="45">
        <v>100</v>
      </c>
      <c r="R168" s="44"/>
      <c r="S168" s="21">
        <f t="shared" si="31"/>
        <v>100</v>
      </c>
      <c r="T168" s="45">
        <v>124.5</v>
      </c>
      <c r="U168" s="78">
        <f t="shared" si="34"/>
        <v>24.5</v>
      </c>
      <c r="V168" s="140"/>
      <c r="W168" s="147"/>
      <c r="X168" s="23"/>
      <c r="Y168" s="334"/>
      <c r="Z168" s="5"/>
      <c r="AJ168" s="63" t="s">
        <v>169</v>
      </c>
      <c r="AK168" s="63">
        <f>+SUM(AJ158:AJ167)-SUM(AK158:AK167)</f>
        <v>156</v>
      </c>
      <c r="AM168" s="63" t="s">
        <v>169</v>
      </c>
      <c r="AN168" s="85">
        <f>AN166</f>
        <v>672</v>
      </c>
    </row>
    <row r="169" spans="1:44" x14ac:dyDescent="0.25">
      <c r="A169" s="143">
        <v>12</v>
      </c>
      <c r="B169" s="92">
        <v>45185</v>
      </c>
      <c r="C169" s="31" t="s">
        <v>2639</v>
      </c>
      <c r="D169" s="32">
        <v>5572135350</v>
      </c>
      <c r="E169" s="32" t="s">
        <v>106</v>
      </c>
      <c r="F169" s="32" t="s">
        <v>865</v>
      </c>
      <c r="G169" s="39" t="s">
        <v>866</v>
      </c>
      <c r="H169" s="39">
        <v>100</v>
      </c>
      <c r="I169" s="42">
        <v>57</v>
      </c>
      <c r="J169" s="108">
        <v>10</v>
      </c>
      <c r="K169" s="21">
        <f t="shared" si="32"/>
        <v>2</v>
      </c>
      <c r="L169" s="21">
        <f t="shared" si="30"/>
        <v>67</v>
      </c>
      <c r="M169" s="21">
        <f t="shared" si="33"/>
        <v>33</v>
      </c>
      <c r="N169" s="21"/>
      <c r="O169" s="21"/>
      <c r="P169" s="5"/>
      <c r="Q169" s="43">
        <v>100</v>
      </c>
      <c r="R169" s="32"/>
      <c r="S169" s="21">
        <f t="shared" si="31"/>
        <v>100</v>
      </c>
      <c r="T169" s="43">
        <v>112</v>
      </c>
      <c r="U169" s="78">
        <f t="shared" si="34"/>
        <v>12</v>
      </c>
      <c r="V169" s="140"/>
      <c r="W169" s="147"/>
      <c r="X169" s="23"/>
      <c r="Y169" s="334"/>
      <c r="Z169" s="5"/>
      <c r="AH169" s="83"/>
    </row>
    <row r="170" spans="1:44" x14ac:dyDescent="0.25">
      <c r="A170" s="143">
        <v>13</v>
      </c>
      <c r="B170" s="92">
        <v>45185</v>
      </c>
      <c r="C170" s="31" t="s">
        <v>2535</v>
      </c>
      <c r="D170" s="32">
        <v>5611128220</v>
      </c>
      <c r="E170" s="32" t="s">
        <v>394</v>
      </c>
      <c r="F170" s="32" t="s">
        <v>870</v>
      </c>
      <c r="G170" s="39" t="s">
        <v>867</v>
      </c>
      <c r="H170" s="39"/>
      <c r="I170" s="42">
        <v>440</v>
      </c>
      <c r="J170" s="108">
        <v>10</v>
      </c>
      <c r="K170" s="21">
        <f t="shared" si="32"/>
        <v>19</v>
      </c>
      <c r="L170" s="21">
        <f t="shared" si="30"/>
        <v>450</v>
      </c>
      <c r="M170" s="21">
        <f t="shared" si="33"/>
        <v>-450</v>
      </c>
      <c r="N170" s="21"/>
      <c r="O170" s="21"/>
      <c r="P170" s="5"/>
      <c r="Q170" s="43">
        <v>600</v>
      </c>
      <c r="R170" s="43"/>
      <c r="S170" s="21">
        <f t="shared" si="31"/>
        <v>600</v>
      </c>
      <c r="T170" s="43">
        <v>629</v>
      </c>
      <c r="U170" s="78">
        <f t="shared" si="34"/>
        <v>29</v>
      </c>
      <c r="V170" s="140"/>
      <c r="W170" s="147"/>
      <c r="X170" s="23"/>
      <c r="Y170" s="334"/>
      <c r="Z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44" x14ac:dyDescent="0.25">
      <c r="A171" s="143">
        <v>14</v>
      </c>
      <c r="B171" s="92">
        <v>45185</v>
      </c>
      <c r="C171" s="127" t="s">
        <v>307</v>
      </c>
      <c r="D171" s="32">
        <v>5527189840</v>
      </c>
      <c r="E171" s="32" t="s">
        <v>106</v>
      </c>
      <c r="F171" s="128" t="s">
        <v>869</v>
      </c>
      <c r="G171" s="129" t="s">
        <v>871</v>
      </c>
      <c r="H171" s="39"/>
      <c r="I171" s="42">
        <v>131</v>
      </c>
      <c r="J171" s="108">
        <v>10</v>
      </c>
      <c r="K171" s="21">
        <f t="shared" si="32"/>
        <v>22</v>
      </c>
      <c r="L171" s="21">
        <f t="shared" si="30"/>
        <v>141</v>
      </c>
      <c r="M171" s="21">
        <f t="shared" si="33"/>
        <v>-141</v>
      </c>
      <c r="N171" s="21"/>
      <c r="O171" s="21"/>
      <c r="P171" s="5"/>
      <c r="Q171" s="43">
        <v>200</v>
      </c>
      <c r="R171" s="43"/>
      <c r="S171" s="21">
        <f t="shared" si="31"/>
        <v>200</v>
      </c>
      <c r="T171" s="43">
        <v>232</v>
      </c>
      <c r="U171" s="78">
        <f t="shared" si="34"/>
        <v>32</v>
      </c>
      <c r="V171" s="140"/>
      <c r="W171" s="147"/>
      <c r="X171" s="23"/>
      <c r="Y171" s="334"/>
      <c r="Z171" s="5"/>
      <c r="AC171" s="5"/>
      <c r="AD171" s="134" t="s">
        <v>20</v>
      </c>
      <c r="AE171" s="338">
        <v>522</v>
      </c>
      <c r="AF171" s="341" t="s">
        <v>686</v>
      </c>
      <c r="AG171" s="134" t="s">
        <v>20</v>
      </c>
      <c r="AH171" s="338">
        <v>150</v>
      </c>
      <c r="AI171" s="341" t="s">
        <v>687</v>
      </c>
      <c r="AJ171" s="134" t="s">
        <v>20</v>
      </c>
      <c r="AK171" s="338">
        <v>732</v>
      </c>
      <c r="AL171" s="5"/>
    </row>
    <row r="172" spans="1:44" x14ac:dyDescent="0.25">
      <c r="A172" s="143">
        <v>15</v>
      </c>
      <c r="B172" s="92">
        <v>45185</v>
      </c>
      <c r="C172" s="155" t="s">
        <v>344</v>
      </c>
      <c r="D172" s="143">
        <v>5550760186</v>
      </c>
      <c r="E172" s="143" t="s">
        <v>106</v>
      </c>
      <c r="F172" s="143" t="s">
        <v>877</v>
      </c>
      <c r="G172" s="156" t="s">
        <v>885</v>
      </c>
      <c r="H172" s="156">
        <v>40</v>
      </c>
      <c r="I172" s="156">
        <v>30</v>
      </c>
      <c r="J172" s="157">
        <v>10</v>
      </c>
      <c r="K172" s="66">
        <f t="shared" si="32"/>
        <v>0</v>
      </c>
      <c r="L172" s="66">
        <f t="shared" si="30"/>
        <v>40</v>
      </c>
      <c r="M172" s="66">
        <f t="shared" si="33"/>
        <v>0</v>
      </c>
      <c r="N172" s="66"/>
      <c r="O172" s="66"/>
      <c r="P172" s="128">
        <v>200</v>
      </c>
      <c r="Q172" s="157">
        <v>30</v>
      </c>
      <c r="R172" s="143"/>
      <c r="S172" s="66">
        <f t="shared" si="31"/>
        <v>30</v>
      </c>
      <c r="T172" s="158">
        <v>40</v>
      </c>
      <c r="U172" s="56">
        <f t="shared" si="34"/>
        <v>10</v>
      </c>
      <c r="V172" s="140"/>
      <c r="W172" s="147"/>
      <c r="X172" s="23"/>
      <c r="Y172" s="334"/>
      <c r="Z172" s="5"/>
      <c r="AC172" s="5" t="s">
        <v>685</v>
      </c>
      <c r="AD172" s="115" t="s">
        <v>684</v>
      </c>
      <c r="AE172" s="339"/>
      <c r="AF172" s="341"/>
      <c r="AG172" s="115" t="s">
        <v>684</v>
      </c>
      <c r="AH172" s="339"/>
      <c r="AI172" s="341"/>
      <c r="AJ172" s="115" t="s">
        <v>684</v>
      </c>
      <c r="AK172" s="339"/>
      <c r="AL172" s="5"/>
      <c r="AN172" s="83"/>
    </row>
    <row r="173" spans="1:44" x14ac:dyDescent="0.25">
      <c r="A173" s="143">
        <v>16</v>
      </c>
      <c r="B173" s="92">
        <v>45185</v>
      </c>
      <c r="C173" s="31" t="s">
        <v>2974</v>
      </c>
      <c r="D173" s="32">
        <v>5564121405</v>
      </c>
      <c r="E173" s="32" t="s">
        <v>28</v>
      </c>
      <c r="F173" s="32"/>
      <c r="G173" s="32" t="s">
        <v>874</v>
      </c>
      <c r="H173" s="39"/>
      <c r="I173" s="42">
        <v>71</v>
      </c>
      <c r="J173" s="43">
        <v>10</v>
      </c>
      <c r="K173" s="21">
        <f t="shared" si="32"/>
        <v>-90</v>
      </c>
      <c r="L173" s="21">
        <f t="shared" si="30"/>
        <v>81</v>
      </c>
      <c r="M173" s="21">
        <f t="shared" si="33"/>
        <v>-81</v>
      </c>
      <c r="N173" s="21"/>
      <c r="O173" s="21"/>
      <c r="P173" s="5"/>
      <c r="Q173" s="43">
        <v>80</v>
      </c>
      <c r="R173" s="32"/>
      <c r="S173" s="21">
        <f t="shared" si="31"/>
        <v>80</v>
      </c>
      <c r="T173" s="132"/>
      <c r="U173" s="78">
        <f t="shared" si="34"/>
        <v>-80</v>
      </c>
      <c r="V173" s="140"/>
      <c r="W173" s="147"/>
      <c r="X173" s="23"/>
      <c r="Y173" s="340"/>
      <c r="Z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44" x14ac:dyDescent="0.25">
      <c r="A174" s="143">
        <v>17</v>
      </c>
      <c r="B174" s="92">
        <v>45185</v>
      </c>
      <c r="C174" s="31" t="s">
        <v>3101</v>
      </c>
      <c r="D174" s="32"/>
      <c r="E174" s="32" t="s">
        <v>28</v>
      </c>
      <c r="F174" s="32" t="s">
        <v>875</v>
      </c>
      <c r="G174" s="39" t="s">
        <v>876</v>
      </c>
      <c r="H174" s="39"/>
      <c r="I174" s="42">
        <v>27</v>
      </c>
      <c r="J174" s="43">
        <v>10</v>
      </c>
      <c r="K174" s="21">
        <f t="shared" si="32"/>
        <v>-90</v>
      </c>
      <c r="L174" s="21">
        <f t="shared" si="30"/>
        <v>37</v>
      </c>
      <c r="M174" s="21">
        <f t="shared" si="33"/>
        <v>-37</v>
      </c>
      <c r="N174" s="21"/>
      <c r="O174" s="21"/>
      <c r="P174" s="5"/>
      <c r="Q174" s="135">
        <v>80</v>
      </c>
      <c r="R174" s="104"/>
      <c r="S174" s="21">
        <f t="shared" si="31"/>
        <v>80</v>
      </c>
      <c r="T174" s="131"/>
      <c r="U174" s="78">
        <f t="shared" si="34"/>
        <v>-80</v>
      </c>
      <c r="V174" s="140"/>
      <c r="W174" s="138"/>
      <c r="X174" s="32"/>
      <c r="Z174" s="5"/>
    </row>
    <row r="175" spans="1:44" x14ac:dyDescent="0.25">
      <c r="A175" s="143"/>
      <c r="B175" s="92">
        <v>45185</v>
      </c>
      <c r="C175" s="31" t="s">
        <v>3378</v>
      </c>
      <c r="D175" s="32">
        <v>5553945187</v>
      </c>
      <c r="E175" s="32" t="s">
        <v>28</v>
      </c>
      <c r="F175" s="32" t="s">
        <v>882</v>
      </c>
      <c r="G175" s="39" t="s">
        <v>883</v>
      </c>
      <c r="H175" s="39"/>
      <c r="I175" s="42">
        <v>100</v>
      </c>
      <c r="J175" s="43"/>
      <c r="K175" s="21"/>
      <c r="L175" s="21"/>
      <c r="M175" s="21"/>
      <c r="N175" s="21"/>
      <c r="O175" s="21"/>
      <c r="P175" s="5"/>
      <c r="Q175" s="135"/>
      <c r="R175" s="104"/>
      <c r="S175" s="21"/>
      <c r="T175" s="131"/>
      <c r="U175" s="78"/>
      <c r="V175" s="140"/>
      <c r="W175" s="138"/>
      <c r="X175" s="32"/>
      <c r="Z175" s="5"/>
    </row>
    <row r="176" spans="1:44" x14ac:dyDescent="0.25">
      <c r="A176" s="143"/>
      <c r="B176" s="92">
        <v>45185</v>
      </c>
      <c r="C176" s="31"/>
      <c r="D176" s="32"/>
      <c r="E176" s="32"/>
      <c r="F176" s="32"/>
      <c r="G176" s="39"/>
      <c r="H176" s="39"/>
      <c r="I176" s="42"/>
      <c r="J176" s="43"/>
      <c r="K176" s="21"/>
      <c r="L176" s="21"/>
      <c r="M176" s="21"/>
      <c r="N176" s="21"/>
      <c r="O176" s="21"/>
      <c r="P176" s="5"/>
      <c r="Q176" s="135"/>
      <c r="R176" s="104"/>
      <c r="S176" s="21"/>
      <c r="T176" s="131"/>
      <c r="U176" s="78"/>
      <c r="V176" s="140"/>
      <c r="W176" s="138"/>
      <c r="X176" s="32"/>
      <c r="Z176" s="5"/>
    </row>
    <row r="177" spans="1:40" x14ac:dyDescent="0.25">
      <c r="A177" s="143"/>
      <c r="B177" s="92">
        <v>45185</v>
      </c>
      <c r="C177" s="31"/>
      <c r="D177" s="32"/>
      <c r="E177" s="32"/>
      <c r="F177" s="32"/>
      <c r="G177" s="39"/>
      <c r="H177" s="39"/>
      <c r="I177" s="42"/>
      <c r="J177" s="43"/>
      <c r="K177" s="21"/>
      <c r="L177" s="21"/>
      <c r="M177" s="21"/>
      <c r="N177" s="21"/>
      <c r="O177" s="21"/>
      <c r="P177" s="5"/>
      <c r="Q177" s="135"/>
      <c r="R177" s="104"/>
      <c r="S177" s="21"/>
      <c r="T177" s="131"/>
      <c r="U177" s="78"/>
      <c r="V177" s="140"/>
      <c r="W177" s="138"/>
      <c r="X177" s="32"/>
      <c r="Z177" s="5"/>
    </row>
    <row r="178" spans="1:40" x14ac:dyDescent="0.25">
      <c r="A178" s="143"/>
      <c r="B178" s="92">
        <v>45185</v>
      </c>
      <c r="C178" s="31" t="s">
        <v>30</v>
      </c>
      <c r="D178" s="32">
        <v>5537303548</v>
      </c>
      <c r="E178" s="32" t="s">
        <v>52</v>
      </c>
      <c r="F178" s="32" t="s">
        <v>837</v>
      </c>
      <c r="G178" s="39" t="s">
        <v>884</v>
      </c>
      <c r="H178" s="39">
        <v>150</v>
      </c>
      <c r="I178" s="42">
        <v>107</v>
      </c>
      <c r="J178" s="43"/>
      <c r="K178" s="21"/>
      <c r="L178" s="21"/>
      <c r="M178" s="21">
        <v>35</v>
      </c>
      <c r="N178" s="21"/>
      <c r="O178" s="21"/>
      <c r="P178" s="5"/>
      <c r="Q178" s="135"/>
      <c r="R178" s="104"/>
      <c r="S178" s="21"/>
      <c r="T178" s="131"/>
      <c r="U178" s="78"/>
      <c r="V178" s="140"/>
      <c r="W178" s="138"/>
      <c r="X178" s="32"/>
      <c r="Z178" s="5"/>
    </row>
    <row r="179" spans="1:40" x14ac:dyDescent="0.25">
      <c r="A179" s="143"/>
      <c r="B179" s="92">
        <v>45185</v>
      </c>
      <c r="C179" s="31" t="s">
        <v>933</v>
      </c>
      <c r="D179" s="32"/>
      <c r="E179" s="32"/>
      <c r="F179" s="32" t="s">
        <v>887</v>
      </c>
      <c r="G179" s="153" t="s">
        <v>529</v>
      </c>
      <c r="H179" s="154">
        <v>140</v>
      </c>
      <c r="I179" s="42">
        <v>126</v>
      </c>
      <c r="J179" s="43"/>
      <c r="K179" s="21"/>
      <c r="L179" s="21"/>
      <c r="M179" s="21"/>
      <c r="N179" s="21"/>
      <c r="O179" s="21"/>
      <c r="P179" s="5"/>
      <c r="Q179" s="135"/>
      <c r="R179" s="104"/>
      <c r="S179" s="21"/>
      <c r="T179" s="131">
        <v>218</v>
      </c>
      <c r="U179" s="78"/>
      <c r="V179" s="140"/>
      <c r="W179" s="138"/>
      <c r="X179" s="32"/>
      <c r="Z179" s="5"/>
      <c r="AN179" s="83"/>
    </row>
    <row r="180" spans="1:40" x14ac:dyDescent="0.25">
      <c r="A180" s="143">
        <v>18</v>
      </c>
      <c r="B180" s="92">
        <v>45185</v>
      </c>
      <c r="C180" s="31" t="s">
        <v>119</v>
      </c>
      <c r="D180" s="32"/>
      <c r="E180" s="32"/>
      <c r="F180" s="32"/>
      <c r="G180" s="39" t="s">
        <v>873</v>
      </c>
      <c r="H180" s="39"/>
      <c r="I180" s="42"/>
      <c r="J180" s="43">
        <v>10</v>
      </c>
      <c r="K180" s="21">
        <f t="shared" si="32"/>
        <v>-10</v>
      </c>
      <c r="L180" s="21">
        <f t="shared" si="30"/>
        <v>10</v>
      </c>
      <c r="M180" s="21">
        <f t="shared" si="33"/>
        <v>-10</v>
      </c>
      <c r="N180" s="21"/>
      <c r="O180" s="21">
        <f>+I180</f>
        <v>0</v>
      </c>
      <c r="P180" s="5"/>
      <c r="Q180" s="32"/>
      <c r="R180" s="32"/>
      <c r="S180" s="21">
        <f t="shared" si="31"/>
        <v>0</v>
      </c>
      <c r="T180" s="32"/>
      <c r="U180" s="78">
        <f t="shared" si="34"/>
        <v>0</v>
      </c>
      <c r="V180" s="140"/>
      <c r="W180" s="138"/>
      <c r="X180" s="32"/>
      <c r="Z180" s="5"/>
    </row>
    <row r="181" spans="1:40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  <c r="V181" s="141"/>
      <c r="W181" s="5"/>
      <c r="X181" s="5"/>
      <c r="Y181" s="5"/>
      <c r="Z181" s="5"/>
    </row>
    <row r="183" spans="1:40" x14ac:dyDescent="0.25">
      <c r="G183" t="s">
        <v>886</v>
      </c>
    </row>
    <row r="184" spans="1:40" x14ac:dyDescent="0.25">
      <c r="N184" t="s">
        <v>880</v>
      </c>
    </row>
    <row r="185" spans="1:40" x14ac:dyDescent="0.25">
      <c r="C185" t="s">
        <v>879</v>
      </c>
      <c r="G185">
        <f>55+42+10</f>
        <v>107</v>
      </c>
      <c r="N185" t="s">
        <v>881</v>
      </c>
    </row>
    <row r="186" spans="1:40" x14ac:dyDescent="0.25">
      <c r="C186" t="s">
        <v>878</v>
      </c>
    </row>
    <row r="190" spans="1:40" x14ac:dyDescent="0.25">
      <c r="J190" s="83">
        <f>+I200+I199</f>
        <v>213</v>
      </c>
    </row>
    <row r="191" spans="1:40" x14ac:dyDescent="0.25">
      <c r="J191">
        <f>119+120</f>
        <v>239</v>
      </c>
    </row>
    <row r="192" spans="1:40" x14ac:dyDescent="0.25">
      <c r="A192" s="1" t="s">
        <v>0</v>
      </c>
      <c r="B192" s="1"/>
      <c r="C192" s="1"/>
      <c r="D192" s="1"/>
      <c r="E192" s="1"/>
      <c r="F192" s="1"/>
      <c r="G192" s="1"/>
      <c r="H192" s="1"/>
      <c r="I192" s="1" t="s">
        <v>148</v>
      </c>
      <c r="J192" s="1"/>
      <c r="K192" s="1"/>
      <c r="L192" s="1"/>
      <c r="M192" s="1"/>
      <c r="N192" s="1"/>
      <c r="O192" s="1"/>
      <c r="P192" s="1"/>
      <c r="Q192" s="1"/>
      <c r="R192" s="1"/>
      <c r="S192" s="342" t="s">
        <v>1</v>
      </c>
      <c r="T192" s="342"/>
      <c r="U192" s="5"/>
      <c r="V192" s="139"/>
      <c r="W192" s="1"/>
      <c r="X192" s="1"/>
      <c r="Y192" s="1"/>
      <c r="Z192" s="5"/>
      <c r="AC192" s="335" t="s">
        <v>160</v>
      </c>
      <c r="AD192" s="336"/>
      <c r="AG192" s="335" t="s">
        <v>170</v>
      </c>
      <c r="AH192" s="336"/>
      <c r="AJ192" s="337" t="s">
        <v>172</v>
      </c>
      <c r="AK192" s="337"/>
      <c r="AM192" s="337" t="s">
        <v>681</v>
      </c>
      <c r="AN192" s="337"/>
    </row>
    <row r="193" spans="1:40" ht="90" x14ac:dyDescent="0.25">
      <c r="A193" s="6" t="s">
        <v>2</v>
      </c>
      <c r="B193" s="7" t="s">
        <v>3</v>
      </c>
      <c r="C193" s="7" t="s">
        <v>4</v>
      </c>
      <c r="D193" s="6" t="s">
        <v>5</v>
      </c>
      <c r="E193" s="6" t="s">
        <v>6</v>
      </c>
      <c r="F193" s="6" t="s">
        <v>7</v>
      </c>
      <c r="G193" s="6" t="s">
        <v>8</v>
      </c>
      <c r="H193" s="8" t="s">
        <v>9</v>
      </c>
      <c r="I193" s="9" t="s">
        <v>10</v>
      </c>
      <c r="J193" s="8" t="s">
        <v>11</v>
      </c>
      <c r="K193" s="10" t="s">
        <v>12</v>
      </c>
      <c r="L193" s="10" t="s">
        <v>13</v>
      </c>
      <c r="M193" s="11" t="s">
        <v>14</v>
      </c>
      <c r="N193" s="10" t="s">
        <v>691</v>
      </c>
      <c r="O193" s="10" t="s">
        <v>28</v>
      </c>
      <c r="P193" s="5"/>
      <c r="Q193" s="10" t="s">
        <v>16</v>
      </c>
      <c r="R193" s="10" t="s">
        <v>17</v>
      </c>
      <c r="S193" s="10" t="s">
        <v>18</v>
      </c>
      <c r="T193" s="10" t="s">
        <v>19</v>
      </c>
      <c r="U193" s="10" t="s">
        <v>20</v>
      </c>
      <c r="V193" s="13"/>
      <c r="W193" s="136" t="s">
        <v>688</v>
      </c>
      <c r="X193" s="14" t="s">
        <v>22</v>
      </c>
      <c r="Y193" s="15" t="s">
        <v>23</v>
      </c>
      <c r="Z193" s="5"/>
      <c r="AB193">
        <v>43</v>
      </c>
      <c r="AC193" s="16" t="s">
        <v>161</v>
      </c>
      <c r="AD193" s="58">
        <f>+AB193*10</f>
        <v>430</v>
      </c>
      <c r="AF193">
        <v>2</v>
      </c>
      <c r="AG193" s="16" t="s">
        <v>161</v>
      </c>
      <c r="AH193" s="58">
        <f>+AF193*10</f>
        <v>20</v>
      </c>
      <c r="AJ193" s="61" t="s">
        <v>173</v>
      </c>
      <c r="AK193" s="62" t="s">
        <v>174</v>
      </c>
      <c r="AL193">
        <v>2</v>
      </c>
      <c r="AM193" s="16" t="s">
        <v>161</v>
      </c>
      <c r="AN193" s="58">
        <f>+AL193*10</f>
        <v>20</v>
      </c>
    </row>
    <row r="194" spans="1:40" x14ac:dyDescent="0.25">
      <c r="A194" s="16">
        <v>1</v>
      </c>
      <c r="B194" s="92">
        <v>45186</v>
      </c>
      <c r="C194" s="31" t="s">
        <v>245</v>
      </c>
      <c r="D194" s="32">
        <v>5530508709</v>
      </c>
      <c r="E194" t="s">
        <v>52</v>
      </c>
      <c r="F194" s="39"/>
      <c r="G194" s="32" t="s">
        <v>889</v>
      </c>
      <c r="H194" s="122">
        <v>500</v>
      </c>
      <c r="I194" s="39">
        <v>88</v>
      </c>
      <c r="J194" s="20">
        <v>10</v>
      </c>
      <c r="K194" s="21">
        <f>U194-J194-O194</f>
        <v>-88</v>
      </c>
      <c r="L194" s="21">
        <f t="shared" ref="L194:L212" si="35">+I194+J194</f>
        <v>98</v>
      </c>
      <c r="M194" s="21">
        <f t="shared" ref="M194:M212" si="36">+H194-L194</f>
        <v>402</v>
      </c>
      <c r="N194" s="21"/>
      <c r="O194" s="21">
        <v>88</v>
      </c>
      <c r="P194" s="5"/>
      <c r="Q194" s="21"/>
      <c r="R194" s="16"/>
      <c r="S194" s="21">
        <f t="shared" ref="S194:S212" si="37">+Q194+R194</f>
        <v>0</v>
      </c>
      <c r="T194" s="21">
        <v>500</v>
      </c>
      <c r="U194" s="78">
        <v>10</v>
      </c>
      <c r="V194" s="13"/>
      <c r="W194" s="147"/>
      <c r="X194" s="23"/>
      <c r="Y194" s="333"/>
      <c r="Z194" s="5"/>
      <c r="AB194">
        <v>156</v>
      </c>
      <c r="AC194" s="59" t="s">
        <v>162</v>
      </c>
      <c r="AD194" s="18">
        <f>+AB194*1</f>
        <v>156</v>
      </c>
      <c r="AF194">
        <v>26</v>
      </c>
      <c r="AG194" s="59" t="s">
        <v>162</v>
      </c>
      <c r="AH194" s="18">
        <f>+AF194*1</f>
        <v>26</v>
      </c>
      <c r="AJ194" s="16"/>
      <c r="AK194" s="16"/>
      <c r="AL194">
        <v>26</v>
      </c>
      <c r="AM194" s="59" t="s">
        <v>162</v>
      </c>
      <c r="AN194" s="18">
        <f>+AL194*1</f>
        <v>26</v>
      </c>
    </row>
    <row r="195" spans="1:40" x14ac:dyDescent="0.25">
      <c r="A195" s="26">
        <v>2</v>
      </c>
      <c r="B195" s="92">
        <v>45186</v>
      </c>
      <c r="C195" s="31" t="s">
        <v>3100</v>
      </c>
      <c r="D195" s="32">
        <v>5564121405</v>
      </c>
      <c r="E195" t="s">
        <v>52</v>
      </c>
      <c r="F195" s="32"/>
      <c r="G195" s="32" t="s">
        <v>890</v>
      </c>
      <c r="H195" s="122">
        <v>167</v>
      </c>
      <c r="I195" s="39">
        <v>147</v>
      </c>
      <c r="J195" s="20">
        <v>10</v>
      </c>
      <c r="K195" s="21">
        <v>10</v>
      </c>
      <c r="L195" s="21">
        <f t="shared" si="35"/>
        <v>157</v>
      </c>
      <c r="M195" s="21">
        <v>0</v>
      </c>
      <c r="N195" s="21"/>
      <c r="O195" s="21">
        <v>147</v>
      </c>
      <c r="P195" s="5"/>
      <c r="Q195" s="21"/>
      <c r="R195" s="16"/>
      <c r="S195" s="21">
        <f t="shared" si="37"/>
        <v>0</v>
      </c>
      <c r="T195" s="21">
        <v>157</v>
      </c>
      <c r="U195" s="78">
        <v>20</v>
      </c>
      <c r="V195" s="140"/>
      <c r="W195" s="147"/>
      <c r="X195" s="23"/>
      <c r="Y195" s="334"/>
      <c r="Z195" s="5"/>
      <c r="AB195">
        <v>70</v>
      </c>
      <c r="AC195" s="16" t="s">
        <v>163</v>
      </c>
      <c r="AD195" s="60">
        <f>+AB195*5</f>
        <v>350</v>
      </c>
      <c r="AG195" s="16" t="s">
        <v>163</v>
      </c>
      <c r="AH195" s="60">
        <f>+AF195*5</f>
        <v>0</v>
      </c>
      <c r="AJ195" s="16"/>
      <c r="AK195" s="16"/>
      <c r="AM195" s="16" t="s">
        <v>163</v>
      </c>
      <c r="AN195" s="60">
        <f>+AL195*5</f>
        <v>0</v>
      </c>
    </row>
    <row r="196" spans="1:40" x14ac:dyDescent="0.25">
      <c r="A196" s="143">
        <v>3</v>
      </c>
      <c r="B196" s="92">
        <v>45186</v>
      </c>
      <c r="C196" s="31" t="s">
        <v>3377</v>
      </c>
      <c r="D196" s="32">
        <v>3456789099</v>
      </c>
      <c r="E196" t="s">
        <v>892</v>
      </c>
      <c r="F196" s="32" t="s">
        <v>891</v>
      </c>
      <c r="G196" s="32" t="s">
        <v>632</v>
      </c>
      <c r="H196" s="122">
        <v>64</v>
      </c>
      <c r="I196" s="39">
        <v>44</v>
      </c>
      <c r="J196" s="20">
        <v>10</v>
      </c>
      <c r="K196" s="21">
        <v>10</v>
      </c>
      <c r="L196" s="21">
        <f t="shared" si="35"/>
        <v>54</v>
      </c>
      <c r="M196" s="21">
        <v>0</v>
      </c>
      <c r="N196" s="21"/>
      <c r="O196" s="21"/>
      <c r="P196" s="5"/>
      <c r="Q196" s="21"/>
      <c r="R196" s="16"/>
      <c r="S196" s="21">
        <f t="shared" si="37"/>
        <v>0</v>
      </c>
      <c r="T196" s="21">
        <v>54</v>
      </c>
      <c r="U196" s="78">
        <v>10</v>
      </c>
      <c r="V196" s="140"/>
      <c r="W196" s="147"/>
      <c r="X196" s="23"/>
      <c r="Y196" s="334"/>
      <c r="Z196" s="5"/>
      <c r="AB196">
        <v>1</v>
      </c>
      <c r="AC196" s="16" t="s">
        <v>164</v>
      </c>
      <c r="AD196" s="18">
        <f>+AB196*200</f>
        <v>200</v>
      </c>
      <c r="AG196" s="16" t="s">
        <v>164</v>
      </c>
      <c r="AH196" s="18">
        <f>+AF196*200</f>
        <v>0</v>
      </c>
      <c r="AJ196" s="16"/>
      <c r="AK196" s="16"/>
      <c r="AM196" s="16" t="s">
        <v>164</v>
      </c>
      <c r="AN196" s="18">
        <f>+AL196*200</f>
        <v>0</v>
      </c>
    </row>
    <row r="197" spans="1:40" x14ac:dyDescent="0.25">
      <c r="A197" s="143">
        <v>4</v>
      </c>
      <c r="B197" s="92">
        <v>45186</v>
      </c>
      <c r="C197" s="31" t="s">
        <v>2577</v>
      </c>
      <c r="D197" s="32">
        <v>5657788986</v>
      </c>
      <c r="E197" s="32" t="s">
        <v>893</v>
      </c>
      <c r="F197" s="32" t="s">
        <v>894</v>
      </c>
      <c r="G197" s="39" t="s">
        <v>895</v>
      </c>
      <c r="H197" s="122">
        <v>80</v>
      </c>
      <c r="I197" s="39">
        <v>76</v>
      </c>
      <c r="J197" s="20">
        <v>10</v>
      </c>
      <c r="K197" s="21">
        <v>6</v>
      </c>
      <c r="L197" s="21">
        <f t="shared" si="35"/>
        <v>86</v>
      </c>
      <c r="M197" s="21"/>
      <c r="N197" s="21"/>
      <c r="O197" s="21"/>
      <c r="P197" s="5"/>
      <c r="Q197" s="21"/>
      <c r="R197" s="16"/>
      <c r="S197" s="21">
        <f t="shared" si="37"/>
        <v>0</v>
      </c>
      <c r="T197" s="21">
        <v>86</v>
      </c>
      <c r="U197" s="78">
        <v>16</v>
      </c>
      <c r="V197" s="140"/>
      <c r="W197" s="147"/>
      <c r="X197" s="23"/>
      <c r="Y197" s="334"/>
      <c r="Z197" s="5"/>
      <c r="AC197" s="16" t="s">
        <v>165</v>
      </c>
      <c r="AD197" s="18">
        <f>+AB197*100</f>
        <v>0</v>
      </c>
      <c r="AF197">
        <v>2</v>
      </c>
      <c r="AG197" s="16" t="s">
        <v>165</v>
      </c>
      <c r="AH197" s="18">
        <f>+AF197*100</f>
        <v>200</v>
      </c>
      <c r="AJ197" s="16"/>
      <c r="AK197" s="16"/>
      <c r="AL197">
        <v>2</v>
      </c>
      <c r="AM197" s="16" t="s">
        <v>165</v>
      </c>
      <c r="AN197" s="18">
        <f>+AL197*100</f>
        <v>200</v>
      </c>
    </row>
    <row r="198" spans="1:40" x14ac:dyDescent="0.25">
      <c r="A198" s="143">
        <v>5</v>
      </c>
      <c r="B198" s="92">
        <v>45186</v>
      </c>
      <c r="C198" s="31" t="s">
        <v>2644</v>
      </c>
      <c r="D198" s="32">
        <v>5537803548</v>
      </c>
      <c r="E198" s="32" t="s">
        <v>52</v>
      </c>
      <c r="F198" s="32" t="s">
        <v>837</v>
      </c>
      <c r="G198" s="32" t="s">
        <v>896</v>
      </c>
      <c r="H198" s="122">
        <v>309</v>
      </c>
      <c r="I198" s="42">
        <v>299</v>
      </c>
      <c r="J198" s="20">
        <v>10</v>
      </c>
      <c r="K198" s="21">
        <f t="shared" ref="K198:K212" si="38">U198-J198-O198</f>
        <v>-269</v>
      </c>
      <c r="L198" s="21">
        <f t="shared" si="35"/>
        <v>309</v>
      </c>
      <c r="M198" s="21">
        <f t="shared" si="36"/>
        <v>0</v>
      </c>
      <c r="N198" s="21">
        <v>309</v>
      </c>
      <c r="O198" s="21">
        <v>284</v>
      </c>
      <c r="P198" s="5"/>
      <c r="Q198" s="16"/>
      <c r="R198" s="16"/>
      <c r="S198" s="21">
        <f t="shared" si="37"/>
        <v>0</v>
      </c>
      <c r="T198" s="21">
        <v>251</v>
      </c>
      <c r="U198" s="78">
        <v>25</v>
      </c>
      <c r="V198" s="140"/>
      <c r="W198" s="147"/>
      <c r="X198" s="23"/>
      <c r="Y198" s="334"/>
      <c r="Z198" s="5"/>
      <c r="AB198">
        <v>9</v>
      </c>
      <c r="AC198" s="16" t="s">
        <v>166</v>
      </c>
      <c r="AD198" s="18">
        <f>+AB198*50</f>
        <v>450</v>
      </c>
      <c r="AF198">
        <v>3</v>
      </c>
      <c r="AG198" s="16" t="s">
        <v>166</v>
      </c>
      <c r="AH198" s="18">
        <f>+AF198*50</f>
        <v>150</v>
      </c>
      <c r="AJ198" s="16"/>
      <c r="AK198" s="16"/>
      <c r="AL198">
        <v>3</v>
      </c>
      <c r="AM198" s="16" t="s">
        <v>166</v>
      </c>
      <c r="AN198" s="18">
        <f>+AL198*50</f>
        <v>150</v>
      </c>
    </row>
    <row r="199" spans="1:40" x14ac:dyDescent="0.25">
      <c r="A199" s="143">
        <v>6</v>
      </c>
      <c r="B199" s="92">
        <v>45186</v>
      </c>
      <c r="C199" s="31" t="s">
        <v>82</v>
      </c>
      <c r="D199" s="32">
        <v>5624838493</v>
      </c>
      <c r="E199" s="32" t="s">
        <v>52</v>
      </c>
      <c r="F199" s="32" t="s">
        <v>445</v>
      </c>
      <c r="G199" s="39" t="s">
        <v>900</v>
      </c>
      <c r="H199" s="39">
        <v>120</v>
      </c>
      <c r="I199" s="42">
        <v>109</v>
      </c>
      <c r="J199" s="20">
        <v>10</v>
      </c>
      <c r="K199" s="21">
        <f t="shared" si="38"/>
        <v>-108</v>
      </c>
      <c r="L199" s="21">
        <f t="shared" si="35"/>
        <v>119</v>
      </c>
      <c r="M199" s="21">
        <f t="shared" si="36"/>
        <v>1</v>
      </c>
      <c r="N199" s="21"/>
      <c r="O199" s="21">
        <v>109</v>
      </c>
      <c r="P199" s="5"/>
      <c r="Q199" s="16"/>
      <c r="R199" s="16"/>
      <c r="S199" s="21">
        <f t="shared" si="37"/>
        <v>0</v>
      </c>
      <c r="T199" s="16">
        <v>120</v>
      </c>
      <c r="U199" s="78">
        <f t="shared" ref="U199:U212" si="39">T199-S199-O199</f>
        <v>11</v>
      </c>
      <c r="V199" s="140"/>
      <c r="W199" s="147"/>
      <c r="X199" s="23"/>
      <c r="Y199" s="334"/>
      <c r="Z199" s="5"/>
      <c r="AB199">
        <v>10</v>
      </c>
      <c r="AC199" s="16" t="s">
        <v>167</v>
      </c>
      <c r="AD199" s="18">
        <f>+AB199*20</f>
        <v>200</v>
      </c>
      <c r="AF199">
        <v>5</v>
      </c>
      <c r="AG199" s="16" t="s">
        <v>167</v>
      </c>
      <c r="AH199" s="18">
        <f>+AF199*20</f>
        <v>100</v>
      </c>
      <c r="AJ199" s="16"/>
      <c r="AK199" s="16"/>
      <c r="AL199">
        <v>5</v>
      </c>
      <c r="AM199" s="16" t="s">
        <v>167</v>
      </c>
      <c r="AN199" s="18">
        <f>+AL199*20</f>
        <v>100</v>
      </c>
    </row>
    <row r="200" spans="1:40" x14ac:dyDescent="0.25">
      <c r="A200" s="143">
        <v>7</v>
      </c>
      <c r="B200" s="92">
        <v>45186</v>
      </c>
      <c r="C200" s="31" t="s">
        <v>1500</v>
      </c>
      <c r="D200" s="32">
        <v>5639611669</v>
      </c>
      <c r="E200" s="32" t="s">
        <v>897</v>
      </c>
      <c r="F200" s="32" t="s">
        <v>898</v>
      </c>
      <c r="G200" s="39" t="s">
        <v>899</v>
      </c>
      <c r="H200" s="122">
        <v>119</v>
      </c>
      <c r="I200" s="42">
        <v>104</v>
      </c>
      <c r="J200" s="20">
        <v>10</v>
      </c>
      <c r="K200" s="21">
        <f t="shared" si="38"/>
        <v>-99</v>
      </c>
      <c r="L200" s="21">
        <f t="shared" si="35"/>
        <v>114</v>
      </c>
      <c r="M200" s="21">
        <f t="shared" si="36"/>
        <v>5</v>
      </c>
      <c r="N200" s="21"/>
      <c r="O200" s="21">
        <v>104</v>
      </c>
      <c r="P200" s="5"/>
      <c r="Q200" s="16"/>
      <c r="R200" s="16"/>
      <c r="S200" s="21">
        <f t="shared" si="37"/>
        <v>0</v>
      </c>
      <c r="T200" s="16">
        <v>119</v>
      </c>
      <c r="U200" s="78">
        <f t="shared" si="39"/>
        <v>15</v>
      </c>
      <c r="V200" s="140"/>
      <c r="W200" s="147"/>
      <c r="X200" s="23"/>
      <c r="Y200" s="334"/>
      <c r="Z200" s="5"/>
      <c r="AC200" s="16" t="s">
        <v>171</v>
      </c>
      <c r="AD200" s="18">
        <f>+AB200*500</f>
        <v>0</v>
      </c>
      <c r="AF200">
        <v>1</v>
      </c>
      <c r="AG200" s="16" t="s">
        <v>171</v>
      </c>
      <c r="AH200" s="18">
        <f>+AF200*500</f>
        <v>500</v>
      </c>
      <c r="AJ200" s="16"/>
      <c r="AK200" s="16"/>
      <c r="AL200">
        <v>1</v>
      </c>
      <c r="AM200" s="16" t="s">
        <v>171</v>
      </c>
      <c r="AN200" s="18">
        <f>+AL200*500</f>
        <v>500</v>
      </c>
    </row>
    <row r="201" spans="1:40" x14ac:dyDescent="0.25">
      <c r="A201" s="143">
        <v>8</v>
      </c>
      <c r="B201" s="92">
        <v>45186</v>
      </c>
      <c r="C201" s="31" t="s">
        <v>260</v>
      </c>
      <c r="D201" s="32">
        <v>5586180942</v>
      </c>
      <c r="E201" s="32" t="s">
        <v>52</v>
      </c>
      <c r="F201" s="32" t="s">
        <v>905</v>
      </c>
      <c r="G201" s="39" t="s">
        <v>901</v>
      </c>
      <c r="H201" s="122">
        <v>94</v>
      </c>
      <c r="I201" s="39">
        <v>84</v>
      </c>
      <c r="J201" s="20">
        <v>10</v>
      </c>
      <c r="K201" s="21">
        <f t="shared" si="38"/>
        <v>-84</v>
      </c>
      <c r="L201" s="21">
        <f t="shared" si="35"/>
        <v>94</v>
      </c>
      <c r="M201" s="21">
        <f t="shared" si="36"/>
        <v>0</v>
      </c>
      <c r="N201" s="21">
        <v>94</v>
      </c>
      <c r="O201" s="21">
        <v>84</v>
      </c>
      <c r="P201" s="5"/>
      <c r="Q201" s="16"/>
      <c r="R201" s="16"/>
      <c r="S201" s="21">
        <f t="shared" si="37"/>
        <v>0</v>
      </c>
      <c r="T201" s="16">
        <v>94</v>
      </c>
      <c r="U201" s="78">
        <v>10</v>
      </c>
      <c r="V201" s="140"/>
      <c r="W201" s="147"/>
      <c r="X201" s="23"/>
      <c r="Y201" s="334"/>
      <c r="Z201" s="5"/>
      <c r="AC201" s="16" t="s">
        <v>168</v>
      </c>
      <c r="AD201" s="18">
        <f>+AB201*1000</f>
        <v>0</v>
      </c>
      <c r="AG201" s="16" t="s">
        <v>168</v>
      </c>
      <c r="AH201" s="18">
        <f>+AF201*1000</f>
        <v>0</v>
      </c>
      <c r="AJ201" s="16"/>
      <c r="AK201" s="16"/>
      <c r="AM201" s="16" t="s">
        <v>168</v>
      </c>
      <c r="AN201" s="18">
        <f>+AL201*1000</f>
        <v>0</v>
      </c>
    </row>
    <row r="202" spans="1:40" x14ac:dyDescent="0.25">
      <c r="A202" s="143">
        <v>9</v>
      </c>
      <c r="B202" s="92">
        <v>45186</v>
      </c>
      <c r="C202" s="31" t="s">
        <v>307</v>
      </c>
      <c r="D202" s="32">
        <v>5527189840</v>
      </c>
      <c r="E202" s="32" t="s">
        <v>902</v>
      </c>
      <c r="F202" s="32" t="s">
        <v>903</v>
      </c>
      <c r="G202" s="39" t="s">
        <v>904</v>
      </c>
      <c r="H202" s="39">
        <v>30</v>
      </c>
      <c r="I202" s="52">
        <v>20</v>
      </c>
      <c r="J202" s="20">
        <v>10</v>
      </c>
      <c r="K202" s="21">
        <f t="shared" si="38"/>
        <v>0</v>
      </c>
      <c r="L202" s="21">
        <f t="shared" si="35"/>
        <v>30</v>
      </c>
      <c r="M202" s="21">
        <f t="shared" si="36"/>
        <v>0</v>
      </c>
      <c r="N202" s="21"/>
      <c r="O202" s="21"/>
      <c r="P202" s="5"/>
      <c r="Q202" s="16"/>
      <c r="R202" s="16"/>
      <c r="S202" s="21">
        <f t="shared" si="37"/>
        <v>0</v>
      </c>
      <c r="T202" s="16">
        <v>30</v>
      </c>
      <c r="U202" s="78">
        <v>10</v>
      </c>
      <c r="V202" s="140"/>
      <c r="W202" s="147"/>
      <c r="X202" s="23"/>
      <c r="Y202" s="334"/>
      <c r="Z202" s="5"/>
      <c r="AC202" s="26"/>
      <c r="AD202" s="58"/>
      <c r="AG202" s="26"/>
      <c r="AH202" s="58"/>
      <c r="AJ202" s="16"/>
      <c r="AK202" s="16"/>
      <c r="AM202" s="26"/>
      <c r="AN202" s="58"/>
    </row>
    <row r="203" spans="1:40" x14ac:dyDescent="0.25">
      <c r="A203" s="143">
        <v>10</v>
      </c>
      <c r="B203" s="92">
        <v>45186</v>
      </c>
      <c r="C203" s="31" t="s">
        <v>929</v>
      </c>
      <c r="D203" s="32">
        <v>5532535035</v>
      </c>
      <c r="E203" s="32" t="s">
        <v>52</v>
      </c>
      <c r="F203" s="32" t="s">
        <v>908</v>
      </c>
      <c r="G203" s="39" t="s">
        <v>907</v>
      </c>
      <c r="H203" s="122">
        <v>69</v>
      </c>
      <c r="I203" s="42">
        <v>59</v>
      </c>
      <c r="J203" s="20">
        <v>10</v>
      </c>
      <c r="K203" s="21">
        <f t="shared" si="38"/>
        <v>-59</v>
      </c>
      <c r="L203" s="21">
        <f t="shared" si="35"/>
        <v>69</v>
      </c>
      <c r="M203" s="21">
        <f t="shared" si="36"/>
        <v>0</v>
      </c>
      <c r="N203" s="21"/>
      <c r="O203" s="21">
        <v>59</v>
      </c>
      <c r="P203" s="5"/>
      <c r="Q203" s="16"/>
      <c r="R203" s="16"/>
      <c r="S203" s="21">
        <f t="shared" si="37"/>
        <v>0</v>
      </c>
      <c r="T203" s="16">
        <v>69</v>
      </c>
      <c r="U203" s="78">
        <v>10</v>
      </c>
      <c r="V203" s="140"/>
      <c r="W203" s="147"/>
      <c r="X203" s="23"/>
      <c r="Y203" s="334"/>
      <c r="Z203" s="5"/>
      <c r="AC203" s="16" t="s">
        <v>169</v>
      </c>
      <c r="AD203" s="18">
        <f>SUM(AD193:AD202)</f>
        <v>1786</v>
      </c>
      <c r="AG203" s="16" t="s">
        <v>169</v>
      </c>
      <c r="AH203" s="18">
        <f>SUM(AH193:AH202)</f>
        <v>996</v>
      </c>
      <c r="AJ203" s="16"/>
      <c r="AK203" s="16"/>
      <c r="AM203" s="16" t="s">
        <v>169</v>
      </c>
      <c r="AN203" s="18">
        <f>SUM(AN193:AN202)</f>
        <v>996</v>
      </c>
    </row>
    <row r="204" spans="1:40" x14ac:dyDescent="0.25">
      <c r="A204" s="143">
        <v>11</v>
      </c>
      <c r="B204" s="92">
        <v>45186</v>
      </c>
      <c r="C204" s="31" t="s">
        <v>3099</v>
      </c>
      <c r="D204" s="124">
        <v>5513650898</v>
      </c>
      <c r="E204" s="123" t="s">
        <v>52</v>
      </c>
      <c r="F204" s="123" t="s">
        <v>98</v>
      </c>
      <c r="G204" s="39" t="s">
        <v>909</v>
      </c>
      <c r="H204" s="122">
        <v>60</v>
      </c>
      <c r="I204" s="42">
        <v>50</v>
      </c>
      <c r="J204" s="20">
        <v>10</v>
      </c>
      <c r="K204" s="21">
        <f t="shared" si="38"/>
        <v>-60</v>
      </c>
      <c r="L204" s="21">
        <f t="shared" si="35"/>
        <v>60</v>
      </c>
      <c r="M204" s="21">
        <f t="shared" si="36"/>
        <v>0</v>
      </c>
      <c r="N204" s="21"/>
      <c r="O204" s="21">
        <v>60</v>
      </c>
      <c r="P204" s="5"/>
      <c r="Q204" s="16"/>
      <c r="R204" s="16"/>
      <c r="S204" s="21">
        <f t="shared" si="37"/>
        <v>0</v>
      </c>
      <c r="T204" s="16">
        <v>60</v>
      </c>
      <c r="U204" s="78">
        <v>10</v>
      </c>
      <c r="V204" s="140"/>
      <c r="W204" s="147"/>
      <c r="X204" s="23"/>
      <c r="Y204" s="334"/>
      <c r="Z204" s="5"/>
      <c r="AJ204" s="16"/>
      <c r="AK204" s="16"/>
      <c r="AM204" s="16"/>
      <c r="AN204" s="16"/>
    </row>
    <row r="205" spans="1:40" x14ac:dyDescent="0.25">
      <c r="A205" s="143">
        <v>12</v>
      </c>
      <c r="B205" s="92">
        <v>45186</v>
      </c>
      <c r="C205" s="32" t="s">
        <v>910</v>
      </c>
      <c r="D205" s="32">
        <v>5620167396</v>
      </c>
      <c r="E205" s="124"/>
      <c r="F205" s="123" t="s">
        <v>911</v>
      </c>
      <c r="G205" s="39" t="s">
        <v>912</v>
      </c>
      <c r="H205" s="39">
        <v>31</v>
      </c>
      <c r="I205" s="42">
        <v>21</v>
      </c>
      <c r="J205" s="20">
        <v>10</v>
      </c>
      <c r="K205" s="21">
        <f t="shared" si="38"/>
        <v>-10</v>
      </c>
      <c r="L205" s="21">
        <f t="shared" si="35"/>
        <v>31</v>
      </c>
      <c r="M205" s="21">
        <f t="shared" si="36"/>
        <v>0</v>
      </c>
      <c r="N205" s="21"/>
      <c r="O205" s="21"/>
      <c r="P205" s="5"/>
      <c r="Q205" s="45"/>
      <c r="R205" s="44"/>
      <c r="S205" s="21">
        <f t="shared" si="37"/>
        <v>0</v>
      </c>
      <c r="T205" s="45"/>
      <c r="U205" s="78">
        <f t="shared" si="39"/>
        <v>0</v>
      </c>
      <c r="V205" s="140"/>
      <c r="W205" s="147"/>
      <c r="X205" s="23"/>
      <c r="Y205" s="334"/>
      <c r="Z205" s="5"/>
      <c r="AJ205" s="63" t="s">
        <v>169</v>
      </c>
      <c r="AK205" s="63">
        <f>+SUM(AJ194:AJ204)-SUM(AK194:AK204)</f>
        <v>0</v>
      </c>
      <c r="AM205" s="63" t="s">
        <v>169</v>
      </c>
      <c r="AN205" s="18">
        <f>AN203</f>
        <v>996</v>
      </c>
    </row>
    <row r="206" spans="1:40" x14ac:dyDescent="0.25">
      <c r="A206" s="143">
        <v>13</v>
      </c>
      <c r="B206" s="92">
        <v>45186</v>
      </c>
      <c r="C206" s="31"/>
      <c r="D206" s="32"/>
      <c r="E206" s="32"/>
      <c r="F206" s="32"/>
      <c r="G206" s="39"/>
      <c r="H206" s="39"/>
      <c r="I206" s="42"/>
      <c r="J206" s="108">
        <v>10</v>
      </c>
      <c r="K206" s="21">
        <f t="shared" si="38"/>
        <v>-10</v>
      </c>
      <c r="L206" s="21">
        <f t="shared" si="35"/>
        <v>10</v>
      </c>
      <c r="M206" s="21">
        <f t="shared" si="36"/>
        <v>-10</v>
      </c>
      <c r="N206" s="21"/>
      <c r="O206" s="21"/>
      <c r="P206" s="5"/>
      <c r="Q206" s="43"/>
      <c r="R206" s="32"/>
      <c r="S206" s="21">
        <f t="shared" si="37"/>
        <v>0</v>
      </c>
      <c r="T206" s="43"/>
      <c r="U206" s="78">
        <f t="shared" si="39"/>
        <v>0</v>
      </c>
      <c r="V206" s="140"/>
      <c r="W206" s="147"/>
      <c r="X206" s="23"/>
      <c r="Y206" s="334"/>
      <c r="Z206" s="5"/>
      <c r="AH206" s="83"/>
    </row>
    <row r="207" spans="1:40" x14ac:dyDescent="0.25">
      <c r="A207" s="143">
        <v>14</v>
      </c>
      <c r="B207" s="92">
        <v>45186</v>
      </c>
      <c r="C207" s="31"/>
      <c r="D207" s="32"/>
      <c r="E207" s="32"/>
      <c r="F207" s="32"/>
      <c r="G207" s="39"/>
      <c r="H207" s="39"/>
      <c r="I207" s="42"/>
      <c r="J207" s="108">
        <v>10</v>
      </c>
      <c r="K207" s="21">
        <f t="shared" si="38"/>
        <v>-10</v>
      </c>
      <c r="L207" s="21">
        <f t="shared" si="35"/>
        <v>10</v>
      </c>
      <c r="M207" s="21">
        <f t="shared" si="36"/>
        <v>-10</v>
      </c>
      <c r="N207" s="21"/>
      <c r="O207" s="21"/>
      <c r="P207" s="5"/>
      <c r="Q207" s="43"/>
      <c r="R207" s="43"/>
      <c r="S207" s="21">
        <f t="shared" si="37"/>
        <v>0</v>
      </c>
      <c r="T207" s="43"/>
      <c r="U207" s="78">
        <f t="shared" si="39"/>
        <v>0</v>
      </c>
      <c r="V207" s="140"/>
      <c r="W207" s="147"/>
      <c r="X207" s="23"/>
      <c r="Y207" s="334"/>
      <c r="Z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40" x14ac:dyDescent="0.25">
      <c r="A208" s="143">
        <v>15</v>
      </c>
      <c r="B208" s="92">
        <v>45186</v>
      </c>
      <c r="C208" s="127"/>
      <c r="D208" s="32"/>
      <c r="E208" s="32"/>
      <c r="F208" s="128"/>
      <c r="G208" s="129"/>
      <c r="H208" s="39"/>
      <c r="I208" s="42"/>
      <c r="J208" s="108">
        <v>10</v>
      </c>
      <c r="K208" s="21">
        <f t="shared" si="38"/>
        <v>-10</v>
      </c>
      <c r="L208" s="21">
        <f t="shared" si="35"/>
        <v>10</v>
      </c>
      <c r="M208" s="21">
        <f t="shared" si="36"/>
        <v>-10</v>
      </c>
      <c r="N208" s="21"/>
      <c r="O208" s="21"/>
      <c r="P208" s="5"/>
      <c r="Q208" s="43"/>
      <c r="R208" s="43"/>
      <c r="S208" s="21">
        <f t="shared" si="37"/>
        <v>0</v>
      </c>
      <c r="T208" s="43"/>
      <c r="U208" s="78">
        <f t="shared" si="39"/>
        <v>0</v>
      </c>
      <c r="V208" s="140"/>
      <c r="W208" s="147"/>
      <c r="X208" s="23"/>
      <c r="Y208" s="334"/>
      <c r="Z208" s="5"/>
      <c r="AC208" s="5"/>
      <c r="AD208" s="134" t="s">
        <v>20</v>
      </c>
      <c r="AE208" s="338">
        <v>848</v>
      </c>
      <c r="AF208" s="341" t="s">
        <v>686</v>
      </c>
      <c r="AG208" s="134" t="s">
        <v>20</v>
      </c>
      <c r="AH208" s="338">
        <v>849</v>
      </c>
      <c r="AI208" s="341" t="s">
        <v>687</v>
      </c>
      <c r="AJ208" s="134" t="s">
        <v>20</v>
      </c>
      <c r="AK208" s="338">
        <v>996</v>
      </c>
      <c r="AL208" s="5"/>
    </row>
    <row r="209" spans="1:38" x14ac:dyDescent="0.25">
      <c r="A209" s="143">
        <v>16</v>
      </c>
      <c r="B209" s="92">
        <v>45186</v>
      </c>
      <c r="C209" s="31"/>
      <c r="D209" s="32"/>
      <c r="E209" s="32"/>
      <c r="F209" s="32"/>
      <c r="G209" s="39"/>
      <c r="H209" s="39"/>
      <c r="I209" s="42"/>
      <c r="J209" s="43">
        <v>10</v>
      </c>
      <c r="K209" s="21">
        <f t="shared" si="38"/>
        <v>-10</v>
      </c>
      <c r="L209" s="21">
        <f t="shared" si="35"/>
        <v>10</v>
      </c>
      <c r="M209" s="21">
        <f t="shared" si="36"/>
        <v>-10</v>
      </c>
      <c r="N209" s="21"/>
      <c r="O209" s="21"/>
      <c r="P209" s="5"/>
      <c r="Q209" s="43"/>
      <c r="R209" s="32"/>
      <c r="S209" s="21">
        <f t="shared" si="37"/>
        <v>0</v>
      </c>
      <c r="T209" s="131"/>
      <c r="U209" s="78">
        <f t="shared" si="39"/>
        <v>0</v>
      </c>
      <c r="V209" s="140"/>
      <c r="W209" s="147"/>
      <c r="X209" s="23"/>
      <c r="Y209" s="334"/>
      <c r="Z209" s="5"/>
      <c r="AC209" s="5" t="s">
        <v>685</v>
      </c>
      <c r="AD209" s="115" t="s">
        <v>684</v>
      </c>
      <c r="AE209" s="339"/>
      <c r="AF209" s="341"/>
      <c r="AG209" s="115" t="s">
        <v>684</v>
      </c>
      <c r="AH209" s="339"/>
      <c r="AI209" s="341"/>
      <c r="AJ209" s="115" t="s">
        <v>684</v>
      </c>
      <c r="AK209" s="339"/>
      <c r="AL209" s="5"/>
    </row>
    <row r="210" spans="1:38" x14ac:dyDescent="0.25">
      <c r="A210" s="143">
        <v>17</v>
      </c>
      <c r="B210" s="92">
        <v>45186</v>
      </c>
      <c r="C210" s="31"/>
      <c r="D210" s="32"/>
      <c r="E210" s="32"/>
      <c r="F210" s="32"/>
      <c r="G210" s="39"/>
      <c r="H210" s="39"/>
      <c r="I210" s="42"/>
      <c r="J210" s="43">
        <v>10</v>
      </c>
      <c r="K210" s="21">
        <f t="shared" si="38"/>
        <v>-10</v>
      </c>
      <c r="L210" s="21">
        <f t="shared" si="35"/>
        <v>10</v>
      </c>
      <c r="M210" s="21">
        <f t="shared" si="36"/>
        <v>-10</v>
      </c>
      <c r="N210" s="21"/>
      <c r="O210" s="21"/>
      <c r="P210" s="5"/>
      <c r="Q210" s="43"/>
      <c r="R210" s="32"/>
      <c r="S210" s="21">
        <f t="shared" si="37"/>
        <v>0</v>
      </c>
      <c r="T210" s="132"/>
      <c r="U210" s="78">
        <f t="shared" si="39"/>
        <v>0</v>
      </c>
      <c r="V210" s="140"/>
      <c r="W210" s="147"/>
      <c r="X210" s="23"/>
      <c r="Y210" s="340"/>
      <c r="Z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x14ac:dyDescent="0.25">
      <c r="A211" s="143">
        <v>18</v>
      </c>
      <c r="B211" s="92">
        <v>45186</v>
      </c>
      <c r="C211" s="31"/>
      <c r="D211" s="32"/>
      <c r="E211" s="32"/>
      <c r="F211" s="32"/>
      <c r="G211" s="39"/>
      <c r="H211" s="39"/>
      <c r="I211" s="42"/>
      <c r="J211" s="43">
        <v>10</v>
      </c>
      <c r="K211" s="21">
        <f t="shared" si="38"/>
        <v>-10</v>
      </c>
      <c r="L211" s="21">
        <f t="shared" si="35"/>
        <v>10</v>
      </c>
      <c r="M211" s="21">
        <f t="shared" si="36"/>
        <v>-10</v>
      </c>
      <c r="N211" s="21"/>
      <c r="O211" s="21"/>
      <c r="P211" s="5"/>
      <c r="Q211" s="135"/>
      <c r="R211" s="104"/>
      <c r="S211" s="21">
        <f t="shared" si="37"/>
        <v>0</v>
      </c>
      <c r="T211" s="131"/>
      <c r="U211" s="78">
        <f t="shared" si="39"/>
        <v>0</v>
      </c>
      <c r="V211" s="140"/>
      <c r="W211" s="138"/>
      <c r="X211" s="32"/>
      <c r="Z211" s="5"/>
    </row>
    <row r="212" spans="1:38" x14ac:dyDescent="0.25">
      <c r="A212" s="143">
        <v>19</v>
      </c>
      <c r="B212" s="92">
        <v>45186</v>
      </c>
      <c r="C212" s="31"/>
      <c r="D212" s="32"/>
      <c r="E212" s="32"/>
      <c r="F212" s="32"/>
      <c r="G212" s="39"/>
      <c r="H212" s="39"/>
      <c r="I212" s="42"/>
      <c r="J212" s="43">
        <v>10</v>
      </c>
      <c r="K212" s="21">
        <f t="shared" si="38"/>
        <v>-10</v>
      </c>
      <c r="L212" s="21">
        <f t="shared" si="35"/>
        <v>10</v>
      </c>
      <c r="M212" s="21">
        <f t="shared" si="36"/>
        <v>-10</v>
      </c>
      <c r="N212" s="21"/>
      <c r="O212" s="21"/>
      <c r="P212" s="5"/>
      <c r="Q212" s="32"/>
      <c r="R212" s="32"/>
      <c r="S212" s="21">
        <f t="shared" si="37"/>
        <v>0</v>
      </c>
      <c r="T212" s="32"/>
      <c r="U212" s="78">
        <f t="shared" si="39"/>
        <v>0</v>
      </c>
      <c r="V212" s="140"/>
      <c r="W212" s="138"/>
      <c r="X212" s="32"/>
      <c r="Z212" s="5"/>
    </row>
    <row r="213" spans="1:38" x14ac:dyDescent="0.25">
      <c r="A213" s="5"/>
      <c r="B213" s="5"/>
      <c r="C213" s="5"/>
      <c r="D213" s="5"/>
      <c r="E213" s="5"/>
      <c r="F213" s="5"/>
      <c r="G213" s="5"/>
      <c r="H213" s="5"/>
      <c r="I213" s="54"/>
      <c r="J213" s="5"/>
      <c r="K213" s="5"/>
      <c r="L213" s="5"/>
      <c r="M213" s="5"/>
      <c r="N213" s="5"/>
      <c r="O213" s="22">
        <f>SUM(O194:O212)</f>
        <v>935</v>
      </c>
      <c r="P213" s="5"/>
      <c r="Q213" s="5"/>
      <c r="R213" s="5"/>
      <c r="S213" s="5"/>
      <c r="T213" s="5"/>
      <c r="U213" s="22">
        <f>SUM(U194:U204)</f>
        <v>147</v>
      </c>
      <c r="V213" s="141"/>
      <c r="W213" s="5"/>
      <c r="X213" s="5"/>
      <c r="Y213" s="5"/>
      <c r="Z213" s="5"/>
      <c r="AG213">
        <v>1700</v>
      </c>
    </row>
    <row r="214" spans="1:38" x14ac:dyDescent="0.25">
      <c r="I214" s="36"/>
    </row>
  </sheetData>
  <mergeCells count="68">
    <mergeCell ref="AK208:AK209"/>
    <mergeCell ref="Y194:Y210"/>
    <mergeCell ref="AE208:AE209"/>
    <mergeCell ref="AF208:AF209"/>
    <mergeCell ref="AH208:AH209"/>
    <mergeCell ref="AI208:AI209"/>
    <mergeCell ref="S192:T192"/>
    <mergeCell ref="AC192:AD192"/>
    <mergeCell ref="AG192:AH192"/>
    <mergeCell ref="AJ192:AK192"/>
    <mergeCell ref="AM192:AN192"/>
    <mergeCell ref="AK132:AK133"/>
    <mergeCell ref="Y118:Y134"/>
    <mergeCell ref="AE132:AE133"/>
    <mergeCell ref="AF132:AF133"/>
    <mergeCell ref="AH132:AH133"/>
    <mergeCell ref="AI132:AI133"/>
    <mergeCell ref="S116:T116"/>
    <mergeCell ref="AC116:AD116"/>
    <mergeCell ref="AG116:AH116"/>
    <mergeCell ref="AJ116:AK116"/>
    <mergeCell ref="AM116:AN116"/>
    <mergeCell ref="S51:T51"/>
    <mergeCell ref="X53:X63"/>
    <mergeCell ref="AC51:AD51"/>
    <mergeCell ref="AG51:AH51"/>
    <mergeCell ref="AJ51:AK51"/>
    <mergeCell ref="Y53:Y71"/>
    <mergeCell ref="AM51:AN51"/>
    <mergeCell ref="AE67:AE68"/>
    <mergeCell ref="AF67:AF68"/>
    <mergeCell ref="AH67:AH68"/>
    <mergeCell ref="AK67:AK68"/>
    <mergeCell ref="AI67:AI68"/>
    <mergeCell ref="AM23:AN23"/>
    <mergeCell ref="Y25:Y36"/>
    <mergeCell ref="AC1:AD1"/>
    <mergeCell ref="AG1:AH1"/>
    <mergeCell ref="AJ1:AK1"/>
    <mergeCell ref="Y3:Y14"/>
    <mergeCell ref="AC23:AD23"/>
    <mergeCell ref="AG23:AH23"/>
    <mergeCell ref="AJ23:AK23"/>
    <mergeCell ref="S86:T86"/>
    <mergeCell ref="AC86:AD86"/>
    <mergeCell ref="AG86:AH86"/>
    <mergeCell ref="AJ86:AK86"/>
    <mergeCell ref="AM86:AN86"/>
    <mergeCell ref="AK102:AK103"/>
    <mergeCell ref="X88:X98"/>
    <mergeCell ref="AN102:AN103"/>
    <mergeCell ref="Y88:Y104"/>
    <mergeCell ref="AE102:AE103"/>
    <mergeCell ref="AF102:AF103"/>
    <mergeCell ref="AH102:AH103"/>
    <mergeCell ref="AI102:AI103"/>
    <mergeCell ref="S156:T156"/>
    <mergeCell ref="AC156:AD156"/>
    <mergeCell ref="AG156:AH156"/>
    <mergeCell ref="AJ156:AK156"/>
    <mergeCell ref="AM156:AN156"/>
    <mergeCell ref="AK171:AK172"/>
    <mergeCell ref="AQ156:AR156"/>
    <mergeCell ref="Y158:Y173"/>
    <mergeCell ref="AE171:AE172"/>
    <mergeCell ref="AF171:AF172"/>
    <mergeCell ref="AH171:AH172"/>
    <mergeCell ref="AI171:AI17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66"/>
  <sheetViews>
    <sheetView topLeftCell="A89" zoomScale="90" zoomScaleNormal="90" workbookViewId="0">
      <selection activeCell="C103" sqref="C103"/>
    </sheetView>
  </sheetViews>
  <sheetFormatPr baseColWidth="10" defaultRowHeight="15" x14ac:dyDescent="0.25"/>
  <cols>
    <col min="4" max="4" width="12" bestFit="1" customWidth="1"/>
    <col min="23" max="23" width="12.42578125" bestFit="1" customWidth="1"/>
    <col min="27" max="27" width="12.42578125" customWidth="1"/>
    <col min="38" max="38" width="14" customWidth="1"/>
  </cols>
  <sheetData>
    <row r="2" spans="1:40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148</v>
      </c>
      <c r="J2" s="1"/>
      <c r="K2" s="1"/>
      <c r="L2" s="1"/>
      <c r="M2" s="1"/>
      <c r="N2" s="1"/>
      <c r="O2" s="1"/>
      <c r="P2" s="1"/>
      <c r="Q2" s="1"/>
      <c r="R2" s="1"/>
      <c r="S2" s="342" t="s">
        <v>1</v>
      </c>
      <c r="T2" s="342"/>
      <c r="U2" s="5"/>
      <c r="V2" s="139"/>
      <c r="W2" s="1"/>
      <c r="X2" s="1"/>
      <c r="Y2" s="1"/>
      <c r="Z2" s="5"/>
      <c r="AC2" s="335" t="s">
        <v>160</v>
      </c>
      <c r="AD2" s="336"/>
      <c r="AG2" s="335" t="s">
        <v>170</v>
      </c>
      <c r="AH2" s="336"/>
      <c r="AJ2" s="337" t="s">
        <v>172</v>
      </c>
      <c r="AK2" s="337"/>
      <c r="AM2" s="337" t="s">
        <v>681</v>
      </c>
      <c r="AN2" s="337"/>
    </row>
    <row r="3" spans="1:40" ht="90" x14ac:dyDescent="0.25">
      <c r="A3" s="6" t="s">
        <v>2</v>
      </c>
      <c r="B3" s="7" t="s">
        <v>3</v>
      </c>
      <c r="C3" s="7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8" t="s">
        <v>9</v>
      </c>
      <c r="I3" s="9" t="s">
        <v>10</v>
      </c>
      <c r="J3" s="8" t="s">
        <v>11</v>
      </c>
      <c r="K3" s="10" t="s">
        <v>12</v>
      </c>
      <c r="L3" s="10" t="s">
        <v>13</v>
      </c>
      <c r="M3" s="11" t="s">
        <v>14</v>
      </c>
      <c r="N3" s="10" t="s">
        <v>691</v>
      </c>
      <c r="O3" s="10" t="s">
        <v>28</v>
      </c>
      <c r="P3" s="5"/>
      <c r="Q3" s="10" t="s">
        <v>16</v>
      </c>
      <c r="R3" s="10" t="s">
        <v>17</v>
      </c>
      <c r="S3" s="10" t="s">
        <v>18</v>
      </c>
      <c r="T3" s="10" t="s">
        <v>19</v>
      </c>
      <c r="U3" s="10" t="s">
        <v>20</v>
      </c>
      <c r="V3" s="13"/>
      <c r="W3" s="136" t="s">
        <v>688</v>
      </c>
      <c r="X3" s="14" t="s">
        <v>22</v>
      </c>
      <c r="Y3" s="15" t="s">
        <v>23</v>
      </c>
      <c r="Z3" s="5"/>
      <c r="AC3" s="16" t="s">
        <v>161</v>
      </c>
      <c r="AD3" s="58">
        <f>+AB3*10</f>
        <v>0</v>
      </c>
      <c r="AF3">
        <v>6</v>
      </c>
      <c r="AG3" s="16" t="s">
        <v>161</v>
      </c>
      <c r="AH3" s="58">
        <f>+AF3*10</f>
        <v>60</v>
      </c>
      <c r="AJ3" s="61" t="s">
        <v>173</v>
      </c>
      <c r="AK3" s="62" t="s">
        <v>174</v>
      </c>
      <c r="AL3">
        <v>1</v>
      </c>
      <c r="AM3" s="16" t="s">
        <v>161</v>
      </c>
      <c r="AN3" s="58">
        <f>+AL3*10</f>
        <v>10</v>
      </c>
    </row>
    <row r="4" spans="1:40" x14ac:dyDescent="0.25">
      <c r="A4" s="16">
        <v>1</v>
      </c>
      <c r="B4" s="92">
        <v>45187</v>
      </c>
      <c r="C4" s="31" t="s">
        <v>245</v>
      </c>
      <c r="D4" s="32">
        <v>5530508709</v>
      </c>
      <c r="E4" s="32" t="s">
        <v>915</v>
      </c>
      <c r="F4" s="39" t="s">
        <v>474</v>
      </c>
      <c r="G4" s="39" t="s">
        <v>914</v>
      </c>
      <c r="H4" s="122">
        <v>200</v>
      </c>
      <c r="I4" s="32">
        <v>85</v>
      </c>
      <c r="J4" s="20">
        <v>10</v>
      </c>
      <c r="K4" s="21">
        <f>U4-J4-O4</f>
        <v>20</v>
      </c>
      <c r="L4" s="21">
        <f t="shared" ref="L4:L22" si="0">+I4+J4</f>
        <v>95</v>
      </c>
      <c r="M4" s="21">
        <f t="shared" ref="M4:M22" si="1">+H4-L4</f>
        <v>105</v>
      </c>
      <c r="N4" s="21"/>
      <c r="O4" s="21"/>
      <c r="P4" s="5"/>
      <c r="Q4" s="21">
        <v>200</v>
      </c>
      <c r="R4" s="16"/>
      <c r="S4" s="21">
        <f t="shared" ref="S4:S22" si="2">+Q4+R4</f>
        <v>200</v>
      </c>
      <c r="T4" s="21">
        <v>230</v>
      </c>
      <c r="U4" s="78">
        <f>T4-S4-O4</f>
        <v>30</v>
      </c>
      <c r="V4" s="13"/>
      <c r="W4" s="147">
        <v>0.4236111111111111</v>
      </c>
      <c r="X4" s="351" t="s">
        <v>700</v>
      </c>
      <c r="Y4" s="333"/>
      <c r="Z4" s="5"/>
      <c r="AC4" s="59" t="s">
        <v>162</v>
      </c>
      <c r="AD4" s="18">
        <f>+AB4*1</f>
        <v>0</v>
      </c>
      <c r="AF4">
        <v>20.5</v>
      </c>
      <c r="AG4" s="59" t="s">
        <v>162</v>
      </c>
      <c r="AH4" s="18">
        <f>+AF4*1</f>
        <v>20.5</v>
      </c>
      <c r="AJ4" s="21">
        <v>115</v>
      </c>
      <c r="AK4" s="16"/>
      <c r="AM4" s="59" t="s">
        <v>162</v>
      </c>
      <c r="AN4" s="18">
        <f>+AL4*1</f>
        <v>0</v>
      </c>
    </row>
    <row r="5" spans="1:40" x14ac:dyDescent="0.25">
      <c r="A5" s="26">
        <v>2</v>
      </c>
      <c r="B5" s="92">
        <v>45187</v>
      </c>
      <c r="C5" s="31" t="s">
        <v>1194</v>
      </c>
      <c r="D5" s="32">
        <v>5516609716</v>
      </c>
      <c r="E5" s="32" t="s">
        <v>917</v>
      </c>
      <c r="F5" s="32" t="s">
        <v>918</v>
      </c>
      <c r="G5" s="39" t="s">
        <v>919</v>
      </c>
      <c r="H5" s="122">
        <v>200</v>
      </c>
      <c r="I5" s="32">
        <v>69</v>
      </c>
      <c r="J5" s="20">
        <v>10</v>
      </c>
      <c r="K5" s="21">
        <f>U5-J5-O5</f>
        <v>10</v>
      </c>
      <c r="L5" s="21">
        <f t="shared" si="0"/>
        <v>79</v>
      </c>
      <c r="M5" s="21">
        <f t="shared" si="1"/>
        <v>121</v>
      </c>
      <c r="N5" s="21"/>
      <c r="O5" s="21"/>
      <c r="P5" s="5"/>
      <c r="Q5" s="21">
        <v>220</v>
      </c>
      <c r="R5" s="16"/>
      <c r="S5" s="21">
        <f t="shared" si="2"/>
        <v>220</v>
      </c>
      <c r="T5" s="21">
        <v>240</v>
      </c>
      <c r="U5" s="78">
        <f>T5-S5-O5</f>
        <v>20</v>
      </c>
      <c r="V5" s="140"/>
      <c r="W5" s="147"/>
      <c r="X5" s="352"/>
      <c r="Y5" s="334"/>
      <c r="Z5" s="5"/>
      <c r="AC5" s="16" t="s">
        <v>163</v>
      </c>
      <c r="AD5" s="60">
        <f>+AB5*5</f>
        <v>0</v>
      </c>
      <c r="AF5">
        <v>22</v>
      </c>
      <c r="AG5" s="16" t="s">
        <v>163</v>
      </c>
      <c r="AH5" s="60">
        <f>+AF5*5</f>
        <v>110</v>
      </c>
      <c r="AJ5" s="21"/>
      <c r="AK5" s="16"/>
      <c r="AM5" s="16" t="s">
        <v>163</v>
      </c>
      <c r="AN5" s="60">
        <f>+AL5*5</f>
        <v>0</v>
      </c>
    </row>
    <row r="6" spans="1:40" x14ac:dyDescent="0.25">
      <c r="A6" s="143">
        <v>3</v>
      </c>
      <c r="B6" s="92">
        <v>45187</v>
      </c>
      <c r="C6" s="31" t="s">
        <v>1500</v>
      </c>
      <c r="D6" s="32">
        <v>5639611669</v>
      </c>
      <c r="E6" s="32" t="s">
        <v>25</v>
      </c>
      <c r="F6" s="32" t="s">
        <v>793</v>
      </c>
      <c r="G6" s="39"/>
      <c r="H6" s="122">
        <v>100</v>
      </c>
      <c r="I6" s="32">
        <v>240</v>
      </c>
      <c r="J6" s="20">
        <v>10</v>
      </c>
      <c r="K6" s="21">
        <v>10</v>
      </c>
      <c r="L6" s="21">
        <f t="shared" si="0"/>
        <v>250</v>
      </c>
      <c r="M6" s="21">
        <f t="shared" si="1"/>
        <v>-150</v>
      </c>
      <c r="N6" s="21"/>
      <c r="O6" s="21"/>
      <c r="P6" s="5"/>
      <c r="Q6" s="21"/>
      <c r="R6" s="16"/>
      <c r="S6" s="21">
        <f t="shared" si="2"/>
        <v>0</v>
      </c>
      <c r="T6" s="21">
        <v>260</v>
      </c>
      <c r="U6" s="78">
        <v>30</v>
      </c>
      <c r="V6" s="140"/>
      <c r="W6" s="147"/>
      <c r="X6" s="352"/>
      <c r="Y6" s="334"/>
      <c r="Z6" s="5"/>
      <c r="AC6" s="16" t="s">
        <v>164</v>
      </c>
      <c r="AD6" s="18">
        <f>+AB6*200</f>
        <v>0</v>
      </c>
      <c r="AF6">
        <v>1</v>
      </c>
      <c r="AG6" s="16" t="s">
        <v>164</v>
      </c>
      <c r="AH6" s="18">
        <f>+AF6*200</f>
        <v>200</v>
      </c>
      <c r="AJ6" s="21">
        <v>200</v>
      </c>
      <c r="AK6" s="16"/>
      <c r="AM6" s="16" t="s">
        <v>164</v>
      </c>
      <c r="AN6" s="18">
        <f>+AL6*200</f>
        <v>0</v>
      </c>
    </row>
    <row r="7" spans="1:40" x14ac:dyDescent="0.25">
      <c r="A7" s="143">
        <v>4</v>
      </c>
      <c r="B7" s="92">
        <v>45187</v>
      </c>
      <c r="C7" s="31" t="s">
        <v>920</v>
      </c>
      <c r="D7" s="32">
        <v>5527588597</v>
      </c>
      <c r="E7" s="32" t="s">
        <v>922</v>
      </c>
      <c r="F7" s="32" t="s">
        <v>926</v>
      </c>
      <c r="G7" s="39"/>
      <c r="H7" s="122">
        <v>106</v>
      </c>
      <c r="I7" s="32">
        <v>67</v>
      </c>
      <c r="J7" s="20">
        <v>10</v>
      </c>
      <c r="K7" s="21">
        <v>19</v>
      </c>
      <c r="L7" s="21">
        <f t="shared" si="0"/>
        <v>77</v>
      </c>
      <c r="M7" s="21">
        <f t="shared" si="1"/>
        <v>29</v>
      </c>
      <c r="N7" s="21"/>
      <c r="O7" s="21"/>
      <c r="P7" s="5"/>
      <c r="Q7" s="21"/>
      <c r="R7" s="16"/>
      <c r="S7" s="21">
        <f t="shared" si="2"/>
        <v>0</v>
      </c>
      <c r="T7" s="21">
        <v>77</v>
      </c>
      <c r="U7" s="78">
        <v>29</v>
      </c>
      <c r="V7" s="140"/>
      <c r="W7" s="147"/>
      <c r="X7" s="352"/>
      <c r="Y7" s="334"/>
      <c r="Z7" s="5"/>
      <c r="AC7" s="16" t="s">
        <v>165</v>
      </c>
      <c r="AD7" s="18">
        <f>+AB7*100</f>
        <v>0</v>
      </c>
      <c r="AF7">
        <v>2</v>
      </c>
      <c r="AG7" s="16" t="s">
        <v>165</v>
      </c>
      <c r="AH7" s="18">
        <f>+AF7*100</f>
        <v>200</v>
      </c>
      <c r="AJ7" s="21">
        <v>121</v>
      </c>
      <c r="AK7" s="16"/>
      <c r="AL7">
        <v>2</v>
      </c>
      <c r="AM7" s="16" t="s">
        <v>165</v>
      </c>
      <c r="AN7" s="18">
        <f>+AL7*100</f>
        <v>200</v>
      </c>
    </row>
    <row r="8" spans="1:40" x14ac:dyDescent="0.25">
      <c r="A8" s="143">
        <v>5</v>
      </c>
      <c r="B8" s="92">
        <v>45187</v>
      </c>
      <c r="C8" s="31" t="s">
        <v>3384</v>
      </c>
      <c r="D8" s="32">
        <v>5611506099</v>
      </c>
      <c r="E8" s="32" t="s">
        <v>923</v>
      </c>
      <c r="F8" s="32" t="s">
        <v>927</v>
      </c>
      <c r="G8" s="32"/>
      <c r="H8" s="122">
        <v>200</v>
      </c>
      <c r="I8" s="32">
        <v>114</v>
      </c>
      <c r="J8" s="20">
        <v>10</v>
      </c>
      <c r="K8" s="21">
        <v>5</v>
      </c>
      <c r="L8" s="21">
        <f t="shared" si="0"/>
        <v>124</v>
      </c>
      <c r="M8" s="21">
        <f t="shared" si="1"/>
        <v>76</v>
      </c>
      <c r="N8" s="21"/>
      <c r="O8" s="21"/>
      <c r="P8" s="5"/>
      <c r="Q8" s="16"/>
      <c r="R8" s="16"/>
      <c r="S8" s="21">
        <f t="shared" si="2"/>
        <v>0</v>
      </c>
      <c r="T8" s="21">
        <v>124</v>
      </c>
      <c r="U8" s="78">
        <v>15</v>
      </c>
      <c r="V8" s="140"/>
      <c r="W8" s="147"/>
      <c r="X8" s="352"/>
      <c r="Y8" s="334"/>
      <c r="Z8" s="5"/>
      <c r="AC8" s="16" t="s">
        <v>166</v>
      </c>
      <c r="AD8" s="18">
        <f>+AB8*50</f>
        <v>0</v>
      </c>
      <c r="AF8">
        <v>6</v>
      </c>
      <c r="AG8" s="16" t="s">
        <v>166</v>
      </c>
      <c r="AH8" s="18">
        <f>+AF8*50</f>
        <v>300</v>
      </c>
      <c r="AJ8" s="21"/>
      <c r="AK8" s="16"/>
      <c r="AL8">
        <v>1</v>
      </c>
      <c r="AM8" s="16" t="s">
        <v>166</v>
      </c>
      <c r="AN8" s="18">
        <f>+AL8*50</f>
        <v>50</v>
      </c>
    </row>
    <row r="9" spans="1:40" x14ac:dyDescent="0.25">
      <c r="A9" s="143">
        <v>6</v>
      </c>
      <c r="B9" s="92">
        <v>45187</v>
      </c>
      <c r="C9" s="31" t="s">
        <v>921</v>
      </c>
      <c r="D9" s="32">
        <v>5625982564</v>
      </c>
      <c r="E9" s="32" t="s">
        <v>156</v>
      </c>
      <c r="F9" s="32" t="s">
        <v>928</v>
      </c>
      <c r="G9" s="39"/>
      <c r="H9" s="39">
        <v>200</v>
      </c>
      <c r="I9" s="42">
        <v>92</v>
      </c>
      <c r="J9" s="20">
        <v>10</v>
      </c>
      <c r="K9" s="21">
        <v>0</v>
      </c>
      <c r="L9" s="21">
        <f t="shared" si="0"/>
        <v>102</v>
      </c>
      <c r="M9" s="21">
        <f t="shared" si="1"/>
        <v>98</v>
      </c>
      <c r="N9" s="21"/>
      <c r="O9" s="21">
        <v>92</v>
      </c>
      <c r="P9" s="5"/>
      <c r="Q9" s="16"/>
      <c r="R9" s="16"/>
      <c r="S9" s="21">
        <f t="shared" si="2"/>
        <v>0</v>
      </c>
      <c r="T9" s="16">
        <v>102</v>
      </c>
      <c r="U9" s="78">
        <v>10</v>
      </c>
      <c r="V9" s="140"/>
      <c r="W9" s="147"/>
      <c r="X9" s="352"/>
      <c r="Y9" s="334"/>
      <c r="Z9" s="5"/>
      <c r="AC9" s="16" t="s">
        <v>167</v>
      </c>
      <c r="AD9" s="18">
        <f>+AB9*20</f>
        <v>0</v>
      </c>
      <c r="AF9">
        <v>1</v>
      </c>
      <c r="AG9" s="16" t="s">
        <v>167</v>
      </c>
      <c r="AH9" s="18">
        <f>+AF9*20</f>
        <v>20</v>
      </c>
      <c r="AJ9" s="21">
        <v>184</v>
      </c>
      <c r="AK9" s="16"/>
      <c r="AL9">
        <v>2</v>
      </c>
      <c r="AM9" s="16" t="s">
        <v>167</v>
      </c>
      <c r="AN9" s="18">
        <f>+AL9*20</f>
        <v>40</v>
      </c>
    </row>
    <row r="10" spans="1:40" x14ac:dyDescent="0.25">
      <c r="A10" s="41">
        <v>7</v>
      </c>
      <c r="B10" s="92">
        <v>45187</v>
      </c>
      <c r="C10" s="31" t="s">
        <v>114</v>
      </c>
      <c r="D10" s="32">
        <v>5560555623</v>
      </c>
      <c r="E10" s="32" t="s">
        <v>924</v>
      </c>
      <c r="F10" s="32" t="s">
        <v>55</v>
      </c>
      <c r="G10" s="39"/>
      <c r="H10" s="122">
        <v>200</v>
      </c>
      <c r="I10" s="42">
        <v>120</v>
      </c>
      <c r="J10" s="20">
        <v>10</v>
      </c>
      <c r="K10" s="21">
        <v>0</v>
      </c>
      <c r="L10" s="21">
        <f t="shared" si="0"/>
        <v>130</v>
      </c>
      <c r="M10" s="21">
        <f t="shared" si="1"/>
        <v>70</v>
      </c>
      <c r="N10" s="21"/>
      <c r="O10" s="21">
        <v>100</v>
      </c>
      <c r="P10" s="5"/>
      <c r="Q10" s="16"/>
      <c r="R10" s="16"/>
      <c r="S10" s="21">
        <f t="shared" si="2"/>
        <v>0</v>
      </c>
      <c r="T10" s="16">
        <v>130</v>
      </c>
      <c r="U10" s="78">
        <v>10</v>
      </c>
      <c r="V10" s="140"/>
      <c r="W10" s="147"/>
      <c r="X10" s="352"/>
      <c r="Y10" s="334"/>
      <c r="Z10" s="5"/>
      <c r="AC10" s="16" t="s">
        <v>171</v>
      </c>
      <c r="AD10" s="18">
        <f>+AB10*500</f>
        <v>0</v>
      </c>
      <c r="AG10" s="16" t="s">
        <v>171</v>
      </c>
      <c r="AH10" s="18">
        <f>+AF10*500</f>
        <v>0</v>
      </c>
      <c r="AJ10" s="16"/>
      <c r="AK10" s="16"/>
      <c r="AM10" s="16" t="s">
        <v>171</v>
      </c>
      <c r="AN10" s="18">
        <f>+AL10*500</f>
        <v>0</v>
      </c>
    </row>
    <row r="11" spans="1:40" x14ac:dyDescent="0.25">
      <c r="A11" s="143">
        <v>8</v>
      </c>
      <c r="B11" s="92">
        <v>45187</v>
      </c>
      <c r="C11" s="31" t="s">
        <v>627</v>
      </c>
      <c r="D11" s="123">
        <v>5537803548</v>
      </c>
      <c r="E11" s="123" t="s">
        <v>925</v>
      </c>
      <c r="F11" s="123" t="s">
        <v>837</v>
      </c>
      <c r="G11" s="39"/>
      <c r="H11" s="122">
        <v>100</v>
      </c>
      <c r="I11" s="32">
        <v>90</v>
      </c>
      <c r="J11" s="20">
        <v>10</v>
      </c>
      <c r="K11" s="21">
        <v>15</v>
      </c>
      <c r="L11" s="21">
        <f t="shared" si="0"/>
        <v>100</v>
      </c>
      <c r="M11" s="21">
        <f t="shared" si="1"/>
        <v>0</v>
      </c>
      <c r="N11" s="21">
        <v>115</v>
      </c>
      <c r="O11" s="21">
        <v>59</v>
      </c>
      <c r="P11" s="5"/>
      <c r="Q11" s="16"/>
      <c r="R11" s="16"/>
      <c r="S11" s="21">
        <f t="shared" si="2"/>
        <v>0</v>
      </c>
      <c r="T11" s="16">
        <v>115</v>
      </c>
      <c r="U11" s="78">
        <v>15</v>
      </c>
      <c r="V11" s="140"/>
      <c r="W11" s="147"/>
      <c r="X11" s="352"/>
      <c r="Y11" s="334"/>
      <c r="Z11" s="5"/>
      <c r="AC11" s="16" t="s">
        <v>168</v>
      </c>
      <c r="AD11" s="18">
        <f>+AB11*1000</f>
        <v>0</v>
      </c>
      <c r="AG11" s="16" t="s">
        <v>168</v>
      </c>
      <c r="AH11" s="18">
        <f>+AF11*1000</f>
        <v>0</v>
      </c>
      <c r="AJ11" s="16"/>
      <c r="AK11" s="16"/>
      <c r="AM11" s="16" t="s">
        <v>168</v>
      </c>
      <c r="AN11" s="18">
        <f>+AL11*1000</f>
        <v>0</v>
      </c>
    </row>
    <row r="12" spans="1:40" x14ac:dyDescent="0.25">
      <c r="A12" s="143">
        <v>9</v>
      </c>
      <c r="B12" s="92">
        <v>45187</v>
      </c>
      <c r="C12" s="31" t="s">
        <v>1500</v>
      </c>
      <c r="D12" s="32">
        <v>5639611669</v>
      </c>
      <c r="E12" s="32" t="s">
        <v>114</v>
      </c>
      <c r="F12" s="32" t="s">
        <v>793</v>
      </c>
      <c r="G12" s="39" t="s">
        <v>931</v>
      </c>
      <c r="H12" s="39">
        <v>300</v>
      </c>
      <c r="I12" s="40">
        <v>228</v>
      </c>
      <c r="J12" s="20">
        <v>10</v>
      </c>
      <c r="K12" s="21">
        <v>10</v>
      </c>
      <c r="L12" s="21">
        <f t="shared" si="0"/>
        <v>238</v>
      </c>
      <c r="M12" s="21">
        <f t="shared" si="1"/>
        <v>62</v>
      </c>
      <c r="N12" s="21"/>
      <c r="O12" s="21"/>
      <c r="P12" s="5"/>
      <c r="Q12" s="16"/>
      <c r="R12" s="16"/>
      <c r="S12" s="21">
        <f t="shared" si="2"/>
        <v>0</v>
      </c>
      <c r="T12" s="16">
        <v>228</v>
      </c>
      <c r="U12" s="78">
        <v>20</v>
      </c>
      <c r="V12" s="140"/>
      <c r="W12" s="147"/>
      <c r="X12" s="352"/>
      <c r="Y12" s="334"/>
      <c r="Z12" s="5"/>
      <c r="AC12" s="26"/>
      <c r="AD12" s="58"/>
      <c r="AG12" s="26"/>
      <c r="AH12" s="58"/>
      <c r="AJ12" s="16"/>
      <c r="AK12" s="16"/>
      <c r="AM12" s="26"/>
      <c r="AN12" s="58"/>
    </row>
    <row r="13" spans="1:40" x14ac:dyDescent="0.25">
      <c r="A13" s="143">
        <v>10</v>
      </c>
      <c r="B13" s="92">
        <v>45187</v>
      </c>
      <c r="C13" s="31" t="s">
        <v>929</v>
      </c>
      <c r="D13" s="32">
        <v>5532535035</v>
      </c>
      <c r="E13" s="32" t="s">
        <v>145</v>
      </c>
      <c r="F13" s="32" t="s">
        <v>930</v>
      </c>
      <c r="G13" s="39" t="s">
        <v>932</v>
      </c>
      <c r="H13" s="122">
        <v>200</v>
      </c>
      <c r="I13" s="42">
        <v>190</v>
      </c>
      <c r="J13" s="20">
        <v>10</v>
      </c>
      <c r="K13" s="21">
        <f>U13-J13-O13</f>
        <v>0</v>
      </c>
      <c r="L13" s="21">
        <f t="shared" si="0"/>
        <v>200</v>
      </c>
      <c r="M13" s="21">
        <f t="shared" si="1"/>
        <v>0</v>
      </c>
      <c r="N13" s="21">
        <v>200</v>
      </c>
      <c r="O13" s="21"/>
      <c r="P13" s="5"/>
      <c r="Q13" s="16"/>
      <c r="R13" s="16"/>
      <c r="S13" s="21">
        <f t="shared" si="2"/>
        <v>0</v>
      </c>
      <c r="T13" s="16">
        <v>200</v>
      </c>
      <c r="U13" s="78">
        <v>10</v>
      </c>
      <c r="V13" s="140"/>
      <c r="W13" s="147"/>
      <c r="X13" s="353"/>
      <c r="Y13" s="334"/>
      <c r="Z13" s="5"/>
      <c r="AC13" s="16" t="s">
        <v>169</v>
      </c>
      <c r="AD13" s="18">
        <f>SUM(AD3:AD12)</f>
        <v>0</v>
      </c>
      <c r="AG13" s="111" t="s">
        <v>169</v>
      </c>
      <c r="AH13" s="113">
        <f>SUM(AH3:AH12)</f>
        <v>910.5</v>
      </c>
      <c r="AJ13" s="16"/>
      <c r="AK13" s="16"/>
      <c r="AM13" s="16" t="s">
        <v>169</v>
      </c>
      <c r="AN13" s="18"/>
    </row>
    <row r="14" spans="1:40" x14ac:dyDescent="0.25">
      <c r="A14" s="143">
        <v>11</v>
      </c>
      <c r="B14" s="92">
        <v>45187</v>
      </c>
      <c r="C14" s="31" t="s">
        <v>933</v>
      </c>
      <c r="D14" s="124">
        <v>5559971116</v>
      </c>
      <c r="E14" s="124" t="s">
        <v>672</v>
      </c>
      <c r="F14" s="123" t="s">
        <v>940</v>
      </c>
      <c r="G14" s="39" t="s">
        <v>941</v>
      </c>
      <c r="H14" s="122"/>
      <c r="I14" s="42">
        <v>213</v>
      </c>
      <c r="J14" s="20">
        <v>20</v>
      </c>
      <c r="K14" s="21">
        <v>0</v>
      </c>
      <c r="L14" s="21">
        <f t="shared" si="0"/>
        <v>233</v>
      </c>
      <c r="M14" s="21">
        <f t="shared" si="1"/>
        <v>-233</v>
      </c>
      <c r="N14" s="21"/>
      <c r="O14" s="21"/>
      <c r="P14" s="5"/>
      <c r="Q14" s="16"/>
      <c r="R14" s="16"/>
      <c r="S14" s="21">
        <f t="shared" si="2"/>
        <v>0</v>
      </c>
      <c r="T14" s="16">
        <v>233</v>
      </c>
      <c r="U14" s="78">
        <v>20</v>
      </c>
      <c r="V14" s="140"/>
      <c r="W14" s="147"/>
      <c r="X14" s="348" t="s">
        <v>699</v>
      </c>
      <c r="Y14" s="334"/>
      <c r="Z14" s="5"/>
      <c r="AG14" s="162" t="s">
        <v>946</v>
      </c>
      <c r="AH14" s="83">
        <f>AH13+AK15</f>
        <v>1530.5</v>
      </c>
      <c r="AJ14" s="16"/>
      <c r="AK14" s="16"/>
      <c r="AM14" s="16"/>
      <c r="AN14" s="16"/>
    </row>
    <row r="15" spans="1:40" x14ac:dyDescent="0.25">
      <c r="A15" s="143">
        <v>12</v>
      </c>
      <c r="B15" s="92">
        <v>45187</v>
      </c>
      <c r="C15" s="32" t="s">
        <v>2527</v>
      </c>
      <c r="D15" s="32">
        <v>5522701719</v>
      </c>
      <c r="E15" s="124" t="s">
        <v>849</v>
      </c>
      <c r="F15" s="123" t="s">
        <v>98</v>
      </c>
      <c r="G15" s="39" t="s">
        <v>936</v>
      </c>
      <c r="H15" s="39">
        <v>55</v>
      </c>
      <c r="I15" s="42">
        <v>45</v>
      </c>
      <c r="J15" s="20">
        <v>10</v>
      </c>
      <c r="K15" s="21">
        <v>0</v>
      </c>
      <c r="L15" s="21">
        <v>60</v>
      </c>
      <c r="M15" s="21">
        <f t="shared" si="1"/>
        <v>-5</v>
      </c>
      <c r="N15" s="21"/>
      <c r="O15" s="21">
        <v>45</v>
      </c>
      <c r="P15" s="5"/>
      <c r="Q15" s="45"/>
      <c r="R15" s="44"/>
      <c r="S15" s="21">
        <f t="shared" si="2"/>
        <v>0</v>
      </c>
      <c r="T15" s="45">
        <v>50</v>
      </c>
      <c r="U15" s="78">
        <v>15</v>
      </c>
      <c r="V15" s="140"/>
      <c r="W15" s="147"/>
      <c r="X15" s="349"/>
      <c r="Y15" s="334"/>
      <c r="Z15" s="5"/>
      <c r="AJ15" s="63" t="s">
        <v>169</v>
      </c>
      <c r="AK15" s="63">
        <f>+SUM(AJ4:AJ14)-SUM(AK4:AK14)</f>
        <v>620</v>
      </c>
      <c r="AM15" s="63" t="s">
        <v>169</v>
      </c>
      <c r="AN15" s="85">
        <f>SUM(AN3:AN14)</f>
        <v>300</v>
      </c>
    </row>
    <row r="16" spans="1:40" x14ac:dyDescent="0.25">
      <c r="A16" s="143">
        <v>13</v>
      </c>
      <c r="B16" s="92">
        <v>45187</v>
      </c>
      <c r="C16" s="31" t="s">
        <v>48</v>
      </c>
      <c r="D16" s="32">
        <v>5597925871</v>
      </c>
      <c r="E16" s="32" t="s">
        <v>41</v>
      </c>
      <c r="F16" s="32" t="s">
        <v>934</v>
      </c>
      <c r="G16" s="39" t="s">
        <v>935</v>
      </c>
      <c r="H16" s="39">
        <v>184</v>
      </c>
      <c r="I16" s="42">
        <v>174</v>
      </c>
      <c r="J16" s="108">
        <v>10</v>
      </c>
      <c r="K16" s="21">
        <f>U16-J16-O16</f>
        <v>0</v>
      </c>
      <c r="L16" s="21">
        <f t="shared" si="0"/>
        <v>184</v>
      </c>
      <c r="M16" s="21">
        <f t="shared" si="1"/>
        <v>0</v>
      </c>
      <c r="N16" s="21">
        <v>184</v>
      </c>
      <c r="O16" s="21"/>
      <c r="P16" s="5"/>
      <c r="Q16" s="43"/>
      <c r="R16" s="32"/>
      <c r="S16" s="21">
        <f t="shared" si="2"/>
        <v>0</v>
      </c>
      <c r="T16" s="43">
        <v>184</v>
      </c>
      <c r="U16" s="78">
        <v>10</v>
      </c>
      <c r="V16" s="140"/>
      <c r="W16" s="147"/>
      <c r="X16" s="349"/>
      <c r="Y16" s="334"/>
      <c r="Z16" s="5"/>
      <c r="AA16">
        <v>12</v>
      </c>
      <c r="AH16" s="83"/>
    </row>
    <row r="17" spans="1:41" x14ac:dyDescent="0.25">
      <c r="A17" s="143">
        <v>14</v>
      </c>
      <c r="B17" s="92">
        <v>45187</v>
      </c>
      <c r="C17" s="31" t="s">
        <v>114</v>
      </c>
      <c r="D17" s="32">
        <v>5560555623</v>
      </c>
      <c r="E17" s="32" t="s">
        <v>52</v>
      </c>
      <c r="F17" s="32" t="s">
        <v>631</v>
      </c>
      <c r="G17" s="39" t="s">
        <v>937</v>
      </c>
      <c r="H17" s="39">
        <v>96</v>
      </c>
      <c r="I17" s="42">
        <v>86</v>
      </c>
      <c r="J17" s="108">
        <v>10</v>
      </c>
      <c r="K17" s="21">
        <v>0</v>
      </c>
      <c r="L17" s="21">
        <f t="shared" si="0"/>
        <v>96</v>
      </c>
      <c r="M17" s="21">
        <f t="shared" si="1"/>
        <v>0</v>
      </c>
      <c r="N17" s="21"/>
      <c r="O17" s="21">
        <v>86</v>
      </c>
      <c r="P17" s="5"/>
      <c r="Q17" s="43"/>
      <c r="R17" s="43"/>
      <c r="S17" s="21">
        <f t="shared" si="2"/>
        <v>0</v>
      </c>
      <c r="T17" s="43">
        <v>96</v>
      </c>
      <c r="U17" s="78">
        <f>T17-S17-O17</f>
        <v>10</v>
      </c>
      <c r="V17" s="140"/>
      <c r="W17" s="147"/>
      <c r="X17" s="349"/>
      <c r="Y17" s="334"/>
      <c r="Z17" s="5"/>
      <c r="AA17">
        <v>40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x14ac:dyDescent="0.25">
      <c r="A18" s="143">
        <v>15</v>
      </c>
      <c r="B18" s="92">
        <v>45187</v>
      </c>
      <c r="C18" s="127" t="s">
        <v>634</v>
      </c>
      <c r="D18" s="32">
        <v>5614683694</v>
      </c>
      <c r="E18" s="32" t="s">
        <v>52</v>
      </c>
      <c r="F18" s="128" t="s">
        <v>938</v>
      </c>
      <c r="G18" s="129" t="s">
        <v>939</v>
      </c>
      <c r="H18" s="39">
        <v>100</v>
      </c>
      <c r="I18" s="42">
        <v>78</v>
      </c>
      <c r="J18" s="108">
        <v>10</v>
      </c>
      <c r="K18" s="21">
        <v>0</v>
      </c>
      <c r="L18" s="21">
        <f t="shared" si="0"/>
        <v>88</v>
      </c>
      <c r="M18" s="21">
        <f t="shared" si="1"/>
        <v>12</v>
      </c>
      <c r="N18" s="21"/>
      <c r="O18" s="21">
        <v>68</v>
      </c>
      <c r="P18" s="5"/>
      <c r="Q18" s="43"/>
      <c r="R18" s="43"/>
      <c r="S18" s="21">
        <f t="shared" si="2"/>
        <v>0</v>
      </c>
      <c r="T18" s="43">
        <v>78</v>
      </c>
      <c r="U18" s="78">
        <v>10</v>
      </c>
      <c r="V18" s="140"/>
      <c r="W18" s="147"/>
      <c r="X18" s="349"/>
      <c r="Y18" s="334"/>
      <c r="Z18" s="5"/>
      <c r="AA18">
        <v>15</v>
      </c>
      <c r="AC18" s="5"/>
      <c r="AD18" s="134" t="s">
        <v>20</v>
      </c>
      <c r="AE18" s="338">
        <v>996</v>
      </c>
      <c r="AF18" s="341" t="s">
        <v>686</v>
      </c>
      <c r="AG18" s="134" t="s">
        <v>20</v>
      </c>
      <c r="AH18" s="338">
        <v>144</v>
      </c>
      <c r="AI18" s="341" t="s">
        <v>687</v>
      </c>
      <c r="AJ18" s="134" t="s">
        <v>20</v>
      </c>
      <c r="AK18" s="338">
        <v>156</v>
      </c>
      <c r="AL18" s="341" t="s">
        <v>945</v>
      </c>
      <c r="AM18" s="134" t="s">
        <v>20</v>
      </c>
      <c r="AN18" s="338">
        <f>AK18+AH18+AE18</f>
        <v>1296</v>
      </c>
      <c r="AO18" s="5"/>
    </row>
    <row r="19" spans="1:41" x14ac:dyDescent="0.25">
      <c r="A19" s="143">
        <v>16</v>
      </c>
      <c r="B19" s="92">
        <v>45187</v>
      </c>
      <c r="C19" s="31" t="s">
        <v>37</v>
      </c>
      <c r="D19" s="32">
        <v>5554180418</v>
      </c>
      <c r="E19" s="32" t="s">
        <v>52</v>
      </c>
      <c r="F19" s="32" t="s">
        <v>237</v>
      </c>
      <c r="G19" s="39" t="s">
        <v>942</v>
      </c>
      <c r="H19" s="39">
        <v>83</v>
      </c>
      <c r="I19" s="42">
        <v>73</v>
      </c>
      <c r="J19" s="43">
        <v>10</v>
      </c>
      <c r="K19" s="21">
        <v>17</v>
      </c>
      <c r="L19" s="21">
        <f t="shared" si="0"/>
        <v>83</v>
      </c>
      <c r="M19" s="21">
        <f t="shared" si="1"/>
        <v>0</v>
      </c>
      <c r="N19" s="21"/>
      <c r="O19" s="42">
        <v>73</v>
      </c>
      <c r="P19" s="5"/>
      <c r="Q19" s="43"/>
      <c r="R19" s="32"/>
      <c r="S19" s="21">
        <f t="shared" si="2"/>
        <v>0</v>
      </c>
      <c r="T19" s="131">
        <v>100</v>
      </c>
      <c r="U19" s="78">
        <v>27</v>
      </c>
      <c r="V19" s="140"/>
      <c r="W19" s="147"/>
      <c r="X19" s="349"/>
      <c r="Y19" s="334"/>
      <c r="Z19" s="5"/>
      <c r="AA19">
        <v>60</v>
      </c>
      <c r="AC19" s="5" t="s">
        <v>951</v>
      </c>
      <c r="AD19" s="115" t="s">
        <v>684</v>
      </c>
      <c r="AE19" s="339"/>
      <c r="AF19" s="341"/>
      <c r="AG19" s="115" t="s">
        <v>684</v>
      </c>
      <c r="AH19" s="339"/>
      <c r="AI19" s="341"/>
      <c r="AJ19" s="115" t="s">
        <v>684</v>
      </c>
      <c r="AK19" s="339"/>
      <c r="AL19" s="341"/>
      <c r="AM19" s="115" t="s">
        <v>684</v>
      </c>
      <c r="AN19" s="339"/>
      <c r="AO19" s="5"/>
    </row>
    <row r="20" spans="1:41" x14ac:dyDescent="0.25">
      <c r="A20" s="143">
        <v>17</v>
      </c>
      <c r="B20" s="92">
        <v>45187</v>
      </c>
      <c r="C20" s="31" t="s">
        <v>3385</v>
      </c>
      <c r="D20" s="32">
        <v>5566712323</v>
      </c>
      <c r="E20" s="32" t="s">
        <v>52</v>
      </c>
      <c r="F20" s="32" t="s">
        <v>943</v>
      </c>
      <c r="G20" s="39" t="s">
        <v>944</v>
      </c>
      <c r="H20" s="39">
        <v>139</v>
      </c>
      <c r="I20" s="42">
        <v>111</v>
      </c>
      <c r="J20" s="43">
        <v>10</v>
      </c>
      <c r="K20" s="21">
        <v>0</v>
      </c>
      <c r="L20" s="21">
        <f t="shared" si="0"/>
        <v>121</v>
      </c>
      <c r="M20" s="21">
        <f t="shared" si="1"/>
        <v>18</v>
      </c>
      <c r="N20" s="21"/>
      <c r="O20" s="42">
        <v>111</v>
      </c>
      <c r="P20" s="5"/>
      <c r="Q20" s="43"/>
      <c r="R20" s="32"/>
      <c r="S20" s="21">
        <f t="shared" si="2"/>
        <v>0</v>
      </c>
      <c r="T20" s="132">
        <v>121</v>
      </c>
      <c r="U20" s="78">
        <v>19</v>
      </c>
      <c r="V20" s="140"/>
      <c r="W20" s="147"/>
      <c r="X20" s="349"/>
      <c r="Y20" s="340"/>
      <c r="Z20" s="5"/>
      <c r="AA20">
        <v>50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x14ac:dyDescent="0.25">
      <c r="A21" s="143">
        <v>18</v>
      </c>
      <c r="B21" s="92">
        <v>45187</v>
      </c>
      <c r="C21" s="31"/>
      <c r="D21" s="32"/>
      <c r="E21" s="32"/>
      <c r="F21" s="32"/>
      <c r="G21" s="39"/>
      <c r="H21" s="39"/>
      <c r="I21" s="42"/>
      <c r="J21" s="43">
        <v>10</v>
      </c>
      <c r="K21" s="21">
        <f>U21-J21-O21</f>
        <v>-10</v>
      </c>
      <c r="L21" s="21">
        <f t="shared" si="0"/>
        <v>10</v>
      </c>
      <c r="M21" s="21">
        <f t="shared" si="1"/>
        <v>-10</v>
      </c>
      <c r="N21" s="21"/>
      <c r="O21" s="21"/>
      <c r="P21" s="5"/>
      <c r="Q21" s="135"/>
      <c r="R21" s="104"/>
      <c r="S21" s="21">
        <f t="shared" si="2"/>
        <v>0</v>
      </c>
      <c r="T21" s="131"/>
      <c r="U21" s="78">
        <f>T21-S21-O21</f>
        <v>0</v>
      </c>
      <c r="V21" s="140"/>
      <c r="W21" s="138"/>
      <c r="X21" s="349"/>
      <c r="Z21" s="5"/>
      <c r="AA21">
        <f>+SUM(AA16:AA20)</f>
        <v>177</v>
      </c>
    </row>
    <row r="22" spans="1:41" x14ac:dyDescent="0.25">
      <c r="A22" s="143">
        <v>19</v>
      </c>
      <c r="B22" s="92">
        <v>45187</v>
      </c>
      <c r="C22" s="31"/>
      <c r="D22" s="32"/>
      <c r="E22" s="32"/>
      <c r="F22" s="32"/>
      <c r="G22" s="39"/>
      <c r="H22" s="39"/>
      <c r="I22" s="42"/>
      <c r="J22" s="43">
        <v>10</v>
      </c>
      <c r="K22" s="21">
        <f>U22-J22-O22</f>
        <v>-10</v>
      </c>
      <c r="L22" s="21">
        <f t="shared" si="0"/>
        <v>10</v>
      </c>
      <c r="M22" s="21">
        <f t="shared" si="1"/>
        <v>-10</v>
      </c>
      <c r="N22" s="21"/>
      <c r="O22" s="21"/>
      <c r="P22" s="5"/>
      <c r="Q22" s="32"/>
      <c r="R22" s="32"/>
      <c r="S22" s="21">
        <f t="shared" si="2"/>
        <v>0</v>
      </c>
      <c r="T22" s="32"/>
      <c r="U22" s="78">
        <f>T22-S22-O22</f>
        <v>0</v>
      </c>
      <c r="V22" s="140"/>
      <c r="W22" s="138"/>
      <c r="X22" s="350"/>
      <c r="Z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2">
        <f>SUM(O4:O20)</f>
        <v>634</v>
      </c>
      <c r="P23" s="5"/>
      <c r="Q23" s="5"/>
      <c r="R23" s="5"/>
      <c r="S23" s="5"/>
      <c r="T23" s="5"/>
      <c r="U23" s="22">
        <f>SUM(U4:U22)</f>
        <v>300</v>
      </c>
      <c r="V23" s="141"/>
      <c r="W23" s="5"/>
      <c r="X23" s="5"/>
      <c r="Y23" s="5"/>
      <c r="Z23" s="5"/>
      <c r="AC23" s="5" t="s">
        <v>950</v>
      </c>
      <c r="AD23" s="134" t="s">
        <v>20</v>
      </c>
      <c r="AE23" s="345">
        <f>AH13</f>
        <v>910.5</v>
      </c>
      <c r="AF23" s="341"/>
      <c r="AG23" s="134" t="s">
        <v>20</v>
      </c>
      <c r="AH23" s="338">
        <f>AK15</f>
        <v>620</v>
      </c>
      <c r="AI23" s="341"/>
      <c r="AJ23" s="346" t="s">
        <v>952</v>
      </c>
      <c r="AK23" s="345">
        <v>580</v>
      </c>
      <c r="AL23" s="160"/>
      <c r="AM23" s="346" t="s">
        <v>949</v>
      </c>
      <c r="AN23" s="345">
        <f>AE23+AH23-AK23</f>
        <v>950.5</v>
      </c>
      <c r="AO23" s="160"/>
    </row>
    <row r="24" spans="1:41" x14ac:dyDescent="0.25">
      <c r="AC24" s="5"/>
      <c r="AD24" s="115" t="s">
        <v>947</v>
      </c>
      <c r="AE24" s="339"/>
      <c r="AF24" s="341"/>
      <c r="AG24" s="115" t="s">
        <v>948</v>
      </c>
      <c r="AH24" s="339"/>
      <c r="AI24" s="341"/>
      <c r="AJ24" s="347"/>
      <c r="AK24" s="339"/>
      <c r="AL24" s="160"/>
      <c r="AM24" s="347"/>
      <c r="AN24" s="339"/>
      <c r="AO24" s="160"/>
    </row>
    <row r="25" spans="1:41" x14ac:dyDescent="0.25"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8" spans="1:41" x14ac:dyDescent="0.25">
      <c r="AC28" t="s">
        <v>953</v>
      </c>
      <c r="AE28" s="163">
        <v>120</v>
      </c>
    </row>
    <row r="29" spans="1:41" x14ac:dyDescent="0.25">
      <c r="AE29" s="150"/>
    </row>
    <row r="31" spans="1:41" x14ac:dyDescent="0.25">
      <c r="J31">
        <f>1200-I39+600</f>
        <v>110</v>
      </c>
    </row>
    <row r="32" spans="1:41" x14ac:dyDescent="0.25">
      <c r="H32" t="s">
        <v>961</v>
      </c>
      <c r="J32">
        <f>32*50</f>
        <v>1600</v>
      </c>
    </row>
    <row r="33" spans="1:40" x14ac:dyDescent="0.25">
      <c r="H33" t="s">
        <v>962</v>
      </c>
      <c r="J33">
        <f>+J31+J32</f>
        <v>1710</v>
      </c>
    </row>
    <row r="34" spans="1:40" x14ac:dyDescent="0.25">
      <c r="A34" s="1" t="s">
        <v>0</v>
      </c>
      <c r="B34" s="1"/>
      <c r="C34" s="1"/>
      <c r="D34" s="1"/>
      <c r="E34" s="1"/>
      <c r="F34" s="1"/>
      <c r="G34" s="1"/>
      <c r="H34" s="1"/>
      <c r="I34" s="1" t="s">
        <v>148</v>
      </c>
      <c r="J34" s="1"/>
      <c r="K34" s="1"/>
      <c r="L34" s="1"/>
      <c r="M34" s="1"/>
      <c r="N34" s="1"/>
      <c r="O34" s="1"/>
      <c r="P34" s="1"/>
      <c r="Q34" s="1"/>
      <c r="R34" s="1"/>
      <c r="S34" s="342" t="s">
        <v>1</v>
      </c>
      <c r="T34" s="342"/>
      <c r="U34" s="5"/>
      <c r="V34" s="139"/>
      <c r="W34" s="1"/>
      <c r="X34" s="1"/>
      <c r="Y34" s="1"/>
      <c r="Z34" s="5"/>
      <c r="AC34" s="335" t="s">
        <v>160</v>
      </c>
      <c r="AD34" s="336"/>
      <c r="AG34" s="335" t="s">
        <v>170</v>
      </c>
      <c r="AH34" s="336"/>
      <c r="AJ34" s="337" t="s">
        <v>172</v>
      </c>
      <c r="AK34" s="337"/>
      <c r="AM34" s="337" t="s">
        <v>681</v>
      </c>
      <c r="AN34" s="337"/>
    </row>
    <row r="35" spans="1:40" ht="90" x14ac:dyDescent="0.25">
      <c r="A35" s="6" t="s">
        <v>2</v>
      </c>
      <c r="B35" s="7" t="s">
        <v>3</v>
      </c>
      <c r="C35" s="7" t="s">
        <v>4</v>
      </c>
      <c r="D35" s="6" t="s">
        <v>5</v>
      </c>
      <c r="E35" s="6" t="s">
        <v>6</v>
      </c>
      <c r="F35" s="6" t="s">
        <v>7</v>
      </c>
      <c r="G35" s="6" t="s">
        <v>8</v>
      </c>
      <c r="H35" s="8" t="s">
        <v>9</v>
      </c>
      <c r="I35" s="9" t="s">
        <v>10</v>
      </c>
      <c r="J35" s="8" t="s">
        <v>11</v>
      </c>
      <c r="K35" s="10" t="s">
        <v>12</v>
      </c>
      <c r="L35" s="10" t="s">
        <v>13</v>
      </c>
      <c r="M35" s="11" t="s">
        <v>14</v>
      </c>
      <c r="N35" s="10" t="s">
        <v>691</v>
      </c>
      <c r="O35" s="10" t="s">
        <v>28</v>
      </c>
      <c r="P35" s="5"/>
      <c r="Q35" s="10" t="s">
        <v>16</v>
      </c>
      <c r="R35" s="10" t="s">
        <v>17</v>
      </c>
      <c r="S35" s="10" t="s">
        <v>18</v>
      </c>
      <c r="T35" s="10" t="s">
        <v>19</v>
      </c>
      <c r="U35" s="10" t="s">
        <v>20</v>
      </c>
      <c r="V35" s="13"/>
      <c r="W35" s="136" t="s">
        <v>688</v>
      </c>
      <c r="X35" s="14" t="s">
        <v>22</v>
      </c>
      <c r="Y35" s="15" t="s">
        <v>23</v>
      </c>
      <c r="Z35" s="5"/>
      <c r="AB35">
        <v>2</v>
      </c>
      <c r="AC35" s="16" t="s">
        <v>161</v>
      </c>
      <c r="AD35" s="58">
        <f>+AB35*10</f>
        <v>20</v>
      </c>
      <c r="AF35">
        <v>3</v>
      </c>
      <c r="AG35" s="16" t="s">
        <v>161</v>
      </c>
      <c r="AH35" s="58">
        <f>+AF35*10</f>
        <v>30</v>
      </c>
      <c r="AJ35" s="61" t="s">
        <v>173</v>
      </c>
      <c r="AK35" s="62" t="s">
        <v>174</v>
      </c>
      <c r="AM35" s="16" t="s">
        <v>161</v>
      </c>
      <c r="AN35" s="58">
        <f>+AL35*10</f>
        <v>0</v>
      </c>
    </row>
    <row r="36" spans="1:40" x14ac:dyDescent="0.25">
      <c r="A36" s="16">
        <v>1</v>
      </c>
      <c r="B36" s="92">
        <v>45188</v>
      </c>
      <c r="C36" s="31" t="s">
        <v>3386</v>
      </c>
      <c r="D36" s="32">
        <v>5511330620</v>
      </c>
      <c r="E36" s="32"/>
      <c r="F36" s="39" t="s">
        <v>955</v>
      </c>
      <c r="G36" s="39" t="s">
        <v>954</v>
      </c>
      <c r="H36" s="122">
        <v>100</v>
      </c>
      <c r="I36" s="32"/>
      <c r="J36" s="20">
        <v>10</v>
      </c>
      <c r="K36" s="21">
        <f>U36-J36-O36</f>
        <v>8</v>
      </c>
      <c r="L36" s="21">
        <f t="shared" ref="L36:L54" si="3">+I36+J36</f>
        <v>10</v>
      </c>
      <c r="M36" s="21">
        <f t="shared" ref="M36:M54" si="4">+H36-L36</f>
        <v>90</v>
      </c>
      <c r="N36" s="21"/>
      <c r="O36" s="21"/>
      <c r="P36" s="5"/>
      <c r="Q36" s="21">
        <v>100</v>
      </c>
      <c r="R36" s="16"/>
      <c r="S36" s="21">
        <f t="shared" ref="S36:S54" si="5">+Q36+R36</f>
        <v>100</v>
      </c>
      <c r="T36" s="21">
        <v>118</v>
      </c>
      <c r="U36" s="78">
        <f>T36-S36-O36</f>
        <v>18</v>
      </c>
      <c r="V36" s="13"/>
      <c r="W36" s="147"/>
      <c r="X36" s="23"/>
      <c r="Y36" s="333"/>
      <c r="Z36" s="5"/>
      <c r="AB36">
        <v>11.5</v>
      </c>
      <c r="AC36" s="59" t="s">
        <v>162</v>
      </c>
      <c r="AD36" s="18">
        <f>+AB36*1</f>
        <v>11.5</v>
      </c>
      <c r="AG36" s="59" t="s">
        <v>162</v>
      </c>
      <c r="AH36" s="18">
        <f>+AF36*1</f>
        <v>0</v>
      </c>
      <c r="AJ36" s="16"/>
      <c r="AK36" s="16"/>
      <c r="AM36" s="59" t="s">
        <v>162</v>
      </c>
      <c r="AN36" s="18">
        <f>+AL36*1</f>
        <v>0</v>
      </c>
    </row>
    <row r="37" spans="1:40" x14ac:dyDescent="0.25">
      <c r="A37" s="26">
        <v>2</v>
      </c>
      <c r="B37" s="92">
        <v>45188</v>
      </c>
      <c r="C37" s="31" t="s">
        <v>1500</v>
      </c>
      <c r="D37" s="32">
        <v>5639611669</v>
      </c>
      <c r="E37" s="32"/>
      <c r="F37" s="32" t="s">
        <v>793</v>
      </c>
      <c r="G37" s="39" t="s">
        <v>956</v>
      </c>
      <c r="H37" s="122">
        <v>300</v>
      </c>
      <c r="I37" s="32">
        <v>112</v>
      </c>
      <c r="J37" s="20">
        <v>10</v>
      </c>
      <c r="K37" s="21">
        <f t="shared" ref="K37:K54" si="6">U37-J37-O37</f>
        <v>20</v>
      </c>
      <c r="L37" s="21">
        <f t="shared" si="3"/>
        <v>122</v>
      </c>
      <c r="M37" s="21">
        <f t="shared" si="4"/>
        <v>178</v>
      </c>
      <c r="N37" s="21"/>
      <c r="O37" s="21"/>
      <c r="P37" s="5"/>
      <c r="Q37" s="21">
        <v>300</v>
      </c>
      <c r="R37" s="16"/>
      <c r="S37" s="21">
        <f t="shared" si="5"/>
        <v>300</v>
      </c>
      <c r="T37" s="21">
        <v>330</v>
      </c>
      <c r="U37" s="78">
        <f t="shared" ref="U37:U54" si="7">T37-S37-O37</f>
        <v>30</v>
      </c>
      <c r="V37" s="140"/>
      <c r="W37" s="147"/>
      <c r="X37" s="23"/>
      <c r="Y37" s="334"/>
      <c r="Z37" s="5"/>
      <c r="AB37">
        <v>23</v>
      </c>
      <c r="AC37" s="16" t="s">
        <v>163</v>
      </c>
      <c r="AD37" s="60">
        <f>+AB37*5</f>
        <v>115</v>
      </c>
      <c r="AF37">
        <v>13</v>
      </c>
      <c r="AG37" s="16" t="s">
        <v>163</v>
      </c>
      <c r="AH37" s="60">
        <f>+AF37*5</f>
        <v>65</v>
      </c>
      <c r="AJ37" s="16">
        <v>212</v>
      </c>
      <c r="AK37" s="16"/>
      <c r="AM37" s="16" t="s">
        <v>163</v>
      </c>
      <c r="AN37" s="60">
        <f>+AL37*5</f>
        <v>0</v>
      </c>
    </row>
    <row r="38" spans="1:40" x14ac:dyDescent="0.25">
      <c r="A38" s="143">
        <v>3</v>
      </c>
      <c r="B38" s="92">
        <v>45188</v>
      </c>
      <c r="C38" s="31" t="s">
        <v>957</v>
      </c>
      <c r="D38" s="32">
        <v>5529092659</v>
      </c>
      <c r="E38" s="32" t="s">
        <v>28</v>
      </c>
      <c r="F38" s="32" t="s">
        <v>959</v>
      </c>
      <c r="G38" s="39" t="s">
        <v>958</v>
      </c>
      <c r="H38" s="122"/>
      <c r="I38" s="32">
        <v>104</v>
      </c>
      <c r="J38" s="20">
        <v>10</v>
      </c>
      <c r="K38" s="21">
        <f t="shared" si="6"/>
        <v>-98</v>
      </c>
      <c r="L38" s="21">
        <f t="shared" si="3"/>
        <v>114</v>
      </c>
      <c r="M38" s="21">
        <f t="shared" si="4"/>
        <v>-114</v>
      </c>
      <c r="N38" s="21"/>
      <c r="O38" s="21">
        <v>104</v>
      </c>
      <c r="P38" s="5"/>
      <c r="Q38" s="21">
        <v>25</v>
      </c>
      <c r="R38" s="16"/>
      <c r="S38" s="21">
        <f t="shared" si="5"/>
        <v>25</v>
      </c>
      <c r="T38" s="21">
        <v>145</v>
      </c>
      <c r="U38" s="78">
        <f t="shared" si="7"/>
        <v>16</v>
      </c>
      <c r="V38" s="140"/>
      <c r="W38" s="147"/>
      <c r="X38" s="23"/>
      <c r="Y38" s="334"/>
      <c r="Z38" s="5"/>
      <c r="AC38" s="16" t="s">
        <v>164</v>
      </c>
      <c r="AD38" s="18">
        <f>+AB38*200</f>
        <v>0</v>
      </c>
      <c r="AF38">
        <v>2</v>
      </c>
      <c r="AG38" s="16" t="s">
        <v>164</v>
      </c>
      <c r="AH38" s="18">
        <f>+AF38*200</f>
        <v>400</v>
      </c>
      <c r="AJ38" s="16"/>
      <c r="AK38" s="16"/>
      <c r="AM38" s="16" t="s">
        <v>164</v>
      </c>
      <c r="AN38" s="18">
        <f>+AL38*200</f>
        <v>0</v>
      </c>
    </row>
    <row r="39" spans="1:40" x14ac:dyDescent="0.25">
      <c r="A39" s="143">
        <v>4</v>
      </c>
      <c r="B39" s="92">
        <v>45188</v>
      </c>
      <c r="C39" s="31" t="s">
        <v>1500</v>
      </c>
      <c r="D39" s="32">
        <v>5639611669</v>
      </c>
      <c r="E39" s="32"/>
      <c r="F39" s="32" t="s">
        <v>793</v>
      </c>
      <c r="G39" s="39" t="s">
        <v>960</v>
      </c>
      <c r="H39" s="122">
        <v>1720</v>
      </c>
      <c r="I39" s="32">
        <f>1090+600</f>
        <v>1690</v>
      </c>
      <c r="J39" s="20">
        <v>10</v>
      </c>
      <c r="K39" s="21">
        <f t="shared" si="6"/>
        <v>20</v>
      </c>
      <c r="L39" s="21">
        <f t="shared" si="3"/>
        <v>1700</v>
      </c>
      <c r="M39" s="21">
        <f t="shared" si="4"/>
        <v>20</v>
      </c>
      <c r="N39" s="21"/>
      <c r="O39" s="21"/>
      <c r="P39" s="5"/>
      <c r="Q39" s="21">
        <v>1200</v>
      </c>
      <c r="R39" s="16"/>
      <c r="S39" s="21">
        <f t="shared" si="5"/>
        <v>1200</v>
      </c>
      <c r="T39" s="21">
        <v>1830</v>
      </c>
      <c r="U39" s="78">
        <v>30</v>
      </c>
      <c r="V39" s="140"/>
      <c r="W39" s="147"/>
      <c r="X39" s="23"/>
      <c r="Y39" s="334"/>
      <c r="Z39" s="5"/>
      <c r="AC39" s="16" t="s">
        <v>165</v>
      </c>
      <c r="AD39" s="18">
        <f>+AB39*100</f>
        <v>0</v>
      </c>
      <c r="AF39">
        <v>2</v>
      </c>
      <c r="AG39" s="16" t="s">
        <v>165</v>
      </c>
      <c r="AH39" s="18">
        <f>+AF39*100</f>
        <v>200</v>
      </c>
      <c r="AJ39" s="16"/>
      <c r="AK39" s="16"/>
      <c r="AM39" s="16" t="s">
        <v>165</v>
      </c>
      <c r="AN39" s="18">
        <f>+AL39*100</f>
        <v>0</v>
      </c>
    </row>
    <row r="40" spans="1:40" x14ac:dyDescent="0.25">
      <c r="A40" s="143">
        <v>5</v>
      </c>
      <c r="B40" s="92">
        <v>45188</v>
      </c>
      <c r="C40" s="31" t="s">
        <v>1194</v>
      </c>
      <c r="D40" s="32"/>
      <c r="E40" s="32"/>
      <c r="F40" s="32" t="s">
        <v>967</v>
      </c>
      <c r="G40" s="32" t="s">
        <v>963</v>
      </c>
      <c r="H40" s="122">
        <v>200</v>
      </c>
      <c r="I40" s="32">
        <v>55</v>
      </c>
      <c r="J40" s="20">
        <v>10</v>
      </c>
      <c r="K40" s="21">
        <f t="shared" si="6"/>
        <v>-16</v>
      </c>
      <c r="L40" s="21">
        <f t="shared" si="3"/>
        <v>65</v>
      </c>
      <c r="M40" s="21">
        <f t="shared" si="4"/>
        <v>135</v>
      </c>
      <c r="N40" s="21"/>
      <c r="O40" s="21">
        <v>36</v>
      </c>
      <c r="P40" s="5"/>
      <c r="Q40" s="16">
        <v>100</v>
      </c>
      <c r="R40" s="16"/>
      <c r="S40" s="21">
        <f>+Q40+R40</f>
        <v>100</v>
      </c>
      <c r="T40" s="21">
        <v>166</v>
      </c>
      <c r="U40" s="78">
        <f>T40-S40-O40</f>
        <v>30</v>
      </c>
      <c r="V40" s="140"/>
      <c r="W40" s="147"/>
      <c r="X40" s="23"/>
      <c r="Y40" s="334"/>
      <c r="Z40" s="5"/>
      <c r="AB40">
        <v>28</v>
      </c>
      <c r="AC40" s="16" t="s">
        <v>166</v>
      </c>
      <c r="AD40" s="18">
        <f>+AB40*50</f>
        <v>1400</v>
      </c>
      <c r="AF40">
        <v>26</v>
      </c>
      <c r="AG40" s="16" t="s">
        <v>166</v>
      </c>
      <c r="AH40" s="18">
        <f>+AF40*50</f>
        <v>1300</v>
      </c>
      <c r="AJ40" s="16"/>
      <c r="AK40" s="16"/>
      <c r="AM40" s="16" t="s">
        <v>166</v>
      </c>
      <c r="AN40" s="18">
        <f>+AL40*50</f>
        <v>0</v>
      </c>
    </row>
    <row r="41" spans="1:40" x14ac:dyDescent="0.25">
      <c r="A41" s="143">
        <v>6</v>
      </c>
      <c r="B41" s="92">
        <v>45188</v>
      </c>
      <c r="C41" s="31" t="s">
        <v>2464</v>
      </c>
      <c r="D41" s="32"/>
      <c r="E41" s="32"/>
      <c r="F41" s="32" t="s">
        <v>142</v>
      </c>
      <c r="G41" s="39" t="s">
        <v>964</v>
      </c>
      <c r="H41" s="39">
        <v>50</v>
      </c>
      <c r="I41" s="42">
        <v>27</v>
      </c>
      <c r="J41" s="20">
        <v>10</v>
      </c>
      <c r="K41" s="21">
        <f t="shared" si="6"/>
        <v>3</v>
      </c>
      <c r="L41" s="21">
        <f t="shared" si="3"/>
        <v>37</v>
      </c>
      <c r="M41" s="21">
        <f t="shared" si="4"/>
        <v>13</v>
      </c>
      <c r="N41" s="21"/>
      <c r="O41" s="21"/>
      <c r="P41" s="5"/>
      <c r="Q41" s="16">
        <v>50</v>
      </c>
      <c r="R41" s="16"/>
      <c r="S41" s="21">
        <f>+Q41+R41</f>
        <v>50</v>
      </c>
      <c r="T41" s="16">
        <v>63</v>
      </c>
      <c r="U41" s="78">
        <f>T41-S41-O41</f>
        <v>13</v>
      </c>
      <c r="V41" s="140"/>
      <c r="W41" s="147"/>
      <c r="X41" s="23"/>
      <c r="Y41" s="334"/>
      <c r="Z41" s="5"/>
      <c r="AB41">
        <v>1</v>
      </c>
      <c r="AC41" s="16" t="s">
        <v>167</v>
      </c>
      <c r="AD41" s="18">
        <f>+AB41*20</f>
        <v>20</v>
      </c>
      <c r="AF41">
        <v>7</v>
      </c>
      <c r="AG41" s="16" t="s">
        <v>167</v>
      </c>
      <c r="AH41" s="18">
        <f>+AF41*20</f>
        <v>140</v>
      </c>
      <c r="AJ41" s="16"/>
      <c r="AK41" s="16"/>
      <c r="AM41" s="16" t="s">
        <v>167</v>
      </c>
      <c r="AN41" s="18">
        <f>+AL41*20</f>
        <v>0</v>
      </c>
    </row>
    <row r="42" spans="1:40" x14ac:dyDescent="0.25">
      <c r="A42" s="41">
        <v>7</v>
      </c>
      <c r="B42" s="92">
        <v>45188</v>
      </c>
      <c r="C42" s="31" t="s">
        <v>260</v>
      </c>
      <c r="D42" s="32"/>
      <c r="E42" s="32"/>
      <c r="F42" s="32" t="s">
        <v>966</v>
      </c>
      <c r="G42" s="39" t="s">
        <v>965</v>
      </c>
      <c r="H42" s="122">
        <v>500</v>
      </c>
      <c r="I42" s="42">
        <v>114</v>
      </c>
      <c r="J42" s="20">
        <v>10</v>
      </c>
      <c r="K42" s="21">
        <f t="shared" si="6"/>
        <v>-94</v>
      </c>
      <c r="L42" s="21">
        <f t="shared" si="3"/>
        <v>124</v>
      </c>
      <c r="M42" s="21">
        <f t="shared" si="4"/>
        <v>376</v>
      </c>
      <c r="N42" s="21"/>
      <c r="O42" s="21">
        <v>114</v>
      </c>
      <c r="P42" s="5"/>
      <c r="Q42" s="16">
        <v>500</v>
      </c>
      <c r="R42" s="16"/>
      <c r="S42" s="21">
        <f>+Q42+R42</f>
        <v>500</v>
      </c>
      <c r="T42" s="16">
        <v>644</v>
      </c>
      <c r="U42" s="78">
        <f>T42-S42-O42</f>
        <v>30</v>
      </c>
      <c r="V42" s="140"/>
      <c r="W42" s="147"/>
      <c r="X42" s="23"/>
      <c r="Y42" s="334"/>
      <c r="Z42" s="5"/>
      <c r="AB42">
        <v>1</v>
      </c>
      <c r="AC42" s="16" t="s">
        <v>171</v>
      </c>
      <c r="AD42" s="18">
        <f>+AB42*500</f>
        <v>500</v>
      </c>
      <c r="AF42">
        <v>1</v>
      </c>
      <c r="AG42" s="16" t="s">
        <v>171</v>
      </c>
      <c r="AH42" s="18">
        <f>+AF42*500</f>
        <v>500</v>
      </c>
      <c r="AJ42" s="16"/>
      <c r="AK42" s="16"/>
      <c r="AM42" s="16" t="s">
        <v>171</v>
      </c>
      <c r="AN42" s="18">
        <f>+AL42*500</f>
        <v>0</v>
      </c>
    </row>
    <row r="43" spans="1:40" x14ac:dyDescent="0.25">
      <c r="A43" s="143">
        <v>8</v>
      </c>
      <c r="B43" s="92">
        <v>45188</v>
      </c>
      <c r="C43" s="31" t="s">
        <v>2472</v>
      </c>
      <c r="D43" s="123">
        <v>4410466400</v>
      </c>
      <c r="E43" s="123" t="s">
        <v>52</v>
      </c>
      <c r="F43" s="123" t="s">
        <v>850</v>
      </c>
      <c r="G43" s="39" t="s">
        <v>969</v>
      </c>
      <c r="H43" s="122">
        <v>166</v>
      </c>
      <c r="I43" s="32">
        <v>156</v>
      </c>
      <c r="J43" s="20">
        <v>10</v>
      </c>
      <c r="K43" s="21">
        <f t="shared" si="6"/>
        <v>0</v>
      </c>
      <c r="L43" s="21">
        <f t="shared" si="3"/>
        <v>166</v>
      </c>
      <c r="M43" s="21">
        <f t="shared" si="4"/>
        <v>0</v>
      </c>
      <c r="N43" s="21">
        <v>1</v>
      </c>
      <c r="O43" s="21"/>
      <c r="P43" s="5"/>
      <c r="S43" s="21">
        <f>+Q43+R43</f>
        <v>0</v>
      </c>
      <c r="T43" s="16">
        <v>166</v>
      </c>
      <c r="U43" s="78">
        <v>10</v>
      </c>
      <c r="V43" s="140"/>
      <c r="W43" s="147"/>
      <c r="X43" s="23"/>
      <c r="Y43" s="334"/>
      <c r="Z43" s="5"/>
      <c r="AC43" s="16" t="s">
        <v>168</v>
      </c>
      <c r="AD43" s="18">
        <f>+AB43*1000</f>
        <v>0</v>
      </c>
      <c r="AG43" s="16" t="s">
        <v>168</v>
      </c>
      <c r="AH43" s="18">
        <f>+AF43*1000</f>
        <v>0</v>
      </c>
      <c r="AJ43" s="16"/>
      <c r="AK43" s="16"/>
      <c r="AM43" s="16" t="s">
        <v>168</v>
      </c>
      <c r="AN43" s="18">
        <f>+AL43*1000</f>
        <v>0</v>
      </c>
    </row>
    <row r="44" spans="1:40" x14ac:dyDescent="0.25">
      <c r="A44" s="143">
        <v>9</v>
      </c>
      <c r="B44" s="92">
        <v>45188</v>
      </c>
      <c r="C44" s="31" t="s">
        <v>929</v>
      </c>
      <c r="D44" s="32">
        <v>5532535035</v>
      </c>
      <c r="E44" s="32" t="s">
        <v>968</v>
      </c>
      <c r="F44" s="32" t="s">
        <v>908</v>
      </c>
      <c r="G44" s="39" t="s">
        <v>970</v>
      </c>
      <c r="H44" s="39">
        <v>150</v>
      </c>
      <c r="I44" s="40">
        <v>120</v>
      </c>
      <c r="J44" s="20">
        <v>10</v>
      </c>
      <c r="K44" s="21">
        <f t="shared" si="6"/>
        <v>-132</v>
      </c>
      <c r="L44" s="21">
        <f t="shared" si="3"/>
        <v>130</v>
      </c>
      <c r="M44" s="21">
        <f t="shared" si="4"/>
        <v>20</v>
      </c>
      <c r="N44" s="21">
        <v>166</v>
      </c>
      <c r="O44" s="21">
        <v>132</v>
      </c>
      <c r="P44" s="5"/>
      <c r="Q44" s="16"/>
      <c r="R44" s="16"/>
      <c r="S44" s="21">
        <f t="shared" si="5"/>
        <v>0</v>
      </c>
      <c r="T44" s="16">
        <v>120</v>
      </c>
      <c r="U44" s="78">
        <v>10</v>
      </c>
      <c r="V44" s="140"/>
      <c r="W44" s="147"/>
      <c r="X44" s="23"/>
      <c r="Y44" s="334"/>
      <c r="Z44" s="5"/>
      <c r="AC44" s="26"/>
      <c r="AD44" s="58"/>
      <c r="AG44" s="26"/>
      <c r="AH44" s="58"/>
      <c r="AJ44" s="16"/>
      <c r="AK44" s="16"/>
      <c r="AM44" s="26"/>
      <c r="AN44" s="58"/>
    </row>
    <row r="45" spans="1:40" x14ac:dyDescent="0.25">
      <c r="A45" s="143">
        <v>10</v>
      </c>
      <c r="B45" s="92">
        <v>45188</v>
      </c>
      <c r="C45" s="31" t="s">
        <v>3387</v>
      </c>
      <c r="D45" s="32">
        <v>5611752017</v>
      </c>
      <c r="E45" s="32" t="s">
        <v>197</v>
      </c>
      <c r="F45" s="32" t="s">
        <v>971</v>
      </c>
      <c r="G45" s="39" t="s">
        <v>972</v>
      </c>
      <c r="H45" s="122">
        <v>44</v>
      </c>
      <c r="I45" s="42">
        <v>34</v>
      </c>
      <c r="J45" s="20">
        <v>10</v>
      </c>
      <c r="K45" s="21">
        <f t="shared" si="6"/>
        <v>0</v>
      </c>
      <c r="L45" s="21">
        <f t="shared" si="3"/>
        <v>44</v>
      </c>
      <c r="M45" s="21">
        <f t="shared" si="4"/>
        <v>0</v>
      </c>
      <c r="N45" s="21"/>
      <c r="O45" s="21"/>
      <c r="P45" s="5"/>
      <c r="Q45" s="16"/>
      <c r="R45" s="16"/>
      <c r="S45" s="21"/>
      <c r="T45" s="16">
        <v>44</v>
      </c>
      <c r="U45" s="78">
        <v>10</v>
      </c>
      <c r="V45" s="140"/>
      <c r="W45" s="147"/>
      <c r="X45" s="23"/>
      <c r="Y45" s="334"/>
      <c r="Z45" s="5"/>
      <c r="AC45" s="16" t="s">
        <v>169</v>
      </c>
      <c r="AD45" s="18">
        <f>SUM(AD35:AD44)</f>
        <v>2066.5</v>
      </c>
      <c r="AG45" s="16" t="s">
        <v>169</v>
      </c>
      <c r="AH45" s="18">
        <f>SUM(AH35:AH44)</f>
        <v>2635</v>
      </c>
      <c r="AJ45" s="16"/>
      <c r="AK45" s="16"/>
      <c r="AM45" s="16" t="s">
        <v>169</v>
      </c>
      <c r="AN45" s="18"/>
    </row>
    <row r="46" spans="1:40" x14ac:dyDescent="0.25">
      <c r="A46" s="143">
        <v>11</v>
      </c>
      <c r="B46" s="92">
        <v>45188</v>
      </c>
      <c r="C46" s="31" t="s">
        <v>2639</v>
      </c>
      <c r="D46" s="124">
        <v>5572135350</v>
      </c>
      <c r="E46" s="123" t="s">
        <v>52</v>
      </c>
      <c r="F46" s="123" t="s">
        <v>482</v>
      </c>
      <c r="G46" s="39" t="s">
        <v>973</v>
      </c>
      <c r="H46" s="122">
        <v>55</v>
      </c>
      <c r="I46" s="42">
        <v>45</v>
      </c>
      <c r="J46" s="20">
        <v>10</v>
      </c>
      <c r="K46" s="21">
        <f t="shared" si="6"/>
        <v>-45</v>
      </c>
      <c r="L46" s="21">
        <f t="shared" si="3"/>
        <v>55</v>
      </c>
      <c r="M46" s="21">
        <f t="shared" si="4"/>
        <v>0</v>
      </c>
      <c r="N46" s="21"/>
      <c r="O46" s="21">
        <v>45</v>
      </c>
      <c r="P46" s="5"/>
      <c r="Q46" s="16"/>
      <c r="R46" s="16"/>
      <c r="S46" s="21">
        <f t="shared" si="5"/>
        <v>0</v>
      </c>
      <c r="T46" s="16">
        <v>55</v>
      </c>
      <c r="U46" s="78">
        <f t="shared" si="7"/>
        <v>10</v>
      </c>
      <c r="V46" s="140"/>
      <c r="W46" s="147"/>
      <c r="X46" s="23"/>
      <c r="Y46" s="334"/>
      <c r="Z46" s="5"/>
      <c r="AJ46" s="16"/>
      <c r="AK46" s="16"/>
      <c r="AM46" s="16"/>
      <c r="AN46" s="16"/>
    </row>
    <row r="47" spans="1:40" x14ac:dyDescent="0.25">
      <c r="A47" s="143">
        <v>12</v>
      </c>
      <c r="B47" s="92">
        <v>45188</v>
      </c>
      <c r="C47" s="32" t="s">
        <v>3100</v>
      </c>
      <c r="D47" s="32">
        <v>7867898909</v>
      </c>
      <c r="E47" s="124" t="s">
        <v>52</v>
      </c>
      <c r="F47" s="123" t="s">
        <v>142</v>
      </c>
      <c r="G47" s="39" t="s">
        <v>974</v>
      </c>
      <c r="H47" s="39">
        <v>75</v>
      </c>
      <c r="I47" s="42">
        <v>63</v>
      </c>
      <c r="J47" s="20">
        <v>10</v>
      </c>
      <c r="K47" s="21">
        <f t="shared" si="6"/>
        <v>-61</v>
      </c>
      <c r="L47" s="21">
        <f t="shared" si="3"/>
        <v>73</v>
      </c>
      <c r="M47" s="21">
        <f t="shared" si="4"/>
        <v>2</v>
      </c>
      <c r="N47" s="21"/>
      <c r="O47" s="21">
        <v>63</v>
      </c>
      <c r="P47" s="5"/>
      <c r="Q47" s="45"/>
      <c r="R47" s="44"/>
      <c r="S47" s="21">
        <f t="shared" si="5"/>
        <v>0</v>
      </c>
      <c r="T47" s="45">
        <v>70</v>
      </c>
      <c r="U47" s="78">
        <v>12</v>
      </c>
      <c r="V47" s="140"/>
      <c r="W47" s="147"/>
      <c r="X47" s="23"/>
      <c r="Y47" s="334"/>
      <c r="Z47" s="5"/>
      <c r="AD47">
        <v>895</v>
      </c>
      <c r="AJ47" s="63" t="s">
        <v>169</v>
      </c>
      <c r="AK47" s="63">
        <f>+SUM(AJ36:AJ46)-SUM(AK36:AK46)</f>
        <v>212</v>
      </c>
      <c r="AM47" s="63" t="s">
        <v>169</v>
      </c>
      <c r="AN47" s="85">
        <f>+SUM(AM35:AM46)-SUM(AN36:AN46)</f>
        <v>0</v>
      </c>
    </row>
    <row r="48" spans="1:40" x14ac:dyDescent="0.25">
      <c r="A48" s="143">
        <v>13</v>
      </c>
      <c r="B48" s="92">
        <v>45188</v>
      </c>
      <c r="C48" s="31" t="s">
        <v>975</v>
      </c>
      <c r="D48" s="32">
        <v>5515136715</v>
      </c>
      <c r="E48" s="32" t="s">
        <v>52</v>
      </c>
      <c r="F48" s="123" t="s">
        <v>142</v>
      </c>
      <c r="G48" s="39" t="s">
        <v>976</v>
      </c>
      <c r="H48" s="39">
        <v>270</v>
      </c>
      <c r="I48" s="42">
        <v>254</v>
      </c>
      <c r="J48" s="108">
        <v>10</v>
      </c>
      <c r="K48" s="21">
        <v>5</v>
      </c>
      <c r="L48" s="21">
        <f t="shared" si="3"/>
        <v>264</v>
      </c>
      <c r="M48" s="21">
        <f t="shared" si="4"/>
        <v>6</v>
      </c>
      <c r="N48" s="21"/>
      <c r="O48" s="21">
        <v>386</v>
      </c>
      <c r="P48" s="5"/>
      <c r="Q48" s="43"/>
      <c r="R48" s="32"/>
      <c r="S48" s="21">
        <f t="shared" si="5"/>
        <v>0</v>
      </c>
      <c r="T48" s="43">
        <v>270</v>
      </c>
      <c r="U48" s="78">
        <f t="shared" si="7"/>
        <v>-116</v>
      </c>
      <c r="V48" s="140"/>
      <c r="W48" s="147"/>
      <c r="X48" s="23"/>
      <c r="Y48" s="334"/>
      <c r="Z48" s="5"/>
      <c r="AD48">
        <f>+AD47+AE50</f>
        <v>895</v>
      </c>
      <c r="AE48">
        <f>600+AD48</f>
        <v>1495</v>
      </c>
      <c r="AH48" s="83"/>
    </row>
    <row r="49" spans="1:41" x14ac:dyDescent="0.25">
      <c r="A49" s="143">
        <v>14</v>
      </c>
      <c r="B49" s="92">
        <v>45188</v>
      </c>
      <c r="C49" s="31" t="s">
        <v>2588</v>
      </c>
      <c r="D49" s="32">
        <v>5630381453</v>
      </c>
      <c r="E49" s="32" t="s">
        <v>52</v>
      </c>
      <c r="F49" s="32" t="s">
        <v>977</v>
      </c>
      <c r="G49" s="39" t="s">
        <v>978</v>
      </c>
      <c r="H49" s="39">
        <v>127</v>
      </c>
      <c r="I49" s="42">
        <v>117</v>
      </c>
      <c r="J49" s="108">
        <v>10</v>
      </c>
      <c r="K49" s="21">
        <f t="shared" si="6"/>
        <v>-117</v>
      </c>
      <c r="L49" s="21">
        <f t="shared" si="3"/>
        <v>127</v>
      </c>
      <c r="M49" s="21">
        <f t="shared" si="4"/>
        <v>0</v>
      </c>
      <c r="N49" s="21"/>
      <c r="O49" s="21">
        <v>117</v>
      </c>
      <c r="P49" s="5"/>
      <c r="Q49" s="43"/>
      <c r="R49" s="43"/>
      <c r="S49" s="21">
        <f t="shared" si="5"/>
        <v>0</v>
      </c>
      <c r="T49" s="43">
        <v>127</v>
      </c>
      <c r="U49" s="78">
        <v>10</v>
      </c>
      <c r="V49" s="140"/>
      <c r="W49" s="147"/>
      <c r="X49" s="23"/>
      <c r="Y49" s="334"/>
      <c r="Z49" s="5"/>
    </row>
    <row r="50" spans="1:41" x14ac:dyDescent="0.25">
      <c r="A50" s="143">
        <v>15</v>
      </c>
      <c r="B50" s="92">
        <v>45188</v>
      </c>
      <c r="C50" s="127" t="s">
        <v>3108</v>
      </c>
      <c r="D50" s="32">
        <v>5566712323</v>
      </c>
      <c r="E50" s="32" t="s">
        <v>52</v>
      </c>
      <c r="F50" s="128" t="s">
        <v>577</v>
      </c>
      <c r="G50" s="129" t="s">
        <v>979</v>
      </c>
      <c r="H50" s="39">
        <v>84</v>
      </c>
      <c r="I50" s="42">
        <v>74</v>
      </c>
      <c r="J50" s="108">
        <v>10</v>
      </c>
      <c r="K50" s="21">
        <f t="shared" si="6"/>
        <v>-158</v>
      </c>
      <c r="L50" s="21">
        <f t="shared" si="3"/>
        <v>84</v>
      </c>
      <c r="M50" s="21">
        <f t="shared" si="4"/>
        <v>0</v>
      </c>
      <c r="N50" s="21"/>
      <c r="O50" s="21">
        <v>74</v>
      </c>
      <c r="P50" s="5"/>
      <c r="Q50" s="43"/>
      <c r="R50" s="43"/>
      <c r="S50" s="21">
        <f t="shared" si="5"/>
        <v>0</v>
      </c>
      <c r="T50" s="43"/>
      <c r="U50" s="78">
        <f t="shared" si="7"/>
        <v>-74</v>
      </c>
      <c r="V50" s="140"/>
      <c r="W50" s="147"/>
      <c r="X50" s="23"/>
      <c r="Y50" s="334"/>
      <c r="Z50" s="5"/>
    </row>
    <row r="51" spans="1:41" x14ac:dyDescent="0.25">
      <c r="A51" s="143">
        <v>16</v>
      </c>
      <c r="B51" s="92">
        <v>45188</v>
      </c>
      <c r="C51" s="31"/>
      <c r="D51" s="32"/>
      <c r="E51" s="32"/>
      <c r="F51" s="32"/>
      <c r="G51" s="39"/>
      <c r="H51" s="39"/>
      <c r="I51" s="42"/>
      <c r="J51" s="43">
        <v>10</v>
      </c>
      <c r="K51" s="21">
        <f t="shared" si="6"/>
        <v>-10</v>
      </c>
      <c r="L51" s="21">
        <f t="shared" si="3"/>
        <v>10</v>
      </c>
      <c r="M51" s="21">
        <f t="shared" si="4"/>
        <v>-10</v>
      </c>
      <c r="N51" s="21"/>
      <c r="O51" s="21"/>
      <c r="P51" s="5"/>
      <c r="Q51" s="43"/>
      <c r="R51" s="32"/>
      <c r="S51" s="21">
        <f t="shared" si="5"/>
        <v>0</v>
      </c>
      <c r="T51" s="131"/>
      <c r="U51" s="78">
        <f t="shared" si="7"/>
        <v>0</v>
      </c>
      <c r="V51" s="140"/>
      <c r="W51" s="147"/>
      <c r="X51" s="23"/>
      <c r="Y51" s="334"/>
      <c r="Z51" s="5"/>
    </row>
    <row r="52" spans="1:41" x14ac:dyDescent="0.25">
      <c r="A52" s="143">
        <v>17</v>
      </c>
      <c r="B52" s="92">
        <v>45188</v>
      </c>
      <c r="C52" s="31"/>
      <c r="D52" s="32"/>
      <c r="E52" s="32"/>
      <c r="F52" s="32"/>
      <c r="G52" s="39"/>
      <c r="H52" s="39"/>
      <c r="I52" s="42"/>
      <c r="J52" s="43">
        <v>10</v>
      </c>
      <c r="K52" s="21">
        <f t="shared" si="6"/>
        <v>-10</v>
      </c>
      <c r="L52" s="21">
        <f t="shared" si="3"/>
        <v>10</v>
      </c>
      <c r="M52" s="21">
        <f t="shared" si="4"/>
        <v>-10</v>
      </c>
      <c r="N52" s="21"/>
      <c r="O52" s="21"/>
      <c r="P52" s="5"/>
      <c r="Q52" s="43"/>
      <c r="R52" s="32"/>
      <c r="S52" s="21">
        <f t="shared" si="5"/>
        <v>0</v>
      </c>
      <c r="T52" s="132"/>
      <c r="U52" s="78">
        <f t="shared" si="7"/>
        <v>0</v>
      </c>
      <c r="V52" s="140"/>
      <c r="W52" s="147"/>
      <c r="X52" s="23"/>
      <c r="Y52" s="340"/>
      <c r="Z52" s="5"/>
    </row>
    <row r="53" spans="1:41" x14ac:dyDescent="0.25">
      <c r="A53" s="143">
        <v>18</v>
      </c>
      <c r="B53" s="92">
        <v>45188</v>
      </c>
      <c r="C53" s="31"/>
      <c r="D53" s="32"/>
      <c r="E53" s="32"/>
      <c r="F53" s="32"/>
      <c r="G53" s="39"/>
      <c r="H53" s="39"/>
      <c r="I53" s="42"/>
      <c r="J53" s="43">
        <v>10</v>
      </c>
      <c r="K53" s="21">
        <f t="shared" si="6"/>
        <v>-10</v>
      </c>
      <c r="L53" s="21">
        <f t="shared" si="3"/>
        <v>10</v>
      </c>
      <c r="M53" s="21">
        <f t="shared" si="4"/>
        <v>-10</v>
      </c>
      <c r="N53" s="21"/>
      <c r="O53" s="21"/>
      <c r="P53" s="5"/>
      <c r="Q53" s="135"/>
      <c r="R53" s="104"/>
      <c r="S53" s="21">
        <f t="shared" si="5"/>
        <v>0</v>
      </c>
      <c r="T53" s="131"/>
      <c r="U53" s="78">
        <f t="shared" si="7"/>
        <v>0</v>
      </c>
      <c r="V53" s="140"/>
      <c r="W53" s="138"/>
      <c r="X53" s="32"/>
      <c r="Z53" s="5"/>
    </row>
    <row r="54" spans="1:41" x14ac:dyDescent="0.25">
      <c r="A54" s="143">
        <v>19</v>
      </c>
      <c r="B54" s="92">
        <v>45188</v>
      </c>
      <c r="C54" s="31"/>
      <c r="D54" s="32"/>
      <c r="E54" s="32"/>
      <c r="F54" s="32"/>
      <c r="G54" s="39"/>
      <c r="H54" s="39"/>
      <c r="I54" s="42"/>
      <c r="J54" s="43">
        <v>10</v>
      </c>
      <c r="K54" s="21">
        <f t="shared" si="6"/>
        <v>-10</v>
      </c>
      <c r="L54" s="21">
        <f t="shared" si="3"/>
        <v>10</v>
      </c>
      <c r="M54" s="21">
        <f t="shared" si="4"/>
        <v>-10</v>
      </c>
      <c r="N54" s="21"/>
      <c r="O54" s="21"/>
      <c r="P54" s="5"/>
      <c r="Q54" s="32"/>
      <c r="R54" s="32"/>
      <c r="S54" s="21">
        <f t="shared" si="5"/>
        <v>0</v>
      </c>
      <c r="T54" s="32"/>
      <c r="U54" s="78">
        <f t="shared" si="7"/>
        <v>0</v>
      </c>
      <c r="V54" s="140"/>
      <c r="W54" s="138"/>
      <c r="X54" s="32"/>
      <c r="Z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22">
        <f>SUM(O36:O54)</f>
        <v>1071</v>
      </c>
      <c r="P55" s="5"/>
      <c r="Q55" s="5"/>
      <c r="R55" s="5"/>
      <c r="S55" s="5"/>
      <c r="T55" s="5"/>
      <c r="U55" s="22">
        <f>SUM(U36:U54)</f>
        <v>39</v>
      </c>
      <c r="V55" s="141"/>
      <c r="W55" s="5"/>
      <c r="X55" s="5"/>
      <c r="Y55" s="5"/>
      <c r="Z55" s="5"/>
      <c r="AC55" s="5"/>
      <c r="AD55" s="134" t="s">
        <v>20</v>
      </c>
      <c r="AE55" s="338">
        <v>1296</v>
      </c>
      <c r="AF55" s="341" t="s">
        <v>686</v>
      </c>
      <c r="AG55" s="134" t="s">
        <v>20</v>
      </c>
      <c r="AH55" s="338">
        <v>177</v>
      </c>
      <c r="AI55" s="341" t="s">
        <v>687</v>
      </c>
      <c r="AJ55" s="134" t="s">
        <v>20</v>
      </c>
      <c r="AK55" s="338">
        <v>60</v>
      </c>
      <c r="AL55" s="341" t="s">
        <v>945</v>
      </c>
      <c r="AM55" s="134" t="s">
        <v>20</v>
      </c>
      <c r="AN55" s="338">
        <f>AK55+AH55+AE55</f>
        <v>1533</v>
      </c>
      <c r="AO55" s="5"/>
    </row>
    <row r="56" spans="1:41" x14ac:dyDescent="0.25">
      <c r="O56" s="83"/>
      <c r="AC56" s="5" t="s">
        <v>951</v>
      </c>
      <c r="AD56" s="115" t="s">
        <v>684</v>
      </c>
      <c r="AE56" s="339"/>
      <c r="AF56" s="341"/>
      <c r="AG56" s="115" t="s">
        <v>684</v>
      </c>
      <c r="AH56" s="339"/>
      <c r="AI56" s="341"/>
      <c r="AJ56" s="115" t="s">
        <v>684</v>
      </c>
      <c r="AK56" s="339"/>
      <c r="AL56" s="341"/>
      <c r="AM56" s="115" t="s">
        <v>684</v>
      </c>
      <c r="AN56" s="339"/>
      <c r="AO56" s="5"/>
    </row>
    <row r="57" spans="1:41" x14ac:dyDescent="0.25"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9" spans="1:41" x14ac:dyDescent="0.25"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1:41" x14ac:dyDescent="0.25">
      <c r="AC60" s="5" t="s">
        <v>950</v>
      </c>
      <c r="AD60" s="134" t="s">
        <v>20</v>
      </c>
      <c r="AE60" s="345">
        <f>AH45</f>
        <v>2635</v>
      </c>
      <c r="AF60" s="341"/>
      <c r="AG60" s="134" t="s">
        <v>20</v>
      </c>
      <c r="AH60" s="338">
        <f>AK47</f>
        <v>212</v>
      </c>
      <c r="AI60" s="341"/>
      <c r="AJ60" s="346" t="s">
        <v>952</v>
      </c>
      <c r="AK60" s="345">
        <v>1172</v>
      </c>
      <c r="AL60" s="161"/>
      <c r="AM60" s="346" t="s">
        <v>949</v>
      </c>
      <c r="AN60" s="345">
        <f>AE60+AH60-AK60</f>
        <v>1675</v>
      </c>
      <c r="AO60" s="161"/>
    </row>
    <row r="61" spans="1:41" x14ac:dyDescent="0.25">
      <c r="AC61" s="5"/>
      <c r="AD61" s="115" t="s">
        <v>947</v>
      </c>
      <c r="AE61" s="339"/>
      <c r="AF61" s="341"/>
      <c r="AG61" s="115" t="s">
        <v>948</v>
      </c>
      <c r="AH61" s="339"/>
      <c r="AI61" s="341"/>
      <c r="AJ61" s="347"/>
      <c r="AK61" s="339"/>
      <c r="AL61" s="161"/>
      <c r="AM61" s="347"/>
      <c r="AN61" s="339"/>
      <c r="AO61" s="161"/>
    </row>
    <row r="63" spans="1:41" x14ac:dyDescent="0.25">
      <c r="A63" s="1" t="s">
        <v>0</v>
      </c>
      <c r="B63" s="1"/>
      <c r="C63" s="1"/>
      <c r="D63" s="1"/>
      <c r="E63" s="1"/>
      <c r="F63" s="1"/>
      <c r="G63" s="1"/>
      <c r="H63" s="1"/>
      <c r="I63" s="1" t="s">
        <v>148</v>
      </c>
      <c r="J63" s="1"/>
      <c r="K63" s="1"/>
      <c r="L63" s="1"/>
      <c r="M63" s="1"/>
      <c r="N63" s="1"/>
      <c r="O63" s="1"/>
      <c r="P63" s="1"/>
      <c r="Q63" s="1"/>
      <c r="R63" s="1"/>
      <c r="S63" s="342" t="s">
        <v>1</v>
      </c>
      <c r="T63" s="342"/>
      <c r="U63" s="5"/>
      <c r="V63" s="139"/>
      <c r="W63" s="1"/>
      <c r="X63" s="1"/>
      <c r="Y63" s="1"/>
      <c r="Z63" s="5"/>
      <c r="AC63" s="335" t="s">
        <v>160</v>
      </c>
      <c r="AD63" s="336"/>
      <c r="AG63" s="335" t="s">
        <v>170</v>
      </c>
      <c r="AH63" s="336"/>
      <c r="AJ63" s="337" t="s">
        <v>172</v>
      </c>
      <c r="AK63" s="337"/>
      <c r="AM63" s="337" t="s">
        <v>681</v>
      </c>
      <c r="AN63" s="337"/>
    </row>
    <row r="64" spans="1:41" ht="90" x14ac:dyDescent="0.25">
      <c r="A64" s="6" t="s">
        <v>2</v>
      </c>
      <c r="B64" s="7" t="s">
        <v>3</v>
      </c>
      <c r="C64" s="7" t="s">
        <v>4</v>
      </c>
      <c r="D64" s="6" t="s">
        <v>5</v>
      </c>
      <c r="E64" s="6" t="s">
        <v>6</v>
      </c>
      <c r="F64" s="6" t="s">
        <v>7</v>
      </c>
      <c r="G64" s="6" t="s">
        <v>8</v>
      </c>
      <c r="H64" s="8" t="s">
        <v>9</v>
      </c>
      <c r="I64" s="9" t="s">
        <v>10</v>
      </c>
      <c r="J64" s="8" t="s">
        <v>11</v>
      </c>
      <c r="K64" s="10" t="s">
        <v>12</v>
      </c>
      <c r="L64" s="10" t="s">
        <v>13</v>
      </c>
      <c r="M64" s="11" t="s">
        <v>14</v>
      </c>
      <c r="N64" s="10" t="s">
        <v>691</v>
      </c>
      <c r="O64" s="10" t="s">
        <v>28</v>
      </c>
      <c r="P64" s="5"/>
      <c r="Q64" s="10" t="s">
        <v>16</v>
      </c>
      <c r="R64" s="10" t="s">
        <v>17</v>
      </c>
      <c r="S64" s="10" t="s">
        <v>18</v>
      </c>
      <c r="T64" s="10" t="s">
        <v>19</v>
      </c>
      <c r="U64" s="10" t="s">
        <v>20</v>
      </c>
      <c r="V64" s="13"/>
      <c r="W64" s="136" t="s">
        <v>688</v>
      </c>
      <c r="X64" s="14" t="s">
        <v>22</v>
      </c>
      <c r="Y64" s="15" t="s">
        <v>23</v>
      </c>
      <c r="Z64" s="5"/>
      <c r="AB64">
        <v>3</v>
      </c>
      <c r="AC64" s="16" t="s">
        <v>161</v>
      </c>
      <c r="AD64" s="58">
        <f>+AB64*10</f>
        <v>30</v>
      </c>
      <c r="AF64">
        <v>0</v>
      </c>
      <c r="AG64" s="16" t="s">
        <v>161</v>
      </c>
      <c r="AH64" s="58">
        <f>+AF64*10</f>
        <v>0</v>
      </c>
      <c r="AJ64" s="61" t="s">
        <v>173</v>
      </c>
      <c r="AK64" s="62" t="s">
        <v>174</v>
      </c>
      <c r="AM64" s="16" t="s">
        <v>161</v>
      </c>
      <c r="AN64" s="58">
        <f>+AL64*10</f>
        <v>0</v>
      </c>
    </row>
    <row r="65" spans="1:41" x14ac:dyDescent="0.25">
      <c r="A65" s="16">
        <v>1</v>
      </c>
      <c r="B65" s="92">
        <v>45189</v>
      </c>
      <c r="C65" s="31" t="s">
        <v>1500</v>
      </c>
      <c r="D65" s="32">
        <v>5639611669</v>
      </c>
      <c r="E65" s="32" t="s">
        <v>915</v>
      </c>
      <c r="F65" s="39" t="s">
        <v>981</v>
      </c>
      <c r="G65" s="39" t="s">
        <v>983</v>
      </c>
      <c r="H65" s="122">
        <v>510</v>
      </c>
      <c r="I65" s="32">
        <v>421</v>
      </c>
      <c r="J65" s="20">
        <v>10</v>
      </c>
      <c r="K65" s="21">
        <f>U65-J65-O65</f>
        <v>0</v>
      </c>
      <c r="L65" s="21">
        <f t="shared" ref="L65:L83" si="8">+I65+J65</f>
        <v>431</v>
      </c>
      <c r="M65" s="21">
        <f t="shared" ref="M65:M83" si="9">+H65-L65</f>
        <v>79</v>
      </c>
      <c r="N65" s="21"/>
      <c r="O65" s="21"/>
      <c r="P65" s="5"/>
      <c r="Q65" s="21">
        <v>500</v>
      </c>
      <c r="R65" s="16"/>
      <c r="S65" s="21">
        <f t="shared" ref="S65:S83" si="10">+Q65+R65</f>
        <v>500</v>
      </c>
      <c r="T65" s="21">
        <v>510</v>
      </c>
      <c r="U65" s="78">
        <f>T65-S65-O65</f>
        <v>10</v>
      </c>
      <c r="V65" s="13"/>
      <c r="W65" s="147"/>
      <c r="X65" s="23"/>
      <c r="Y65" s="333"/>
      <c r="Z65" s="5"/>
      <c r="AB65">
        <v>49.5</v>
      </c>
      <c r="AC65" s="59" t="s">
        <v>162</v>
      </c>
      <c r="AD65" s="18">
        <f>+AB65*1</f>
        <v>49.5</v>
      </c>
      <c r="AF65">
        <v>58</v>
      </c>
      <c r="AG65" s="59" t="s">
        <v>162</v>
      </c>
      <c r="AH65" s="18">
        <f>+AF65*1</f>
        <v>58</v>
      </c>
      <c r="AJ65" s="16"/>
      <c r="AK65" s="16"/>
      <c r="AM65" s="59" t="s">
        <v>162</v>
      </c>
      <c r="AN65" s="18">
        <f>+AL65*1</f>
        <v>0</v>
      </c>
    </row>
    <row r="66" spans="1:41" x14ac:dyDescent="0.25">
      <c r="A66" s="26">
        <v>2</v>
      </c>
      <c r="B66" s="92">
        <v>45189</v>
      </c>
      <c r="C66" s="31" t="s">
        <v>3095</v>
      </c>
      <c r="D66" s="32">
        <v>9531286830</v>
      </c>
      <c r="E66" s="32" t="s">
        <v>980</v>
      </c>
      <c r="F66" s="32" t="s">
        <v>740</v>
      </c>
      <c r="G66" s="39" t="s">
        <v>982</v>
      </c>
      <c r="H66" s="122">
        <v>260</v>
      </c>
      <c r="I66" s="32">
        <v>175</v>
      </c>
      <c r="J66" s="20">
        <v>10</v>
      </c>
      <c r="K66" s="21">
        <f t="shared" ref="K66:K83" si="11">U66-J66-O66</f>
        <v>0</v>
      </c>
      <c r="L66" s="21">
        <f t="shared" si="8"/>
        <v>185</v>
      </c>
      <c r="M66" s="21">
        <f t="shared" si="9"/>
        <v>75</v>
      </c>
      <c r="N66" s="21"/>
      <c r="O66" s="21"/>
      <c r="P66" s="5"/>
      <c r="Q66" s="21">
        <v>250</v>
      </c>
      <c r="R66" s="16"/>
      <c r="S66" s="21">
        <f t="shared" si="10"/>
        <v>250</v>
      </c>
      <c r="T66" s="21">
        <v>260</v>
      </c>
      <c r="U66" s="78">
        <f t="shared" ref="U66:U83" si="12">T66-S66-O66</f>
        <v>10</v>
      </c>
      <c r="V66" s="140"/>
      <c r="W66" s="147"/>
      <c r="X66" s="23"/>
      <c r="Y66" s="334"/>
      <c r="Z66" s="5"/>
      <c r="AB66">
        <v>13</v>
      </c>
      <c r="AC66" s="16" t="s">
        <v>163</v>
      </c>
      <c r="AD66" s="60">
        <f>+AB66*5</f>
        <v>65</v>
      </c>
      <c r="AF66">
        <v>8</v>
      </c>
      <c r="AG66" s="16" t="s">
        <v>163</v>
      </c>
      <c r="AH66" s="60">
        <f>+AF66*5</f>
        <v>40</v>
      </c>
      <c r="AJ66" s="16"/>
      <c r="AK66" s="16"/>
      <c r="AM66" s="16" t="s">
        <v>163</v>
      </c>
      <c r="AN66" s="60">
        <f>+AL66*5</f>
        <v>0</v>
      </c>
    </row>
    <row r="67" spans="1:41" x14ac:dyDescent="0.25">
      <c r="A67" s="143">
        <v>3</v>
      </c>
      <c r="B67" s="92">
        <v>45189</v>
      </c>
      <c r="C67" s="31" t="s">
        <v>2672</v>
      </c>
      <c r="D67" s="32">
        <v>5578861024</v>
      </c>
      <c r="E67" s="32" t="s">
        <v>76</v>
      </c>
      <c r="F67" s="32" t="s">
        <v>326</v>
      </c>
      <c r="G67" s="39" t="s">
        <v>984</v>
      </c>
      <c r="H67" s="122">
        <v>200</v>
      </c>
      <c r="I67" s="32">
        <v>99</v>
      </c>
      <c r="J67" s="20">
        <v>10</v>
      </c>
      <c r="K67" s="21">
        <f t="shared" si="11"/>
        <v>1</v>
      </c>
      <c r="L67" s="21">
        <f t="shared" si="8"/>
        <v>109</v>
      </c>
      <c r="M67" s="21">
        <f t="shared" si="9"/>
        <v>91</v>
      </c>
      <c r="N67" s="21"/>
      <c r="O67" s="21"/>
      <c r="P67" s="5"/>
      <c r="Q67" s="21">
        <v>200</v>
      </c>
      <c r="R67" s="16"/>
      <c r="S67" s="21">
        <f t="shared" si="10"/>
        <v>200</v>
      </c>
      <c r="T67" s="21">
        <v>211</v>
      </c>
      <c r="U67" s="78">
        <f t="shared" si="12"/>
        <v>11</v>
      </c>
      <c r="V67" s="140"/>
      <c r="W67" s="147"/>
      <c r="X67" s="23"/>
      <c r="Y67" s="334"/>
      <c r="Z67" s="5"/>
      <c r="AB67">
        <v>4</v>
      </c>
      <c r="AC67" s="16" t="s">
        <v>164</v>
      </c>
      <c r="AD67" s="18">
        <f>+AB67*200</f>
        <v>800</v>
      </c>
      <c r="AG67" s="16" t="s">
        <v>164</v>
      </c>
      <c r="AH67" s="18">
        <f>+AF67*200</f>
        <v>0</v>
      </c>
      <c r="AJ67" s="16"/>
      <c r="AK67" s="16"/>
      <c r="AM67" s="16" t="s">
        <v>164</v>
      </c>
      <c r="AN67" s="18">
        <f>+AL67*200</f>
        <v>0</v>
      </c>
    </row>
    <row r="68" spans="1:41" x14ac:dyDescent="0.25">
      <c r="A68" s="143">
        <v>4</v>
      </c>
      <c r="B68" s="92">
        <v>45189</v>
      </c>
      <c r="C68" s="31" t="s">
        <v>2488</v>
      </c>
      <c r="D68" s="32">
        <v>5614683694</v>
      </c>
      <c r="E68" s="32" t="s">
        <v>76</v>
      </c>
      <c r="F68" s="128" t="s">
        <v>938</v>
      </c>
      <c r="G68" s="39" t="s">
        <v>985</v>
      </c>
      <c r="H68" s="122">
        <v>200</v>
      </c>
      <c r="I68" s="32">
        <v>36</v>
      </c>
      <c r="J68" s="20">
        <v>10</v>
      </c>
      <c r="K68" s="21">
        <f t="shared" si="11"/>
        <v>0</v>
      </c>
      <c r="L68" s="21">
        <f t="shared" si="8"/>
        <v>46</v>
      </c>
      <c r="M68" s="21">
        <f t="shared" si="9"/>
        <v>154</v>
      </c>
      <c r="N68" s="21"/>
      <c r="O68" s="21"/>
      <c r="P68" s="5"/>
      <c r="Q68" s="21"/>
      <c r="R68" s="16"/>
      <c r="S68" s="21">
        <f t="shared" si="10"/>
        <v>0</v>
      </c>
      <c r="T68" s="21">
        <v>10</v>
      </c>
      <c r="U68" s="78">
        <f t="shared" si="12"/>
        <v>10</v>
      </c>
      <c r="V68" s="140"/>
      <c r="W68" s="147"/>
      <c r="X68" s="23"/>
      <c r="Y68" s="334"/>
      <c r="Z68" s="5"/>
      <c r="AB68">
        <v>3</v>
      </c>
      <c r="AC68" s="16" t="s">
        <v>165</v>
      </c>
      <c r="AD68" s="18">
        <f>+AB68*100</f>
        <v>300</v>
      </c>
      <c r="AG68" s="16" t="s">
        <v>165</v>
      </c>
      <c r="AH68" s="18">
        <f>+AF68*100</f>
        <v>0</v>
      </c>
      <c r="AJ68" s="16"/>
      <c r="AK68" s="16"/>
      <c r="AM68" s="16" t="s">
        <v>165</v>
      </c>
      <c r="AN68" s="18">
        <f>+AL68*100</f>
        <v>0</v>
      </c>
    </row>
    <row r="69" spans="1:41" x14ac:dyDescent="0.25">
      <c r="A69" s="41">
        <v>5</v>
      </c>
      <c r="B69" s="92">
        <v>45189</v>
      </c>
      <c r="C69" s="31" t="s">
        <v>82</v>
      </c>
      <c r="D69" s="32">
        <v>5624838493</v>
      </c>
      <c r="E69" s="32" t="s">
        <v>106</v>
      </c>
      <c r="F69" s="32" t="s">
        <v>989</v>
      </c>
      <c r="G69" s="32" t="s">
        <v>986</v>
      </c>
      <c r="H69" s="122">
        <v>50</v>
      </c>
      <c r="I69" s="32">
        <v>40</v>
      </c>
      <c r="J69" s="20">
        <v>10</v>
      </c>
      <c r="K69" s="21">
        <f t="shared" si="11"/>
        <v>-40</v>
      </c>
      <c r="L69" s="21">
        <f t="shared" si="8"/>
        <v>50</v>
      </c>
      <c r="M69" s="21">
        <f t="shared" si="9"/>
        <v>0</v>
      </c>
      <c r="N69" s="21">
        <v>50</v>
      </c>
      <c r="O69" s="21">
        <v>40</v>
      </c>
      <c r="P69" s="5"/>
      <c r="Q69" s="16">
        <v>70</v>
      </c>
      <c r="R69" s="16"/>
      <c r="S69" s="21">
        <f t="shared" si="10"/>
        <v>70</v>
      </c>
      <c r="T69" s="21">
        <v>80</v>
      </c>
      <c r="U69" s="78">
        <v>10</v>
      </c>
      <c r="V69" s="140"/>
      <c r="W69" s="147"/>
      <c r="X69" s="23"/>
      <c r="Y69" s="334"/>
      <c r="Z69" s="5"/>
      <c r="AB69">
        <v>25</v>
      </c>
      <c r="AC69" s="16" t="s">
        <v>166</v>
      </c>
      <c r="AD69" s="18">
        <f>+AB69*50</f>
        <v>1250</v>
      </c>
      <c r="AF69">
        <v>16</v>
      </c>
      <c r="AG69" s="16" t="s">
        <v>166</v>
      </c>
      <c r="AH69" s="18">
        <f>+AF69*50</f>
        <v>800</v>
      </c>
      <c r="AJ69" s="16"/>
      <c r="AK69" s="16"/>
      <c r="AM69" s="16" t="s">
        <v>166</v>
      </c>
      <c r="AN69" s="18">
        <f>+AL69*50</f>
        <v>0</v>
      </c>
    </row>
    <row r="70" spans="1:41" x14ac:dyDescent="0.25">
      <c r="A70" s="143">
        <v>6</v>
      </c>
      <c r="B70" s="92">
        <v>45189</v>
      </c>
      <c r="C70" s="31" t="s">
        <v>350</v>
      </c>
      <c r="D70" s="32">
        <v>5543821818</v>
      </c>
      <c r="E70" s="32" t="s">
        <v>106</v>
      </c>
      <c r="F70" s="32" t="s">
        <v>988</v>
      </c>
      <c r="G70" s="39" t="s">
        <v>987</v>
      </c>
      <c r="H70" s="39">
        <v>100</v>
      </c>
      <c r="I70" s="42">
        <v>90</v>
      </c>
      <c r="J70" s="20">
        <v>10</v>
      </c>
      <c r="K70" s="21">
        <f t="shared" si="11"/>
        <v>0</v>
      </c>
      <c r="L70" s="21">
        <f t="shared" si="8"/>
        <v>100</v>
      </c>
      <c r="M70" s="21">
        <f t="shared" si="9"/>
        <v>0</v>
      </c>
      <c r="N70" s="21"/>
      <c r="O70" s="21"/>
      <c r="P70" s="5"/>
      <c r="Q70" s="16">
        <v>200</v>
      </c>
      <c r="R70" s="16"/>
      <c r="S70" s="21">
        <f t="shared" si="10"/>
        <v>200</v>
      </c>
      <c r="T70" s="16">
        <v>210</v>
      </c>
      <c r="U70" s="78">
        <f>T70-S70-O70</f>
        <v>10</v>
      </c>
      <c r="V70" s="140"/>
      <c r="W70" s="147"/>
      <c r="X70" s="23"/>
      <c r="Y70" s="334"/>
      <c r="Z70" s="5"/>
      <c r="AB70">
        <v>8</v>
      </c>
      <c r="AC70" s="16" t="s">
        <v>167</v>
      </c>
      <c r="AD70" s="18">
        <f>+AB70*20</f>
        <v>160</v>
      </c>
      <c r="AF70">
        <v>9</v>
      </c>
      <c r="AG70" s="16" t="s">
        <v>167</v>
      </c>
      <c r="AH70" s="18">
        <f>+AF70*20</f>
        <v>180</v>
      </c>
      <c r="AJ70" s="16"/>
      <c r="AK70" s="16"/>
      <c r="AM70" s="16" t="s">
        <v>167</v>
      </c>
      <c r="AN70" s="18">
        <f>+AL70*20</f>
        <v>0</v>
      </c>
    </row>
    <row r="71" spans="1:41" x14ac:dyDescent="0.25">
      <c r="A71" s="143">
        <v>7</v>
      </c>
      <c r="B71" s="92">
        <v>45189</v>
      </c>
      <c r="C71" s="31" t="s">
        <v>2993</v>
      </c>
      <c r="D71" s="32">
        <v>5545085530</v>
      </c>
      <c r="E71" s="32" t="s">
        <v>992</v>
      </c>
      <c r="F71" s="32" t="s">
        <v>991</v>
      </c>
      <c r="G71" s="39" t="s">
        <v>993</v>
      </c>
      <c r="H71" s="122">
        <v>146</v>
      </c>
      <c r="I71" s="42">
        <v>136</v>
      </c>
      <c r="J71" s="20">
        <v>10</v>
      </c>
      <c r="K71" s="21">
        <f t="shared" si="11"/>
        <v>4</v>
      </c>
      <c r="L71" s="21">
        <f t="shared" si="8"/>
        <v>146</v>
      </c>
      <c r="M71" s="21">
        <f t="shared" si="9"/>
        <v>0</v>
      </c>
      <c r="N71" s="21"/>
      <c r="O71" s="21"/>
      <c r="P71" s="5"/>
      <c r="Q71" s="16">
        <v>200</v>
      </c>
      <c r="R71" s="16"/>
      <c r="S71" s="21">
        <f t="shared" si="10"/>
        <v>200</v>
      </c>
      <c r="T71" s="16">
        <v>214</v>
      </c>
      <c r="U71" s="78">
        <f t="shared" si="12"/>
        <v>14</v>
      </c>
      <c r="V71" s="140"/>
      <c r="W71" s="147"/>
      <c r="X71" s="23"/>
      <c r="Y71" s="334"/>
      <c r="Z71" s="5"/>
      <c r="AC71" s="16" t="s">
        <v>171</v>
      </c>
      <c r="AD71" s="18">
        <f>+AB71*500</f>
        <v>0</v>
      </c>
      <c r="AG71" s="16" t="s">
        <v>171</v>
      </c>
      <c r="AH71" s="18">
        <f>+AF71*500</f>
        <v>0</v>
      </c>
      <c r="AJ71" s="16"/>
      <c r="AK71" s="16"/>
      <c r="AM71" s="16" t="s">
        <v>171</v>
      </c>
      <c r="AN71" s="18">
        <f>+AL71*500</f>
        <v>0</v>
      </c>
    </row>
    <row r="72" spans="1:41" x14ac:dyDescent="0.25">
      <c r="A72" s="143">
        <v>8</v>
      </c>
      <c r="B72" s="92">
        <v>45189</v>
      </c>
      <c r="C72" s="31" t="s">
        <v>3100</v>
      </c>
      <c r="D72" s="123">
        <v>7656545456</v>
      </c>
      <c r="E72" s="123" t="s">
        <v>106</v>
      </c>
      <c r="F72" s="123" t="s">
        <v>994</v>
      </c>
      <c r="G72" s="39" t="s">
        <v>995</v>
      </c>
      <c r="H72" s="122">
        <v>1000</v>
      </c>
      <c r="I72" s="32">
        <v>304</v>
      </c>
      <c r="J72" s="20">
        <v>10</v>
      </c>
      <c r="K72" s="21">
        <f t="shared" si="11"/>
        <v>-104</v>
      </c>
      <c r="L72" s="21">
        <f t="shared" si="8"/>
        <v>314</v>
      </c>
      <c r="M72" s="21">
        <f t="shared" si="9"/>
        <v>686</v>
      </c>
      <c r="N72" s="21"/>
      <c r="O72" s="21">
        <v>204</v>
      </c>
      <c r="P72" s="5"/>
      <c r="Q72" s="16"/>
      <c r="R72" s="16"/>
      <c r="S72" s="21">
        <f t="shared" si="10"/>
        <v>0</v>
      </c>
      <c r="T72" s="16">
        <v>314</v>
      </c>
      <c r="U72" s="78">
        <f t="shared" si="12"/>
        <v>110</v>
      </c>
      <c r="V72" s="140"/>
      <c r="W72" s="147"/>
      <c r="X72" s="23"/>
      <c r="Y72" s="334"/>
      <c r="Z72" s="5"/>
      <c r="AC72" s="16" t="s">
        <v>168</v>
      </c>
      <c r="AD72" s="18">
        <f>+AB72*1000</f>
        <v>0</v>
      </c>
      <c r="AG72" s="16" t="s">
        <v>168</v>
      </c>
      <c r="AH72" s="18">
        <f>+AF72*1000</f>
        <v>0</v>
      </c>
      <c r="AJ72" s="16"/>
      <c r="AK72" s="16"/>
      <c r="AM72" s="16" t="s">
        <v>168</v>
      </c>
      <c r="AN72" s="18">
        <f>+AL72*1000</f>
        <v>0</v>
      </c>
    </row>
    <row r="73" spans="1:41" x14ac:dyDescent="0.25">
      <c r="A73" s="143">
        <v>9</v>
      </c>
      <c r="B73" s="92">
        <v>45189</v>
      </c>
      <c r="C73" s="31" t="s">
        <v>1065</v>
      </c>
      <c r="D73" s="32">
        <v>5536542200</v>
      </c>
      <c r="E73" s="32" t="s">
        <v>106</v>
      </c>
      <c r="F73" s="32" t="s">
        <v>996</v>
      </c>
      <c r="G73" s="39" t="s">
        <v>997</v>
      </c>
      <c r="H73" s="39">
        <v>70</v>
      </c>
      <c r="I73" s="40">
        <v>47</v>
      </c>
      <c r="J73" s="20">
        <v>10</v>
      </c>
      <c r="K73" s="21">
        <v>13</v>
      </c>
      <c r="L73" s="21">
        <f t="shared" si="8"/>
        <v>57</v>
      </c>
      <c r="M73" s="21">
        <v>0</v>
      </c>
      <c r="N73" s="21"/>
      <c r="O73" s="21">
        <v>47</v>
      </c>
      <c r="P73" s="5"/>
      <c r="Q73" s="16"/>
      <c r="R73" s="16"/>
      <c r="S73" s="21">
        <f t="shared" si="10"/>
        <v>0</v>
      </c>
      <c r="T73" s="16">
        <v>70</v>
      </c>
      <c r="U73" s="78">
        <f t="shared" si="12"/>
        <v>23</v>
      </c>
      <c r="V73" s="140"/>
      <c r="W73" s="147"/>
      <c r="X73" s="23"/>
      <c r="Y73" s="334"/>
      <c r="Z73" s="5"/>
      <c r="AC73" s="26"/>
      <c r="AD73" s="58"/>
      <c r="AG73" s="26"/>
      <c r="AH73" s="58"/>
      <c r="AJ73" s="16"/>
      <c r="AK73" s="16"/>
      <c r="AM73" s="26"/>
      <c r="AN73" s="58"/>
    </row>
    <row r="74" spans="1:41" x14ac:dyDescent="0.25">
      <c r="A74" s="143">
        <v>10</v>
      </c>
      <c r="B74" s="92">
        <v>45189</v>
      </c>
      <c r="C74" s="31" t="s">
        <v>483</v>
      </c>
      <c r="D74" s="32">
        <v>5559971116</v>
      </c>
      <c r="E74" s="32" t="s">
        <v>106</v>
      </c>
      <c r="F74" s="32" t="s">
        <v>61</v>
      </c>
      <c r="G74" s="39" t="s">
        <v>755</v>
      </c>
      <c r="H74" s="122">
        <v>200</v>
      </c>
      <c r="I74" s="42">
        <v>159</v>
      </c>
      <c r="J74" s="20">
        <v>10</v>
      </c>
      <c r="K74" s="21">
        <f t="shared" si="11"/>
        <v>-159</v>
      </c>
      <c r="L74" s="21">
        <f t="shared" si="8"/>
        <v>169</v>
      </c>
      <c r="M74" s="21">
        <f t="shared" si="9"/>
        <v>31</v>
      </c>
      <c r="N74" s="21"/>
      <c r="O74" s="21">
        <v>159</v>
      </c>
      <c r="P74" s="5"/>
      <c r="Q74" s="16"/>
      <c r="R74" s="16"/>
      <c r="S74" s="21">
        <f t="shared" si="10"/>
        <v>0</v>
      </c>
      <c r="T74" s="16">
        <v>169</v>
      </c>
      <c r="U74" s="78">
        <f t="shared" si="12"/>
        <v>10</v>
      </c>
      <c r="V74" s="140"/>
      <c r="W74" s="147"/>
      <c r="X74" s="23"/>
      <c r="Y74" s="334"/>
      <c r="Z74" s="5"/>
      <c r="AC74" s="16" t="s">
        <v>169</v>
      </c>
      <c r="AD74" s="18">
        <f>SUM(AD64:AD73)</f>
        <v>2654.5</v>
      </c>
      <c r="AG74" s="16" t="s">
        <v>169</v>
      </c>
      <c r="AH74" s="18">
        <f>SUM(AH64:AH73)</f>
        <v>1078</v>
      </c>
      <c r="AJ74" s="16"/>
      <c r="AK74" s="16"/>
      <c r="AM74" s="16" t="s">
        <v>169</v>
      </c>
      <c r="AN74" s="18"/>
    </row>
    <row r="75" spans="1:41" x14ac:dyDescent="0.25">
      <c r="A75" s="143">
        <v>11</v>
      </c>
      <c r="B75" s="92">
        <v>45189</v>
      </c>
      <c r="C75" s="31"/>
      <c r="D75" s="124">
        <v>5629985003</v>
      </c>
      <c r="E75" s="123" t="s">
        <v>106</v>
      </c>
      <c r="F75" s="123" t="s">
        <v>999</v>
      </c>
      <c r="G75" s="39" t="s">
        <v>998</v>
      </c>
      <c r="H75" s="122">
        <v>200</v>
      </c>
      <c r="I75" s="42">
        <v>130</v>
      </c>
      <c r="J75" s="20">
        <v>10</v>
      </c>
      <c r="K75" s="21">
        <f t="shared" si="11"/>
        <v>-130</v>
      </c>
      <c r="L75" s="21">
        <f t="shared" si="8"/>
        <v>140</v>
      </c>
      <c r="M75" s="21">
        <f t="shared" si="9"/>
        <v>60</v>
      </c>
      <c r="N75" s="21"/>
      <c r="O75" s="21">
        <v>130</v>
      </c>
      <c r="P75" s="5"/>
      <c r="Q75" s="16"/>
      <c r="R75" s="16"/>
      <c r="S75" s="21">
        <f t="shared" si="10"/>
        <v>0</v>
      </c>
      <c r="T75" s="16">
        <v>140</v>
      </c>
      <c r="U75" s="78">
        <f t="shared" si="12"/>
        <v>10</v>
      </c>
      <c r="V75" s="140"/>
      <c r="W75" s="147"/>
      <c r="X75" s="23"/>
      <c r="Y75" s="334"/>
      <c r="Z75" s="5"/>
      <c r="AJ75" s="16"/>
      <c r="AK75" s="16"/>
      <c r="AM75" s="16"/>
      <c r="AN75" s="16"/>
    </row>
    <row r="76" spans="1:41" x14ac:dyDescent="0.25">
      <c r="A76" s="143">
        <v>12</v>
      </c>
      <c r="B76" s="92">
        <v>45189</v>
      </c>
      <c r="C76" s="32"/>
      <c r="D76" s="32"/>
      <c r="E76" s="124"/>
      <c r="F76" s="123"/>
      <c r="G76" s="39"/>
      <c r="H76" s="39"/>
      <c r="I76" s="42"/>
      <c r="J76" s="20">
        <v>10</v>
      </c>
      <c r="K76" s="21">
        <f t="shared" si="11"/>
        <v>-10</v>
      </c>
      <c r="L76" s="21">
        <f t="shared" si="8"/>
        <v>10</v>
      </c>
      <c r="M76" s="21">
        <f t="shared" si="9"/>
        <v>-10</v>
      </c>
      <c r="N76" s="21"/>
      <c r="O76" s="21"/>
      <c r="P76" s="5"/>
      <c r="Q76" s="45"/>
      <c r="R76" s="44"/>
      <c r="S76" s="21">
        <f t="shared" si="10"/>
        <v>0</v>
      </c>
      <c r="T76" s="45"/>
      <c r="U76" s="78">
        <f t="shared" si="12"/>
        <v>0</v>
      </c>
      <c r="V76" s="140"/>
      <c r="W76" s="147"/>
      <c r="X76" s="23"/>
      <c r="Y76" s="334"/>
      <c r="Z76" s="5"/>
      <c r="AD76">
        <v>2693.5</v>
      </c>
      <c r="AJ76" s="63" t="s">
        <v>169</v>
      </c>
      <c r="AK76" s="63">
        <f>+SUM(AJ65:AJ75)-SUM(AK65:AK75)</f>
        <v>0</v>
      </c>
      <c r="AM76" s="63" t="s">
        <v>169</v>
      </c>
      <c r="AN76" s="85">
        <f>+SUM(AM64:AM75)-SUM(AN65:AN75)</f>
        <v>0</v>
      </c>
    </row>
    <row r="77" spans="1:41" x14ac:dyDescent="0.25">
      <c r="A77" s="143">
        <v>13</v>
      </c>
      <c r="B77" s="92">
        <v>45189</v>
      </c>
      <c r="C77" s="31"/>
      <c r="D77" s="32"/>
      <c r="E77" s="32"/>
      <c r="F77" s="32"/>
      <c r="G77" s="39"/>
      <c r="H77" s="39"/>
      <c r="I77" s="42"/>
      <c r="J77" s="108">
        <v>10</v>
      </c>
      <c r="K77" s="21">
        <f t="shared" si="11"/>
        <v>-10</v>
      </c>
      <c r="L77" s="21">
        <f t="shared" si="8"/>
        <v>10</v>
      </c>
      <c r="M77" s="21">
        <f t="shared" si="9"/>
        <v>-10</v>
      </c>
      <c r="N77" s="21"/>
      <c r="O77" s="21"/>
      <c r="P77" s="5"/>
      <c r="Q77" s="43"/>
      <c r="R77" s="32"/>
      <c r="S77" s="21">
        <f t="shared" si="10"/>
        <v>0</v>
      </c>
      <c r="T77" s="43"/>
      <c r="U77" s="78">
        <f t="shared" si="12"/>
        <v>0</v>
      </c>
      <c r="V77" s="140"/>
      <c r="W77" s="147"/>
      <c r="X77" s="23"/>
      <c r="Y77" s="334"/>
      <c r="Z77" s="5"/>
      <c r="AH77" s="83"/>
    </row>
    <row r="78" spans="1:41" x14ac:dyDescent="0.25">
      <c r="A78" s="143">
        <v>14</v>
      </c>
      <c r="B78" s="92">
        <v>45189</v>
      </c>
      <c r="C78" s="31"/>
      <c r="D78" s="32"/>
      <c r="E78" s="32"/>
      <c r="F78" s="32"/>
      <c r="G78" s="39"/>
      <c r="H78" s="39"/>
      <c r="I78" s="42"/>
      <c r="J78" s="108">
        <v>10</v>
      </c>
      <c r="K78" s="21">
        <f t="shared" si="11"/>
        <v>-10</v>
      </c>
      <c r="L78" s="21">
        <f t="shared" si="8"/>
        <v>10</v>
      </c>
      <c r="M78" s="21">
        <f t="shared" si="9"/>
        <v>-10</v>
      </c>
      <c r="N78" s="21"/>
      <c r="O78" s="21"/>
      <c r="P78" s="5"/>
      <c r="Q78" s="43"/>
      <c r="R78" s="43"/>
      <c r="S78" s="21">
        <f t="shared" si="10"/>
        <v>0</v>
      </c>
      <c r="T78" s="43"/>
      <c r="U78" s="78">
        <f t="shared" si="12"/>
        <v>0</v>
      </c>
      <c r="V78" s="140"/>
      <c r="W78" s="147"/>
      <c r="X78" s="23"/>
      <c r="Y78" s="334"/>
      <c r="Z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1" x14ac:dyDescent="0.25">
      <c r="A79" s="143">
        <v>15</v>
      </c>
      <c r="B79" s="92">
        <v>45189</v>
      </c>
      <c r="C79" s="127"/>
      <c r="D79" s="32"/>
      <c r="E79" s="32"/>
      <c r="F79" s="128"/>
      <c r="G79" s="129"/>
      <c r="H79" s="39"/>
      <c r="I79" s="42"/>
      <c r="J79" s="108">
        <v>10</v>
      </c>
      <c r="K79" s="21">
        <f t="shared" si="11"/>
        <v>-10</v>
      </c>
      <c r="L79" s="21">
        <f t="shared" si="8"/>
        <v>10</v>
      </c>
      <c r="M79" s="21">
        <f t="shared" si="9"/>
        <v>-10</v>
      </c>
      <c r="N79" s="21"/>
      <c r="O79" s="21"/>
      <c r="P79" s="5"/>
      <c r="Q79" s="43"/>
      <c r="R79" s="43"/>
      <c r="S79" s="21">
        <f t="shared" si="10"/>
        <v>0</v>
      </c>
      <c r="T79" s="43"/>
      <c r="U79" s="78">
        <f t="shared" si="12"/>
        <v>0</v>
      </c>
      <c r="V79" s="140"/>
      <c r="W79" s="147"/>
      <c r="X79" s="23"/>
      <c r="Y79" s="334"/>
      <c r="Z79" s="5"/>
      <c r="AF79" s="341" t="s">
        <v>686</v>
      </c>
      <c r="AG79" s="134" t="s">
        <v>20</v>
      </c>
      <c r="AH79" s="338">
        <v>50</v>
      </c>
      <c r="AI79" s="341" t="s">
        <v>687</v>
      </c>
      <c r="AJ79" s="134" t="s">
        <v>20</v>
      </c>
      <c r="AK79" s="338">
        <v>67</v>
      </c>
      <c r="AL79" s="341" t="s">
        <v>945</v>
      </c>
      <c r="AM79" s="134" t="s">
        <v>20</v>
      </c>
      <c r="AN79" s="338">
        <f>AK79+AH79+AE79</f>
        <v>117</v>
      </c>
      <c r="AO79" s="5"/>
    </row>
    <row r="80" spans="1:41" x14ac:dyDescent="0.25">
      <c r="A80" s="143">
        <v>16</v>
      </c>
      <c r="B80" s="92">
        <v>45189</v>
      </c>
      <c r="C80" s="31"/>
      <c r="D80" s="32"/>
      <c r="E80" s="32"/>
      <c r="F80" s="32"/>
      <c r="G80" s="39"/>
      <c r="H80" s="39"/>
      <c r="I80" s="42"/>
      <c r="J80" s="43">
        <v>10</v>
      </c>
      <c r="K80" s="21">
        <f>U80-J80-O80</f>
        <v>-10</v>
      </c>
      <c r="L80" s="21">
        <f t="shared" si="8"/>
        <v>10</v>
      </c>
      <c r="M80" s="21">
        <f t="shared" si="9"/>
        <v>-10</v>
      </c>
      <c r="N80" s="21"/>
      <c r="O80" s="21"/>
      <c r="P80" s="5"/>
      <c r="Q80" s="43"/>
      <c r="R80" s="32"/>
      <c r="S80" s="21">
        <f t="shared" si="10"/>
        <v>0</v>
      </c>
      <c r="T80" s="131"/>
      <c r="U80" s="78">
        <f t="shared" si="12"/>
        <v>0</v>
      </c>
      <c r="V80" s="140"/>
      <c r="W80" s="147"/>
      <c r="X80" s="23"/>
      <c r="Y80" s="334"/>
      <c r="Z80" s="5"/>
      <c r="AF80" s="341"/>
      <c r="AG80" s="115" t="s">
        <v>684</v>
      </c>
      <c r="AH80" s="339"/>
      <c r="AI80" s="341"/>
      <c r="AJ80" s="115" t="s">
        <v>684</v>
      </c>
      <c r="AK80" s="339"/>
      <c r="AL80" s="341"/>
      <c r="AM80" s="115" t="s">
        <v>684</v>
      </c>
      <c r="AN80" s="339"/>
      <c r="AO80" s="5"/>
    </row>
    <row r="81" spans="1:41" x14ac:dyDescent="0.25">
      <c r="A81" s="143">
        <v>17</v>
      </c>
      <c r="B81" s="92">
        <v>45189</v>
      </c>
      <c r="C81" s="31"/>
      <c r="D81" s="32"/>
      <c r="E81" s="32"/>
      <c r="F81" s="32"/>
      <c r="G81" s="39"/>
      <c r="H81" s="39"/>
      <c r="I81" s="42"/>
      <c r="J81" s="43">
        <v>10</v>
      </c>
      <c r="K81" s="21">
        <f t="shared" si="11"/>
        <v>-10</v>
      </c>
      <c r="L81" s="21">
        <f t="shared" si="8"/>
        <v>10</v>
      </c>
      <c r="M81" s="21">
        <f t="shared" si="9"/>
        <v>-10</v>
      </c>
      <c r="N81" s="21"/>
      <c r="O81" s="21"/>
      <c r="P81" s="5"/>
      <c r="Q81" s="43"/>
      <c r="R81" s="32"/>
      <c r="S81" s="21">
        <f t="shared" si="10"/>
        <v>0</v>
      </c>
      <c r="T81" s="132"/>
      <c r="U81" s="78">
        <f t="shared" si="12"/>
        <v>0</v>
      </c>
      <c r="V81" s="140"/>
      <c r="W81" s="147"/>
      <c r="X81" s="23"/>
      <c r="Y81" s="340"/>
      <c r="Z81" s="5"/>
      <c r="AF81" s="5"/>
      <c r="AG81" s="5"/>
      <c r="AH81" s="5"/>
      <c r="AI81" s="5"/>
      <c r="AJ81" s="5"/>
      <c r="AK81" s="5"/>
      <c r="AL81" s="5"/>
      <c r="AM81" s="5"/>
      <c r="AN81" s="5"/>
      <c r="AO81" s="5"/>
    </row>
    <row r="82" spans="1:41" x14ac:dyDescent="0.25">
      <c r="A82" s="143">
        <v>18</v>
      </c>
      <c r="B82" s="92">
        <v>45189</v>
      </c>
      <c r="C82" s="31"/>
      <c r="D82" s="32"/>
      <c r="E82" s="32"/>
      <c r="F82" s="32"/>
      <c r="G82" s="39"/>
      <c r="H82" s="39"/>
      <c r="I82" s="42"/>
      <c r="J82" s="43">
        <v>10</v>
      </c>
      <c r="K82" s="21">
        <f t="shared" si="11"/>
        <v>-10</v>
      </c>
      <c r="L82" s="21">
        <f t="shared" si="8"/>
        <v>10</v>
      </c>
      <c r="M82" s="21">
        <f t="shared" si="9"/>
        <v>-10</v>
      </c>
      <c r="N82" s="21"/>
      <c r="O82" s="21"/>
      <c r="P82" s="5"/>
      <c r="Q82" s="135"/>
      <c r="R82" s="104"/>
      <c r="S82" s="21">
        <f t="shared" si="10"/>
        <v>0</v>
      </c>
      <c r="T82" s="131"/>
      <c r="U82" s="78">
        <f t="shared" si="12"/>
        <v>0</v>
      </c>
      <c r="V82" s="140"/>
      <c r="W82" s="138"/>
      <c r="X82" s="32"/>
      <c r="Z82" s="5"/>
    </row>
    <row r="83" spans="1:41" x14ac:dyDescent="0.25">
      <c r="A83" s="143">
        <v>19</v>
      </c>
      <c r="B83" s="92">
        <v>45189</v>
      </c>
      <c r="C83" s="31"/>
      <c r="D83" s="32"/>
      <c r="E83" s="32"/>
      <c r="F83" s="32"/>
      <c r="G83" s="39"/>
      <c r="H83" s="39"/>
      <c r="I83" s="42"/>
      <c r="J83" s="43">
        <v>10</v>
      </c>
      <c r="K83" s="21">
        <f t="shared" si="11"/>
        <v>-10</v>
      </c>
      <c r="L83" s="21">
        <f t="shared" si="8"/>
        <v>10</v>
      </c>
      <c r="M83" s="21">
        <f t="shared" si="9"/>
        <v>-10</v>
      </c>
      <c r="N83" s="21"/>
      <c r="O83" s="21"/>
      <c r="P83" s="5"/>
      <c r="Q83" s="32"/>
      <c r="R83" s="32"/>
      <c r="S83" s="21">
        <f t="shared" si="10"/>
        <v>0</v>
      </c>
      <c r="T83" s="32"/>
      <c r="U83" s="78">
        <f t="shared" si="12"/>
        <v>0</v>
      </c>
      <c r="V83" s="140"/>
      <c r="W83" s="138"/>
      <c r="X83" s="32"/>
      <c r="Z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</row>
    <row r="84" spans="1:4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22">
        <f>SUM(O65:O83)</f>
        <v>580</v>
      </c>
      <c r="P84" s="5"/>
      <c r="Q84" s="5"/>
      <c r="R84" s="5"/>
      <c r="S84" s="5"/>
      <c r="T84" s="5"/>
      <c r="U84" s="22">
        <f>SUM(U65:U83)</f>
        <v>228</v>
      </c>
      <c r="V84" s="141"/>
      <c r="W84" s="5"/>
      <c r="X84" s="5"/>
      <c r="Y84" s="5"/>
      <c r="Z84" s="5"/>
      <c r="AC84" s="5" t="s">
        <v>950</v>
      </c>
      <c r="AD84" s="134" t="s">
        <v>20</v>
      </c>
      <c r="AE84" s="345">
        <f>AH74</f>
        <v>1078</v>
      </c>
      <c r="AF84" s="341"/>
      <c r="AG84" s="134" t="s">
        <v>20</v>
      </c>
      <c r="AH84" s="338">
        <f>AK71</f>
        <v>0</v>
      </c>
      <c r="AI84" s="341"/>
      <c r="AJ84" s="346" t="s">
        <v>952</v>
      </c>
      <c r="AK84" s="345">
        <f>O84</f>
        <v>580</v>
      </c>
      <c r="AL84" s="164"/>
      <c r="AM84" s="346" t="s">
        <v>949</v>
      </c>
      <c r="AN84" s="345">
        <f>AE84+AH84-AK84</f>
        <v>498</v>
      </c>
      <c r="AO84" s="164"/>
    </row>
    <row r="85" spans="1:41" x14ac:dyDescent="0.25">
      <c r="AC85" s="5"/>
      <c r="AD85" s="115" t="s">
        <v>947</v>
      </c>
      <c r="AE85" s="339"/>
      <c r="AF85" s="341"/>
      <c r="AG85" s="115" t="s">
        <v>948</v>
      </c>
      <c r="AH85" s="339"/>
      <c r="AI85" s="341"/>
      <c r="AJ85" s="347"/>
      <c r="AK85" s="339"/>
      <c r="AL85" s="164"/>
      <c r="AM85" s="347"/>
      <c r="AN85" s="339"/>
      <c r="AO85" s="164"/>
    </row>
    <row r="86" spans="1:41" x14ac:dyDescent="0.25">
      <c r="AC86" t="s">
        <v>1002</v>
      </c>
    </row>
    <row r="87" spans="1:41" x14ac:dyDescent="0.25">
      <c r="AC87" t="s">
        <v>1000</v>
      </c>
    </row>
    <row r="88" spans="1:41" x14ac:dyDescent="0.25">
      <c r="AC88" t="s">
        <v>1001</v>
      </c>
    </row>
    <row r="98" spans="1:40" x14ac:dyDescent="0.25">
      <c r="A98" s="1" t="s">
        <v>0</v>
      </c>
      <c r="B98" s="1"/>
      <c r="C98" s="1"/>
      <c r="D98" s="1"/>
      <c r="E98" s="1"/>
      <c r="F98" s="1"/>
      <c r="G98" s="1"/>
      <c r="H98" s="1"/>
      <c r="I98" s="1" t="s">
        <v>148</v>
      </c>
      <c r="J98" s="1"/>
      <c r="K98" s="1"/>
      <c r="L98" s="1"/>
      <c r="M98" s="1"/>
      <c r="N98" s="1"/>
      <c r="O98" s="1"/>
      <c r="P98" s="1"/>
      <c r="Q98" s="1"/>
      <c r="R98" s="1"/>
      <c r="S98" s="342" t="s">
        <v>1</v>
      </c>
      <c r="T98" s="342"/>
      <c r="U98" s="5"/>
      <c r="V98" s="139"/>
      <c r="W98" s="1"/>
      <c r="X98" s="1"/>
      <c r="Y98" s="1"/>
      <c r="Z98" s="5"/>
      <c r="AC98" s="335" t="s">
        <v>160</v>
      </c>
      <c r="AD98" s="336"/>
      <c r="AG98" s="335" t="s">
        <v>170</v>
      </c>
      <c r="AH98" s="336"/>
      <c r="AJ98" s="337" t="s">
        <v>172</v>
      </c>
      <c r="AK98" s="337"/>
      <c r="AM98" s="337" t="s">
        <v>681</v>
      </c>
      <c r="AN98" s="337"/>
    </row>
    <row r="99" spans="1:40" ht="90" x14ac:dyDescent="0.25">
      <c r="A99" s="6" t="s">
        <v>2</v>
      </c>
      <c r="B99" s="7" t="s">
        <v>3</v>
      </c>
      <c r="C99" s="7" t="s">
        <v>4</v>
      </c>
      <c r="D99" s="6" t="s">
        <v>5</v>
      </c>
      <c r="E99" s="6" t="s">
        <v>6</v>
      </c>
      <c r="F99" s="6" t="s">
        <v>7</v>
      </c>
      <c r="G99" s="6" t="s">
        <v>8</v>
      </c>
      <c r="H99" s="8" t="s">
        <v>9</v>
      </c>
      <c r="I99" s="9" t="s">
        <v>10</v>
      </c>
      <c r="J99" s="8" t="s">
        <v>11</v>
      </c>
      <c r="K99" s="10" t="s">
        <v>12</v>
      </c>
      <c r="L99" s="10" t="s">
        <v>13</v>
      </c>
      <c r="M99" s="11" t="s">
        <v>14</v>
      </c>
      <c r="N99" s="10" t="s">
        <v>691</v>
      </c>
      <c r="O99" s="10" t="s">
        <v>28</v>
      </c>
      <c r="P99" s="5"/>
      <c r="Q99" s="10" t="s">
        <v>16</v>
      </c>
      <c r="R99" s="10" t="s">
        <v>17</v>
      </c>
      <c r="S99" s="10" t="s">
        <v>18</v>
      </c>
      <c r="T99" s="10" t="s">
        <v>19</v>
      </c>
      <c r="U99" s="10" t="s">
        <v>20</v>
      </c>
      <c r="V99" s="13"/>
      <c r="W99" s="136" t="s">
        <v>688</v>
      </c>
      <c r="X99" s="14" t="s">
        <v>22</v>
      </c>
      <c r="Y99" s="15" t="s">
        <v>23</v>
      </c>
      <c r="Z99" s="5"/>
      <c r="AC99" s="16" t="s">
        <v>161</v>
      </c>
      <c r="AD99" s="58">
        <f>+AB99*10</f>
        <v>0</v>
      </c>
      <c r="AF99">
        <v>2</v>
      </c>
      <c r="AG99" s="16" t="s">
        <v>161</v>
      </c>
      <c r="AH99" s="58">
        <f>+AF99*10</f>
        <v>20</v>
      </c>
      <c r="AJ99" s="61" t="s">
        <v>173</v>
      </c>
      <c r="AK99" s="62" t="s">
        <v>174</v>
      </c>
      <c r="AM99" s="16" t="s">
        <v>161</v>
      </c>
      <c r="AN99" s="58">
        <f>+AL99*10</f>
        <v>0</v>
      </c>
    </row>
    <row r="100" spans="1:40" x14ac:dyDescent="0.25">
      <c r="A100" s="16">
        <v>1</v>
      </c>
      <c r="B100" s="92">
        <v>45190</v>
      </c>
      <c r="C100" s="31" t="s">
        <v>37</v>
      </c>
      <c r="D100" s="32">
        <v>5554180418</v>
      </c>
      <c r="E100" s="32" t="s">
        <v>485</v>
      </c>
      <c r="F100" s="39" t="s">
        <v>1004</v>
      </c>
      <c r="G100" s="39" t="s">
        <v>1005</v>
      </c>
      <c r="H100" s="122">
        <v>230</v>
      </c>
      <c r="I100" s="32">
        <v>140</v>
      </c>
      <c r="J100" s="20">
        <v>10</v>
      </c>
      <c r="K100" s="21">
        <f>U100-J100-O100</f>
        <v>20</v>
      </c>
      <c r="L100" s="21">
        <f t="shared" ref="L100:L118" si="13">+I100+J100</f>
        <v>150</v>
      </c>
      <c r="M100" s="21">
        <f t="shared" ref="M100:M118" si="14">+H100-L100</f>
        <v>80</v>
      </c>
      <c r="N100" s="21"/>
      <c r="O100" s="21"/>
      <c r="P100" s="5"/>
      <c r="Q100" s="21">
        <v>200</v>
      </c>
      <c r="R100" s="16"/>
      <c r="S100" s="21">
        <f t="shared" ref="S100:S118" si="15">+Q100+R100</f>
        <v>200</v>
      </c>
      <c r="T100" s="21">
        <v>230</v>
      </c>
      <c r="U100" s="78">
        <f>T100-S100-O100</f>
        <v>30</v>
      </c>
      <c r="V100" s="13"/>
      <c r="W100" s="147"/>
      <c r="X100" s="23"/>
      <c r="Y100" s="333"/>
      <c r="Z100" s="5"/>
      <c r="AB100">
        <v>22.5</v>
      </c>
      <c r="AC100" s="59" t="s">
        <v>162</v>
      </c>
      <c r="AD100" s="18">
        <f>+AB100*1</f>
        <v>22.5</v>
      </c>
      <c r="AF100">
        <v>24</v>
      </c>
      <c r="AG100" s="59" t="s">
        <v>162</v>
      </c>
      <c r="AH100" s="18">
        <f>+AF100*1</f>
        <v>24</v>
      </c>
      <c r="AJ100" s="16">
        <v>92</v>
      </c>
      <c r="AK100" s="16"/>
      <c r="AM100" s="59" t="s">
        <v>162</v>
      </c>
      <c r="AN100" s="18">
        <f>+AL100*1</f>
        <v>0</v>
      </c>
    </row>
    <row r="101" spans="1:40" x14ac:dyDescent="0.25">
      <c r="A101" s="26">
        <v>2</v>
      </c>
      <c r="B101" s="92">
        <v>45190</v>
      </c>
      <c r="C101" s="31" t="s">
        <v>1194</v>
      </c>
      <c r="D101" s="32">
        <v>5516609716</v>
      </c>
      <c r="E101" s="32" t="s">
        <v>106</v>
      </c>
      <c r="F101" s="32" t="s">
        <v>918</v>
      </c>
      <c r="G101" s="39" t="s">
        <v>1006</v>
      </c>
      <c r="H101" s="122">
        <v>115</v>
      </c>
      <c r="I101" s="32">
        <v>65</v>
      </c>
      <c r="J101" s="20">
        <v>10</v>
      </c>
      <c r="K101" s="21">
        <f>U101-J101-O101</f>
        <v>5</v>
      </c>
      <c r="L101" s="21">
        <f t="shared" si="13"/>
        <v>75</v>
      </c>
      <c r="M101" s="21">
        <f t="shared" si="14"/>
        <v>40</v>
      </c>
      <c r="N101" s="21"/>
      <c r="O101" s="21"/>
      <c r="P101" s="5"/>
      <c r="Q101" s="21">
        <v>100</v>
      </c>
      <c r="R101" s="16"/>
      <c r="S101" s="21">
        <f t="shared" si="15"/>
        <v>100</v>
      </c>
      <c r="T101" s="21">
        <v>115</v>
      </c>
      <c r="U101" s="78">
        <f>T101-S101-O101</f>
        <v>15</v>
      </c>
      <c r="V101" s="140"/>
      <c r="W101" s="147"/>
      <c r="X101" s="23"/>
      <c r="Y101" s="334"/>
      <c r="Z101" s="5"/>
      <c r="AB101">
        <v>4</v>
      </c>
      <c r="AC101" s="16" t="s">
        <v>163</v>
      </c>
      <c r="AD101" s="60">
        <f>+AB101*5</f>
        <v>20</v>
      </c>
      <c r="AF101">
        <v>8</v>
      </c>
      <c r="AG101" s="16" t="s">
        <v>163</v>
      </c>
      <c r="AH101" s="60">
        <f>+AF101*5</f>
        <v>40</v>
      </c>
      <c r="AJ101" s="16">
        <v>196</v>
      </c>
      <c r="AK101" s="16"/>
      <c r="AM101" s="16" t="s">
        <v>163</v>
      </c>
      <c r="AN101" s="60">
        <f>+AL101*5</f>
        <v>0</v>
      </c>
    </row>
    <row r="102" spans="1:40" x14ac:dyDescent="0.25">
      <c r="A102" s="143">
        <v>3</v>
      </c>
      <c r="B102" s="92">
        <v>45190</v>
      </c>
      <c r="C102" s="31" t="s">
        <v>2466</v>
      </c>
      <c r="D102" s="32">
        <v>5532536647</v>
      </c>
      <c r="E102" s="32" t="s">
        <v>106</v>
      </c>
      <c r="F102" s="32" t="s">
        <v>818</v>
      </c>
      <c r="G102" s="39" t="s">
        <v>1007</v>
      </c>
      <c r="H102" s="122">
        <v>110</v>
      </c>
      <c r="I102" s="32">
        <v>65</v>
      </c>
      <c r="J102" s="20">
        <v>10</v>
      </c>
      <c r="K102" s="21">
        <f>U102-J102-O102</f>
        <v>0</v>
      </c>
      <c r="L102" s="21">
        <f t="shared" si="13"/>
        <v>75</v>
      </c>
      <c r="M102" s="21">
        <f t="shared" si="14"/>
        <v>35</v>
      </c>
      <c r="N102" s="21"/>
      <c r="O102" s="21"/>
      <c r="P102" s="5"/>
      <c r="Q102" s="21">
        <v>100</v>
      </c>
      <c r="R102" s="16"/>
      <c r="S102" s="21">
        <f t="shared" si="15"/>
        <v>100</v>
      </c>
      <c r="T102" s="21">
        <v>110</v>
      </c>
      <c r="U102" s="78">
        <f>T102-S102-O102</f>
        <v>10</v>
      </c>
      <c r="V102" s="140"/>
      <c r="W102" s="147"/>
      <c r="X102" s="23"/>
      <c r="Y102" s="334"/>
      <c r="Z102" s="5"/>
      <c r="AC102" s="16" t="s">
        <v>164</v>
      </c>
      <c r="AD102" s="18">
        <f>+AB102*200</f>
        <v>0</v>
      </c>
      <c r="AF102">
        <v>1</v>
      </c>
      <c r="AG102" s="16" t="s">
        <v>164</v>
      </c>
      <c r="AH102" s="18">
        <f>+AF102*200</f>
        <v>200</v>
      </c>
      <c r="AJ102" s="16"/>
      <c r="AK102" s="16"/>
      <c r="AM102" s="16" t="s">
        <v>164</v>
      </c>
      <c r="AN102" s="18">
        <f>+AL102*200</f>
        <v>0</v>
      </c>
    </row>
    <row r="103" spans="1:40" x14ac:dyDescent="0.25">
      <c r="A103" s="143">
        <v>4</v>
      </c>
      <c r="B103" s="92">
        <v>45190</v>
      </c>
      <c r="C103" s="31" t="s">
        <v>2495</v>
      </c>
      <c r="D103" s="32">
        <v>5526260701</v>
      </c>
      <c r="E103" s="32" t="s">
        <v>269</v>
      </c>
      <c r="F103" s="32" t="s">
        <v>77</v>
      </c>
      <c r="G103" s="39" t="s">
        <v>1008</v>
      </c>
      <c r="H103" s="122">
        <v>100</v>
      </c>
      <c r="I103" s="32">
        <v>22</v>
      </c>
      <c r="J103" s="20">
        <v>10</v>
      </c>
      <c r="K103" s="21">
        <f>U103-J103-O103</f>
        <v>22</v>
      </c>
      <c r="L103" s="21">
        <f t="shared" si="13"/>
        <v>32</v>
      </c>
      <c r="M103" s="21">
        <f t="shared" si="14"/>
        <v>68</v>
      </c>
      <c r="N103" s="21"/>
      <c r="O103" s="21"/>
      <c r="P103" s="5"/>
      <c r="Q103" s="21">
        <v>68</v>
      </c>
      <c r="R103" s="16"/>
      <c r="S103" s="21">
        <f t="shared" si="15"/>
        <v>68</v>
      </c>
      <c r="T103" s="21">
        <v>100</v>
      </c>
      <c r="U103" s="78">
        <f>T103-S103-O103</f>
        <v>32</v>
      </c>
      <c r="V103" s="140"/>
      <c r="W103" s="147"/>
      <c r="X103" s="23"/>
      <c r="Y103" s="334"/>
      <c r="Z103" s="5"/>
      <c r="AB103">
        <v>2</v>
      </c>
      <c r="AC103" s="16" t="s">
        <v>165</v>
      </c>
      <c r="AD103" s="18">
        <f>+AB103*100</f>
        <v>200</v>
      </c>
      <c r="AF103">
        <v>4</v>
      </c>
      <c r="AG103" s="16" t="s">
        <v>165</v>
      </c>
      <c r="AH103" s="18">
        <f>+AF103*100</f>
        <v>400</v>
      </c>
      <c r="AJ103" s="16"/>
      <c r="AK103" s="16"/>
      <c r="AM103" s="16" t="s">
        <v>165</v>
      </c>
      <c r="AN103" s="18">
        <f>+AL103*100</f>
        <v>0</v>
      </c>
    </row>
    <row r="104" spans="1:40" x14ac:dyDescent="0.25">
      <c r="A104" s="143">
        <v>5</v>
      </c>
      <c r="B104" s="92">
        <v>45190</v>
      </c>
      <c r="C104" s="31" t="s">
        <v>2472</v>
      </c>
      <c r="D104" s="32">
        <v>5510466400</v>
      </c>
      <c r="E104" s="32" t="s">
        <v>106</v>
      </c>
      <c r="F104" s="32" t="s">
        <v>1010</v>
      </c>
      <c r="G104" s="32" t="s">
        <v>1009</v>
      </c>
      <c r="H104" s="122">
        <v>169</v>
      </c>
      <c r="I104" s="32">
        <v>159</v>
      </c>
      <c r="J104" s="20">
        <v>10</v>
      </c>
      <c r="K104" s="21">
        <v>0</v>
      </c>
      <c r="L104" s="21">
        <f t="shared" si="13"/>
        <v>169</v>
      </c>
      <c r="M104" s="21">
        <f t="shared" si="14"/>
        <v>0</v>
      </c>
      <c r="N104" s="21">
        <v>196</v>
      </c>
      <c r="O104" s="21">
        <v>159</v>
      </c>
      <c r="P104" s="5"/>
      <c r="Q104" s="16">
        <v>20</v>
      </c>
      <c r="R104" s="16"/>
      <c r="S104" s="21">
        <f t="shared" si="15"/>
        <v>20</v>
      </c>
      <c r="T104" s="21">
        <v>196</v>
      </c>
      <c r="U104" s="78">
        <v>30</v>
      </c>
      <c r="V104" s="140">
        <v>-7</v>
      </c>
      <c r="W104" s="147"/>
      <c r="X104" s="23"/>
      <c r="Y104" s="334"/>
      <c r="Z104" s="5"/>
      <c r="AB104">
        <v>1</v>
      </c>
      <c r="AC104" s="16" t="s">
        <v>166</v>
      </c>
      <c r="AD104" s="18">
        <f>+AB104*50</f>
        <v>50</v>
      </c>
      <c r="AF104">
        <v>1</v>
      </c>
      <c r="AG104" s="16" t="s">
        <v>166</v>
      </c>
      <c r="AH104" s="18">
        <f>+AF104*50</f>
        <v>50</v>
      </c>
      <c r="AJ104" s="16"/>
      <c r="AK104" s="16"/>
      <c r="AM104" s="16" t="s">
        <v>166</v>
      </c>
      <c r="AN104" s="18">
        <f>+AL104*50</f>
        <v>0</v>
      </c>
    </row>
    <row r="105" spans="1:40" x14ac:dyDescent="0.25">
      <c r="A105" s="143">
        <v>6</v>
      </c>
      <c r="B105" s="92">
        <v>45190</v>
      </c>
      <c r="C105" s="31" t="s">
        <v>1500</v>
      </c>
      <c r="D105" s="32">
        <v>5639611669</v>
      </c>
      <c r="E105" s="32" t="s">
        <v>76</v>
      </c>
      <c r="F105" s="32" t="s">
        <v>793</v>
      </c>
      <c r="G105" s="39" t="s">
        <v>1011</v>
      </c>
      <c r="H105" s="39">
        <v>220</v>
      </c>
      <c r="I105" s="42">
        <v>140</v>
      </c>
      <c r="J105" s="20">
        <v>10</v>
      </c>
      <c r="K105" s="21">
        <f>U105-J105-O105</f>
        <v>10</v>
      </c>
      <c r="L105" s="21">
        <f t="shared" si="13"/>
        <v>150</v>
      </c>
      <c r="M105" s="21">
        <f t="shared" si="14"/>
        <v>70</v>
      </c>
      <c r="N105" s="21"/>
      <c r="O105" s="21"/>
      <c r="P105" s="5"/>
      <c r="Q105" s="16">
        <v>200</v>
      </c>
      <c r="R105" s="16"/>
      <c r="S105" s="21">
        <f t="shared" si="15"/>
        <v>200</v>
      </c>
      <c r="T105" s="16">
        <v>220</v>
      </c>
      <c r="U105" s="78">
        <f>T105-S105-O105</f>
        <v>20</v>
      </c>
      <c r="V105" s="140" t="s">
        <v>1012</v>
      </c>
      <c r="W105" s="147"/>
      <c r="X105" s="23"/>
      <c r="Y105" s="334"/>
      <c r="Z105" s="5"/>
      <c r="AB105">
        <v>5</v>
      </c>
      <c r="AC105" s="16" t="s">
        <v>167</v>
      </c>
      <c r="AD105" s="18">
        <f>+AB105*20</f>
        <v>100</v>
      </c>
      <c r="AF105">
        <v>1</v>
      </c>
      <c r="AG105" s="16" t="s">
        <v>167</v>
      </c>
      <c r="AH105" s="18">
        <f>+AF105*20</f>
        <v>20</v>
      </c>
      <c r="AJ105" s="16"/>
      <c r="AK105" s="16"/>
      <c r="AM105" s="16" t="s">
        <v>167</v>
      </c>
      <c r="AN105" s="18">
        <f>+AL105*20</f>
        <v>0</v>
      </c>
    </row>
    <row r="106" spans="1:40" x14ac:dyDescent="0.25">
      <c r="A106" s="41">
        <v>7</v>
      </c>
      <c r="B106" s="92">
        <v>45190</v>
      </c>
      <c r="C106" s="31" t="s">
        <v>921</v>
      </c>
      <c r="D106" s="32">
        <v>5625982564</v>
      </c>
      <c r="E106" s="32" t="s">
        <v>156</v>
      </c>
      <c r="F106" s="32" t="s">
        <v>928</v>
      </c>
      <c r="G106" s="39" t="s">
        <v>1013</v>
      </c>
      <c r="H106" s="122">
        <v>100</v>
      </c>
      <c r="I106" s="42">
        <v>67</v>
      </c>
      <c r="J106" s="20">
        <v>10</v>
      </c>
      <c r="K106" s="21">
        <v>0</v>
      </c>
      <c r="L106" s="21">
        <f t="shared" si="13"/>
        <v>77</v>
      </c>
      <c r="M106" s="21">
        <f t="shared" si="14"/>
        <v>23</v>
      </c>
      <c r="N106" s="21"/>
      <c r="O106" s="21"/>
      <c r="P106" s="5"/>
      <c r="Q106" s="16">
        <v>100</v>
      </c>
      <c r="R106" s="16"/>
      <c r="S106" s="21">
        <f t="shared" si="15"/>
        <v>100</v>
      </c>
      <c r="T106" s="16">
        <v>77</v>
      </c>
      <c r="U106" s="78">
        <v>10</v>
      </c>
      <c r="V106" s="140"/>
      <c r="W106" s="147"/>
      <c r="X106" s="23"/>
      <c r="Y106" s="334"/>
      <c r="Z106" s="5"/>
      <c r="AC106" s="16" t="s">
        <v>171</v>
      </c>
      <c r="AD106" s="18">
        <f>+AB106*500</f>
        <v>0</v>
      </c>
      <c r="AF106">
        <v>1</v>
      </c>
      <c r="AG106" s="16" t="s">
        <v>171</v>
      </c>
      <c r="AH106" s="18">
        <f>+AF106*500</f>
        <v>500</v>
      </c>
      <c r="AJ106" s="16"/>
      <c r="AK106" s="16"/>
      <c r="AM106" s="16" t="s">
        <v>171</v>
      </c>
      <c r="AN106" s="18">
        <f>+AL106*500</f>
        <v>0</v>
      </c>
    </row>
    <row r="107" spans="1:40" x14ac:dyDescent="0.25">
      <c r="A107" s="143">
        <v>8</v>
      </c>
      <c r="B107" s="92">
        <v>45190</v>
      </c>
      <c r="C107" s="31" t="s">
        <v>2974</v>
      </c>
      <c r="D107" s="123">
        <v>5564121405</v>
      </c>
      <c r="E107" s="123" t="s">
        <v>106</v>
      </c>
      <c r="F107" s="123" t="s">
        <v>348</v>
      </c>
      <c r="G107" s="39" t="s">
        <v>1015</v>
      </c>
      <c r="H107" s="122">
        <v>200</v>
      </c>
      <c r="I107" s="32">
        <v>178</v>
      </c>
      <c r="J107" s="20">
        <v>10</v>
      </c>
      <c r="K107" s="21">
        <v>12</v>
      </c>
      <c r="L107" s="21">
        <f t="shared" si="13"/>
        <v>188</v>
      </c>
      <c r="M107" s="21">
        <v>0</v>
      </c>
      <c r="N107" s="21"/>
      <c r="O107" s="21">
        <v>178</v>
      </c>
      <c r="P107" s="5"/>
      <c r="Q107" s="16"/>
      <c r="R107" s="16"/>
      <c r="S107" s="21">
        <f t="shared" si="15"/>
        <v>0</v>
      </c>
      <c r="T107" s="16">
        <v>200</v>
      </c>
      <c r="U107" s="78">
        <v>22</v>
      </c>
      <c r="V107" s="140"/>
      <c r="W107" s="147"/>
      <c r="X107" s="23"/>
      <c r="Y107" s="334"/>
      <c r="Z107" s="5"/>
      <c r="AC107" s="16" t="s">
        <v>168</v>
      </c>
      <c r="AD107" s="18">
        <f>+AB107*1000</f>
        <v>0</v>
      </c>
      <c r="AG107" s="16" t="s">
        <v>168</v>
      </c>
      <c r="AH107" s="18">
        <f>+AF107*1000</f>
        <v>0</v>
      </c>
      <c r="AJ107" s="16"/>
      <c r="AK107" s="16"/>
      <c r="AM107" s="16" t="s">
        <v>168</v>
      </c>
      <c r="AN107" s="18">
        <f>+AL107*1000</f>
        <v>0</v>
      </c>
    </row>
    <row r="108" spans="1:40" x14ac:dyDescent="0.25">
      <c r="A108" s="143">
        <v>9</v>
      </c>
      <c r="B108" s="92">
        <v>45190</v>
      </c>
      <c r="C108" s="31" t="s">
        <v>2478</v>
      </c>
      <c r="D108" s="32">
        <v>55444566789</v>
      </c>
      <c r="E108" s="32" t="s">
        <v>106</v>
      </c>
      <c r="F108" s="32" t="s">
        <v>61</v>
      </c>
      <c r="G108" s="39" t="s">
        <v>1016</v>
      </c>
      <c r="H108" s="39">
        <v>63</v>
      </c>
      <c r="I108" s="40">
        <v>63</v>
      </c>
      <c r="J108" s="20">
        <v>0</v>
      </c>
      <c r="K108" s="21">
        <v>0</v>
      </c>
      <c r="L108" s="21">
        <f t="shared" si="13"/>
        <v>63</v>
      </c>
      <c r="M108" s="21">
        <f t="shared" si="14"/>
        <v>0</v>
      </c>
      <c r="N108" s="21"/>
      <c r="O108" s="21">
        <v>63</v>
      </c>
      <c r="P108" s="5"/>
      <c r="Q108" s="16"/>
      <c r="R108" s="16"/>
      <c r="S108" s="21">
        <f t="shared" si="15"/>
        <v>0</v>
      </c>
      <c r="T108" s="16">
        <v>60</v>
      </c>
      <c r="U108" s="78">
        <v>0</v>
      </c>
      <c r="V108" s="140"/>
      <c r="W108" s="147"/>
      <c r="X108" s="23"/>
      <c r="Y108" s="334"/>
      <c r="Z108" s="5"/>
      <c r="AC108" s="26"/>
      <c r="AD108" s="58"/>
      <c r="AG108" s="26"/>
      <c r="AH108" s="58"/>
      <c r="AJ108" s="16"/>
      <c r="AK108" s="16"/>
      <c r="AM108" s="26"/>
      <c r="AN108" s="58"/>
    </row>
    <row r="109" spans="1:40" x14ac:dyDescent="0.25">
      <c r="A109" s="143">
        <v>10</v>
      </c>
      <c r="B109" s="92">
        <v>45190</v>
      </c>
      <c r="C109" s="31" t="s">
        <v>3100</v>
      </c>
      <c r="D109" s="32">
        <v>5545383189</v>
      </c>
      <c r="E109" s="32" t="s">
        <v>220</v>
      </c>
      <c r="F109" s="32" t="s">
        <v>220</v>
      </c>
      <c r="G109" s="39" t="s">
        <v>1019</v>
      </c>
      <c r="H109" s="122">
        <v>454</v>
      </c>
      <c r="I109" s="42">
        <v>444</v>
      </c>
      <c r="J109" s="20">
        <v>10</v>
      </c>
      <c r="K109" s="21">
        <v>0</v>
      </c>
      <c r="L109" s="21">
        <f t="shared" si="13"/>
        <v>454</v>
      </c>
      <c r="M109" s="21">
        <f t="shared" si="14"/>
        <v>0</v>
      </c>
      <c r="N109" s="21"/>
      <c r="O109" s="21"/>
      <c r="P109" s="5"/>
      <c r="Q109" s="16"/>
      <c r="R109" s="16"/>
      <c r="S109" s="21">
        <f t="shared" si="15"/>
        <v>0</v>
      </c>
      <c r="T109" s="16">
        <v>454</v>
      </c>
      <c r="U109" s="78">
        <v>10</v>
      </c>
      <c r="V109" s="140"/>
      <c r="W109" s="147"/>
      <c r="X109" s="23"/>
      <c r="Y109" s="334"/>
      <c r="Z109" s="5"/>
      <c r="AC109" s="16" t="s">
        <v>169</v>
      </c>
      <c r="AD109" s="18">
        <f>SUM(AD99:AD108)</f>
        <v>392.5</v>
      </c>
      <c r="AG109" s="16" t="s">
        <v>169</v>
      </c>
      <c r="AH109" s="18">
        <f>SUM(AH99:AH108)</f>
        <v>1254</v>
      </c>
      <c r="AJ109" s="16"/>
      <c r="AK109" s="16"/>
      <c r="AM109" s="16" t="s">
        <v>169</v>
      </c>
      <c r="AN109" s="18"/>
    </row>
    <row r="110" spans="1:40" x14ac:dyDescent="0.25">
      <c r="A110" s="143">
        <v>11</v>
      </c>
      <c r="B110" s="92">
        <v>45190</v>
      </c>
      <c r="C110" s="31" t="s">
        <v>1017</v>
      </c>
      <c r="D110" s="124">
        <v>5563236073</v>
      </c>
      <c r="E110" s="124" t="s">
        <v>656</v>
      </c>
      <c r="F110" s="123" t="s">
        <v>625</v>
      </c>
      <c r="G110" s="39" t="s">
        <v>1018</v>
      </c>
      <c r="H110" s="122">
        <v>35</v>
      </c>
      <c r="I110" s="42">
        <v>25</v>
      </c>
      <c r="J110" s="20">
        <v>10</v>
      </c>
      <c r="K110" s="21">
        <v>0</v>
      </c>
      <c r="L110" s="21">
        <f t="shared" si="13"/>
        <v>35</v>
      </c>
      <c r="M110" s="21">
        <f t="shared" si="14"/>
        <v>0</v>
      </c>
      <c r="N110" s="21"/>
      <c r="O110" s="21"/>
      <c r="P110" s="5"/>
      <c r="Q110" s="16"/>
      <c r="R110" s="16"/>
      <c r="S110" s="21">
        <f t="shared" si="15"/>
        <v>0</v>
      </c>
      <c r="T110" s="16">
        <v>35</v>
      </c>
      <c r="U110" s="78">
        <v>10</v>
      </c>
      <c r="V110" s="140"/>
      <c r="W110" s="147"/>
      <c r="X110" s="23"/>
      <c r="Y110" s="334"/>
      <c r="Z110" s="5"/>
      <c r="AJ110" s="16"/>
      <c r="AK110" s="16"/>
      <c r="AM110" s="16"/>
      <c r="AN110" s="16"/>
    </row>
    <row r="111" spans="1:40" x14ac:dyDescent="0.25">
      <c r="A111" s="143">
        <v>12</v>
      </c>
      <c r="B111" s="92">
        <v>45190</v>
      </c>
      <c r="C111" s="32" t="s">
        <v>2464</v>
      </c>
      <c r="D111" s="32">
        <v>5456789098</v>
      </c>
      <c r="E111" s="124" t="s">
        <v>106</v>
      </c>
      <c r="F111" s="123" t="s">
        <v>142</v>
      </c>
      <c r="G111" s="39" t="s">
        <v>1020</v>
      </c>
      <c r="H111" s="39">
        <v>154</v>
      </c>
      <c r="I111" s="42">
        <v>144</v>
      </c>
      <c r="J111" s="20">
        <v>10</v>
      </c>
      <c r="K111" s="21">
        <v>0</v>
      </c>
      <c r="L111" s="21">
        <f t="shared" si="13"/>
        <v>154</v>
      </c>
      <c r="M111" s="21">
        <f t="shared" si="14"/>
        <v>0</v>
      </c>
      <c r="N111" s="21"/>
      <c r="O111" s="21">
        <v>144</v>
      </c>
      <c r="P111" s="5"/>
      <c r="Q111" s="45"/>
      <c r="R111" s="44"/>
      <c r="S111" s="21">
        <f t="shared" si="15"/>
        <v>0</v>
      </c>
      <c r="T111" s="45">
        <v>98</v>
      </c>
      <c r="U111" s="78">
        <v>10</v>
      </c>
      <c r="V111" s="140"/>
      <c r="W111" s="147"/>
      <c r="X111" s="23"/>
      <c r="Y111" s="334"/>
      <c r="Z111" s="5"/>
      <c r="AJ111" s="63" t="s">
        <v>169</v>
      </c>
      <c r="AK111" s="63">
        <f>+SUM(AJ100:AJ110)-SUM(AK100:AK110)</f>
        <v>288</v>
      </c>
      <c r="AM111" s="63" t="s">
        <v>169</v>
      </c>
      <c r="AN111" s="85">
        <f>+SUM(AM99:AM110)-SUM(AN100:AN110)</f>
        <v>0</v>
      </c>
    </row>
    <row r="112" spans="1:40" x14ac:dyDescent="0.25">
      <c r="A112" s="143">
        <v>13</v>
      </c>
      <c r="B112" s="92">
        <v>45190</v>
      </c>
      <c r="C112" s="31" t="s">
        <v>3100</v>
      </c>
      <c r="D112" s="32">
        <v>5566677889</v>
      </c>
      <c r="E112" s="32" t="s">
        <v>1022</v>
      </c>
      <c r="F112" s="32" t="s">
        <v>994</v>
      </c>
      <c r="G112" s="39" t="s">
        <v>1021</v>
      </c>
      <c r="H112" s="39">
        <v>500</v>
      </c>
      <c r="I112" s="42">
        <v>242</v>
      </c>
      <c r="J112" s="108">
        <v>10</v>
      </c>
      <c r="K112" s="21">
        <v>0</v>
      </c>
      <c r="L112" s="21">
        <f t="shared" si="13"/>
        <v>252</v>
      </c>
      <c r="M112" s="21">
        <f t="shared" si="14"/>
        <v>248</v>
      </c>
      <c r="N112" s="21"/>
      <c r="O112" s="21">
        <v>241</v>
      </c>
      <c r="P112" s="5"/>
      <c r="Q112" s="43"/>
      <c r="R112" s="32"/>
      <c r="S112" s="21">
        <f t="shared" si="15"/>
        <v>0</v>
      </c>
      <c r="T112" s="43">
        <v>252</v>
      </c>
      <c r="U112" s="78">
        <v>10</v>
      </c>
      <c r="V112" s="140"/>
      <c r="W112" s="147"/>
      <c r="X112" s="23"/>
      <c r="Y112" s="334"/>
      <c r="Z112" s="5"/>
      <c r="AH112" s="83"/>
    </row>
    <row r="113" spans="1:41" x14ac:dyDescent="0.25">
      <c r="A113" s="143">
        <v>14</v>
      </c>
      <c r="B113" s="92">
        <v>45190</v>
      </c>
      <c r="C113" s="31" t="s">
        <v>483</v>
      </c>
      <c r="D113" s="32">
        <v>5559971116</v>
      </c>
      <c r="E113" s="32" t="s">
        <v>41</v>
      </c>
      <c r="F113" s="32" t="s">
        <v>220</v>
      </c>
      <c r="G113" s="39" t="s">
        <v>1023</v>
      </c>
      <c r="H113" s="39">
        <v>500</v>
      </c>
      <c r="I113" s="42">
        <v>300</v>
      </c>
      <c r="J113" s="108">
        <v>10</v>
      </c>
      <c r="K113" s="21">
        <v>25</v>
      </c>
      <c r="L113" s="21">
        <f>+I113+J113</f>
        <v>310</v>
      </c>
      <c r="M113" s="21">
        <f t="shared" si="14"/>
        <v>190</v>
      </c>
      <c r="N113" s="21"/>
      <c r="O113" s="21"/>
      <c r="P113" s="5"/>
      <c r="Q113" s="43"/>
      <c r="R113" s="43"/>
      <c r="S113" s="21">
        <f t="shared" si="15"/>
        <v>0</v>
      </c>
      <c r="T113" s="43">
        <v>335</v>
      </c>
      <c r="U113" s="78">
        <v>35</v>
      </c>
      <c r="V113" s="140"/>
      <c r="W113" s="147"/>
      <c r="X113" s="23"/>
      <c r="Y113" s="334"/>
      <c r="Z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</row>
    <row r="114" spans="1:41" x14ac:dyDescent="0.25">
      <c r="A114" s="143">
        <v>15</v>
      </c>
      <c r="B114" s="92">
        <v>45190</v>
      </c>
      <c r="C114" s="127" t="s">
        <v>1028</v>
      </c>
      <c r="D114" s="32">
        <v>5611752017</v>
      </c>
      <c r="E114" s="32" t="s">
        <v>106</v>
      </c>
      <c r="F114" s="128" t="s">
        <v>1025</v>
      </c>
      <c r="G114" s="129" t="s">
        <v>1024</v>
      </c>
      <c r="H114" s="39">
        <v>92</v>
      </c>
      <c r="I114" s="42">
        <v>82</v>
      </c>
      <c r="J114" s="108">
        <v>10</v>
      </c>
      <c r="K114" s="21">
        <v>0</v>
      </c>
      <c r="L114" s="21">
        <f t="shared" si="13"/>
        <v>92</v>
      </c>
      <c r="M114" s="21">
        <f t="shared" si="14"/>
        <v>0</v>
      </c>
      <c r="N114" s="21">
        <v>92</v>
      </c>
      <c r="O114" s="21">
        <v>82</v>
      </c>
      <c r="P114" s="5"/>
      <c r="Q114" s="43"/>
      <c r="R114" s="43"/>
      <c r="S114" s="21">
        <f t="shared" si="15"/>
        <v>0</v>
      </c>
      <c r="T114" s="43">
        <v>92</v>
      </c>
      <c r="U114" s="78">
        <f>T114-S114-O114</f>
        <v>10</v>
      </c>
      <c r="V114" s="140"/>
      <c r="W114" s="147"/>
      <c r="X114" s="23"/>
      <c r="Y114" s="334"/>
      <c r="Z114" s="5"/>
      <c r="AF114" s="341" t="s">
        <v>686</v>
      </c>
      <c r="AG114" s="134" t="s">
        <v>20</v>
      </c>
      <c r="AH114" s="338">
        <v>117</v>
      </c>
      <c r="AI114" s="341" t="s">
        <v>687</v>
      </c>
      <c r="AJ114" s="134" t="s">
        <v>20</v>
      </c>
      <c r="AK114" s="338">
        <v>156</v>
      </c>
      <c r="AL114" s="341" t="s">
        <v>945</v>
      </c>
      <c r="AM114" s="134" t="s">
        <v>20</v>
      </c>
      <c r="AN114" s="338">
        <f>AK114+AH114+AE114</f>
        <v>273</v>
      </c>
      <c r="AO114" s="5"/>
    </row>
    <row r="115" spans="1:41" x14ac:dyDescent="0.25">
      <c r="A115" s="143">
        <v>16</v>
      </c>
      <c r="B115" s="92">
        <v>45190</v>
      </c>
      <c r="C115" s="31" t="s">
        <v>3388</v>
      </c>
      <c r="D115" s="32">
        <v>5527301716</v>
      </c>
      <c r="E115" s="32" t="s">
        <v>106</v>
      </c>
      <c r="F115" s="32" t="s">
        <v>760</v>
      </c>
      <c r="G115" s="39" t="s">
        <v>1026</v>
      </c>
      <c r="H115" s="39">
        <v>100</v>
      </c>
      <c r="I115" s="42">
        <v>83</v>
      </c>
      <c r="J115" s="43">
        <v>10</v>
      </c>
      <c r="K115" s="21">
        <v>8</v>
      </c>
      <c r="L115" s="21">
        <f t="shared" si="13"/>
        <v>93</v>
      </c>
      <c r="M115" s="21">
        <f t="shared" si="14"/>
        <v>7</v>
      </c>
      <c r="N115" s="21"/>
      <c r="O115" s="21">
        <v>83</v>
      </c>
      <c r="P115" s="5"/>
      <c r="Q115" s="43"/>
      <c r="R115" s="32"/>
      <c r="S115" s="21">
        <f t="shared" si="15"/>
        <v>0</v>
      </c>
      <c r="T115" s="131">
        <v>92</v>
      </c>
      <c r="U115" s="78">
        <f>T115-S115-O115</f>
        <v>9</v>
      </c>
      <c r="V115" s="140"/>
      <c r="W115" s="147"/>
      <c r="X115" s="23"/>
      <c r="Y115" s="334"/>
      <c r="Z115" s="5"/>
      <c r="AF115" s="341"/>
      <c r="AG115" s="115" t="s">
        <v>684</v>
      </c>
      <c r="AH115" s="339"/>
      <c r="AI115" s="341"/>
      <c r="AJ115" s="115" t="s">
        <v>684</v>
      </c>
      <c r="AK115" s="339"/>
      <c r="AL115" s="341"/>
      <c r="AM115" s="115" t="s">
        <v>684</v>
      </c>
      <c r="AN115" s="339"/>
      <c r="AO115" s="5"/>
    </row>
    <row r="116" spans="1:41" x14ac:dyDescent="0.25">
      <c r="A116" s="143">
        <v>17</v>
      </c>
      <c r="B116" s="92">
        <v>45190</v>
      </c>
      <c r="C116" s="31" t="s">
        <v>483</v>
      </c>
      <c r="D116" s="32">
        <v>5559971116</v>
      </c>
      <c r="E116" s="32" t="s">
        <v>106</v>
      </c>
      <c r="F116" s="32" t="s">
        <v>220</v>
      </c>
      <c r="G116" s="39" t="s">
        <v>1027</v>
      </c>
      <c r="H116" s="39">
        <v>100</v>
      </c>
      <c r="I116" s="42">
        <v>63</v>
      </c>
      <c r="J116" s="43">
        <v>10</v>
      </c>
      <c r="K116" s="21"/>
      <c r="L116" s="21">
        <f t="shared" si="13"/>
        <v>73</v>
      </c>
      <c r="M116" s="21">
        <f t="shared" si="14"/>
        <v>27</v>
      </c>
      <c r="N116" s="21"/>
      <c r="O116" s="21"/>
      <c r="P116" s="5"/>
      <c r="Q116" s="43"/>
      <c r="R116" s="32"/>
      <c r="S116" s="21">
        <f t="shared" si="15"/>
        <v>0</v>
      </c>
      <c r="T116" s="132">
        <v>32</v>
      </c>
      <c r="U116" s="78">
        <v>10</v>
      </c>
      <c r="V116" s="140"/>
      <c r="W116" s="147"/>
      <c r="X116" s="23"/>
      <c r="Y116" s="340"/>
      <c r="Z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</row>
    <row r="117" spans="1:41" x14ac:dyDescent="0.25">
      <c r="A117" s="143">
        <v>18</v>
      </c>
      <c r="B117" s="92">
        <v>45190</v>
      </c>
      <c r="C117" s="31"/>
      <c r="D117" s="32"/>
      <c r="E117" s="32"/>
      <c r="F117" s="32"/>
      <c r="G117" s="39"/>
      <c r="H117" s="39"/>
      <c r="I117" s="42"/>
      <c r="J117" s="43">
        <v>10</v>
      </c>
      <c r="K117" s="21">
        <f>U117-J117-O117</f>
        <v>-10</v>
      </c>
      <c r="L117" s="21">
        <f t="shared" si="13"/>
        <v>10</v>
      </c>
      <c r="M117" s="21">
        <f t="shared" si="14"/>
        <v>-10</v>
      </c>
      <c r="N117" s="21"/>
      <c r="O117" s="21"/>
      <c r="P117" s="5"/>
      <c r="Q117" s="135"/>
      <c r="R117" s="104"/>
      <c r="S117" s="21">
        <f t="shared" si="15"/>
        <v>0</v>
      </c>
      <c r="T117" s="131"/>
      <c r="U117" s="78">
        <f>T117-S117-O117</f>
        <v>0</v>
      </c>
      <c r="V117" s="140"/>
      <c r="W117" s="138"/>
      <c r="X117" s="32"/>
      <c r="Z117" s="5"/>
    </row>
    <row r="118" spans="1:41" x14ac:dyDescent="0.25">
      <c r="A118" s="143">
        <v>19</v>
      </c>
      <c r="B118" s="92">
        <v>45190</v>
      </c>
      <c r="C118" s="31"/>
      <c r="D118" s="32"/>
      <c r="E118" s="32"/>
      <c r="F118" s="32"/>
      <c r="G118" s="39"/>
      <c r="H118" s="39"/>
      <c r="I118" s="42"/>
      <c r="J118" s="43">
        <v>10</v>
      </c>
      <c r="K118" s="21">
        <f>U118-J118-O118</f>
        <v>-10</v>
      </c>
      <c r="L118" s="21">
        <f t="shared" si="13"/>
        <v>10</v>
      </c>
      <c r="M118" s="21">
        <f t="shared" si="14"/>
        <v>-10</v>
      </c>
      <c r="N118" s="21"/>
      <c r="O118" s="21"/>
      <c r="P118" s="5"/>
      <c r="Q118" s="32"/>
      <c r="R118" s="32"/>
      <c r="S118" s="21">
        <f t="shared" si="15"/>
        <v>0</v>
      </c>
      <c r="T118" s="32"/>
      <c r="U118" s="78">
        <f>T118-S118-O118</f>
        <v>0</v>
      </c>
      <c r="V118" s="140"/>
      <c r="W118" s="138"/>
      <c r="X118" s="32"/>
      <c r="Z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</row>
    <row r="119" spans="1:4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22">
        <f>SUM(O104:O118)</f>
        <v>950</v>
      </c>
      <c r="P119" s="5"/>
      <c r="Q119" s="5"/>
      <c r="R119" s="5"/>
      <c r="S119" s="5"/>
      <c r="T119" s="5"/>
      <c r="U119" s="22">
        <f>SUM(U100:U118)</f>
        <v>273</v>
      </c>
      <c r="V119" s="141"/>
      <c r="W119" s="5"/>
      <c r="X119" s="5"/>
      <c r="Y119" s="5"/>
      <c r="Z119" s="5"/>
      <c r="AC119" s="5" t="s">
        <v>950</v>
      </c>
      <c r="AD119" s="134" t="s">
        <v>20</v>
      </c>
      <c r="AE119" s="345">
        <f>AH109</f>
        <v>1254</v>
      </c>
      <c r="AF119" s="341"/>
      <c r="AG119" s="134" t="s">
        <v>20</v>
      </c>
      <c r="AH119" s="338">
        <v>288</v>
      </c>
      <c r="AI119" s="341"/>
      <c r="AJ119" s="346" t="s">
        <v>952</v>
      </c>
      <c r="AK119" s="345">
        <f>O119</f>
        <v>950</v>
      </c>
      <c r="AL119" s="165"/>
      <c r="AM119" s="346" t="s">
        <v>949</v>
      </c>
      <c r="AN119" s="345">
        <f>AE119+AH119-AK119</f>
        <v>592</v>
      </c>
      <c r="AO119" s="165"/>
    </row>
    <row r="120" spans="1:41" x14ac:dyDescent="0.25">
      <c r="AC120" s="5"/>
      <c r="AD120" s="115" t="s">
        <v>947</v>
      </c>
      <c r="AE120" s="339"/>
      <c r="AF120" s="341"/>
      <c r="AG120" s="115" t="s">
        <v>948</v>
      </c>
      <c r="AH120" s="339"/>
      <c r="AI120" s="341"/>
      <c r="AJ120" s="347"/>
      <c r="AK120" s="339"/>
      <c r="AL120" s="165"/>
      <c r="AM120" s="347"/>
      <c r="AN120" s="339"/>
      <c r="AO120" s="165"/>
    </row>
    <row r="128" spans="1:41" x14ac:dyDescent="0.25">
      <c r="A128" s="1" t="s">
        <v>0</v>
      </c>
      <c r="B128" s="1"/>
      <c r="C128" s="1"/>
      <c r="D128" s="1"/>
      <c r="E128" s="1"/>
      <c r="F128" s="1"/>
      <c r="G128" s="1"/>
      <c r="H128" s="1"/>
      <c r="I128" s="1" t="s">
        <v>148</v>
      </c>
      <c r="J128" s="1"/>
      <c r="K128" s="1"/>
      <c r="L128" s="1"/>
      <c r="M128" s="1"/>
      <c r="N128" s="1"/>
      <c r="O128" s="1"/>
      <c r="P128" s="1"/>
      <c r="Q128" s="1"/>
      <c r="R128" s="1"/>
      <c r="S128" s="342" t="s">
        <v>1</v>
      </c>
      <c r="T128" s="342"/>
      <c r="U128" s="5"/>
      <c r="V128" s="139"/>
      <c r="W128" s="1"/>
      <c r="X128" s="1"/>
      <c r="Y128" s="1"/>
      <c r="Z128" s="5"/>
      <c r="AC128" s="335" t="s">
        <v>160</v>
      </c>
      <c r="AD128" s="336"/>
      <c r="AG128" s="335" t="s">
        <v>170</v>
      </c>
      <c r="AH128" s="336"/>
      <c r="AJ128" s="337" t="s">
        <v>172</v>
      </c>
      <c r="AK128" s="337"/>
      <c r="AM128" s="337" t="s">
        <v>681</v>
      </c>
      <c r="AN128" s="337"/>
    </row>
    <row r="129" spans="1:40" ht="90" x14ac:dyDescent="0.25">
      <c r="A129" s="6" t="s">
        <v>2</v>
      </c>
      <c r="B129" s="7" t="s">
        <v>3</v>
      </c>
      <c r="C129" s="7" t="s">
        <v>4</v>
      </c>
      <c r="D129" s="6" t="s">
        <v>5</v>
      </c>
      <c r="E129" s="6" t="s">
        <v>6</v>
      </c>
      <c r="F129" s="6" t="s">
        <v>7</v>
      </c>
      <c r="G129" s="6" t="s">
        <v>8</v>
      </c>
      <c r="H129" s="8" t="s">
        <v>9</v>
      </c>
      <c r="I129" s="9" t="s">
        <v>10</v>
      </c>
      <c r="J129" s="8" t="s">
        <v>11</v>
      </c>
      <c r="K129" s="10" t="s">
        <v>12</v>
      </c>
      <c r="L129" s="10" t="s">
        <v>13</v>
      </c>
      <c r="M129" s="11" t="s">
        <v>14</v>
      </c>
      <c r="N129" s="10" t="s">
        <v>691</v>
      </c>
      <c r="O129" s="10" t="s">
        <v>28</v>
      </c>
      <c r="P129" s="5"/>
      <c r="Q129" s="10" t="s">
        <v>16</v>
      </c>
      <c r="R129" s="10" t="s">
        <v>17</v>
      </c>
      <c r="S129" s="10" t="s">
        <v>18</v>
      </c>
      <c r="T129" s="10" t="s">
        <v>19</v>
      </c>
      <c r="U129" s="10" t="s">
        <v>20</v>
      </c>
      <c r="V129" s="13"/>
      <c r="W129" s="136" t="s">
        <v>688</v>
      </c>
      <c r="X129" s="14" t="s">
        <v>22</v>
      </c>
      <c r="Y129" s="15" t="s">
        <v>23</v>
      </c>
      <c r="Z129" s="5"/>
      <c r="AB129">
        <v>2</v>
      </c>
      <c r="AC129" s="16" t="s">
        <v>161</v>
      </c>
      <c r="AD129" s="58">
        <f>+AB129*10</f>
        <v>20</v>
      </c>
      <c r="AF129">
        <v>7</v>
      </c>
      <c r="AG129" s="16" t="s">
        <v>161</v>
      </c>
      <c r="AH129" s="58">
        <f>+AF129*10</f>
        <v>70</v>
      </c>
      <c r="AJ129" s="61" t="s">
        <v>173</v>
      </c>
      <c r="AK129" s="62" t="s">
        <v>174</v>
      </c>
      <c r="AM129" s="16" t="s">
        <v>161</v>
      </c>
      <c r="AN129" s="58">
        <f>+AL129*10</f>
        <v>0</v>
      </c>
    </row>
    <row r="130" spans="1:40" x14ac:dyDescent="0.25">
      <c r="A130" s="16">
        <v>1</v>
      </c>
      <c r="B130" s="92">
        <v>45191</v>
      </c>
      <c r="C130" s="31" t="s">
        <v>2488</v>
      </c>
      <c r="D130" s="32">
        <v>5614683694</v>
      </c>
      <c r="E130" s="32" t="s">
        <v>76</v>
      </c>
      <c r="F130" s="39"/>
      <c r="G130" s="39" t="s">
        <v>1029</v>
      </c>
      <c r="H130" s="122"/>
      <c r="I130" s="32"/>
      <c r="J130" s="20">
        <v>10</v>
      </c>
      <c r="K130" s="21">
        <f>U130-J130-O130</f>
        <v>0</v>
      </c>
      <c r="L130" s="21">
        <f t="shared" ref="L130:L148" si="16">+I130+J130</f>
        <v>10</v>
      </c>
      <c r="M130" s="21">
        <f t="shared" ref="M130:M148" si="17">+H130-L130</f>
        <v>-10</v>
      </c>
      <c r="N130" s="21"/>
      <c r="O130" s="21"/>
      <c r="P130" s="5"/>
      <c r="Q130" s="21">
        <v>100</v>
      </c>
      <c r="R130" s="16"/>
      <c r="S130" s="21">
        <f t="shared" ref="S130:S148" si="18">+Q130+R130</f>
        <v>100</v>
      </c>
      <c r="T130" s="21"/>
      <c r="U130" s="78">
        <v>10</v>
      </c>
      <c r="V130" s="13"/>
      <c r="W130" s="78">
        <v>10</v>
      </c>
      <c r="X130" s="23"/>
      <c r="Y130" s="333"/>
      <c r="Z130" s="5"/>
      <c r="AA130">
        <v>90</v>
      </c>
      <c r="AB130">
        <v>44</v>
      </c>
      <c r="AC130" s="59" t="s">
        <v>162</v>
      </c>
      <c r="AD130" s="18">
        <f>+AB130*1</f>
        <v>44</v>
      </c>
      <c r="AF130">
        <v>50</v>
      </c>
      <c r="AG130" s="59" t="s">
        <v>162</v>
      </c>
      <c r="AH130" s="18">
        <f>+AF130*1</f>
        <v>50</v>
      </c>
      <c r="AJ130" s="16">
        <v>307</v>
      </c>
      <c r="AK130" s="16"/>
      <c r="AM130" s="59" t="s">
        <v>162</v>
      </c>
      <c r="AN130" s="18">
        <f>+AL130*1</f>
        <v>0</v>
      </c>
    </row>
    <row r="131" spans="1:40" x14ac:dyDescent="0.25">
      <c r="A131" s="26">
        <v>2</v>
      </c>
      <c r="B131" s="92">
        <v>45191</v>
      </c>
      <c r="C131" s="31" t="s">
        <v>1032</v>
      </c>
      <c r="D131" s="32">
        <v>5513847465</v>
      </c>
      <c r="E131" s="32" t="s">
        <v>76</v>
      </c>
      <c r="F131" s="32" t="s">
        <v>1031</v>
      </c>
      <c r="G131" s="39" t="s">
        <v>1030</v>
      </c>
      <c r="H131" s="122">
        <v>200</v>
      </c>
      <c r="I131" s="32"/>
      <c r="J131" s="20">
        <v>10</v>
      </c>
      <c r="K131" s="21">
        <f t="shared" ref="K131:K147" si="19">U131-J131-O131</f>
        <v>0</v>
      </c>
      <c r="L131" s="21">
        <f t="shared" si="16"/>
        <v>10</v>
      </c>
      <c r="M131" s="21">
        <f t="shared" si="17"/>
        <v>190</v>
      </c>
      <c r="N131" s="21"/>
      <c r="O131" s="21"/>
      <c r="P131" s="5"/>
      <c r="Q131" s="21">
        <v>200</v>
      </c>
      <c r="R131" s="16"/>
      <c r="S131" s="21">
        <f t="shared" si="18"/>
        <v>200</v>
      </c>
      <c r="T131" s="21"/>
      <c r="U131" s="78">
        <v>10</v>
      </c>
      <c r="V131" s="140"/>
      <c r="W131" s="147"/>
      <c r="X131" s="23"/>
      <c r="Y131" s="334"/>
      <c r="Z131" s="5"/>
      <c r="AA131">
        <v>65</v>
      </c>
      <c r="AB131">
        <v>8</v>
      </c>
      <c r="AC131" s="16" t="s">
        <v>163</v>
      </c>
      <c r="AD131" s="60">
        <f>+AB131*5</f>
        <v>40</v>
      </c>
      <c r="AF131">
        <v>16</v>
      </c>
      <c r="AG131" s="16" t="s">
        <v>163</v>
      </c>
      <c r="AH131" s="60">
        <f>+AF131*5</f>
        <v>80</v>
      </c>
      <c r="AJ131" s="16"/>
      <c r="AK131" s="16"/>
      <c r="AM131" s="16" t="s">
        <v>163</v>
      </c>
      <c r="AN131" s="60">
        <f>+AL131*5</f>
        <v>0</v>
      </c>
    </row>
    <row r="132" spans="1:40" x14ac:dyDescent="0.25">
      <c r="A132" s="143">
        <v>3</v>
      </c>
      <c r="B132" s="92">
        <v>45191</v>
      </c>
      <c r="C132" s="31" t="s">
        <v>1194</v>
      </c>
      <c r="D132" s="32"/>
      <c r="E132" s="32"/>
      <c r="F132" s="32" t="s">
        <v>918</v>
      </c>
      <c r="G132" s="39"/>
      <c r="H132" s="122"/>
      <c r="I132" s="32"/>
      <c r="J132" s="20">
        <v>10</v>
      </c>
      <c r="K132" s="21">
        <f t="shared" si="19"/>
        <v>0</v>
      </c>
      <c r="L132" s="21">
        <f t="shared" si="16"/>
        <v>10</v>
      </c>
      <c r="M132" s="21">
        <f t="shared" si="17"/>
        <v>-10</v>
      </c>
      <c r="N132" s="21"/>
      <c r="O132" s="21"/>
      <c r="P132" s="5"/>
      <c r="Q132" s="21"/>
      <c r="R132" s="16"/>
      <c r="S132" s="21">
        <f t="shared" si="18"/>
        <v>0</v>
      </c>
      <c r="T132" s="21"/>
      <c r="U132" s="78">
        <v>10</v>
      </c>
      <c r="V132" s="140"/>
      <c r="W132" s="147"/>
      <c r="X132" s="23"/>
      <c r="Y132" s="334"/>
      <c r="Z132" s="5"/>
      <c r="AA132">
        <f>+AA130+AA131</f>
        <v>155</v>
      </c>
      <c r="AB132">
        <v>2</v>
      </c>
      <c r="AC132" s="16" t="s">
        <v>164</v>
      </c>
      <c r="AD132" s="18">
        <f>+AB132*200</f>
        <v>400</v>
      </c>
      <c r="AF132">
        <v>1</v>
      </c>
      <c r="AG132" s="16" t="s">
        <v>164</v>
      </c>
      <c r="AH132" s="18">
        <f>+AF132*200</f>
        <v>200</v>
      </c>
      <c r="AJ132" s="16"/>
      <c r="AK132" s="16"/>
      <c r="AM132" s="16" t="s">
        <v>164</v>
      </c>
      <c r="AN132" s="18">
        <f>+AL132*200</f>
        <v>0</v>
      </c>
    </row>
    <row r="133" spans="1:40" x14ac:dyDescent="0.25">
      <c r="A133" s="143">
        <v>4</v>
      </c>
      <c r="B133" s="92">
        <v>45191</v>
      </c>
      <c r="C133" s="31" t="s">
        <v>2637</v>
      </c>
      <c r="D133" s="32"/>
      <c r="E133" s="32" t="s">
        <v>368</v>
      </c>
      <c r="F133" s="32" t="s">
        <v>571</v>
      </c>
      <c r="G133" s="39" t="s">
        <v>1041</v>
      </c>
      <c r="H133" s="122"/>
      <c r="I133" s="32">
        <v>10</v>
      </c>
      <c r="J133" s="20">
        <v>10</v>
      </c>
      <c r="K133" s="21">
        <f t="shared" si="19"/>
        <v>0</v>
      </c>
      <c r="L133" s="21">
        <f t="shared" si="16"/>
        <v>20</v>
      </c>
      <c r="M133" s="21">
        <f t="shared" si="17"/>
        <v>-20</v>
      </c>
      <c r="N133" s="21"/>
      <c r="O133" s="21"/>
      <c r="P133" s="5"/>
      <c r="Q133" s="21">
        <v>50</v>
      </c>
      <c r="R133" s="16"/>
      <c r="S133" s="21">
        <f t="shared" si="18"/>
        <v>50</v>
      </c>
      <c r="T133" s="21"/>
      <c r="U133" s="78">
        <v>10</v>
      </c>
      <c r="V133" s="140"/>
      <c r="W133" s="147"/>
      <c r="X133" s="23"/>
      <c r="Y133" s="334"/>
      <c r="Z133" s="5"/>
      <c r="AB133">
        <v>2</v>
      </c>
      <c r="AC133" s="16" t="s">
        <v>165</v>
      </c>
      <c r="AD133" s="18">
        <f>+AB133*100</f>
        <v>200</v>
      </c>
      <c r="AF133">
        <v>1</v>
      </c>
      <c r="AG133" s="16" t="s">
        <v>165</v>
      </c>
      <c r="AH133" s="18">
        <f>+AF133*100</f>
        <v>100</v>
      </c>
      <c r="AJ133" s="16"/>
      <c r="AK133" s="16"/>
      <c r="AM133" s="16" t="s">
        <v>165</v>
      </c>
      <c r="AN133" s="18">
        <f>+AL133*100</f>
        <v>0</v>
      </c>
    </row>
    <row r="134" spans="1:40" x14ac:dyDescent="0.25">
      <c r="A134" s="143">
        <v>5</v>
      </c>
      <c r="B134" s="92">
        <v>45191</v>
      </c>
      <c r="C134" s="31" t="s">
        <v>921</v>
      </c>
      <c r="D134" s="32"/>
      <c r="E134" s="32"/>
      <c r="F134" s="32"/>
      <c r="G134" s="32" t="s">
        <v>1051</v>
      </c>
      <c r="H134" s="122"/>
      <c r="I134" s="32"/>
      <c r="J134" s="20">
        <v>10</v>
      </c>
      <c r="K134" s="21">
        <f t="shared" si="19"/>
        <v>0</v>
      </c>
      <c r="L134" s="21">
        <f t="shared" si="16"/>
        <v>10</v>
      </c>
      <c r="M134" s="21">
        <f t="shared" si="17"/>
        <v>-10</v>
      </c>
      <c r="N134" s="21"/>
      <c r="O134" s="21"/>
      <c r="P134" s="5"/>
      <c r="Q134" s="16"/>
      <c r="R134" s="16"/>
      <c r="S134" s="21">
        <f t="shared" si="18"/>
        <v>0</v>
      </c>
      <c r="T134" s="21"/>
      <c r="U134" s="78">
        <v>10</v>
      </c>
      <c r="V134" s="140"/>
      <c r="W134" s="147"/>
      <c r="X134" s="23"/>
      <c r="Y134" s="334"/>
      <c r="Z134" s="5"/>
      <c r="AB134">
        <v>1</v>
      </c>
      <c r="AC134" s="16" t="s">
        <v>166</v>
      </c>
      <c r="AD134" s="18">
        <f>+AB134*50</f>
        <v>50</v>
      </c>
      <c r="AF134">
        <v>3</v>
      </c>
      <c r="AG134" s="16" t="s">
        <v>166</v>
      </c>
      <c r="AH134" s="18">
        <f>+AF134*50</f>
        <v>150</v>
      </c>
      <c r="AJ134" s="16"/>
      <c r="AK134" s="16"/>
      <c r="AM134" s="16" t="s">
        <v>166</v>
      </c>
      <c r="AN134" s="18">
        <f>+AL134*50</f>
        <v>0</v>
      </c>
    </row>
    <row r="135" spans="1:40" x14ac:dyDescent="0.25">
      <c r="A135" s="143">
        <v>6</v>
      </c>
      <c r="B135" s="92">
        <v>45191</v>
      </c>
      <c r="C135" s="31" t="s">
        <v>2577</v>
      </c>
      <c r="D135" s="32"/>
      <c r="E135" s="32"/>
      <c r="F135" s="32"/>
      <c r="G135" s="39"/>
      <c r="H135" s="39"/>
      <c r="I135" s="42"/>
      <c r="J135" s="20">
        <v>10</v>
      </c>
      <c r="K135" s="21">
        <f t="shared" si="19"/>
        <v>0</v>
      </c>
      <c r="L135" s="21">
        <f t="shared" si="16"/>
        <v>10</v>
      </c>
      <c r="M135" s="21">
        <f t="shared" si="17"/>
        <v>-10</v>
      </c>
      <c r="N135" s="21"/>
      <c r="O135" s="21"/>
      <c r="P135" s="5"/>
      <c r="Q135" s="16"/>
      <c r="R135" s="16"/>
      <c r="S135" s="21">
        <f t="shared" si="18"/>
        <v>0</v>
      </c>
      <c r="T135" s="16"/>
      <c r="U135" s="78">
        <v>10</v>
      </c>
      <c r="V135" s="140"/>
      <c r="W135" s="147"/>
      <c r="X135" s="23"/>
      <c r="Y135" s="334"/>
      <c r="Z135" s="5"/>
      <c r="AB135">
        <v>1</v>
      </c>
      <c r="AC135" s="16" t="s">
        <v>167</v>
      </c>
      <c r="AD135" s="18">
        <f>+AB135*20</f>
        <v>20</v>
      </c>
      <c r="AF135">
        <v>2</v>
      </c>
      <c r="AG135" s="16" t="s">
        <v>167</v>
      </c>
      <c r="AH135" s="18">
        <f>+AF135*20</f>
        <v>40</v>
      </c>
      <c r="AJ135" s="16"/>
      <c r="AK135" s="16"/>
      <c r="AM135" s="16" t="s">
        <v>167</v>
      </c>
      <c r="AN135" s="18">
        <f>+AL135*20</f>
        <v>0</v>
      </c>
    </row>
    <row r="136" spans="1:40" x14ac:dyDescent="0.25">
      <c r="A136" s="143">
        <v>7</v>
      </c>
      <c r="B136" s="92">
        <v>45191</v>
      </c>
      <c r="C136" s="31" t="s">
        <v>483</v>
      </c>
      <c r="D136" s="32"/>
      <c r="E136" s="32" t="s">
        <v>394</v>
      </c>
      <c r="F136" s="32" t="s">
        <v>1053</v>
      </c>
      <c r="G136" s="39" t="s">
        <v>1052</v>
      </c>
      <c r="H136" s="122">
        <v>137</v>
      </c>
      <c r="I136" s="42">
        <v>122</v>
      </c>
      <c r="J136" s="20">
        <v>10</v>
      </c>
      <c r="K136" s="21">
        <f t="shared" si="19"/>
        <v>0</v>
      </c>
      <c r="L136" s="21">
        <f t="shared" si="16"/>
        <v>132</v>
      </c>
      <c r="M136" s="21">
        <f t="shared" si="17"/>
        <v>5</v>
      </c>
      <c r="N136" s="21"/>
      <c r="O136" s="21"/>
      <c r="P136" s="5"/>
      <c r="Q136" s="16"/>
      <c r="R136" s="16"/>
      <c r="S136" s="21">
        <f t="shared" si="18"/>
        <v>0</v>
      </c>
      <c r="T136" s="16"/>
      <c r="U136" s="78">
        <v>10</v>
      </c>
      <c r="V136" s="140"/>
      <c r="W136" s="147"/>
      <c r="X136" s="23"/>
      <c r="Y136" s="334"/>
      <c r="Z136" s="5"/>
      <c r="AC136" s="16" t="s">
        <v>171</v>
      </c>
      <c r="AD136" s="18">
        <f>+AB136*500</f>
        <v>0</v>
      </c>
      <c r="AG136" s="16" t="s">
        <v>171</v>
      </c>
      <c r="AH136" s="18">
        <f>+AF136*500</f>
        <v>0</v>
      </c>
      <c r="AJ136" s="16"/>
      <c r="AK136" s="16"/>
      <c r="AM136" s="16" t="s">
        <v>171</v>
      </c>
      <c r="AN136" s="18">
        <f>+AL136*500</f>
        <v>0</v>
      </c>
    </row>
    <row r="137" spans="1:40" x14ac:dyDescent="0.25">
      <c r="A137" s="143">
        <v>8</v>
      </c>
      <c r="B137" s="92">
        <v>45191</v>
      </c>
      <c r="C137" s="31" t="s">
        <v>608</v>
      </c>
      <c r="D137" s="123"/>
      <c r="E137" s="123"/>
      <c r="F137" s="123" t="s">
        <v>558</v>
      </c>
      <c r="G137" s="39" t="s">
        <v>1054</v>
      </c>
      <c r="H137" s="122">
        <v>266</v>
      </c>
      <c r="I137" s="32">
        <v>256</v>
      </c>
      <c r="J137" s="20">
        <v>10</v>
      </c>
      <c r="K137" s="21">
        <f t="shared" si="19"/>
        <v>0</v>
      </c>
      <c r="L137" s="21">
        <f t="shared" si="16"/>
        <v>266</v>
      </c>
      <c r="M137" s="21">
        <f t="shared" si="17"/>
        <v>0</v>
      </c>
      <c r="N137" s="21"/>
      <c r="O137" s="21"/>
      <c r="P137" s="5"/>
      <c r="Q137" s="16"/>
      <c r="R137" s="16"/>
      <c r="S137" s="21">
        <f t="shared" si="18"/>
        <v>0</v>
      </c>
      <c r="T137" s="16"/>
      <c r="U137" s="78">
        <v>10</v>
      </c>
      <c r="V137" s="140"/>
      <c r="W137" s="147"/>
      <c r="X137" s="23"/>
      <c r="Y137" s="334"/>
      <c r="Z137" s="5"/>
      <c r="AC137" s="16" t="s">
        <v>168</v>
      </c>
      <c r="AD137" s="18">
        <f>+AB137*1000</f>
        <v>0</v>
      </c>
      <c r="AG137" s="16" t="s">
        <v>168</v>
      </c>
      <c r="AH137" s="18">
        <f>+AF137*1000</f>
        <v>0</v>
      </c>
      <c r="AJ137" s="16"/>
      <c r="AK137" s="16"/>
      <c r="AM137" s="16" t="s">
        <v>168</v>
      </c>
      <c r="AN137" s="18">
        <f>+AL137*1000</f>
        <v>0</v>
      </c>
    </row>
    <row r="138" spans="1:40" x14ac:dyDescent="0.25">
      <c r="A138" s="143">
        <v>9</v>
      </c>
      <c r="B138" s="92">
        <v>45191</v>
      </c>
      <c r="C138" s="31" t="s">
        <v>114</v>
      </c>
      <c r="D138" s="32"/>
      <c r="E138" s="32"/>
      <c r="F138" t="s">
        <v>1040</v>
      </c>
      <c r="G138" s="39" t="s">
        <v>1047</v>
      </c>
      <c r="H138" s="39">
        <v>500</v>
      </c>
      <c r="I138" s="40">
        <v>246</v>
      </c>
      <c r="J138" s="20">
        <v>10</v>
      </c>
      <c r="K138" s="21">
        <f t="shared" si="19"/>
        <v>0</v>
      </c>
      <c r="L138" s="21">
        <f t="shared" si="16"/>
        <v>256</v>
      </c>
      <c r="M138" s="21">
        <f t="shared" si="17"/>
        <v>244</v>
      </c>
      <c r="N138" s="21"/>
      <c r="O138" s="21"/>
      <c r="P138" s="5"/>
      <c r="Q138" s="16"/>
      <c r="R138" s="16"/>
      <c r="S138" s="21">
        <f t="shared" si="18"/>
        <v>0</v>
      </c>
      <c r="T138" s="16"/>
      <c r="U138" s="78">
        <v>10</v>
      </c>
      <c r="V138" s="140"/>
      <c r="W138" s="147"/>
      <c r="X138" s="23"/>
      <c r="Y138" s="334"/>
      <c r="Z138" s="5"/>
      <c r="AC138" s="26"/>
      <c r="AD138" s="58"/>
      <c r="AG138" s="26"/>
      <c r="AH138" s="58"/>
      <c r="AJ138" s="16"/>
      <c r="AK138" s="16"/>
      <c r="AM138" s="26"/>
      <c r="AN138" s="58"/>
    </row>
    <row r="139" spans="1:40" x14ac:dyDescent="0.25">
      <c r="A139" s="143">
        <v>10</v>
      </c>
      <c r="B139" s="92">
        <v>45191</v>
      </c>
      <c r="C139" s="31" t="s">
        <v>2886</v>
      </c>
      <c r="D139" s="32"/>
      <c r="E139" s="32"/>
      <c r="F139" s="32" t="s">
        <v>1056</v>
      </c>
      <c r="G139" s="39" t="s">
        <v>1055</v>
      </c>
      <c r="H139" s="122"/>
      <c r="I139" s="42">
        <v>229</v>
      </c>
      <c r="J139" s="20">
        <v>10</v>
      </c>
      <c r="K139" s="21">
        <f t="shared" si="19"/>
        <v>0</v>
      </c>
      <c r="L139" s="21">
        <f t="shared" si="16"/>
        <v>239</v>
      </c>
      <c r="M139" s="21">
        <f t="shared" si="17"/>
        <v>-239</v>
      </c>
      <c r="N139" s="21"/>
      <c r="O139" s="21"/>
      <c r="P139" s="5"/>
      <c r="Q139" s="16"/>
      <c r="R139" s="16"/>
      <c r="S139" s="21">
        <f t="shared" si="18"/>
        <v>0</v>
      </c>
      <c r="T139" s="16">
        <v>10</v>
      </c>
      <c r="U139" s="78">
        <f>T139-S139-O139</f>
        <v>10</v>
      </c>
      <c r="V139" s="140"/>
      <c r="W139" s="147"/>
      <c r="X139" s="23"/>
      <c r="Y139" s="334"/>
      <c r="Z139" s="5"/>
      <c r="AC139" s="16" t="s">
        <v>169</v>
      </c>
      <c r="AD139" s="18">
        <f>SUM(AD129:AD138)</f>
        <v>774</v>
      </c>
      <c r="AG139" s="16" t="s">
        <v>169</v>
      </c>
      <c r="AH139" s="18">
        <f>SUM(AH129:AH138)</f>
        <v>690</v>
      </c>
      <c r="AJ139" s="16"/>
      <c r="AK139" s="16"/>
      <c r="AM139" s="16" t="s">
        <v>169</v>
      </c>
      <c r="AN139" s="18"/>
    </row>
    <row r="140" spans="1:40" x14ac:dyDescent="0.25">
      <c r="A140" s="143">
        <v>11</v>
      </c>
      <c r="B140" s="92">
        <v>45191</v>
      </c>
      <c r="C140" s="31" t="s">
        <v>933</v>
      </c>
      <c r="D140" s="124"/>
      <c r="E140" s="123"/>
      <c r="F140" s="123" t="s">
        <v>1053</v>
      </c>
      <c r="G140" s="39" t="s">
        <v>1046</v>
      </c>
      <c r="H140" s="122"/>
      <c r="I140" s="42">
        <v>100</v>
      </c>
      <c r="J140" s="20">
        <v>10</v>
      </c>
      <c r="K140" s="21">
        <f t="shared" si="19"/>
        <v>5</v>
      </c>
      <c r="L140" s="21">
        <f t="shared" si="16"/>
        <v>110</v>
      </c>
      <c r="M140" s="21">
        <f t="shared" si="17"/>
        <v>-110</v>
      </c>
      <c r="N140" s="21"/>
      <c r="O140" s="21"/>
      <c r="P140" s="5"/>
      <c r="Q140" s="16"/>
      <c r="R140" s="16"/>
      <c r="S140" s="21">
        <f t="shared" si="18"/>
        <v>0</v>
      </c>
      <c r="T140" s="16">
        <v>15</v>
      </c>
      <c r="U140" s="78">
        <f>T140-S140-O140</f>
        <v>15</v>
      </c>
      <c r="V140" s="140"/>
      <c r="W140" s="147"/>
      <c r="X140" s="23"/>
      <c r="Y140" s="334"/>
      <c r="Z140" s="5"/>
      <c r="AJ140" s="16"/>
      <c r="AK140" s="16"/>
      <c r="AM140" s="16"/>
      <c r="AN140" s="16"/>
    </row>
    <row r="141" spans="1:40" x14ac:dyDescent="0.25">
      <c r="A141" s="41">
        <v>12</v>
      </c>
      <c r="B141" s="92">
        <v>45191</v>
      </c>
      <c r="C141" s="32" t="s">
        <v>114</v>
      </c>
      <c r="D141" s="32"/>
      <c r="E141" s="124"/>
      <c r="F141" s="123" t="s">
        <v>505</v>
      </c>
      <c r="G141" s="39" t="s">
        <v>1050</v>
      </c>
      <c r="H141" s="39">
        <v>184</v>
      </c>
      <c r="I141" s="42">
        <v>174</v>
      </c>
      <c r="J141" s="20">
        <v>10</v>
      </c>
      <c r="K141" s="21">
        <f t="shared" si="19"/>
        <v>10</v>
      </c>
      <c r="L141" s="21">
        <f t="shared" si="16"/>
        <v>184</v>
      </c>
      <c r="M141" s="21">
        <f t="shared" si="17"/>
        <v>0</v>
      </c>
      <c r="N141" s="21"/>
      <c r="O141" s="21"/>
      <c r="P141" s="5"/>
      <c r="Q141" s="45"/>
      <c r="R141" s="44"/>
      <c r="S141" s="21">
        <f t="shared" si="18"/>
        <v>0</v>
      </c>
      <c r="T141" s="45">
        <v>20</v>
      </c>
      <c r="U141" s="78">
        <f>T141-S141-O141</f>
        <v>20</v>
      </c>
      <c r="V141" s="140"/>
      <c r="W141" s="147"/>
      <c r="X141" s="23"/>
      <c r="Y141" s="334"/>
      <c r="Z141" s="5"/>
      <c r="AJ141" s="63" t="s">
        <v>169</v>
      </c>
      <c r="AK141" s="63">
        <f>+SUM(AJ130:AJ140)-SUM(AK130:AK140)</f>
        <v>307</v>
      </c>
      <c r="AM141" s="63" t="s">
        <v>169</v>
      </c>
      <c r="AN141" s="85">
        <f>+SUM(AM129:AM140)-SUM(AN130:AN140)</f>
        <v>0</v>
      </c>
    </row>
    <row r="142" spans="1:40" x14ac:dyDescent="0.25">
      <c r="A142" s="143">
        <v>13</v>
      </c>
      <c r="B142" s="92">
        <v>45191</v>
      </c>
      <c r="C142" s="31" t="s">
        <v>2637</v>
      </c>
      <c r="D142" s="32"/>
      <c r="E142" s="32" t="s">
        <v>73</v>
      </c>
      <c r="F142" s="32" t="s">
        <v>571</v>
      </c>
      <c r="G142" s="39" t="s">
        <v>667</v>
      </c>
      <c r="H142" s="39">
        <v>32</v>
      </c>
      <c r="I142" s="42">
        <v>22</v>
      </c>
      <c r="J142" s="108">
        <v>10</v>
      </c>
      <c r="K142" s="21">
        <f t="shared" si="19"/>
        <v>0</v>
      </c>
      <c r="L142" s="21">
        <f t="shared" si="16"/>
        <v>32</v>
      </c>
      <c r="M142" s="21">
        <f t="shared" si="17"/>
        <v>0</v>
      </c>
      <c r="N142" s="21"/>
      <c r="O142" s="21"/>
      <c r="P142" s="5"/>
      <c r="Q142" s="43"/>
      <c r="R142" s="32"/>
      <c r="S142" s="21">
        <f t="shared" si="18"/>
        <v>0</v>
      </c>
      <c r="T142" s="43">
        <v>32</v>
      </c>
      <c r="U142" s="78">
        <v>10</v>
      </c>
      <c r="V142" s="140"/>
      <c r="W142" s="147"/>
      <c r="X142" s="23"/>
      <c r="Y142" s="334"/>
      <c r="Z142" s="5"/>
      <c r="AH142" s="83"/>
    </row>
    <row r="143" spans="1:40" x14ac:dyDescent="0.25">
      <c r="A143" s="143">
        <v>14</v>
      </c>
      <c r="B143" s="92">
        <v>45191</v>
      </c>
      <c r="C143" s="31" t="s">
        <v>483</v>
      </c>
      <c r="D143" s="32"/>
      <c r="E143" s="32" t="s">
        <v>52</v>
      </c>
      <c r="F143" s="32" t="s">
        <v>220</v>
      </c>
      <c r="G143" s="39" t="s">
        <v>1057</v>
      </c>
      <c r="H143" s="39">
        <v>127</v>
      </c>
      <c r="I143" s="42">
        <v>117</v>
      </c>
      <c r="J143" s="108">
        <v>10</v>
      </c>
      <c r="K143" s="21">
        <f t="shared" si="19"/>
        <v>0</v>
      </c>
      <c r="L143" s="21">
        <f t="shared" si="16"/>
        <v>127</v>
      </c>
      <c r="M143" s="21">
        <f t="shared" si="17"/>
        <v>0</v>
      </c>
      <c r="N143" s="21"/>
      <c r="O143" s="21"/>
      <c r="P143" s="5"/>
      <c r="Q143" s="43"/>
      <c r="R143" s="43"/>
      <c r="S143" s="21">
        <f t="shared" si="18"/>
        <v>0</v>
      </c>
      <c r="T143" s="43">
        <v>127</v>
      </c>
      <c r="U143" s="78">
        <v>10</v>
      </c>
      <c r="V143" s="140"/>
      <c r="W143" s="147"/>
      <c r="X143" s="23"/>
      <c r="Y143" s="334"/>
      <c r="Z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40" x14ac:dyDescent="0.25">
      <c r="A144" s="143">
        <v>15</v>
      </c>
      <c r="B144" s="92">
        <v>45191</v>
      </c>
      <c r="C144" s="127" t="s">
        <v>1058</v>
      </c>
      <c r="D144" s="32"/>
      <c r="E144" s="32" t="s">
        <v>52</v>
      </c>
      <c r="F144" s="128" t="s">
        <v>220</v>
      </c>
      <c r="G144" s="129" t="s">
        <v>1059</v>
      </c>
      <c r="H144" s="39">
        <v>85</v>
      </c>
      <c r="I144" s="42">
        <v>75</v>
      </c>
      <c r="J144" s="108">
        <v>10</v>
      </c>
      <c r="K144" s="21">
        <f t="shared" si="19"/>
        <v>0</v>
      </c>
      <c r="L144" s="21">
        <f t="shared" si="16"/>
        <v>85</v>
      </c>
      <c r="M144" s="21">
        <f t="shared" si="17"/>
        <v>0</v>
      </c>
      <c r="N144" s="21"/>
      <c r="O144" s="21"/>
      <c r="P144" s="5"/>
      <c r="Q144" s="43"/>
      <c r="R144" s="43"/>
      <c r="S144" s="21">
        <f t="shared" si="18"/>
        <v>0</v>
      </c>
      <c r="T144" s="43">
        <v>85</v>
      </c>
      <c r="U144" s="78">
        <v>10</v>
      </c>
      <c r="V144" s="140"/>
      <c r="W144" s="147"/>
      <c r="X144" s="23"/>
      <c r="Y144" s="334"/>
      <c r="Z144" s="5"/>
      <c r="AC144" s="5"/>
      <c r="AD144" s="134" t="s">
        <v>20</v>
      </c>
      <c r="AE144" s="338"/>
      <c r="AF144" s="341" t="s">
        <v>686</v>
      </c>
      <c r="AG144" s="134" t="s">
        <v>20</v>
      </c>
      <c r="AH144" s="338">
        <v>155</v>
      </c>
      <c r="AI144" s="341" t="s">
        <v>687</v>
      </c>
      <c r="AJ144" s="134" t="s">
        <v>20</v>
      </c>
      <c r="AK144" s="338"/>
      <c r="AL144" s="5"/>
    </row>
    <row r="145" spans="1:38" x14ac:dyDescent="0.25">
      <c r="A145" s="143">
        <v>16</v>
      </c>
      <c r="B145" s="92">
        <v>45191</v>
      </c>
      <c r="C145" s="31" t="s">
        <v>2464</v>
      </c>
      <c r="D145" s="32"/>
      <c r="E145" s="32" t="s">
        <v>52</v>
      </c>
      <c r="F145" s="32" t="s">
        <v>61</v>
      </c>
      <c r="G145" s="39" t="s">
        <v>1060</v>
      </c>
      <c r="H145" s="39">
        <v>138</v>
      </c>
      <c r="I145" s="42">
        <v>138</v>
      </c>
      <c r="J145" s="43">
        <v>0</v>
      </c>
      <c r="K145" s="21">
        <v>0</v>
      </c>
      <c r="L145" s="21">
        <f t="shared" si="16"/>
        <v>138</v>
      </c>
      <c r="M145" s="21">
        <f t="shared" si="17"/>
        <v>0</v>
      </c>
      <c r="N145" s="21"/>
      <c r="O145" s="21"/>
      <c r="P145" s="5"/>
      <c r="Q145" s="43"/>
      <c r="R145" s="32"/>
      <c r="S145" s="21">
        <f t="shared" si="18"/>
        <v>0</v>
      </c>
      <c r="T145" s="131">
        <v>138</v>
      </c>
      <c r="U145" s="78">
        <v>0</v>
      </c>
      <c r="V145" s="140"/>
      <c r="W145" s="147"/>
      <c r="X145" s="23"/>
      <c r="Y145" s="334"/>
      <c r="Z145" s="5"/>
      <c r="AC145" s="5" t="s">
        <v>685</v>
      </c>
      <c r="AD145" s="115" t="s">
        <v>684</v>
      </c>
      <c r="AE145" s="339"/>
      <c r="AF145" s="341"/>
      <c r="AG145" s="115" t="s">
        <v>684</v>
      </c>
      <c r="AH145" s="339"/>
      <c r="AI145" s="341"/>
      <c r="AJ145" s="115" t="s">
        <v>684</v>
      </c>
      <c r="AK145" s="339"/>
      <c r="AL145" s="5"/>
    </row>
    <row r="146" spans="1:38" x14ac:dyDescent="0.25">
      <c r="A146" s="143">
        <v>17</v>
      </c>
      <c r="B146" s="92">
        <v>45191</v>
      </c>
      <c r="C146" s="31" t="s">
        <v>48</v>
      </c>
      <c r="D146" s="32">
        <v>5530181574</v>
      </c>
      <c r="E146" s="32" t="s">
        <v>38</v>
      </c>
      <c r="F146" s="32" t="s">
        <v>934</v>
      </c>
      <c r="G146" s="39" t="s">
        <v>1064</v>
      </c>
      <c r="H146" s="39">
        <v>300</v>
      </c>
      <c r="I146" s="42">
        <v>307</v>
      </c>
      <c r="J146" s="43">
        <v>10</v>
      </c>
      <c r="K146" s="21">
        <f t="shared" si="19"/>
        <v>0</v>
      </c>
      <c r="L146" s="21">
        <f t="shared" si="16"/>
        <v>317</v>
      </c>
      <c r="M146" s="21">
        <f t="shared" si="17"/>
        <v>-17</v>
      </c>
      <c r="N146" s="21"/>
      <c r="O146" s="21"/>
      <c r="P146" s="5"/>
      <c r="Q146" s="43"/>
      <c r="R146" s="32"/>
      <c r="S146" s="21">
        <f t="shared" si="18"/>
        <v>0</v>
      </c>
      <c r="T146" s="132">
        <v>307</v>
      </c>
      <c r="U146" s="78">
        <v>10</v>
      </c>
      <c r="V146" s="140"/>
      <c r="W146" s="147"/>
      <c r="X146" s="23"/>
      <c r="Y146" s="340"/>
      <c r="Z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x14ac:dyDescent="0.25">
      <c r="A147" s="143">
        <v>18</v>
      </c>
      <c r="B147" s="92">
        <v>45191</v>
      </c>
      <c r="C147" s="31" t="s">
        <v>860</v>
      </c>
      <c r="D147" s="32"/>
      <c r="E147" s="32" t="s">
        <v>38</v>
      </c>
      <c r="F147" s="32" t="s">
        <v>1063</v>
      </c>
      <c r="G147" s="39" t="s">
        <v>1062</v>
      </c>
      <c r="H147" s="39">
        <v>200</v>
      </c>
      <c r="I147" s="42">
        <v>71</v>
      </c>
      <c r="J147" s="43">
        <v>10</v>
      </c>
      <c r="K147" s="21">
        <f t="shared" si="19"/>
        <v>0</v>
      </c>
      <c r="L147" s="21">
        <f t="shared" si="16"/>
        <v>81</v>
      </c>
      <c r="M147" s="21">
        <f t="shared" si="17"/>
        <v>119</v>
      </c>
      <c r="N147" s="21"/>
      <c r="O147" s="21"/>
      <c r="P147" s="5"/>
      <c r="Q147" s="135"/>
      <c r="R147" s="104"/>
      <c r="S147" s="21">
        <f t="shared" si="18"/>
        <v>0</v>
      </c>
      <c r="T147" s="131">
        <v>71</v>
      </c>
      <c r="U147" s="78">
        <v>10</v>
      </c>
      <c r="V147" s="140"/>
      <c r="W147" s="138"/>
      <c r="X147" s="32"/>
      <c r="Z147" s="5"/>
    </row>
    <row r="148" spans="1:38" x14ac:dyDescent="0.25">
      <c r="A148" s="143">
        <v>19</v>
      </c>
      <c r="B148" s="92">
        <v>45191</v>
      </c>
      <c r="C148" s="31" t="s">
        <v>1065</v>
      </c>
      <c r="D148" s="32">
        <v>5536542200</v>
      </c>
      <c r="E148" s="32" t="s">
        <v>52</v>
      </c>
      <c r="F148" s="32" t="s">
        <v>1066</v>
      </c>
      <c r="G148" s="39" t="s">
        <v>1067</v>
      </c>
      <c r="H148" s="39">
        <v>58</v>
      </c>
      <c r="I148" s="42">
        <v>48</v>
      </c>
      <c r="J148" s="43">
        <v>10</v>
      </c>
      <c r="K148" s="21">
        <v>0</v>
      </c>
      <c r="L148" s="21">
        <f t="shared" si="16"/>
        <v>58</v>
      </c>
      <c r="M148" s="21">
        <f t="shared" si="17"/>
        <v>0</v>
      </c>
      <c r="N148" s="21"/>
      <c r="O148" s="21"/>
      <c r="P148" s="5"/>
      <c r="Q148" s="32"/>
      <c r="R148" s="32"/>
      <c r="S148" s="21">
        <f t="shared" si="18"/>
        <v>0</v>
      </c>
      <c r="T148" s="32">
        <v>48</v>
      </c>
      <c r="U148" s="78">
        <v>10</v>
      </c>
      <c r="V148" s="140"/>
      <c r="W148" s="138"/>
      <c r="X148" s="32"/>
      <c r="Z148" s="5"/>
    </row>
    <row r="149" spans="1:38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22">
        <f>SUM(U130:U148)</f>
        <v>195</v>
      </c>
      <c r="V149" s="141"/>
      <c r="W149" s="5"/>
      <c r="X149" s="5"/>
      <c r="Y149" s="5"/>
      <c r="Z149" s="5"/>
    </row>
    <row r="154" spans="1:38" x14ac:dyDescent="0.25">
      <c r="I154" t="s">
        <v>1034</v>
      </c>
    </row>
    <row r="155" spans="1:38" x14ac:dyDescent="0.25">
      <c r="I155" t="s">
        <v>1035</v>
      </c>
    </row>
    <row r="156" spans="1:38" x14ac:dyDescent="0.25">
      <c r="F156" t="s">
        <v>1040</v>
      </c>
      <c r="I156" t="s">
        <v>1045</v>
      </c>
    </row>
    <row r="157" spans="1:38" x14ac:dyDescent="0.25">
      <c r="I157" t="s">
        <v>1044</v>
      </c>
    </row>
    <row r="158" spans="1:38" x14ac:dyDescent="0.25">
      <c r="I158" t="s">
        <v>1036</v>
      </c>
    </row>
    <row r="159" spans="1:38" x14ac:dyDescent="0.25">
      <c r="G159">
        <v>500</v>
      </c>
      <c r="I159" t="s">
        <v>1037</v>
      </c>
    </row>
    <row r="160" spans="1:38" x14ac:dyDescent="0.25">
      <c r="I160" t="s">
        <v>1038</v>
      </c>
    </row>
    <row r="161" spans="1:40" x14ac:dyDescent="0.25">
      <c r="I161" t="s">
        <v>1039</v>
      </c>
    </row>
    <row r="162" spans="1:40" x14ac:dyDescent="0.25">
      <c r="I162" t="s">
        <v>873</v>
      </c>
    </row>
    <row r="163" spans="1:40" x14ac:dyDescent="0.25">
      <c r="I163" t="s">
        <v>1048</v>
      </c>
    </row>
    <row r="164" spans="1:40" x14ac:dyDescent="0.25">
      <c r="I164" t="s">
        <v>1049</v>
      </c>
    </row>
    <row r="168" spans="1:40" x14ac:dyDescent="0.25">
      <c r="I168">
        <v>48</v>
      </c>
    </row>
    <row r="169" spans="1:40" x14ac:dyDescent="0.25">
      <c r="I169">
        <v>129</v>
      </c>
    </row>
    <row r="170" spans="1:40" x14ac:dyDescent="0.25">
      <c r="I170">
        <v>258</v>
      </c>
    </row>
    <row r="172" spans="1:40" x14ac:dyDescent="0.25">
      <c r="R172" s="83"/>
    </row>
    <row r="173" spans="1:40" x14ac:dyDescent="0.25">
      <c r="R173" s="83"/>
    </row>
    <row r="175" spans="1:40" x14ac:dyDescent="0.25">
      <c r="A175" s="1" t="s">
        <v>0</v>
      </c>
      <c r="B175" s="1"/>
      <c r="C175" s="1"/>
      <c r="D175" s="1"/>
      <c r="E175" s="1"/>
      <c r="F175" s="1"/>
      <c r="G175" s="1"/>
      <c r="H175" s="1"/>
      <c r="I175" s="1" t="s">
        <v>148</v>
      </c>
      <c r="J175" s="1"/>
      <c r="K175" s="1"/>
      <c r="L175" s="1"/>
      <c r="M175" s="1"/>
      <c r="N175" s="1"/>
      <c r="O175" s="1"/>
      <c r="P175" s="1"/>
      <c r="Q175" s="1"/>
      <c r="R175" s="1"/>
      <c r="S175" s="342" t="s">
        <v>1</v>
      </c>
      <c r="T175" s="342"/>
      <c r="U175" s="5"/>
      <c r="V175" s="139"/>
      <c r="W175" s="1"/>
      <c r="X175" s="1"/>
      <c r="Y175" s="1"/>
      <c r="Z175" s="5"/>
      <c r="AC175" s="335" t="s">
        <v>160</v>
      </c>
      <c r="AD175" s="336"/>
      <c r="AG175" s="335" t="s">
        <v>170</v>
      </c>
      <c r="AH175" s="336"/>
      <c r="AJ175" s="337" t="s">
        <v>172</v>
      </c>
      <c r="AK175" s="337"/>
      <c r="AM175" s="337" t="s">
        <v>681</v>
      </c>
      <c r="AN175" s="337"/>
    </row>
    <row r="176" spans="1:40" ht="90" x14ac:dyDescent="0.25">
      <c r="A176" s="6" t="s">
        <v>2</v>
      </c>
      <c r="B176" s="7" t="s">
        <v>3</v>
      </c>
      <c r="C176" s="7" t="s">
        <v>4</v>
      </c>
      <c r="D176" s="6" t="s">
        <v>5</v>
      </c>
      <c r="E176" s="6" t="s">
        <v>6</v>
      </c>
      <c r="F176" s="6" t="s">
        <v>7</v>
      </c>
      <c r="G176" s="6" t="s">
        <v>8</v>
      </c>
      <c r="H176" s="8" t="s">
        <v>9</v>
      </c>
      <c r="I176" s="9" t="s">
        <v>10</v>
      </c>
      <c r="J176" s="8" t="s">
        <v>11</v>
      </c>
      <c r="K176" s="10" t="s">
        <v>12</v>
      </c>
      <c r="L176" s="10" t="s">
        <v>13</v>
      </c>
      <c r="M176" s="11" t="s">
        <v>14</v>
      </c>
      <c r="N176" s="10" t="s">
        <v>691</v>
      </c>
      <c r="O176" s="10" t="s">
        <v>28</v>
      </c>
      <c r="P176" s="5"/>
      <c r="Q176" s="10" t="s">
        <v>16</v>
      </c>
      <c r="R176" s="10" t="s">
        <v>17</v>
      </c>
      <c r="S176" s="10" t="s">
        <v>18</v>
      </c>
      <c r="T176" s="10" t="s">
        <v>19</v>
      </c>
      <c r="U176" s="10" t="s">
        <v>20</v>
      </c>
      <c r="V176" s="13"/>
      <c r="W176" s="136" t="s">
        <v>688</v>
      </c>
      <c r="X176" s="14" t="s">
        <v>22</v>
      </c>
      <c r="Y176" s="15" t="s">
        <v>23</v>
      </c>
      <c r="Z176" s="5"/>
      <c r="AC176" s="16" t="s">
        <v>161</v>
      </c>
      <c r="AD176" s="58">
        <f>+AB176*10</f>
        <v>0</v>
      </c>
      <c r="AF176">
        <v>9</v>
      </c>
      <c r="AG176" s="16" t="s">
        <v>161</v>
      </c>
      <c r="AH176" s="58">
        <f>+AF176*10</f>
        <v>90</v>
      </c>
      <c r="AJ176" s="61" t="s">
        <v>173</v>
      </c>
      <c r="AK176" s="62" t="s">
        <v>174</v>
      </c>
      <c r="AM176" s="16" t="s">
        <v>161</v>
      </c>
      <c r="AN176" s="58">
        <f>+AL176*10</f>
        <v>0</v>
      </c>
    </row>
    <row r="177" spans="1:40" x14ac:dyDescent="0.25">
      <c r="A177" s="16">
        <v>1</v>
      </c>
      <c r="B177" s="92">
        <v>45192</v>
      </c>
      <c r="C177" s="31" t="s">
        <v>24</v>
      </c>
      <c r="D177" s="32">
        <v>5562236073</v>
      </c>
      <c r="E177" s="32"/>
      <c r="F177" s="39"/>
      <c r="G177" s="39" t="s">
        <v>1068</v>
      </c>
      <c r="H177" s="122">
        <v>300</v>
      </c>
      <c r="I177" s="32">
        <v>212</v>
      </c>
      <c r="J177" s="20">
        <v>10</v>
      </c>
      <c r="K177" s="21">
        <f>U177-J177-O177</f>
        <v>0</v>
      </c>
      <c r="L177" s="21">
        <f t="shared" ref="L177:L195" si="20">+I177+J177</f>
        <v>222</v>
      </c>
      <c r="M177" s="21">
        <f t="shared" ref="M177:M195" si="21">+H177-L177</f>
        <v>78</v>
      </c>
      <c r="N177" s="21"/>
      <c r="O177" s="21"/>
      <c r="P177" s="5"/>
      <c r="Q177" s="21"/>
      <c r="R177" s="16"/>
      <c r="S177" s="21">
        <f t="shared" ref="S177:S195" si="22">+Q177+R177</f>
        <v>0</v>
      </c>
      <c r="T177" s="21">
        <v>10</v>
      </c>
      <c r="U177" s="78">
        <f>T177-S177-O177</f>
        <v>10</v>
      </c>
      <c r="V177" s="13"/>
      <c r="W177" s="147"/>
      <c r="X177" s="23"/>
      <c r="Y177" s="333"/>
      <c r="Z177" s="5"/>
      <c r="AC177" s="59" t="s">
        <v>162</v>
      </c>
      <c r="AD177" s="18">
        <f>+AB177*1</f>
        <v>0</v>
      </c>
      <c r="AF177">
        <v>43</v>
      </c>
      <c r="AG177" s="59" t="s">
        <v>162</v>
      </c>
      <c r="AH177" s="18">
        <f>+AF177*1</f>
        <v>43</v>
      </c>
      <c r="AJ177" s="16">
        <v>650</v>
      </c>
      <c r="AK177" s="16"/>
      <c r="AM177" s="59" t="s">
        <v>162</v>
      </c>
      <c r="AN177" s="18">
        <f>+AL177*1</f>
        <v>0</v>
      </c>
    </row>
    <row r="178" spans="1:40" x14ac:dyDescent="0.25">
      <c r="A178" s="26">
        <v>2</v>
      </c>
      <c r="B178" s="92">
        <v>45192</v>
      </c>
      <c r="C178" s="17" t="s">
        <v>496</v>
      </c>
      <c r="D178" s="16">
        <v>5553181275</v>
      </c>
      <c r="E178" s="32" t="s">
        <v>689</v>
      </c>
      <c r="F178" s="32" t="s">
        <v>1069</v>
      </c>
      <c r="G178" s="39" t="s">
        <v>1070</v>
      </c>
      <c r="H178" s="122">
        <v>100</v>
      </c>
      <c r="I178" s="32">
        <v>160</v>
      </c>
      <c r="J178" s="20">
        <v>10</v>
      </c>
      <c r="K178" s="21">
        <f t="shared" ref="K178:K195" si="23">U178-J178-O178</f>
        <v>-173</v>
      </c>
      <c r="L178" s="21">
        <f t="shared" si="20"/>
        <v>170</v>
      </c>
      <c r="M178" s="21">
        <f t="shared" si="21"/>
        <v>-70</v>
      </c>
      <c r="N178" s="21"/>
      <c r="O178" s="21">
        <v>170</v>
      </c>
      <c r="P178" s="5"/>
      <c r="Q178" s="21">
        <v>150</v>
      </c>
      <c r="R178" s="16"/>
      <c r="S178" s="21">
        <f t="shared" si="22"/>
        <v>150</v>
      </c>
      <c r="T178" s="21">
        <v>327</v>
      </c>
      <c r="U178" s="78">
        <f t="shared" ref="U178:U195" si="24">T178-S178-O178</f>
        <v>7</v>
      </c>
      <c r="V178" s="140"/>
      <c r="W178" s="147"/>
      <c r="X178" s="23"/>
      <c r="Y178" s="334"/>
      <c r="Z178" s="5"/>
      <c r="AC178" s="16" t="s">
        <v>163</v>
      </c>
      <c r="AD178" s="60">
        <f>+AB178*5</f>
        <v>0</v>
      </c>
      <c r="AF178">
        <v>19</v>
      </c>
      <c r="AG178" s="16" t="s">
        <v>163</v>
      </c>
      <c r="AH178" s="60">
        <f>+AF178*5</f>
        <v>95</v>
      </c>
      <c r="AJ178" s="16"/>
      <c r="AK178" s="16"/>
      <c r="AM178" s="16" t="s">
        <v>163</v>
      </c>
      <c r="AN178" s="60">
        <f>+AL178*5</f>
        <v>0</v>
      </c>
    </row>
    <row r="179" spans="1:40" x14ac:dyDescent="0.25">
      <c r="A179" s="143">
        <v>3</v>
      </c>
      <c r="B179" s="92">
        <v>45192</v>
      </c>
      <c r="C179" s="31" t="s">
        <v>350</v>
      </c>
      <c r="D179" s="32">
        <v>5543821818</v>
      </c>
      <c r="E179" s="32"/>
      <c r="F179" s="32" t="s">
        <v>988</v>
      </c>
      <c r="G179" s="39" t="s">
        <v>1073</v>
      </c>
      <c r="H179" s="122"/>
      <c r="I179" s="32">
        <v>443</v>
      </c>
      <c r="J179" s="20">
        <v>10</v>
      </c>
      <c r="K179" s="21">
        <f t="shared" si="23"/>
        <v>-176</v>
      </c>
      <c r="L179" s="21">
        <f t="shared" si="20"/>
        <v>453</v>
      </c>
      <c r="M179" s="21">
        <f t="shared" si="21"/>
        <v>-453</v>
      </c>
      <c r="N179" s="21"/>
      <c r="O179" s="21">
        <v>183</v>
      </c>
      <c r="P179" s="5"/>
      <c r="Q179" s="21">
        <v>300</v>
      </c>
      <c r="R179" s="16"/>
      <c r="S179" s="21">
        <f t="shared" si="22"/>
        <v>300</v>
      </c>
      <c r="T179" s="21">
        <v>500</v>
      </c>
      <c r="U179" s="78">
        <f t="shared" si="24"/>
        <v>17</v>
      </c>
      <c r="V179" s="140"/>
      <c r="W179" s="147"/>
      <c r="X179" s="23"/>
      <c r="Y179" s="334"/>
      <c r="Z179" s="5"/>
      <c r="AC179" s="16" t="s">
        <v>164</v>
      </c>
      <c r="AD179" s="18">
        <f>+AB179*200</f>
        <v>0</v>
      </c>
      <c r="AF179">
        <v>1</v>
      </c>
      <c r="AG179" s="16" t="s">
        <v>164</v>
      </c>
      <c r="AH179" s="18">
        <f>+AF179*200</f>
        <v>200</v>
      </c>
      <c r="AJ179" s="16"/>
      <c r="AK179" s="16"/>
      <c r="AM179" s="16" t="s">
        <v>164</v>
      </c>
      <c r="AN179" s="18">
        <f>+AL179*200</f>
        <v>0</v>
      </c>
    </row>
    <row r="180" spans="1:40" x14ac:dyDescent="0.25">
      <c r="A180" s="143">
        <v>4</v>
      </c>
      <c r="B180" s="92">
        <v>45192</v>
      </c>
      <c r="C180" s="31" t="s">
        <v>473</v>
      </c>
      <c r="D180" s="32"/>
      <c r="E180" s="32"/>
      <c r="F180" s="32" t="s">
        <v>1071</v>
      </c>
      <c r="G180" s="39" t="s">
        <v>1072</v>
      </c>
      <c r="H180" s="122">
        <v>50</v>
      </c>
      <c r="I180" s="32">
        <v>32</v>
      </c>
      <c r="J180" s="20">
        <v>10</v>
      </c>
      <c r="K180" s="21">
        <f t="shared" si="23"/>
        <v>-42</v>
      </c>
      <c r="L180" s="21">
        <f t="shared" si="20"/>
        <v>42</v>
      </c>
      <c r="M180" s="21">
        <f t="shared" si="21"/>
        <v>8</v>
      </c>
      <c r="N180" s="21"/>
      <c r="O180" s="21">
        <v>32</v>
      </c>
      <c r="P180" s="5"/>
      <c r="Q180" s="21">
        <v>18</v>
      </c>
      <c r="R180" s="16"/>
      <c r="S180" s="21">
        <f t="shared" si="22"/>
        <v>18</v>
      </c>
      <c r="T180" s="21">
        <v>50</v>
      </c>
      <c r="U180" s="78">
        <f t="shared" si="24"/>
        <v>0</v>
      </c>
      <c r="V180" s="140"/>
      <c r="W180" s="147"/>
      <c r="X180" s="23"/>
      <c r="Y180" s="334"/>
      <c r="Z180" s="5"/>
      <c r="AC180" s="16" t="s">
        <v>165</v>
      </c>
      <c r="AD180" s="18">
        <f>+AB180*100</f>
        <v>0</v>
      </c>
      <c r="AF180">
        <v>3</v>
      </c>
      <c r="AG180" s="16" t="s">
        <v>165</v>
      </c>
      <c r="AH180" s="18">
        <f>+AF180*100</f>
        <v>300</v>
      </c>
      <c r="AJ180" s="16"/>
      <c r="AK180" s="16"/>
      <c r="AM180" s="16" t="s">
        <v>165</v>
      </c>
      <c r="AN180" s="18">
        <f>+AL180*100</f>
        <v>0</v>
      </c>
    </row>
    <row r="181" spans="1:40" x14ac:dyDescent="0.25">
      <c r="A181" s="143">
        <v>5</v>
      </c>
      <c r="B181" s="92">
        <v>45192</v>
      </c>
      <c r="C181" s="31" t="s">
        <v>1500</v>
      </c>
      <c r="D181" s="32"/>
      <c r="E181" s="32" t="s">
        <v>1082</v>
      </c>
      <c r="F181" s="32" t="s">
        <v>793</v>
      </c>
      <c r="G181" s="32" t="s">
        <v>1074</v>
      </c>
      <c r="H181" s="122">
        <v>500</v>
      </c>
      <c r="I181" s="32">
        <v>494</v>
      </c>
      <c r="J181" s="20">
        <v>10</v>
      </c>
      <c r="K181" s="21">
        <f t="shared" si="23"/>
        <v>74</v>
      </c>
      <c r="L181" s="21">
        <f t="shared" si="20"/>
        <v>504</v>
      </c>
      <c r="M181" s="21">
        <f t="shared" si="21"/>
        <v>-4</v>
      </c>
      <c r="N181" s="21"/>
      <c r="O181" s="21"/>
      <c r="P181" s="5"/>
      <c r="Q181" s="16">
        <v>600</v>
      </c>
      <c r="R181" s="16"/>
      <c r="S181" s="21">
        <f t="shared" si="22"/>
        <v>600</v>
      </c>
      <c r="T181" s="21">
        <v>684</v>
      </c>
      <c r="U181" s="78">
        <f t="shared" si="24"/>
        <v>84</v>
      </c>
      <c r="V181" s="140"/>
      <c r="W181" s="147"/>
      <c r="X181" s="23"/>
      <c r="Y181" s="334"/>
      <c r="Z181" s="5"/>
      <c r="AC181" s="16" t="s">
        <v>166</v>
      </c>
      <c r="AD181" s="18">
        <f>+AB181*50</f>
        <v>0</v>
      </c>
      <c r="AF181">
        <v>4</v>
      </c>
      <c r="AG181" s="16" t="s">
        <v>166</v>
      </c>
      <c r="AH181" s="18">
        <f>+AF181*50</f>
        <v>200</v>
      </c>
      <c r="AJ181" s="16"/>
      <c r="AK181" s="16"/>
      <c r="AM181" s="16" t="s">
        <v>166</v>
      </c>
      <c r="AN181" s="18">
        <f>+AL181*50</f>
        <v>0</v>
      </c>
    </row>
    <row r="182" spans="1:40" x14ac:dyDescent="0.25">
      <c r="A182" s="143">
        <v>6</v>
      </c>
      <c r="B182" s="92">
        <v>45192</v>
      </c>
      <c r="C182" s="31" t="s">
        <v>3470</v>
      </c>
      <c r="D182" s="32">
        <v>5513650898</v>
      </c>
      <c r="E182" s="32" t="s">
        <v>52</v>
      </c>
      <c r="F182" s="32" t="s">
        <v>98</v>
      </c>
      <c r="G182" s="39" t="s">
        <v>1075</v>
      </c>
      <c r="H182" s="39">
        <v>45</v>
      </c>
      <c r="I182" s="42">
        <v>35</v>
      </c>
      <c r="J182" s="20">
        <v>10</v>
      </c>
      <c r="K182" s="21">
        <f t="shared" si="23"/>
        <v>-35</v>
      </c>
      <c r="L182" s="21">
        <f t="shared" si="20"/>
        <v>45</v>
      </c>
      <c r="M182" s="21">
        <f t="shared" si="21"/>
        <v>0</v>
      </c>
      <c r="N182" s="21"/>
      <c r="O182" s="21">
        <v>35</v>
      </c>
      <c r="P182" s="5"/>
      <c r="Q182" s="16"/>
      <c r="R182" s="16"/>
      <c r="S182" s="21">
        <f t="shared" si="22"/>
        <v>0</v>
      </c>
      <c r="T182" s="16">
        <v>45</v>
      </c>
      <c r="U182" s="78">
        <v>10</v>
      </c>
      <c r="V182" s="140"/>
      <c r="W182" s="147"/>
      <c r="X182" s="23"/>
      <c r="Y182" s="334"/>
      <c r="Z182" s="5"/>
      <c r="AC182" s="16" t="s">
        <v>167</v>
      </c>
      <c r="AD182" s="18">
        <f>+AB182*20</f>
        <v>0</v>
      </c>
      <c r="AF182">
        <v>5</v>
      </c>
      <c r="AG182" s="16" t="s">
        <v>167</v>
      </c>
      <c r="AH182" s="18">
        <f>+AF182*20</f>
        <v>100</v>
      </c>
      <c r="AJ182" s="16"/>
      <c r="AK182" s="16"/>
      <c r="AM182" s="16" t="s">
        <v>167</v>
      </c>
      <c r="AN182" s="18">
        <f>+AL182*20</f>
        <v>0</v>
      </c>
    </row>
    <row r="183" spans="1:40" x14ac:dyDescent="0.25">
      <c r="A183" s="143">
        <v>7</v>
      </c>
      <c r="B183" s="92">
        <v>45192</v>
      </c>
      <c r="C183" s="31" t="s">
        <v>421</v>
      </c>
      <c r="D183" s="32"/>
      <c r="E183" s="32" t="s">
        <v>52</v>
      </c>
      <c r="F183" s="32" t="s">
        <v>1077</v>
      </c>
      <c r="G183" s="39" t="s">
        <v>1076</v>
      </c>
      <c r="H183" s="122">
        <v>110</v>
      </c>
      <c r="I183" s="42">
        <v>88</v>
      </c>
      <c r="J183" s="20">
        <v>10</v>
      </c>
      <c r="K183" s="21">
        <v>11</v>
      </c>
      <c r="L183" s="21">
        <f t="shared" si="20"/>
        <v>98</v>
      </c>
      <c r="M183" s="21">
        <f t="shared" si="21"/>
        <v>12</v>
      </c>
      <c r="N183" s="21"/>
      <c r="O183" s="21">
        <v>88</v>
      </c>
      <c r="P183" s="5"/>
      <c r="Q183" s="16"/>
      <c r="R183" s="16"/>
      <c r="S183" s="21">
        <f t="shared" si="22"/>
        <v>0</v>
      </c>
      <c r="T183" s="16">
        <v>98</v>
      </c>
      <c r="U183" s="78">
        <v>10</v>
      </c>
      <c r="V183" s="140"/>
      <c r="W183" s="147"/>
      <c r="X183" s="23"/>
      <c r="Y183" s="334"/>
      <c r="Z183" s="5"/>
      <c r="AC183" s="16" t="s">
        <v>171</v>
      </c>
      <c r="AD183" s="18">
        <f>+AB183*500</f>
        <v>0</v>
      </c>
      <c r="AF183">
        <v>1</v>
      </c>
      <c r="AG183" s="16" t="s">
        <v>171</v>
      </c>
      <c r="AH183" s="18">
        <f>+AF183*500</f>
        <v>500</v>
      </c>
      <c r="AJ183" s="16"/>
      <c r="AK183" s="16"/>
      <c r="AM183" s="16" t="s">
        <v>171</v>
      </c>
      <c r="AN183" s="18">
        <f>+AL183*500</f>
        <v>0</v>
      </c>
    </row>
    <row r="184" spans="1:40" x14ac:dyDescent="0.25">
      <c r="A184" s="143">
        <v>8</v>
      </c>
      <c r="B184" s="92">
        <v>45192</v>
      </c>
      <c r="C184" s="31" t="s">
        <v>1078</v>
      </c>
      <c r="D184" s="123"/>
      <c r="E184" s="123" t="s">
        <v>1079</v>
      </c>
      <c r="F184" s="123" t="s">
        <v>1080</v>
      </c>
      <c r="G184" s="39" t="s">
        <v>1081</v>
      </c>
      <c r="H184" s="122">
        <v>200</v>
      </c>
      <c r="I184" s="32">
        <v>96</v>
      </c>
      <c r="J184" s="20">
        <v>10</v>
      </c>
      <c r="K184" s="21">
        <v>5</v>
      </c>
      <c r="L184" s="21">
        <f t="shared" si="20"/>
        <v>106</v>
      </c>
      <c r="M184" s="21">
        <f t="shared" si="21"/>
        <v>94</v>
      </c>
      <c r="N184" s="21"/>
      <c r="O184" s="21"/>
      <c r="P184" s="5"/>
      <c r="Q184" s="16"/>
      <c r="R184" s="16"/>
      <c r="S184" s="21">
        <f t="shared" si="22"/>
        <v>0</v>
      </c>
      <c r="T184" s="16">
        <v>105</v>
      </c>
      <c r="U184" s="78">
        <v>15</v>
      </c>
      <c r="V184" s="140"/>
      <c r="W184" s="147"/>
      <c r="X184" s="23"/>
      <c r="Y184" s="334"/>
      <c r="Z184" s="5"/>
      <c r="AC184" s="16" t="s">
        <v>168</v>
      </c>
      <c r="AD184" s="18">
        <f>+AB184*1000</f>
        <v>0</v>
      </c>
      <c r="AG184" s="16" t="s">
        <v>168</v>
      </c>
      <c r="AH184" s="18">
        <f>+AF184*1000</f>
        <v>0</v>
      </c>
      <c r="AJ184" s="16"/>
      <c r="AK184" s="16"/>
      <c r="AM184" s="16" t="s">
        <v>168</v>
      </c>
      <c r="AN184" s="18">
        <f>+AL184*1000</f>
        <v>0</v>
      </c>
    </row>
    <row r="185" spans="1:40" x14ac:dyDescent="0.25">
      <c r="A185" s="143" t="s">
        <v>148</v>
      </c>
      <c r="B185" s="92">
        <v>45192</v>
      </c>
      <c r="C185" s="31" t="s">
        <v>872</v>
      </c>
      <c r="D185" s="32"/>
      <c r="E185" s="32" t="s">
        <v>394</v>
      </c>
      <c r="F185" s="32" t="s">
        <v>558</v>
      </c>
      <c r="G185" s="39" t="s">
        <v>1083</v>
      </c>
      <c r="H185" s="39">
        <v>550</v>
      </c>
      <c r="I185" s="40">
        <v>312</v>
      </c>
      <c r="J185" s="20">
        <v>10</v>
      </c>
      <c r="K185" s="21">
        <f t="shared" si="23"/>
        <v>40</v>
      </c>
      <c r="L185" s="21">
        <f t="shared" si="20"/>
        <v>322</v>
      </c>
      <c r="M185" s="21">
        <f t="shared" si="21"/>
        <v>228</v>
      </c>
      <c r="N185" s="21"/>
      <c r="O185" s="21"/>
      <c r="P185" s="5"/>
      <c r="Q185" s="16">
        <v>500</v>
      </c>
      <c r="R185" s="16"/>
      <c r="S185" s="21">
        <f t="shared" si="22"/>
        <v>500</v>
      </c>
      <c r="T185" s="16">
        <v>550</v>
      </c>
      <c r="U185" s="78">
        <f t="shared" si="24"/>
        <v>50</v>
      </c>
      <c r="V185" s="140"/>
      <c r="W185" s="147"/>
      <c r="X185" s="23"/>
      <c r="Y185" s="334"/>
      <c r="Z185" s="5"/>
      <c r="AC185" s="26"/>
      <c r="AD185" s="58"/>
      <c r="AG185" s="26"/>
      <c r="AH185" s="58"/>
      <c r="AJ185" s="16"/>
      <c r="AK185" s="16"/>
      <c r="AM185" s="26"/>
      <c r="AN185" s="58"/>
    </row>
    <row r="186" spans="1:40" x14ac:dyDescent="0.25">
      <c r="A186" s="143">
        <v>10</v>
      </c>
      <c r="B186" s="92">
        <v>45192</v>
      </c>
      <c r="C186" s="31" t="s">
        <v>888</v>
      </c>
      <c r="D186" s="32">
        <v>5564121405</v>
      </c>
      <c r="E186" s="32" t="s">
        <v>394</v>
      </c>
      <c r="F186" s="32" t="s">
        <v>558</v>
      </c>
      <c r="G186" s="39" t="s">
        <v>1083</v>
      </c>
      <c r="H186" s="122">
        <v>340</v>
      </c>
      <c r="I186" s="42">
        <v>292</v>
      </c>
      <c r="J186" s="20">
        <v>10</v>
      </c>
      <c r="K186" s="21">
        <v>40</v>
      </c>
      <c r="L186" s="21">
        <f t="shared" si="20"/>
        <v>302</v>
      </c>
      <c r="M186" s="21">
        <f t="shared" si="21"/>
        <v>38</v>
      </c>
      <c r="N186" s="21"/>
      <c r="O186" s="21"/>
      <c r="P186" s="5"/>
      <c r="Q186" s="16"/>
      <c r="R186" s="16"/>
      <c r="S186" s="21">
        <f t="shared" si="22"/>
        <v>0</v>
      </c>
      <c r="T186" s="16">
        <v>340</v>
      </c>
      <c r="U186" s="78">
        <v>40</v>
      </c>
      <c r="V186" s="140"/>
      <c r="W186" s="147"/>
      <c r="X186" s="23"/>
      <c r="Y186" s="334"/>
      <c r="Z186" s="5"/>
      <c r="AC186" s="16" t="s">
        <v>169</v>
      </c>
      <c r="AD186" s="18">
        <f>SUM(AD176:AD185)</f>
        <v>0</v>
      </c>
      <c r="AG186" s="16" t="s">
        <v>169</v>
      </c>
      <c r="AH186" s="18">
        <f>SUM(AH176:AH185)</f>
        <v>1528</v>
      </c>
      <c r="AJ186" s="16"/>
      <c r="AK186" s="16"/>
      <c r="AM186" s="16" t="s">
        <v>169</v>
      </c>
      <c r="AN186" s="18"/>
    </row>
    <row r="187" spans="1:40" x14ac:dyDescent="0.25">
      <c r="A187" s="143">
        <v>11</v>
      </c>
      <c r="B187" s="92">
        <v>45192</v>
      </c>
      <c r="C187" s="31" t="s">
        <v>24</v>
      </c>
      <c r="D187" s="124"/>
      <c r="E187" s="123" t="s">
        <v>1084</v>
      </c>
      <c r="F187" s="123" t="s">
        <v>625</v>
      </c>
      <c r="G187" s="39" t="s">
        <v>1085</v>
      </c>
      <c r="H187" s="122">
        <v>500</v>
      </c>
      <c r="I187" s="42">
        <v>490</v>
      </c>
      <c r="J187" s="20">
        <v>10</v>
      </c>
      <c r="K187" s="21">
        <f t="shared" si="23"/>
        <v>-114.5</v>
      </c>
      <c r="L187" s="21">
        <f t="shared" si="20"/>
        <v>500</v>
      </c>
      <c r="M187" s="21">
        <f t="shared" si="21"/>
        <v>0</v>
      </c>
      <c r="N187" s="21"/>
      <c r="O187" s="21">
        <v>114.5</v>
      </c>
      <c r="P187" s="5"/>
      <c r="Q187" s="16"/>
      <c r="R187" s="16"/>
      <c r="S187" s="21">
        <f t="shared" si="22"/>
        <v>0</v>
      </c>
      <c r="T187" s="16">
        <v>500</v>
      </c>
      <c r="U187" s="78">
        <v>10</v>
      </c>
      <c r="V187" s="140"/>
      <c r="W187" s="147"/>
      <c r="X187" s="23"/>
      <c r="Y187" s="334"/>
      <c r="Z187" s="5"/>
      <c r="AJ187" s="16"/>
      <c r="AK187" s="16"/>
      <c r="AM187" s="16"/>
      <c r="AN187" s="16"/>
    </row>
    <row r="188" spans="1:40" x14ac:dyDescent="0.25">
      <c r="A188" s="143">
        <v>12</v>
      </c>
      <c r="B188" s="92">
        <v>45192</v>
      </c>
      <c r="C188" s="32"/>
      <c r="D188" s="32"/>
      <c r="E188" s="124"/>
      <c r="F188" s="123"/>
      <c r="G188" s="39"/>
      <c r="H188" s="39"/>
      <c r="I188" s="42"/>
      <c r="J188" s="20">
        <v>10</v>
      </c>
      <c r="K188" s="21">
        <f t="shared" si="23"/>
        <v>-10</v>
      </c>
      <c r="L188" s="21">
        <f t="shared" si="20"/>
        <v>10</v>
      </c>
      <c r="M188" s="21">
        <f t="shared" si="21"/>
        <v>-10</v>
      </c>
      <c r="N188" s="21"/>
      <c r="O188" s="21"/>
      <c r="P188" s="5"/>
      <c r="Q188" s="45"/>
      <c r="R188" s="44"/>
      <c r="S188" s="21">
        <f t="shared" si="22"/>
        <v>0</v>
      </c>
      <c r="T188" s="45"/>
      <c r="U188" s="78">
        <f t="shared" si="24"/>
        <v>0</v>
      </c>
      <c r="V188" s="140"/>
      <c r="W188" s="147"/>
      <c r="X188" s="23"/>
      <c r="Y188" s="334"/>
      <c r="Z188" s="5"/>
      <c r="AJ188" s="63" t="s">
        <v>169</v>
      </c>
      <c r="AK188" s="63">
        <f>+SUM(AJ177:AJ187)-SUM(AK177:AK187)</f>
        <v>650</v>
      </c>
      <c r="AM188" s="63" t="s">
        <v>169</v>
      </c>
      <c r="AN188" s="85">
        <f>+SUM(AM176:AM187)-SUM(AN177:AN187)</f>
        <v>0</v>
      </c>
    </row>
    <row r="189" spans="1:40" x14ac:dyDescent="0.25">
      <c r="A189" s="143">
        <v>13</v>
      </c>
      <c r="B189" s="92">
        <v>45192</v>
      </c>
      <c r="C189" s="31"/>
      <c r="D189" s="32"/>
      <c r="E189" s="32"/>
      <c r="F189" s="32"/>
      <c r="G189" s="39"/>
      <c r="H189" s="39"/>
      <c r="I189" s="42"/>
      <c r="J189" s="108">
        <v>10</v>
      </c>
      <c r="K189" s="21">
        <f t="shared" si="23"/>
        <v>-10</v>
      </c>
      <c r="L189" s="21">
        <f t="shared" si="20"/>
        <v>10</v>
      </c>
      <c r="M189" s="21">
        <f t="shared" si="21"/>
        <v>-10</v>
      </c>
      <c r="N189" s="21"/>
      <c r="O189" s="21"/>
      <c r="P189" s="5"/>
      <c r="Q189" s="43"/>
      <c r="R189" s="32"/>
      <c r="S189" s="21">
        <f t="shared" si="22"/>
        <v>0</v>
      </c>
      <c r="T189" s="43"/>
      <c r="U189" s="78">
        <f t="shared" si="24"/>
        <v>0</v>
      </c>
      <c r="V189" s="140"/>
      <c r="W189" s="147"/>
      <c r="X189" s="23"/>
      <c r="Y189" s="334"/>
      <c r="Z189" s="5"/>
      <c r="AH189" s="83"/>
    </row>
    <row r="190" spans="1:40" x14ac:dyDescent="0.25">
      <c r="A190" s="143">
        <v>14</v>
      </c>
      <c r="B190" s="285">
        <v>45192</v>
      </c>
      <c r="C190" s="31"/>
      <c r="D190" s="32"/>
      <c r="E190" s="32"/>
      <c r="F190" s="32"/>
      <c r="G190" s="39"/>
      <c r="H190" s="39"/>
      <c r="I190" s="42"/>
      <c r="J190" s="108">
        <v>10</v>
      </c>
      <c r="K190" s="21">
        <f t="shared" si="23"/>
        <v>-10</v>
      </c>
      <c r="L190" s="21">
        <f t="shared" si="20"/>
        <v>10</v>
      </c>
      <c r="M190" s="21">
        <f t="shared" si="21"/>
        <v>-10</v>
      </c>
      <c r="N190" s="21"/>
      <c r="O190" s="21"/>
      <c r="P190" s="5"/>
      <c r="Q190" s="43"/>
      <c r="R190" s="43"/>
      <c r="S190" s="21">
        <f t="shared" si="22"/>
        <v>0</v>
      </c>
      <c r="T190" s="43"/>
      <c r="U190" s="78">
        <f t="shared" si="24"/>
        <v>0</v>
      </c>
      <c r="V190" s="140"/>
      <c r="W190" s="147"/>
      <c r="X190" s="23"/>
      <c r="Y190" s="334"/>
      <c r="Z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40" x14ac:dyDescent="0.25">
      <c r="A191" s="143">
        <v>15</v>
      </c>
      <c r="B191" s="31">
        <v>45192</v>
      </c>
      <c r="C191" s="127"/>
      <c r="D191" s="32"/>
      <c r="E191" s="32"/>
      <c r="F191" s="128"/>
      <c r="G191" s="129"/>
      <c r="H191" s="39"/>
      <c r="I191" s="42"/>
      <c r="J191" s="108">
        <v>10</v>
      </c>
      <c r="K191" s="21">
        <f t="shared" si="23"/>
        <v>-10</v>
      </c>
      <c r="L191" s="21">
        <f t="shared" si="20"/>
        <v>10</v>
      </c>
      <c r="M191" s="21">
        <f t="shared" si="21"/>
        <v>-10</v>
      </c>
      <c r="N191" s="21"/>
      <c r="O191" s="21"/>
      <c r="P191" s="5"/>
      <c r="Q191" s="43"/>
      <c r="R191" s="43"/>
      <c r="S191" s="21">
        <f t="shared" si="22"/>
        <v>0</v>
      </c>
      <c r="T191" s="43"/>
      <c r="U191" s="78">
        <f t="shared" si="24"/>
        <v>0</v>
      </c>
      <c r="V191" s="140"/>
      <c r="W191" s="147"/>
      <c r="X191" s="23"/>
      <c r="Y191" s="334"/>
      <c r="Z191" s="5"/>
      <c r="AC191" s="5"/>
      <c r="AD191" s="134" t="s">
        <v>20</v>
      </c>
      <c r="AE191" s="338"/>
      <c r="AF191" s="341" t="s">
        <v>686</v>
      </c>
      <c r="AG191" s="134" t="s">
        <v>20</v>
      </c>
      <c r="AH191" s="338"/>
      <c r="AI191" s="341" t="s">
        <v>687</v>
      </c>
      <c r="AJ191" s="134" t="s">
        <v>20</v>
      </c>
      <c r="AK191" s="338">
        <v>254</v>
      </c>
      <c r="AL191" s="5"/>
    </row>
    <row r="192" spans="1:40" x14ac:dyDescent="0.25">
      <c r="A192" s="143">
        <v>16</v>
      </c>
      <c r="B192" s="286">
        <v>45192</v>
      </c>
      <c r="C192" s="31"/>
      <c r="D192" s="32"/>
      <c r="E192" s="32"/>
      <c r="F192" s="32"/>
      <c r="G192" s="39"/>
      <c r="H192" s="39"/>
      <c r="I192" s="42"/>
      <c r="J192" s="43">
        <v>10</v>
      </c>
      <c r="K192" s="21">
        <f t="shared" si="23"/>
        <v>-10</v>
      </c>
      <c r="L192" s="21">
        <f t="shared" si="20"/>
        <v>10</v>
      </c>
      <c r="M192" s="21">
        <f t="shared" si="21"/>
        <v>-10</v>
      </c>
      <c r="N192" s="21"/>
      <c r="O192" s="21"/>
      <c r="P192" s="5"/>
      <c r="Q192" s="43"/>
      <c r="R192" s="32"/>
      <c r="S192" s="21">
        <f t="shared" si="22"/>
        <v>0</v>
      </c>
      <c r="T192" s="131"/>
      <c r="U192" s="78">
        <f t="shared" si="24"/>
        <v>0</v>
      </c>
      <c r="V192" s="140"/>
      <c r="W192" s="147"/>
      <c r="X192" s="23"/>
      <c r="Y192" s="334"/>
      <c r="Z192" s="5"/>
      <c r="AC192" s="5" t="s">
        <v>685</v>
      </c>
      <c r="AD192" s="115" t="s">
        <v>684</v>
      </c>
      <c r="AE192" s="339"/>
      <c r="AF192" s="341"/>
      <c r="AG192" s="115" t="s">
        <v>684</v>
      </c>
      <c r="AH192" s="339"/>
      <c r="AI192" s="341"/>
      <c r="AJ192" s="115" t="s">
        <v>684</v>
      </c>
      <c r="AK192" s="339"/>
      <c r="AL192" s="5"/>
    </row>
    <row r="193" spans="1:40" x14ac:dyDescent="0.25">
      <c r="A193" s="143">
        <v>17</v>
      </c>
      <c r="B193" s="92">
        <v>45192</v>
      </c>
      <c r="C193" s="31"/>
      <c r="D193" s="32"/>
      <c r="E193" s="32"/>
      <c r="F193" s="32"/>
      <c r="G193" s="39"/>
      <c r="H193" s="39"/>
      <c r="I193" s="42"/>
      <c r="J193" s="43">
        <v>10</v>
      </c>
      <c r="K193" s="21">
        <f t="shared" si="23"/>
        <v>-10</v>
      </c>
      <c r="L193" s="21">
        <f t="shared" si="20"/>
        <v>10</v>
      </c>
      <c r="M193" s="21">
        <f t="shared" si="21"/>
        <v>-10</v>
      </c>
      <c r="N193" s="21"/>
      <c r="O193" s="21"/>
      <c r="P193" s="5"/>
      <c r="Q193" s="43"/>
      <c r="R193" s="32"/>
      <c r="S193" s="21">
        <f t="shared" si="22"/>
        <v>0</v>
      </c>
      <c r="T193" s="132"/>
      <c r="U193" s="78">
        <f t="shared" si="24"/>
        <v>0</v>
      </c>
      <c r="V193" s="140"/>
      <c r="W193" s="147"/>
      <c r="X193" s="23"/>
      <c r="Y193" s="340"/>
      <c r="Z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40" x14ac:dyDescent="0.25">
      <c r="A194" s="143">
        <v>18</v>
      </c>
      <c r="B194" s="92">
        <v>45192</v>
      </c>
      <c r="C194" s="31"/>
      <c r="D194" s="32"/>
      <c r="E194" s="32"/>
      <c r="F194" s="32"/>
      <c r="G194" s="39"/>
      <c r="H194" s="39"/>
      <c r="I194" s="42"/>
      <c r="J194" s="43">
        <v>10</v>
      </c>
      <c r="K194" s="21">
        <f t="shared" si="23"/>
        <v>-10</v>
      </c>
      <c r="L194" s="21">
        <f t="shared" si="20"/>
        <v>10</v>
      </c>
      <c r="M194" s="21">
        <f t="shared" si="21"/>
        <v>-10</v>
      </c>
      <c r="N194" s="21"/>
      <c r="O194" s="21"/>
      <c r="P194" s="5"/>
      <c r="Q194" s="135"/>
      <c r="R194" s="104"/>
      <c r="S194" s="21">
        <f t="shared" si="22"/>
        <v>0</v>
      </c>
      <c r="T194" s="131"/>
      <c r="U194" s="78">
        <f t="shared" si="24"/>
        <v>0</v>
      </c>
      <c r="V194" s="140"/>
      <c r="W194" s="138"/>
      <c r="X194" s="32"/>
      <c r="Z194" s="5"/>
    </row>
    <row r="195" spans="1:40" x14ac:dyDescent="0.25">
      <c r="A195" s="143">
        <v>19</v>
      </c>
      <c r="B195" s="92">
        <v>45192</v>
      </c>
      <c r="C195" s="31"/>
      <c r="D195" s="32"/>
      <c r="E195" s="32"/>
      <c r="F195" s="32"/>
      <c r="G195" s="39"/>
      <c r="H195" s="39"/>
      <c r="I195" s="42"/>
      <c r="J195" s="43">
        <v>10</v>
      </c>
      <c r="K195" s="21">
        <f t="shared" si="23"/>
        <v>-10</v>
      </c>
      <c r="L195" s="21">
        <f t="shared" si="20"/>
        <v>10</v>
      </c>
      <c r="M195" s="21">
        <f t="shared" si="21"/>
        <v>-10</v>
      </c>
      <c r="N195" s="21"/>
      <c r="O195" s="21"/>
      <c r="P195" s="5"/>
      <c r="Q195" s="32"/>
      <c r="R195" s="32"/>
      <c r="S195" s="21">
        <f t="shared" si="22"/>
        <v>0</v>
      </c>
      <c r="T195" s="32"/>
      <c r="U195" s="78">
        <f t="shared" si="24"/>
        <v>0</v>
      </c>
      <c r="V195" s="140"/>
      <c r="W195" s="138"/>
      <c r="X195" s="32"/>
      <c r="Z195" s="5"/>
    </row>
    <row r="196" spans="1:40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22">
        <f>SUM(U177:U195)</f>
        <v>253</v>
      </c>
      <c r="V196" s="141"/>
      <c r="W196" s="5"/>
      <c r="X196" s="5"/>
      <c r="Y196" s="5"/>
      <c r="Z196" s="5"/>
    </row>
    <row r="200" spans="1:40" x14ac:dyDescent="0.25">
      <c r="H200">
        <f>183+240+20</f>
        <v>443</v>
      </c>
    </row>
    <row r="204" spans="1:40" x14ac:dyDescent="0.25">
      <c r="A204" s="1" t="s">
        <v>0</v>
      </c>
      <c r="B204" s="1"/>
      <c r="C204" s="1"/>
      <c r="D204" s="1"/>
      <c r="E204" s="1"/>
      <c r="F204" s="1"/>
      <c r="G204" s="1"/>
      <c r="H204" s="1"/>
      <c r="I204" s="1" t="s">
        <v>148</v>
      </c>
      <c r="J204" s="1"/>
      <c r="K204" s="1"/>
      <c r="L204" s="1"/>
      <c r="M204" s="1"/>
      <c r="N204" s="1"/>
      <c r="O204" s="1"/>
      <c r="P204" s="1"/>
      <c r="Q204" s="1"/>
      <c r="R204" s="1"/>
      <c r="S204" s="342" t="s">
        <v>1</v>
      </c>
      <c r="T204" s="342"/>
      <c r="U204" s="5"/>
      <c r="V204" s="139"/>
      <c r="W204" s="1"/>
      <c r="X204" s="1"/>
      <c r="Y204" s="1"/>
      <c r="Z204" s="5"/>
      <c r="AC204" s="335" t="s">
        <v>160</v>
      </c>
      <c r="AD204" s="336"/>
      <c r="AG204" s="335" t="s">
        <v>170</v>
      </c>
      <c r="AH204" s="336"/>
      <c r="AJ204" s="337" t="s">
        <v>172</v>
      </c>
      <c r="AK204" s="337"/>
      <c r="AM204" s="337" t="s">
        <v>681</v>
      </c>
      <c r="AN204" s="337"/>
    </row>
    <row r="205" spans="1:40" ht="90" x14ac:dyDescent="0.25">
      <c r="A205" s="6" t="s">
        <v>2</v>
      </c>
      <c r="B205" s="7" t="s">
        <v>3</v>
      </c>
      <c r="C205" s="7" t="s">
        <v>4</v>
      </c>
      <c r="D205" s="6" t="s">
        <v>5</v>
      </c>
      <c r="E205" s="6" t="s">
        <v>6</v>
      </c>
      <c r="F205" s="6" t="s">
        <v>7</v>
      </c>
      <c r="G205" s="6" t="s">
        <v>8</v>
      </c>
      <c r="H205" s="8" t="s">
        <v>9</v>
      </c>
      <c r="I205" s="9" t="s">
        <v>10</v>
      </c>
      <c r="J205" s="8" t="s">
        <v>11</v>
      </c>
      <c r="K205" s="10" t="s">
        <v>12</v>
      </c>
      <c r="L205" s="10" t="s">
        <v>13</v>
      </c>
      <c r="M205" s="11" t="s">
        <v>14</v>
      </c>
      <c r="N205" s="10" t="s">
        <v>691</v>
      </c>
      <c r="O205" s="10" t="s">
        <v>28</v>
      </c>
      <c r="P205" s="5"/>
      <c r="Q205" s="10" t="s">
        <v>16</v>
      </c>
      <c r="R205" s="10" t="s">
        <v>17</v>
      </c>
      <c r="S205" s="10" t="s">
        <v>18</v>
      </c>
      <c r="T205" s="10" t="s">
        <v>19</v>
      </c>
      <c r="U205" s="10" t="s">
        <v>20</v>
      </c>
      <c r="V205" s="13"/>
      <c r="W205" s="136" t="s">
        <v>688</v>
      </c>
      <c r="X205" s="14" t="s">
        <v>22</v>
      </c>
      <c r="Y205" s="15" t="s">
        <v>23</v>
      </c>
      <c r="Z205" s="5"/>
      <c r="AB205">
        <v>13</v>
      </c>
      <c r="AC205" s="16" t="s">
        <v>161</v>
      </c>
      <c r="AD205" s="58">
        <f>+AB205*10</f>
        <v>130</v>
      </c>
      <c r="AG205" s="16" t="s">
        <v>161</v>
      </c>
      <c r="AH205" s="58">
        <f>+AF205*10</f>
        <v>0</v>
      </c>
      <c r="AJ205" s="61" t="s">
        <v>173</v>
      </c>
      <c r="AK205" s="62" t="s">
        <v>174</v>
      </c>
      <c r="AM205" s="16" t="s">
        <v>161</v>
      </c>
      <c r="AN205" s="58">
        <f>+AL205*10</f>
        <v>0</v>
      </c>
    </row>
    <row r="206" spans="1:40" x14ac:dyDescent="0.25">
      <c r="A206" s="16">
        <v>1</v>
      </c>
      <c r="B206" s="92">
        <v>45193</v>
      </c>
      <c r="C206" s="31" t="s">
        <v>3101</v>
      </c>
      <c r="D206" s="32">
        <v>5615417890</v>
      </c>
      <c r="E206" s="32" t="s">
        <v>28</v>
      </c>
      <c r="F206" s="39" t="s">
        <v>1086</v>
      </c>
      <c r="G206" s="39"/>
      <c r="H206" s="122">
        <v>70</v>
      </c>
      <c r="I206" s="32">
        <v>42</v>
      </c>
      <c r="J206" s="20">
        <v>10</v>
      </c>
      <c r="K206" s="21">
        <f>U206-J206-O206</f>
        <v>-70</v>
      </c>
      <c r="L206" s="21">
        <f t="shared" ref="L206:L224" si="25">+I206+J206</f>
        <v>52</v>
      </c>
      <c r="M206" s="21">
        <f t="shared" ref="M206:M224" si="26">+H206-L206</f>
        <v>18</v>
      </c>
      <c r="N206" s="21"/>
      <c r="O206" s="21"/>
      <c r="P206" s="5"/>
      <c r="Q206" s="21">
        <v>60</v>
      </c>
      <c r="R206" s="16"/>
      <c r="S206" s="21">
        <f t="shared" ref="S206:S224" si="27">+Q206+R206</f>
        <v>60</v>
      </c>
      <c r="T206" s="21"/>
      <c r="U206" s="78">
        <f>T206-S206-O206</f>
        <v>-60</v>
      </c>
      <c r="V206" s="13"/>
      <c r="W206" s="147"/>
      <c r="X206" s="23"/>
      <c r="Y206" s="333"/>
      <c r="Z206" s="5"/>
      <c r="AB206">
        <v>51.5</v>
      </c>
      <c r="AC206" s="59" t="s">
        <v>162</v>
      </c>
      <c r="AD206" s="18">
        <f>+AB206*1</f>
        <v>51.5</v>
      </c>
      <c r="AG206" s="59" t="s">
        <v>162</v>
      </c>
      <c r="AH206" s="18">
        <f>+AF206*1</f>
        <v>0</v>
      </c>
      <c r="AJ206" s="16"/>
      <c r="AK206" s="16"/>
      <c r="AM206" s="59" t="s">
        <v>162</v>
      </c>
      <c r="AN206" s="18">
        <f>+AL206*1</f>
        <v>0</v>
      </c>
    </row>
    <row r="207" spans="1:40" x14ac:dyDescent="0.25">
      <c r="A207" s="26">
        <v>2</v>
      </c>
      <c r="B207" s="92">
        <v>45193</v>
      </c>
      <c r="C207" s="31" t="s">
        <v>3389</v>
      </c>
      <c r="D207" s="32">
        <v>5535780440</v>
      </c>
      <c r="E207" s="32" t="s">
        <v>1088</v>
      </c>
      <c r="F207" s="32" t="s">
        <v>1087</v>
      </c>
      <c r="G207" s="39" t="s">
        <v>1089</v>
      </c>
      <c r="H207" s="122">
        <v>32</v>
      </c>
      <c r="I207" s="32">
        <v>22</v>
      </c>
      <c r="J207" s="20">
        <v>10</v>
      </c>
      <c r="K207" s="21">
        <f t="shared" ref="K207:K224" si="28">U207-J207-O207</f>
        <v>-10</v>
      </c>
      <c r="L207" s="21">
        <f t="shared" si="25"/>
        <v>32</v>
      </c>
      <c r="M207" s="21">
        <f t="shared" si="26"/>
        <v>0</v>
      </c>
      <c r="N207" s="21"/>
      <c r="O207" s="21"/>
      <c r="P207" s="5"/>
      <c r="Q207" s="21"/>
      <c r="R207" s="16"/>
      <c r="S207" s="21">
        <f t="shared" si="27"/>
        <v>0</v>
      </c>
      <c r="T207" s="21"/>
      <c r="U207" s="78">
        <f t="shared" ref="U207:U224" si="29">T207-S207-O207</f>
        <v>0</v>
      </c>
      <c r="V207" s="140"/>
      <c r="W207" s="147"/>
      <c r="X207" s="23"/>
      <c r="Y207" s="334"/>
      <c r="Z207" s="5"/>
      <c r="AB207">
        <v>24</v>
      </c>
      <c r="AC207" s="16" t="s">
        <v>163</v>
      </c>
      <c r="AD207" s="60">
        <f>+AB207*5</f>
        <v>120</v>
      </c>
      <c r="AG207" s="16" t="s">
        <v>163</v>
      </c>
      <c r="AH207" s="60">
        <f>+AF207*5</f>
        <v>0</v>
      </c>
      <c r="AJ207" s="16"/>
      <c r="AK207" s="16"/>
      <c r="AM207" s="16" t="s">
        <v>163</v>
      </c>
      <c r="AN207" s="60">
        <f>+AL207*5</f>
        <v>0</v>
      </c>
    </row>
    <row r="208" spans="1:40" x14ac:dyDescent="0.25">
      <c r="A208" s="143">
        <v>3</v>
      </c>
      <c r="B208" s="92">
        <v>45193</v>
      </c>
      <c r="C208" s="31" t="s">
        <v>1090</v>
      </c>
      <c r="D208" s="32">
        <v>5576898641</v>
      </c>
      <c r="E208" s="32" t="s">
        <v>38</v>
      </c>
      <c r="F208" s="32" t="s">
        <v>1091</v>
      </c>
      <c r="G208" s="39" t="s">
        <v>1092</v>
      </c>
      <c r="H208" s="122">
        <v>140</v>
      </c>
      <c r="I208" s="32">
        <v>130</v>
      </c>
      <c r="J208" s="20">
        <v>10</v>
      </c>
      <c r="K208" s="21">
        <f t="shared" si="28"/>
        <v>-10</v>
      </c>
      <c r="L208" s="21">
        <f t="shared" si="25"/>
        <v>140</v>
      </c>
      <c r="M208" s="21">
        <f t="shared" si="26"/>
        <v>0</v>
      </c>
      <c r="N208" s="21"/>
      <c r="O208" s="21"/>
      <c r="P208" s="5"/>
      <c r="Q208" s="21"/>
      <c r="R208" s="16"/>
      <c r="S208" s="21">
        <f t="shared" si="27"/>
        <v>0</v>
      </c>
      <c r="T208" s="21"/>
      <c r="U208" s="78">
        <f t="shared" si="29"/>
        <v>0</v>
      </c>
      <c r="V208" s="140"/>
      <c r="W208" s="147"/>
      <c r="X208" s="23"/>
      <c r="Y208" s="334"/>
      <c r="Z208" s="5"/>
      <c r="AB208">
        <v>3</v>
      </c>
      <c r="AC208" s="16" t="s">
        <v>164</v>
      </c>
      <c r="AD208" s="18">
        <f>+AB208*200</f>
        <v>600</v>
      </c>
      <c r="AG208" s="16" t="s">
        <v>164</v>
      </c>
      <c r="AH208" s="18">
        <f>+AF208*200</f>
        <v>0</v>
      </c>
      <c r="AJ208" s="16"/>
      <c r="AK208" s="16"/>
      <c r="AM208" s="16" t="s">
        <v>164</v>
      </c>
      <c r="AN208" s="18">
        <f>+AL208*200</f>
        <v>0</v>
      </c>
    </row>
    <row r="209" spans="1:40" x14ac:dyDescent="0.25">
      <c r="A209" s="143">
        <v>4</v>
      </c>
      <c r="B209" s="92">
        <v>45193</v>
      </c>
      <c r="C209" s="31" t="s">
        <v>1095</v>
      </c>
      <c r="D209" s="32">
        <v>5540567925</v>
      </c>
      <c r="E209" s="32" t="s">
        <v>52</v>
      </c>
      <c r="F209" s="32" t="s">
        <v>1093</v>
      </c>
      <c r="G209" s="39" t="s">
        <v>1094</v>
      </c>
      <c r="H209" s="122">
        <v>500</v>
      </c>
      <c r="I209" s="32">
        <v>341</v>
      </c>
      <c r="J209" s="20">
        <v>10</v>
      </c>
      <c r="K209" s="21">
        <v>0</v>
      </c>
      <c r="L209" s="21">
        <f t="shared" si="25"/>
        <v>351</v>
      </c>
      <c r="M209" s="21" t="s">
        <v>148</v>
      </c>
      <c r="N209" s="21"/>
      <c r="O209" s="21"/>
      <c r="P209" s="5"/>
      <c r="Q209" s="21"/>
      <c r="R209" s="16"/>
      <c r="S209" s="21">
        <f t="shared" si="27"/>
        <v>0</v>
      </c>
      <c r="T209" s="21"/>
      <c r="U209" s="78">
        <f t="shared" si="29"/>
        <v>0</v>
      </c>
      <c r="V209" s="140"/>
      <c r="W209" s="147"/>
      <c r="X209" s="23"/>
      <c r="Y209" s="334"/>
      <c r="Z209" s="5"/>
      <c r="AB209">
        <v>1</v>
      </c>
      <c r="AC209" s="16" t="s">
        <v>165</v>
      </c>
      <c r="AD209" s="18">
        <f>+AB209*100</f>
        <v>100</v>
      </c>
      <c r="AG209" s="16" t="s">
        <v>165</v>
      </c>
      <c r="AH209" s="18">
        <f>+AF209*100</f>
        <v>0</v>
      </c>
      <c r="AJ209" s="16"/>
      <c r="AK209" s="16"/>
      <c r="AM209" s="16" t="s">
        <v>165</v>
      </c>
      <c r="AN209" s="18">
        <f>+AL209*100</f>
        <v>0</v>
      </c>
    </row>
    <row r="210" spans="1:40" x14ac:dyDescent="0.25">
      <c r="A210" s="143">
        <v>5</v>
      </c>
      <c r="B210" s="92">
        <v>45193</v>
      </c>
      <c r="C210" s="31" t="s">
        <v>3390</v>
      </c>
      <c r="D210" s="32">
        <v>5514732212</v>
      </c>
      <c r="E210" s="32" t="s">
        <v>52</v>
      </c>
      <c r="F210" s="32" t="s">
        <v>620</v>
      </c>
      <c r="G210" s="32" t="s">
        <v>1096</v>
      </c>
      <c r="H210" s="122">
        <v>96</v>
      </c>
      <c r="I210" s="32">
        <v>86</v>
      </c>
      <c r="J210" s="20">
        <v>10</v>
      </c>
      <c r="K210" s="21">
        <f t="shared" si="28"/>
        <v>-10</v>
      </c>
      <c r="L210" s="21">
        <f t="shared" si="25"/>
        <v>96</v>
      </c>
      <c r="M210" s="21">
        <f t="shared" si="26"/>
        <v>0</v>
      </c>
      <c r="N210" s="21"/>
      <c r="O210" s="21"/>
      <c r="P210" s="5"/>
      <c r="Q210" s="16"/>
      <c r="R210" s="16"/>
      <c r="S210" s="21">
        <f t="shared" si="27"/>
        <v>0</v>
      </c>
      <c r="T210" s="21"/>
      <c r="U210" s="78">
        <f t="shared" si="29"/>
        <v>0</v>
      </c>
      <c r="V210" s="140"/>
      <c r="W210" s="147"/>
      <c r="X210" s="23"/>
      <c r="Y210" s="334"/>
      <c r="Z210" s="5"/>
      <c r="AB210">
        <v>7</v>
      </c>
      <c r="AC210" s="16" t="s">
        <v>166</v>
      </c>
      <c r="AD210" s="18">
        <f>+AB210*50</f>
        <v>350</v>
      </c>
      <c r="AG210" s="16" t="s">
        <v>166</v>
      </c>
      <c r="AH210" s="18">
        <f>+AF210*50</f>
        <v>0</v>
      </c>
      <c r="AJ210" s="16"/>
      <c r="AK210" s="16"/>
      <c r="AM210" s="16" t="s">
        <v>166</v>
      </c>
      <c r="AN210" s="18">
        <f>+AL210*50</f>
        <v>0</v>
      </c>
    </row>
    <row r="211" spans="1:40" x14ac:dyDescent="0.25">
      <c r="A211" s="143">
        <v>6</v>
      </c>
      <c r="B211" s="92">
        <v>45193</v>
      </c>
      <c r="C211" s="31"/>
      <c r="D211" s="32"/>
      <c r="E211" s="32"/>
      <c r="F211" s="32" t="s">
        <v>1098</v>
      </c>
      <c r="G211" s="39" t="s">
        <v>1097</v>
      </c>
      <c r="H211" s="39"/>
      <c r="I211" s="42">
        <v>10</v>
      </c>
      <c r="J211" s="20">
        <v>20</v>
      </c>
      <c r="K211" s="21">
        <f t="shared" si="28"/>
        <v>-123</v>
      </c>
      <c r="L211" s="21">
        <f t="shared" si="25"/>
        <v>30</v>
      </c>
      <c r="M211" s="21">
        <f t="shared" si="26"/>
        <v>-30</v>
      </c>
      <c r="N211" s="21"/>
      <c r="O211" s="21">
        <v>136</v>
      </c>
      <c r="P211" s="5"/>
      <c r="Q211" s="16">
        <v>300</v>
      </c>
      <c r="R211" s="16"/>
      <c r="S211" s="21">
        <f t="shared" si="27"/>
        <v>300</v>
      </c>
      <c r="T211" s="16">
        <v>469</v>
      </c>
      <c r="U211" s="78">
        <f t="shared" si="29"/>
        <v>33</v>
      </c>
      <c r="V211" s="140"/>
      <c r="W211" s="147"/>
      <c r="X211" s="23"/>
      <c r="Y211" s="334"/>
      <c r="Z211" s="5"/>
      <c r="AB211">
        <v>5</v>
      </c>
      <c r="AC211" s="16" t="s">
        <v>167</v>
      </c>
      <c r="AD211" s="18">
        <f>+AB211*20</f>
        <v>100</v>
      </c>
      <c r="AG211" s="16" t="s">
        <v>167</v>
      </c>
      <c r="AH211" s="18">
        <f>+AF211*20</f>
        <v>0</v>
      </c>
      <c r="AJ211" s="16"/>
      <c r="AK211" s="16"/>
      <c r="AM211" s="16" t="s">
        <v>167</v>
      </c>
      <c r="AN211" s="18">
        <f>+AL211*20</f>
        <v>0</v>
      </c>
    </row>
    <row r="212" spans="1:40" x14ac:dyDescent="0.25">
      <c r="A212" s="143">
        <v>7</v>
      </c>
      <c r="B212" s="92">
        <v>45193</v>
      </c>
      <c r="C212" s="31" t="s">
        <v>24</v>
      </c>
      <c r="D212" s="32"/>
      <c r="E212" s="32" t="s">
        <v>106</v>
      </c>
      <c r="F212" s="32"/>
      <c r="G212" s="39" t="s">
        <v>1104</v>
      </c>
      <c r="H212" s="122">
        <v>377</v>
      </c>
      <c r="I212" s="42">
        <v>367</v>
      </c>
      <c r="J212" s="20">
        <v>10</v>
      </c>
      <c r="K212" s="21">
        <f t="shared" si="28"/>
        <v>0</v>
      </c>
      <c r="L212" s="21">
        <f t="shared" si="25"/>
        <v>377</v>
      </c>
      <c r="M212" s="21">
        <f t="shared" si="26"/>
        <v>0</v>
      </c>
      <c r="N212" s="21"/>
      <c r="O212" s="21"/>
      <c r="P212" s="5"/>
      <c r="Q212" s="16"/>
      <c r="R212" s="16"/>
      <c r="S212" s="21">
        <f t="shared" si="27"/>
        <v>0</v>
      </c>
      <c r="T212" s="16">
        <v>10</v>
      </c>
      <c r="U212" s="78">
        <f t="shared" si="29"/>
        <v>10</v>
      </c>
      <c r="V212" s="140"/>
      <c r="W212" s="147"/>
      <c r="X212" s="23"/>
      <c r="Y212" s="334"/>
      <c r="Z212" s="5"/>
      <c r="AB212">
        <v>2</v>
      </c>
      <c r="AC212" s="16" t="s">
        <v>171</v>
      </c>
      <c r="AD212" s="18">
        <f>+AB212*500</f>
        <v>1000</v>
      </c>
      <c r="AG212" s="16" t="s">
        <v>171</v>
      </c>
      <c r="AH212" s="18">
        <f>+AF212*500</f>
        <v>0</v>
      </c>
      <c r="AJ212" s="16"/>
      <c r="AK212" s="16"/>
      <c r="AM212" s="16" t="s">
        <v>171</v>
      </c>
      <c r="AN212" s="18">
        <f>+AL212*500</f>
        <v>0</v>
      </c>
    </row>
    <row r="213" spans="1:40" x14ac:dyDescent="0.25">
      <c r="A213" s="143">
        <v>8</v>
      </c>
      <c r="B213" s="92">
        <v>45193</v>
      </c>
      <c r="C213" s="31" t="s">
        <v>48</v>
      </c>
      <c r="D213" s="123"/>
      <c r="E213" s="123"/>
      <c r="F213" s="123" t="s">
        <v>1108</v>
      </c>
      <c r="G213" s="39" t="s">
        <v>1105</v>
      </c>
      <c r="H213" s="122">
        <v>200</v>
      </c>
      <c r="I213" s="32"/>
      <c r="J213" s="20">
        <v>10</v>
      </c>
      <c r="K213" s="21">
        <f t="shared" si="28"/>
        <v>-10</v>
      </c>
      <c r="L213" s="21">
        <f t="shared" si="25"/>
        <v>10</v>
      </c>
      <c r="M213" s="21">
        <f t="shared" si="26"/>
        <v>190</v>
      </c>
      <c r="N213" s="21">
        <v>225</v>
      </c>
      <c r="O213" s="21"/>
      <c r="P213" s="5"/>
      <c r="Q213" s="16">
        <v>250</v>
      </c>
      <c r="R213" s="16"/>
      <c r="S213" s="21">
        <f t="shared" si="27"/>
        <v>250</v>
      </c>
      <c r="T213" s="16">
        <v>250</v>
      </c>
      <c r="U213" s="78">
        <f t="shared" si="29"/>
        <v>0</v>
      </c>
      <c r="V213" s="140"/>
      <c r="W213" s="147"/>
      <c r="X213" s="23"/>
      <c r="Y213" s="334"/>
      <c r="Z213" s="5"/>
      <c r="AC213" s="16" t="s">
        <v>168</v>
      </c>
      <c r="AD213" s="18">
        <f>+AB213*1000</f>
        <v>0</v>
      </c>
      <c r="AG213" s="16" t="s">
        <v>168</v>
      </c>
      <c r="AH213" s="18">
        <f>+AF213*1000</f>
        <v>0</v>
      </c>
      <c r="AJ213" s="16"/>
      <c r="AK213" s="16"/>
      <c r="AM213" s="16" t="s">
        <v>168</v>
      </c>
      <c r="AN213" s="18">
        <f>+AL213*1000</f>
        <v>0</v>
      </c>
    </row>
    <row r="214" spans="1:40" x14ac:dyDescent="0.25">
      <c r="A214" s="143">
        <v>9</v>
      </c>
      <c r="B214" s="92">
        <v>45193</v>
      </c>
      <c r="C214" s="31" t="s">
        <v>3391</v>
      </c>
      <c r="D214" s="32"/>
      <c r="E214" s="32"/>
      <c r="F214" s="32" t="s">
        <v>1107</v>
      </c>
      <c r="G214" s="39"/>
      <c r="H214" s="39"/>
      <c r="I214" s="40">
        <v>144</v>
      </c>
      <c r="J214" s="20">
        <v>20</v>
      </c>
      <c r="K214" s="21">
        <f t="shared" si="28"/>
        <v>-20</v>
      </c>
      <c r="L214" s="21">
        <f t="shared" si="25"/>
        <v>164</v>
      </c>
      <c r="M214" s="21">
        <f t="shared" si="26"/>
        <v>-164</v>
      </c>
      <c r="N214" s="21"/>
      <c r="O214" s="21"/>
      <c r="P214" s="5"/>
      <c r="Q214" s="16">
        <v>200</v>
      </c>
      <c r="R214" s="16"/>
      <c r="S214" s="21">
        <f t="shared" si="27"/>
        <v>200</v>
      </c>
      <c r="T214" s="16">
        <v>200</v>
      </c>
      <c r="U214" s="78">
        <f t="shared" si="29"/>
        <v>0</v>
      </c>
      <c r="V214" s="140"/>
      <c r="W214" s="147"/>
      <c r="X214" s="23"/>
      <c r="Y214" s="334"/>
      <c r="Z214" s="5"/>
      <c r="AC214" s="26"/>
      <c r="AD214" s="58"/>
      <c r="AG214" s="26"/>
      <c r="AH214" s="58"/>
      <c r="AJ214" s="16"/>
      <c r="AK214" s="16"/>
      <c r="AM214" s="26"/>
      <c r="AN214" s="58"/>
    </row>
    <row r="215" spans="1:40" x14ac:dyDescent="0.25">
      <c r="A215" s="143">
        <v>10</v>
      </c>
      <c r="B215" s="92">
        <v>45193</v>
      </c>
      <c r="C215" s="31" t="s">
        <v>37</v>
      </c>
      <c r="D215" s="32"/>
      <c r="E215" s="32"/>
      <c r="F215" s="32" t="s">
        <v>1106</v>
      </c>
      <c r="G215" s="39"/>
      <c r="H215" s="122">
        <v>500</v>
      </c>
      <c r="I215" s="42">
        <v>176</v>
      </c>
      <c r="J215" s="20">
        <v>10</v>
      </c>
      <c r="K215" s="21">
        <f t="shared" si="28"/>
        <v>-10</v>
      </c>
      <c r="L215" s="21">
        <f t="shared" si="25"/>
        <v>186</v>
      </c>
      <c r="M215" s="21">
        <f t="shared" si="26"/>
        <v>314</v>
      </c>
      <c r="N215" s="21"/>
      <c r="O215" s="21"/>
      <c r="P215" s="5"/>
      <c r="Q215" s="16">
        <v>500</v>
      </c>
      <c r="R215" s="16"/>
      <c r="S215" s="21">
        <f t="shared" si="27"/>
        <v>500</v>
      </c>
      <c r="T215" s="16">
        <v>500</v>
      </c>
      <c r="U215" s="78">
        <f t="shared" si="29"/>
        <v>0</v>
      </c>
      <c r="V215" s="140"/>
      <c r="W215" s="147"/>
      <c r="X215" s="23"/>
      <c r="Y215" s="334"/>
      <c r="Z215" s="5"/>
      <c r="AC215" s="16" t="s">
        <v>169</v>
      </c>
      <c r="AD215" s="18">
        <f>SUM(AD205:AD214)</f>
        <v>2451.5</v>
      </c>
      <c r="AG215" s="16" t="s">
        <v>169</v>
      </c>
      <c r="AH215" s="18">
        <f>SUM(AH205:AH214)</f>
        <v>0</v>
      </c>
      <c r="AJ215" s="16"/>
      <c r="AK215" s="16"/>
      <c r="AM215" s="16" t="s">
        <v>169</v>
      </c>
      <c r="AN215" s="18"/>
    </row>
    <row r="216" spans="1:40" x14ac:dyDescent="0.25">
      <c r="A216" s="143">
        <v>11</v>
      </c>
      <c r="B216" s="92">
        <v>45193</v>
      </c>
      <c r="C216" s="31" t="s">
        <v>473</v>
      </c>
      <c r="D216" s="124"/>
      <c r="E216" s="123"/>
      <c r="F216" s="123">
        <v>202</v>
      </c>
      <c r="G216" s="39" t="s">
        <v>1111</v>
      </c>
      <c r="H216" s="122"/>
      <c r="I216" s="42">
        <v>66</v>
      </c>
      <c r="J216" s="20">
        <v>10</v>
      </c>
      <c r="K216" s="21">
        <f t="shared" si="28"/>
        <v>-10</v>
      </c>
      <c r="L216" s="21">
        <f t="shared" si="25"/>
        <v>76</v>
      </c>
      <c r="M216" s="21">
        <f t="shared" si="26"/>
        <v>-76</v>
      </c>
      <c r="N216" s="21"/>
      <c r="O216" s="21"/>
      <c r="P216" s="5"/>
      <c r="Q216" s="16"/>
      <c r="R216" s="16"/>
      <c r="S216" s="21">
        <f t="shared" si="27"/>
        <v>0</v>
      </c>
      <c r="T216" s="16"/>
      <c r="U216" s="78">
        <f t="shared" si="29"/>
        <v>0</v>
      </c>
      <c r="V216" s="140"/>
      <c r="W216" s="147"/>
      <c r="X216" s="23"/>
      <c r="Y216" s="334"/>
      <c r="Z216" s="5"/>
      <c r="AJ216" s="16"/>
      <c r="AK216" s="16"/>
      <c r="AM216" s="16"/>
      <c r="AN216" s="16"/>
    </row>
    <row r="217" spans="1:40" x14ac:dyDescent="0.25">
      <c r="A217" s="143">
        <v>12</v>
      </c>
      <c r="B217" s="92">
        <v>45193</v>
      </c>
      <c r="C217" s="32"/>
      <c r="D217" s="32"/>
      <c r="E217" s="124"/>
      <c r="F217" s="123"/>
      <c r="G217" s="39"/>
      <c r="H217" s="39"/>
      <c r="I217" s="42"/>
      <c r="J217" s="20">
        <v>10</v>
      </c>
      <c r="K217" s="21">
        <f t="shared" si="28"/>
        <v>-10</v>
      </c>
      <c r="L217" s="21">
        <f t="shared" si="25"/>
        <v>10</v>
      </c>
      <c r="M217" s="21">
        <f t="shared" si="26"/>
        <v>-10</v>
      </c>
      <c r="N217" s="21"/>
      <c r="O217" s="21"/>
      <c r="P217" s="5"/>
      <c r="Q217" s="45"/>
      <c r="R217" s="44"/>
      <c r="S217" s="21">
        <f t="shared" si="27"/>
        <v>0</v>
      </c>
      <c r="T217" s="45"/>
      <c r="U217" s="78">
        <f t="shared" si="29"/>
        <v>0</v>
      </c>
      <c r="V217" s="140"/>
      <c r="W217" s="147"/>
      <c r="X217" s="23"/>
      <c r="Y217" s="334"/>
      <c r="Z217" s="5"/>
      <c r="AD217" s="83"/>
      <c r="AJ217" s="63" t="s">
        <v>169</v>
      </c>
      <c r="AK217" s="63">
        <f>+SUM(AJ206:AJ216)-SUM(AK206:AK216)</f>
        <v>0</v>
      </c>
      <c r="AM217" s="63" t="s">
        <v>169</v>
      </c>
      <c r="AN217" s="85">
        <f>+SUM(AM205:AM216)-SUM(AN206:AN216)</f>
        <v>0</v>
      </c>
    </row>
    <row r="218" spans="1:40" x14ac:dyDescent="0.25">
      <c r="A218" s="143">
        <v>13</v>
      </c>
      <c r="B218" s="92">
        <v>45193</v>
      </c>
      <c r="C218" s="31"/>
      <c r="D218" s="32"/>
      <c r="E218" s="32"/>
      <c r="F218" s="32"/>
      <c r="G218" s="39"/>
      <c r="H218" s="39"/>
      <c r="I218" s="42"/>
      <c r="J218" s="108">
        <v>10</v>
      </c>
      <c r="K218" s="21">
        <f t="shared" si="28"/>
        <v>-10</v>
      </c>
      <c r="L218" s="21">
        <f t="shared" si="25"/>
        <v>10</v>
      </c>
      <c r="M218" s="21">
        <f t="shared" si="26"/>
        <v>-10</v>
      </c>
      <c r="N218" s="21"/>
      <c r="O218" s="21"/>
      <c r="P218" s="5"/>
      <c r="Q218" s="43"/>
      <c r="R218" s="32"/>
      <c r="S218" s="21">
        <f t="shared" si="27"/>
        <v>0</v>
      </c>
      <c r="T218" s="43"/>
      <c r="U218" s="78">
        <f t="shared" si="29"/>
        <v>0</v>
      </c>
      <c r="V218" s="140"/>
      <c r="W218" s="147"/>
      <c r="X218" s="23"/>
      <c r="Y218" s="334"/>
      <c r="Z218" s="5"/>
      <c r="AH218" s="83"/>
    </row>
    <row r="219" spans="1:40" x14ac:dyDescent="0.25">
      <c r="A219" s="143">
        <v>14</v>
      </c>
      <c r="B219" s="285">
        <v>45193</v>
      </c>
      <c r="C219" s="31"/>
      <c r="D219" s="32"/>
      <c r="E219" s="32"/>
      <c r="F219" s="32"/>
      <c r="G219" s="39"/>
      <c r="H219" s="39"/>
      <c r="I219" s="42"/>
      <c r="J219" s="108">
        <v>10</v>
      </c>
      <c r="K219" s="21">
        <f t="shared" si="28"/>
        <v>-10</v>
      </c>
      <c r="L219" s="21">
        <f t="shared" si="25"/>
        <v>10</v>
      </c>
      <c r="M219" s="21">
        <f t="shared" si="26"/>
        <v>-10</v>
      </c>
      <c r="N219" s="21"/>
      <c r="O219" s="21"/>
      <c r="P219" s="5"/>
      <c r="Q219" s="43"/>
      <c r="R219" s="43"/>
      <c r="S219" s="21">
        <f t="shared" si="27"/>
        <v>0</v>
      </c>
      <c r="T219" s="43"/>
      <c r="U219" s="78">
        <f t="shared" si="29"/>
        <v>0</v>
      </c>
      <c r="V219" s="140"/>
      <c r="W219" s="147"/>
      <c r="X219" s="23"/>
      <c r="Y219" s="334"/>
      <c r="Z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40" x14ac:dyDescent="0.25">
      <c r="A220" s="143">
        <v>15</v>
      </c>
      <c r="B220" s="31">
        <v>45193</v>
      </c>
      <c r="C220" s="127"/>
      <c r="D220" s="32"/>
      <c r="E220" s="32"/>
      <c r="F220" s="128"/>
      <c r="G220" s="129"/>
      <c r="H220" s="39"/>
      <c r="I220" s="42"/>
      <c r="J220" s="108">
        <v>10</v>
      </c>
      <c r="K220" s="21">
        <f t="shared" si="28"/>
        <v>-10</v>
      </c>
      <c r="L220" s="21">
        <f t="shared" si="25"/>
        <v>10</v>
      </c>
      <c r="M220" s="21">
        <f t="shared" si="26"/>
        <v>-10</v>
      </c>
      <c r="N220" s="21"/>
      <c r="O220" s="21"/>
      <c r="P220" s="5"/>
      <c r="Q220" s="43"/>
      <c r="R220" s="43"/>
      <c r="S220" s="21">
        <f t="shared" si="27"/>
        <v>0</v>
      </c>
      <c r="T220" s="43"/>
      <c r="U220" s="78">
        <f t="shared" si="29"/>
        <v>0</v>
      </c>
      <c r="V220" s="140"/>
      <c r="W220" s="147"/>
      <c r="X220" s="23"/>
      <c r="Y220" s="334"/>
      <c r="Z220" s="5"/>
      <c r="AC220" s="5"/>
      <c r="AD220" s="134" t="s">
        <v>20</v>
      </c>
      <c r="AE220" s="338"/>
      <c r="AF220" s="341" t="s">
        <v>686</v>
      </c>
      <c r="AG220" s="134" t="s">
        <v>20</v>
      </c>
      <c r="AH220" s="338"/>
      <c r="AI220" s="341" t="s">
        <v>687</v>
      </c>
      <c r="AJ220" s="134" t="s">
        <v>20</v>
      </c>
      <c r="AK220" s="338"/>
      <c r="AL220" s="5"/>
    </row>
    <row r="221" spans="1:40" x14ac:dyDescent="0.25">
      <c r="A221" s="143">
        <v>16</v>
      </c>
      <c r="B221" s="286">
        <v>45193</v>
      </c>
      <c r="C221" s="31"/>
      <c r="D221" s="32"/>
      <c r="E221" s="32"/>
      <c r="F221" s="32"/>
      <c r="G221" s="39"/>
      <c r="H221" s="39"/>
      <c r="I221" s="42"/>
      <c r="J221" s="43">
        <v>10</v>
      </c>
      <c r="K221" s="21">
        <f t="shared" si="28"/>
        <v>-10</v>
      </c>
      <c r="L221" s="21">
        <f t="shared" si="25"/>
        <v>10</v>
      </c>
      <c r="M221" s="21">
        <f t="shared" si="26"/>
        <v>-10</v>
      </c>
      <c r="N221" s="21"/>
      <c r="O221" s="21"/>
      <c r="P221" s="5"/>
      <c r="Q221" s="43"/>
      <c r="R221" s="32"/>
      <c r="S221" s="21">
        <f t="shared" si="27"/>
        <v>0</v>
      </c>
      <c r="T221" s="131"/>
      <c r="U221" s="78">
        <f t="shared" si="29"/>
        <v>0</v>
      </c>
      <c r="V221" s="140"/>
      <c r="W221" s="147"/>
      <c r="X221" s="23"/>
      <c r="Y221" s="334"/>
      <c r="Z221" s="5"/>
      <c r="AC221" s="5" t="s">
        <v>685</v>
      </c>
      <c r="AD221" s="115" t="s">
        <v>684</v>
      </c>
      <c r="AE221" s="339"/>
      <c r="AF221" s="341"/>
      <c r="AG221" s="115" t="s">
        <v>684</v>
      </c>
      <c r="AH221" s="339"/>
      <c r="AI221" s="341"/>
      <c r="AJ221" s="115" t="s">
        <v>684</v>
      </c>
      <c r="AK221" s="339"/>
      <c r="AL221" s="5"/>
    </row>
    <row r="222" spans="1:40" x14ac:dyDescent="0.25">
      <c r="A222" s="143">
        <v>17</v>
      </c>
      <c r="B222" s="92">
        <v>45193</v>
      </c>
      <c r="C222" s="31"/>
      <c r="D222" s="32"/>
      <c r="E222" s="32"/>
      <c r="F222" s="32"/>
      <c r="G222" s="39"/>
      <c r="H222" s="39"/>
      <c r="I222" s="42"/>
      <c r="J222" s="43">
        <v>10</v>
      </c>
      <c r="K222" s="21">
        <f t="shared" si="28"/>
        <v>-10</v>
      </c>
      <c r="L222" s="21">
        <f t="shared" si="25"/>
        <v>10</v>
      </c>
      <c r="M222" s="21">
        <f t="shared" si="26"/>
        <v>-10</v>
      </c>
      <c r="N222" s="21"/>
      <c r="O222" s="21"/>
      <c r="P222" s="5"/>
      <c r="Q222" s="43"/>
      <c r="R222" s="32"/>
      <c r="S222" s="21">
        <f t="shared" si="27"/>
        <v>0</v>
      </c>
      <c r="T222" s="132"/>
      <c r="U222" s="78">
        <f t="shared" si="29"/>
        <v>0</v>
      </c>
      <c r="V222" s="140"/>
      <c r="W222" s="147"/>
      <c r="X222" s="23"/>
      <c r="Y222" s="340"/>
      <c r="Z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40" x14ac:dyDescent="0.25">
      <c r="A223" s="143">
        <v>18</v>
      </c>
      <c r="B223" s="92">
        <v>45193</v>
      </c>
      <c r="C223" s="31"/>
      <c r="D223" s="32"/>
      <c r="E223" s="32"/>
      <c r="F223" s="32"/>
      <c r="G223" s="39"/>
      <c r="H223" s="39"/>
      <c r="I223" s="42"/>
      <c r="J223" s="43">
        <v>10</v>
      </c>
      <c r="K223" s="21">
        <f t="shared" si="28"/>
        <v>-10</v>
      </c>
      <c r="L223" s="21">
        <f t="shared" si="25"/>
        <v>10</v>
      </c>
      <c r="M223" s="21">
        <f t="shared" si="26"/>
        <v>-10</v>
      </c>
      <c r="N223" s="21"/>
      <c r="O223" s="21"/>
      <c r="P223" s="5"/>
      <c r="Q223" s="135"/>
      <c r="R223" s="104"/>
      <c r="S223" s="21">
        <f t="shared" si="27"/>
        <v>0</v>
      </c>
      <c r="T223" s="131"/>
      <c r="U223" s="78">
        <f t="shared" si="29"/>
        <v>0</v>
      </c>
      <c r="V223" s="140"/>
      <c r="W223" s="138"/>
      <c r="X223" s="32"/>
      <c r="Z223" s="5"/>
    </row>
    <row r="224" spans="1:40" x14ac:dyDescent="0.25">
      <c r="A224" s="143">
        <v>19</v>
      </c>
      <c r="B224" s="92">
        <v>45193</v>
      </c>
      <c r="C224" s="31"/>
      <c r="D224" s="32"/>
      <c r="E224" s="32"/>
      <c r="F224" s="32"/>
      <c r="G224" s="39"/>
      <c r="H224" s="39"/>
      <c r="I224" s="42"/>
      <c r="J224" s="43">
        <v>10</v>
      </c>
      <c r="K224" s="21">
        <f t="shared" si="28"/>
        <v>-10</v>
      </c>
      <c r="L224" s="21">
        <f t="shared" si="25"/>
        <v>10</v>
      </c>
      <c r="M224" s="21">
        <f t="shared" si="26"/>
        <v>-10</v>
      </c>
      <c r="N224" s="21"/>
      <c r="O224" s="21"/>
      <c r="P224" s="5"/>
      <c r="Q224" s="32"/>
      <c r="R224" s="32"/>
      <c r="S224" s="21">
        <f t="shared" si="27"/>
        <v>0</v>
      </c>
      <c r="T224" s="32"/>
      <c r="U224" s="78">
        <f t="shared" si="29"/>
        <v>0</v>
      </c>
      <c r="V224" s="140"/>
      <c r="W224" s="138"/>
      <c r="X224" s="32"/>
      <c r="Z224" s="5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141"/>
      <c r="W225" s="5"/>
      <c r="X225" s="5"/>
      <c r="Y225" s="5"/>
      <c r="Z225" s="5"/>
    </row>
    <row r="228" spans="1:26" x14ac:dyDescent="0.25">
      <c r="I228" t="s">
        <v>1099</v>
      </c>
    </row>
    <row r="229" spans="1:26" x14ac:dyDescent="0.25">
      <c r="I229" t="s">
        <v>1100</v>
      </c>
    </row>
    <row r="230" spans="1:26" x14ac:dyDescent="0.25">
      <c r="I230">
        <v>21</v>
      </c>
      <c r="L230">
        <v>110</v>
      </c>
    </row>
    <row r="231" spans="1:26" x14ac:dyDescent="0.25">
      <c r="I231" t="s">
        <v>1101</v>
      </c>
      <c r="L231">
        <v>34</v>
      </c>
    </row>
    <row r="232" spans="1:26" x14ac:dyDescent="0.25">
      <c r="I232" t="s">
        <v>1102</v>
      </c>
      <c r="L232">
        <f>+L230+L231+20</f>
        <v>164</v>
      </c>
    </row>
    <row r="233" spans="1:26" x14ac:dyDescent="0.25">
      <c r="G233">
        <f>134+36+20</f>
        <v>190</v>
      </c>
      <c r="I233" t="s">
        <v>1103</v>
      </c>
      <c r="L233" s="83">
        <f>+L232+I216</f>
        <v>230</v>
      </c>
    </row>
    <row r="234" spans="1:26" x14ac:dyDescent="0.25">
      <c r="G234">
        <v>300</v>
      </c>
    </row>
    <row r="238" spans="1:26" x14ac:dyDescent="0.25">
      <c r="F238" t="s">
        <v>1109</v>
      </c>
    </row>
    <row r="239" spans="1:26" x14ac:dyDescent="0.25">
      <c r="F239" t="s">
        <v>1110</v>
      </c>
    </row>
    <row r="245" spans="1:40" x14ac:dyDescent="0.25">
      <c r="A245" s="1" t="s">
        <v>0</v>
      </c>
      <c r="B245" s="1"/>
      <c r="C245" s="1"/>
      <c r="D245" s="1"/>
      <c r="E245" s="1"/>
      <c r="F245" s="1"/>
      <c r="G245" s="1"/>
      <c r="H245" s="1"/>
      <c r="I245" s="1" t="s">
        <v>148</v>
      </c>
      <c r="J245" s="1"/>
      <c r="K245" s="1"/>
      <c r="L245" s="1"/>
      <c r="M245" s="1"/>
      <c r="N245" s="1"/>
      <c r="O245" s="1"/>
      <c r="P245" s="1"/>
      <c r="Q245" s="1"/>
      <c r="R245" s="1"/>
      <c r="S245" s="342" t="s">
        <v>1</v>
      </c>
      <c r="T245" s="342"/>
      <c r="U245" s="5"/>
      <c r="V245" s="139"/>
      <c r="W245" s="1"/>
      <c r="X245" s="1"/>
      <c r="Y245" s="1"/>
      <c r="Z245" s="5"/>
      <c r="AC245" s="335" t="s">
        <v>160</v>
      </c>
      <c r="AD245" s="336"/>
      <c r="AG245" s="335" t="s">
        <v>170</v>
      </c>
      <c r="AH245" s="336"/>
      <c r="AJ245" s="337" t="s">
        <v>172</v>
      </c>
      <c r="AK245" s="337"/>
      <c r="AM245" s="337" t="s">
        <v>681</v>
      </c>
      <c r="AN245" s="337"/>
    </row>
    <row r="246" spans="1:40" ht="90" x14ac:dyDescent="0.25">
      <c r="A246" s="6" t="s">
        <v>2</v>
      </c>
      <c r="B246" s="7" t="s">
        <v>3</v>
      </c>
      <c r="C246" s="7" t="s">
        <v>4</v>
      </c>
      <c r="D246" s="6" t="s">
        <v>5</v>
      </c>
      <c r="E246" s="6" t="s">
        <v>6</v>
      </c>
      <c r="F246" s="6" t="s">
        <v>7</v>
      </c>
      <c r="G246" s="6" t="s">
        <v>8</v>
      </c>
      <c r="H246" s="8" t="s">
        <v>9</v>
      </c>
      <c r="I246" s="9" t="s">
        <v>10</v>
      </c>
      <c r="J246" s="8" t="s">
        <v>11</v>
      </c>
      <c r="K246" s="10" t="s">
        <v>12</v>
      </c>
      <c r="L246" s="10" t="s">
        <v>13</v>
      </c>
      <c r="M246" s="11" t="s">
        <v>14</v>
      </c>
      <c r="N246" s="10" t="s">
        <v>691</v>
      </c>
      <c r="O246" s="10" t="s">
        <v>28</v>
      </c>
      <c r="P246" s="5"/>
      <c r="Q246" s="10" t="s">
        <v>16</v>
      </c>
      <c r="R246" s="10" t="s">
        <v>17</v>
      </c>
      <c r="S246" s="10" t="s">
        <v>18</v>
      </c>
      <c r="T246" s="10" t="s">
        <v>19</v>
      </c>
      <c r="U246" s="10" t="s">
        <v>20</v>
      </c>
      <c r="V246" s="13"/>
      <c r="W246" s="136" t="s">
        <v>688</v>
      </c>
      <c r="X246" s="14" t="s">
        <v>22</v>
      </c>
      <c r="Y246" s="15" t="s">
        <v>23</v>
      </c>
      <c r="Z246" s="5"/>
      <c r="AC246" s="16" t="s">
        <v>161</v>
      </c>
      <c r="AD246" s="58">
        <f>+AB246*10</f>
        <v>0</v>
      </c>
      <c r="AG246" s="16" t="s">
        <v>161</v>
      </c>
      <c r="AH246" s="58">
        <f>+AF246*10</f>
        <v>0</v>
      </c>
      <c r="AJ246" s="61" t="s">
        <v>173</v>
      </c>
      <c r="AK246" s="62" t="s">
        <v>174</v>
      </c>
      <c r="AM246" s="16" t="s">
        <v>161</v>
      </c>
      <c r="AN246" s="58">
        <f>+AL246*10</f>
        <v>0</v>
      </c>
    </row>
    <row r="247" spans="1:40" x14ac:dyDescent="0.25">
      <c r="A247" s="16">
        <v>1</v>
      </c>
      <c r="B247" s="92">
        <v>45182</v>
      </c>
      <c r="C247" s="31"/>
      <c r="D247" s="32"/>
      <c r="E247" s="32"/>
      <c r="F247" s="39"/>
      <c r="G247" s="39"/>
      <c r="H247" s="122"/>
      <c r="I247" s="32"/>
      <c r="J247" s="20">
        <v>10</v>
      </c>
      <c r="K247" s="21">
        <f>U247-J247-O247</f>
        <v>-10</v>
      </c>
      <c r="L247" s="21">
        <f t="shared" ref="L247:L265" si="30">+I247+J247</f>
        <v>10</v>
      </c>
      <c r="M247" s="21">
        <f t="shared" ref="M247:M265" si="31">+H247-L247</f>
        <v>-10</v>
      </c>
      <c r="N247" s="21"/>
      <c r="O247" s="21"/>
      <c r="P247" s="5"/>
      <c r="Q247" s="21"/>
      <c r="R247" s="16"/>
      <c r="S247" s="21">
        <f t="shared" ref="S247:S265" si="32">+Q247+R247</f>
        <v>0</v>
      </c>
      <c r="T247" s="21"/>
      <c r="U247" s="78">
        <f>T247-S247-O247</f>
        <v>0</v>
      </c>
      <c r="V247" s="13"/>
      <c r="W247" s="147"/>
      <c r="X247" s="23"/>
      <c r="Y247" s="333"/>
      <c r="Z247" s="5"/>
      <c r="AC247" s="59" t="s">
        <v>162</v>
      </c>
      <c r="AD247" s="18">
        <f>+AB247*1</f>
        <v>0</v>
      </c>
      <c r="AG247" s="59" t="s">
        <v>162</v>
      </c>
      <c r="AH247" s="18">
        <f>+AF247*1</f>
        <v>0</v>
      </c>
      <c r="AJ247" s="16"/>
      <c r="AK247" s="16"/>
      <c r="AM247" s="59" t="s">
        <v>162</v>
      </c>
      <c r="AN247" s="18">
        <f>+AL247*1</f>
        <v>0</v>
      </c>
    </row>
    <row r="248" spans="1:40" x14ac:dyDescent="0.25">
      <c r="A248" s="26">
        <v>2</v>
      </c>
      <c r="B248" s="92">
        <v>45182</v>
      </c>
      <c r="C248" s="31"/>
      <c r="D248" s="32"/>
      <c r="E248" s="32"/>
      <c r="F248" s="32"/>
      <c r="G248" s="39"/>
      <c r="H248" s="122"/>
      <c r="I248" s="32"/>
      <c r="J248" s="20">
        <v>10</v>
      </c>
      <c r="K248" s="21">
        <f t="shared" ref="K248:K265" si="33">U248-J248-O248</f>
        <v>-10</v>
      </c>
      <c r="L248" s="21">
        <f t="shared" si="30"/>
        <v>10</v>
      </c>
      <c r="M248" s="21">
        <f t="shared" si="31"/>
        <v>-10</v>
      </c>
      <c r="N248" s="21"/>
      <c r="O248" s="21"/>
      <c r="P248" s="5"/>
      <c r="Q248" s="21"/>
      <c r="R248" s="16"/>
      <c r="S248" s="21">
        <f t="shared" si="32"/>
        <v>0</v>
      </c>
      <c r="T248" s="21"/>
      <c r="U248" s="78">
        <f t="shared" ref="U248:U265" si="34">T248-S248-O248</f>
        <v>0</v>
      </c>
      <c r="V248" s="140"/>
      <c r="W248" s="147"/>
      <c r="X248" s="23"/>
      <c r="Y248" s="334"/>
      <c r="Z248" s="5"/>
      <c r="AC248" s="16" t="s">
        <v>163</v>
      </c>
      <c r="AD248" s="60">
        <f>+AB248*5</f>
        <v>0</v>
      </c>
      <c r="AG248" s="16" t="s">
        <v>163</v>
      </c>
      <c r="AH248" s="60">
        <f>+AF248*5</f>
        <v>0</v>
      </c>
      <c r="AJ248" s="16"/>
      <c r="AK248" s="16"/>
      <c r="AM248" s="16" t="s">
        <v>163</v>
      </c>
      <c r="AN248" s="60">
        <f>+AL248*5</f>
        <v>0</v>
      </c>
    </row>
    <row r="249" spans="1:40" x14ac:dyDescent="0.25">
      <c r="A249" s="143">
        <v>3</v>
      </c>
      <c r="B249" s="142">
        <v>45182</v>
      </c>
      <c r="C249" s="31"/>
      <c r="D249" s="32"/>
      <c r="E249" s="32"/>
      <c r="F249" s="32"/>
      <c r="G249" s="39"/>
      <c r="H249" s="122"/>
      <c r="I249" s="32"/>
      <c r="J249" s="20">
        <v>10</v>
      </c>
      <c r="K249" s="21">
        <f t="shared" si="33"/>
        <v>-10</v>
      </c>
      <c r="L249" s="21">
        <f t="shared" si="30"/>
        <v>10</v>
      </c>
      <c r="M249" s="21">
        <f t="shared" si="31"/>
        <v>-10</v>
      </c>
      <c r="N249" s="21"/>
      <c r="O249" s="21"/>
      <c r="P249" s="5"/>
      <c r="Q249" s="21"/>
      <c r="R249" s="16"/>
      <c r="S249" s="21">
        <f t="shared" si="32"/>
        <v>0</v>
      </c>
      <c r="T249" s="21"/>
      <c r="U249" s="78">
        <f t="shared" si="34"/>
        <v>0</v>
      </c>
      <c r="V249" s="140"/>
      <c r="W249" s="147"/>
      <c r="X249" s="23"/>
      <c r="Y249" s="334"/>
      <c r="Z249" s="5"/>
      <c r="AC249" s="16" t="s">
        <v>164</v>
      </c>
      <c r="AD249" s="18">
        <f>+AB249*200</f>
        <v>0</v>
      </c>
      <c r="AG249" s="16" t="s">
        <v>164</v>
      </c>
      <c r="AH249" s="18">
        <f>+AF249*200</f>
        <v>0</v>
      </c>
      <c r="AJ249" s="16"/>
      <c r="AK249" s="16"/>
      <c r="AM249" s="16" t="s">
        <v>164</v>
      </c>
      <c r="AN249" s="18">
        <f>+AL249*200</f>
        <v>0</v>
      </c>
    </row>
    <row r="250" spans="1:40" x14ac:dyDescent="0.25">
      <c r="A250" s="143">
        <v>4</v>
      </c>
      <c r="B250" s="142">
        <v>45182</v>
      </c>
      <c r="C250" s="31"/>
      <c r="D250" s="32"/>
      <c r="E250" s="32"/>
      <c r="F250" s="32"/>
      <c r="G250" s="39"/>
      <c r="H250" s="122"/>
      <c r="I250" s="32"/>
      <c r="J250" s="20">
        <v>10</v>
      </c>
      <c r="K250" s="21">
        <f t="shared" si="33"/>
        <v>-10</v>
      </c>
      <c r="L250" s="21">
        <f t="shared" si="30"/>
        <v>10</v>
      </c>
      <c r="M250" s="21">
        <f t="shared" si="31"/>
        <v>-10</v>
      </c>
      <c r="N250" s="21"/>
      <c r="O250" s="21"/>
      <c r="P250" s="5"/>
      <c r="Q250" s="21"/>
      <c r="R250" s="16"/>
      <c r="S250" s="21">
        <f t="shared" si="32"/>
        <v>0</v>
      </c>
      <c r="T250" s="21"/>
      <c r="U250" s="78">
        <f t="shared" si="34"/>
        <v>0</v>
      </c>
      <c r="V250" s="140"/>
      <c r="W250" s="147"/>
      <c r="X250" s="23"/>
      <c r="Y250" s="334"/>
      <c r="Z250" s="5"/>
      <c r="AC250" s="16" t="s">
        <v>165</v>
      </c>
      <c r="AD250" s="18">
        <f>+AB250*100</f>
        <v>0</v>
      </c>
      <c r="AG250" s="16" t="s">
        <v>165</v>
      </c>
      <c r="AH250" s="18">
        <f>+AF250*100</f>
        <v>0</v>
      </c>
      <c r="AJ250" s="16"/>
      <c r="AK250" s="16"/>
      <c r="AM250" s="16" t="s">
        <v>165</v>
      </c>
      <c r="AN250" s="18">
        <f>+AL250*100</f>
        <v>0</v>
      </c>
    </row>
    <row r="251" spans="1:40" x14ac:dyDescent="0.25">
      <c r="A251" s="143">
        <v>5</v>
      </c>
      <c r="B251" s="142">
        <v>45182</v>
      </c>
      <c r="C251" s="31"/>
      <c r="D251" s="32"/>
      <c r="E251" s="32"/>
      <c r="F251" s="32"/>
      <c r="G251" s="32"/>
      <c r="H251" s="122"/>
      <c r="I251" s="32"/>
      <c r="J251" s="20">
        <v>10</v>
      </c>
      <c r="K251" s="21">
        <f t="shared" si="33"/>
        <v>-10</v>
      </c>
      <c r="L251" s="21">
        <f t="shared" si="30"/>
        <v>10</v>
      </c>
      <c r="M251" s="21">
        <f t="shared" si="31"/>
        <v>-10</v>
      </c>
      <c r="N251" s="21"/>
      <c r="O251" s="21"/>
      <c r="P251" s="5"/>
      <c r="Q251" s="16"/>
      <c r="R251" s="16"/>
      <c r="S251" s="21">
        <f t="shared" si="32"/>
        <v>0</v>
      </c>
      <c r="T251" s="21"/>
      <c r="U251" s="78">
        <f t="shared" si="34"/>
        <v>0</v>
      </c>
      <c r="V251" s="140"/>
      <c r="W251" s="147"/>
      <c r="X251" s="23"/>
      <c r="Y251" s="334"/>
      <c r="Z251" s="5"/>
      <c r="AC251" s="16" t="s">
        <v>166</v>
      </c>
      <c r="AD251" s="18">
        <f>+AB251*50</f>
        <v>0</v>
      </c>
      <c r="AG251" s="16" t="s">
        <v>166</v>
      </c>
      <c r="AH251" s="18">
        <f>+AF251*50</f>
        <v>0</v>
      </c>
      <c r="AJ251" s="16"/>
      <c r="AK251" s="16"/>
      <c r="AM251" s="16" t="s">
        <v>166</v>
      </c>
      <c r="AN251" s="18">
        <f>+AL251*50</f>
        <v>0</v>
      </c>
    </row>
    <row r="252" spans="1:40" x14ac:dyDescent="0.25">
      <c r="A252" s="143">
        <v>6</v>
      </c>
      <c r="B252" s="142">
        <v>45182</v>
      </c>
      <c r="C252" s="31"/>
      <c r="D252" s="32"/>
      <c r="E252" s="32"/>
      <c r="F252" s="32"/>
      <c r="G252" s="39"/>
      <c r="H252" s="39"/>
      <c r="I252" s="42"/>
      <c r="J252" s="20">
        <v>10</v>
      </c>
      <c r="K252" s="21">
        <f t="shared" si="33"/>
        <v>-10</v>
      </c>
      <c r="L252" s="21">
        <f t="shared" si="30"/>
        <v>10</v>
      </c>
      <c r="M252" s="21">
        <f t="shared" si="31"/>
        <v>-10</v>
      </c>
      <c r="N252" s="21"/>
      <c r="O252" s="21"/>
      <c r="P252" s="5"/>
      <c r="Q252" s="16"/>
      <c r="R252" s="16"/>
      <c r="S252" s="21">
        <f t="shared" si="32"/>
        <v>0</v>
      </c>
      <c r="T252" s="16"/>
      <c r="U252" s="78">
        <f t="shared" si="34"/>
        <v>0</v>
      </c>
      <c r="V252" s="140"/>
      <c r="W252" s="147"/>
      <c r="X252" s="23"/>
      <c r="Y252" s="334"/>
      <c r="Z252" s="5"/>
      <c r="AC252" s="16" t="s">
        <v>167</v>
      </c>
      <c r="AD252" s="18">
        <f>+AB252*20</f>
        <v>0</v>
      </c>
      <c r="AG252" s="16" t="s">
        <v>167</v>
      </c>
      <c r="AH252" s="18">
        <f>+AF252*20</f>
        <v>0</v>
      </c>
      <c r="AJ252" s="16"/>
      <c r="AK252" s="16"/>
      <c r="AM252" s="16" t="s">
        <v>167</v>
      </c>
      <c r="AN252" s="18">
        <f>+AL252*20</f>
        <v>0</v>
      </c>
    </row>
    <row r="253" spans="1:40" x14ac:dyDescent="0.25">
      <c r="A253" s="143">
        <v>7</v>
      </c>
      <c r="B253" s="142">
        <v>45182</v>
      </c>
      <c r="C253" s="31"/>
      <c r="D253" s="32"/>
      <c r="E253" s="32"/>
      <c r="F253" s="32"/>
      <c r="G253" s="39"/>
      <c r="H253" s="122"/>
      <c r="I253" s="42"/>
      <c r="J253" s="20">
        <v>10</v>
      </c>
      <c r="K253" s="21">
        <f t="shared" si="33"/>
        <v>-10</v>
      </c>
      <c r="L253" s="21">
        <f t="shared" si="30"/>
        <v>10</v>
      </c>
      <c r="M253" s="21">
        <f t="shared" si="31"/>
        <v>-10</v>
      </c>
      <c r="N253" s="21"/>
      <c r="O253" s="21"/>
      <c r="P253" s="5"/>
      <c r="Q253" s="16"/>
      <c r="R253" s="16"/>
      <c r="S253" s="21">
        <f t="shared" si="32"/>
        <v>0</v>
      </c>
      <c r="T253" s="16"/>
      <c r="U253" s="78">
        <f t="shared" si="34"/>
        <v>0</v>
      </c>
      <c r="V253" s="140"/>
      <c r="W253" s="147"/>
      <c r="X253" s="23"/>
      <c r="Y253" s="334"/>
      <c r="Z253" s="5"/>
      <c r="AC253" s="16" t="s">
        <v>171</v>
      </c>
      <c r="AD253" s="18">
        <f>+AB253*500</f>
        <v>0</v>
      </c>
      <c r="AG253" s="16" t="s">
        <v>171</v>
      </c>
      <c r="AH253" s="18">
        <f>+AF253*500</f>
        <v>0</v>
      </c>
      <c r="AJ253" s="16"/>
      <c r="AK253" s="16"/>
      <c r="AM253" s="16" t="s">
        <v>171</v>
      </c>
      <c r="AN253" s="18">
        <f>+AL253*500</f>
        <v>0</v>
      </c>
    </row>
    <row r="254" spans="1:40" x14ac:dyDescent="0.25">
      <c r="A254" s="143">
        <v>8</v>
      </c>
      <c r="B254" s="142">
        <v>45182</v>
      </c>
      <c r="C254" s="31"/>
      <c r="D254" s="123"/>
      <c r="E254" s="123"/>
      <c r="F254" s="123"/>
      <c r="G254" s="39"/>
      <c r="H254" s="122"/>
      <c r="I254" s="32"/>
      <c r="J254" s="20">
        <v>10</v>
      </c>
      <c r="K254" s="21">
        <f t="shared" si="33"/>
        <v>-10</v>
      </c>
      <c r="L254" s="21">
        <f t="shared" si="30"/>
        <v>10</v>
      </c>
      <c r="M254" s="21">
        <f t="shared" si="31"/>
        <v>-10</v>
      </c>
      <c r="N254" s="21"/>
      <c r="O254" s="21"/>
      <c r="P254" s="5"/>
      <c r="Q254" s="16"/>
      <c r="R254" s="16"/>
      <c r="S254" s="21">
        <f t="shared" si="32"/>
        <v>0</v>
      </c>
      <c r="T254" s="16"/>
      <c r="U254" s="78">
        <f t="shared" si="34"/>
        <v>0</v>
      </c>
      <c r="V254" s="140"/>
      <c r="W254" s="147"/>
      <c r="X254" s="23"/>
      <c r="Y254" s="334"/>
      <c r="Z254" s="5"/>
      <c r="AC254" s="16" t="s">
        <v>168</v>
      </c>
      <c r="AD254" s="18">
        <f>+AB254*1000</f>
        <v>0</v>
      </c>
      <c r="AG254" s="16" t="s">
        <v>168</v>
      </c>
      <c r="AH254" s="18">
        <f>+AF254*1000</f>
        <v>0</v>
      </c>
      <c r="AJ254" s="16"/>
      <c r="AK254" s="16"/>
      <c r="AM254" s="16" t="s">
        <v>168</v>
      </c>
      <c r="AN254" s="18">
        <f>+AL254*1000</f>
        <v>0</v>
      </c>
    </row>
    <row r="255" spans="1:40" x14ac:dyDescent="0.25">
      <c r="A255" s="143">
        <v>9</v>
      </c>
      <c r="B255" s="142">
        <v>45182</v>
      </c>
      <c r="C255" s="31"/>
      <c r="D255" s="32"/>
      <c r="E255" s="32"/>
      <c r="F255" s="32"/>
      <c r="G255" s="39"/>
      <c r="H255" s="39"/>
      <c r="I255" s="40"/>
      <c r="J255" s="20">
        <v>10</v>
      </c>
      <c r="K255" s="21">
        <f t="shared" si="33"/>
        <v>-10</v>
      </c>
      <c r="L255" s="21">
        <f t="shared" si="30"/>
        <v>10</v>
      </c>
      <c r="M255" s="21">
        <f t="shared" si="31"/>
        <v>-10</v>
      </c>
      <c r="N255" s="21"/>
      <c r="O255" s="21"/>
      <c r="P255" s="5"/>
      <c r="Q255" s="16"/>
      <c r="R255" s="16"/>
      <c r="S255" s="21">
        <f t="shared" si="32"/>
        <v>0</v>
      </c>
      <c r="T255" s="16"/>
      <c r="U255" s="78">
        <f t="shared" si="34"/>
        <v>0</v>
      </c>
      <c r="V255" s="140"/>
      <c r="W255" s="147"/>
      <c r="X255" s="23"/>
      <c r="Y255" s="334"/>
      <c r="Z255" s="5"/>
      <c r="AC255" s="26"/>
      <c r="AD255" s="58"/>
      <c r="AG255" s="26"/>
      <c r="AH255" s="58"/>
      <c r="AJ255" s="16"/>
      <c r="AK255" s="16"/>
      <c r="AM255" s="26"/>
      <c r="AN255" s="58"/>
    </row>
    <row r="256" spans="1:40" x14ac:dyDescent="0.25">
      <c r="A256" s="143">
        <v>10</v>
      </c>
      <c r="B256" s="142">
        <v>45182</v>
      </c>
      <c r="C256" s="31"/>
      <c r="D256" s="32"/>
      <c r="E256" s="32"/>
      <c r="F256" s="32"/>
      <c r="G256" s="39"/>
      <c r="H256" s="122"/>
      <c r="I256" s="42"/>
      <c r="J256" s="20">
        <v>10</v>
      </c>
      <c r="K256" s="21">
        <f t="shared" si="33"/>
        <v>-10</v>
      </c>
      <c r="L256" s="21">
        <f t="shared" si="30"/>
        <v>10</v>
      </c>
      <c r="M256" s="21">
        <f t="shared" si="31"/>
        <v>-10</v>
      </c>
      <c r="N256" s="21"/>
      <c r="O256" s="21"/>
      <c r="P256" s="5"/>
      <c r="Q256" s="16"/>
      <c r="R256" s="16"/>
      <c r="S256" s="21">
        <f t="shared" si="32"/>
        <v>0</v>
      </c>
      <c r="T256" s="16"/>
      <c r="U256" s="78">
        <f t="shared" si="34"/>
        <v>0</v>
      </c>
      <c r="V256" s="140"/>
      <c r="W256" s="147"/>
      <c r="X256" s="23"/>
      <c r="Y256" s="334"/>
      <c r="Z256" s="5"/>
      <c r="AC256" s="16" t="s">
        <v>169</v>
      </c>
      <c r="AD256" s="18">
        <f>SUM(AD246:AD255)</f>
        <v>0</v>
      </c>
      <c r="AG256" s="16" t="s">
        <v>169</v>
      </c>
      <c r="AH256" s="18">
        <f>SUM(AH246:AH255)</f>
        <v>0</v>
      </c>
      <c r="AJ256" s="16"/>
      <c r="AK256" s="16"/>
      <c r="AM256" s="16" t="s">
        <v>169</v>
      </c>
      <c r="AN256" s="18"/>
    </row>
    <row r="257" spans="1:40" x14ac:dyDescent="0.25">
      <c r="A257" s="143">
        <v>11</v>
      </c>
      <c r="B257" s="142">
        <v>45182</v>
      </c>
      <c r="C257" s="31"/>
      <c r="D257" s="124"/>
      <c r="E257" s="123"/>
      <c r="F257" s="123"/>
      <c r="G257" s="39"/>
      <c r="H257" s="122"/>
      <c r="I257" s="42"/>
      <c r="J257" s="20">
        <v>10</v>
      </c>
      <c r="K257" s="21">
        <f t="shared" si="33"/>
        <v>-10</v>
      </c>
      <c r="L257" s="21">
        <f t="shared" si="30"/>
        <v>10</v>
      </c>
      <c r="M257" s="21">
        <f t="shared" si="31"/>
        <v>-10</v>
      </c>
      <c r="N257" s="21"/>
      <c r="O257" s="21"/>
      <c r="P257" s="5"/>
      <c r="Q257" s="16"/>
      <c r="R257" s="16"/>
      <c r="S257" s="21">
        <f t="shared" si="32"/>
        <v>0</v>
      </c>
      <c r="T257" s="16"/>
      <c r="U257" s="78">
        <f t="shared" si="34"/>
        <v>0</v>
      </c>
      <c r="V257" s="140"/>
      <c r="W257" s="147"/>
      <c r="X257" s="23"/>
      <c r="Y257" s="334"/>
      <c r="Z257" s="5"/>
      <c r="AJ257" s="16"/>
      <c r="AK257" s="16"/>
      <c r="AM257" s="16"/>
      <c r="AN257" s="16"/>
    </row>
    <row r="258" spans="1:40" x14ac:dyDescent="0.25">
      <c r="A258" s="143">
        <v>12</v>
      </c>
      <c r="B258" s="142">
        <v>45182</v>
      </c>
      <c r="C258" s="32"/>
      <c r="D258" s="32"/>
      <c r="E258" s="124"/>
      <c r="F258" s="123"/>
      <c r="G258" s="39"/>
      <c r="H258" s="39"/>
      <c r="I258" s="42"/>
      <c r="J258" s="20">
        <v>10</v>
      </c>
      <c r="K258" s="21">
        <f t="shared" si="33"/>
        <v>-10</v>
      </c>
      <c r="L258" s="21">
        <f t="shared" si="30"/>
        <v>10</v>
      </c>
      <c r="M258" s="21">
        <f t="shared" si="31"/>
        <v>-10</v>
      </c>
      <c r="N258" s="21"/>
      <c r="O258" s="21"/>
      <c r="P258" s="5"/>
      <c r="Q258" s="45"/>
      <c r="R258" s="44"/>
      <c r="S258" s="21">
        <f t="shared" si="32"/>
        <v>0</v>
      </c>
      <c r="T258" s="45"/>
      <c r="U258" s="78">
        <f t="shared" si="34"/>
        <v>0</v>
      </c>
      <c r="V258" s="140"/>
      <c r="W258" s="147"/>
      <c r="X258" s="23"/>
      <c r="Y258" s="334"/>
      <c r="Z258" s="5"/>
      <c r="AJ258" s="63" t="s">
        <v>169</v>
      </c>
      <c r="AK258" s="63">
        <f>+SUM(AJ247:AJ257)-SUM(AK247:AK257)</f>
        <v>0</v>
      </c>
      <c r="AM258" s="63" t="s">
        <v>169</v>
      </c>
      <c r="AN258" s="85">
        <f>+SUM(AM246:AM257)-SUM(AN247:AN257)</f>
        <v>0</v>
      </c>
    </row>
    <row r="259" spans="1:40" x14ac:dyDescent="0.25">
      <c r="A259" s="143">
        <v>13</v>
      </c>
      <c r="B259" s="142">
        <v>45182</v>
      </c>
      <c r="C259" s="31"/>
      <c r="D259" s="32"/>
      <c r="E259" s="32"/>
      <c r="F259" s="32"/>
      <c r="G259" s="39"/>
      <c r="H259" s="39"/>
      <c r="I259" s="42"/>
      <c r="J259" s="108">
        <v>10</v>
      </c>
      <c r="K259" s="21">
        <f t="shared" si="33"/>
        <v>-10</v>
      </c>
      <c r="L259" s="21">
        <f t="shared" si="30"/>
        <v>10</v>
      </c>
      <c r="M259" s="21">
        <f t="shared" si="31"/>
        <v>-10</v>
      </c>
      <c r="N259" s="21"/>
      <c r="O259" s="21"/>
      <c r="P259" s="5"/>
      <c r="Q259" s="43"/>
      <c r="R259" s="32"/>
      <c r="S259" s="21">
        <f t="shared" si="32"/>
        <v>0</v>
      </c>
      <c r="T259" s="43"/>
      <c r="U259" s="78">
        <f t="shared" si="34"/>
        <v>0</v>
      </c>
      <c r="V259" s="140"/>
      <c r="W259" s="147"/>
      <c r="X259" s="23"/>
      <c r="Y259" s="334"/>
      <c r="Z259" s="5"/>
      <c r="AH259" s="83"/>
    </row>
    <row r="260" spans="1:40" x14ac:dyDescent="0.25">
      <c r="A260" s="143">
        <v>14</v>
      </c>
      <c r="B260" s="287">
        <v>45182</v>
      </c>
      <c r="C260" s="31"/>
      <c r="D260" s="32"/>
      <c r="E260" s="32"/>
      <c r="F260" s="32"/>
      <c r="G260" s="39"/>
      <c r="H260" s="39"/>
      <c r="I260" s="42"/>
      <c r="J260" s="108">
        <v>10</v>
      </c>
      <c r="K260" s="21">
        <f t="shared" si="33"/>
        <v>-10</v>
      </c>
      <c r="L260" s="21">
        <f t="shared" si="30"/>
        <v>10</v>
      </c>
      <c r="M260" s="21">
        <f t="shared" si="31"/>
        <v>-10</v>
      </c>
      <c r="N260" s="21"/>
      <c r="O260" s="21"/>
      <c r="P260" s="5"/>
      <c r="Q260" s="43"/>
      <c r="R260" s="43"/>
      <c r="S260" s="21">
        <f t="shared" si="32"/>
        <v>0</v>
      </c>
      <c r="T260" s="43"/>
      <c r="U260" s="78">
        <f t="shared" si="34"/>
        <v>0</v>
      </c>
      <c r="V260" s="140"/>
      <c r="W260" s="147"/>
      <c r="X260" s="23"/>
      <c r="Y260" s="334"/>
      <c r="Z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 spans="1:40" x14ac:dyDescent="0.25">
      <c r="A261" s="143">
        <v>15</v>
      </c>
      <c r="B261" s="31">
        <v>45182</v>
      </c>
      <c r="C261" s="127"/>
      <c r="D261" s="32"/>
      <c r="E261" s="32"/>
      <c r="F261" s="128"/>
      <c r="G261" s="129"/>
      <c r="H261" s="39"/>
      <c r="I261" s="42"/>
      <c r="J261" s="108">
        <v>10</v>
      </c>
      <c r="K261" s="21">
        <f t="shared" si="33"/>
        <v>-10</v>
      </c>
      <c r="L261" s="21">
        <f t="shared" si="30"/>
        <v>10</v>
      </c>
      <c r="M261" s="21">
        <f t="shared" si="31"/>
        <v>-10</v>
      </c>
      <c r="N261" s="21"/>
      <c r="O261" s="21"/>
      <c r="P261" s="5"/>
      <c r="Q261" s="43"/>
      <c r="R261" s="43"/>
      <c r="S261" s="21">
        <f t="shared" si="32"/>
        <v>0</v>
      </c>
      <c r="T261" s="43"/>
      <c r="U261" s="78">
        <f t="shared" si="34"/>
        <v>0</v>
      </c>
      <c r="V261" s="140"/>
      <c r="W261" s="147"/>
      <c r="X261" s="23"/>
      <c r="Y261" s="334"/>
      <c r="Z261" s="5"/>
      <c r="AC261" s="5"/>
      <c r="AD261" s="134" t="s">
        <v>20</v>
      </c>
      <c r="AE261" s="338"/>
      <c r="AF261" s="341" t="s">
        <v>686</v>
      </c>
      <c r="AG261" s="134" t="s">
        <v>20</v>
      </c>
      <c r="AH261" s="338"/>
      <c r="AI261" s="341" t="s">
        <v>687</v>
      </c>
      <c r="AJ261" s="134" t="s">
        <v>20</v>
      </c>
      <c r="AK261" s="338"/>
      <c r="AL261" s="5"/>
    </row>
    <row r="262" spans="1:40" x14ac:dyDescent="0.25">
      <c r="A262" s="143">
        <v>16</v>
      </c>
      <c r="B262" s="288">
        <v>45182</v>
      </c>
      <c r="C262" s="31"/>
      <c r="D262" s="32"/>
      <c r="E262" s="32"/>
      <c r="F262" s="32"/>
      <c r="G262" s="39"/>
      <c r="H262" s="39"/>
      <c r="I262" s="42"/>
      <c r="J262" s="43">
        <v>10</v>
      </c>
      <c r="K262" s="21">
        <f t="shared" si="33"/>
        <v>-10</v>
      </c>
      <c r="L262" s="21">
        <f t="shared" si="30"/>
        <v>10</v>
      </c>
      <c r="M262" s="21">
        <f t="shared" si="31"/>
        <v>-10</v>
      </c>
      <c r="N262" s="21"/>
      <c r="O262" s="21"/>
      <c r="P262" s="5"/>
      <c r="Q262" s="43"/>
      <c r="R262" s="32"/>
      <c r="S262" s="21">
        <f t="shared" si="32"/>
        <v>0</v>
      </c>
      <c r="T262" s="131"/>
      <c r="U262" s="78">
        <f t="shared" si="34"/>
        <v>0</v>
      </c>
      <c r="V262" s="140"/>
      <c r="W262" s="147"/>
      <c r="X262" s="23"/>
      <c r="Y262" s="334"/>
      <c r="Z262" s="5"/>
      <c r="AC262" s="5" t="s">
        <v>685</v>
      </c>
      <c r="AD262" s="115" t="s">
        <v>684</v>
      </c>
      <c r="AE262" s="339"/>
      <c r="AF262" s="341"/>
      <c r="AG262" s="115" t="s">
        <v>684</v>
      </c>
      <c r="AH262" s="339"/>
      <c r="AI262" s="341"/>
      <c r="AJ262" s="115" t="s">
        <v>684</v>
      </c>
      <c r="AK262" s="339"/>
      <c r="AL262" s="5"/>
    </row>
    <row r="263" spans="1:40" x14ac:dyDescent="0.25">
      <c r="A263" s="143">
        <v>17</v>
      </c>
      <c r="B263" s="142">
        <v>45182</v>
      </c>
      <c r="C263" s="31"/>
      <c r="D263" s="32"/>
      <c r="E263" s="32"/>
      <c r="F263" s="32"/>
      <c r="G263" s="39"/>
      <c r="H263" s="39"/>
      <c r="I263" s="42"/>
      <c r="J263" s="43">
        <v>10</v>
      </c>
      <c r="K263" s="21">
        <f t="shared" si="33"/>
        <v>-10</v>
      </c>
      <c r="L263" s="21">
        <f t="shared" si="30"/>
        <v>10</v>
      </c>
      <c r="M263" s="21">
        <f t="shared" si="31"/>
        <v>-10</v>
      </c>
      <c r="N263" s="21"/>
      <c r="O263" s="21"/>
      <c r="P263" s="5"/>
      <c r="Q263" s="43"/>
      <c r="R263" s="32"/>
      <c r="S263" s="21">
        <f t="shared" si="32"/>
        <v>0</v>
      </c>
      <c r="T263" s="132"/>
      <c r="U263" s="78">
        <f t="shared" si="34"/>
        <v>0</v>
      </c>
      <c r="V263" s="140"/>
      <c r="W263" s="147"/>
      <c r="X263" s="23"/>
      <c r="Y263" s="334"/>
      <c r="Z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  <row r="264" spans="1:40" x14ac:dyDescent="0.25">
      <c r="A264" s="143">
        <v>18</v>
      </c>
      <c r="B264" s="142">
        <v>45182</v>
      </c>
      <c r="C264" s="31"/>
      <c r="D264" s="32"/>
      <c r="E264" s="32"/>
      <c r="F264" s="32"/>
      <c r="G264" s="39"/>
      <c r="H264" s="39"/>
      <c r="I264" s="42"/>
      <c r="J264" s="43">
        <v>10</v>
      </c>
      <c r="K264" s="21">
        <f t="shared" si="33"/>
        <v>-10</v>
      </c>
      <c r="L264" s="21">
        <f t="shared" si="30"/>
        <v>10</v>
      </c>
      <c r="M264" s="21">
        <f t="shared" si="31"/>
        <v>-10</v>
      </c>
      <c r="N264" s="21"/>
      <c r="O264" s="21"/>
      <c r="P264" s="5"/>
      <c r="Q264" s="135"/>
      <c r="R264" s="104"/>
      <c r="S264" s="21">
        <f t="shared" si="32"/>
        <v>0</v>
      </c>
      <c r="T264" s="131"/>
      <c r="U264" s="78">
        <f t="shared" si="34"/>
        <v>0</v>
      </c>
      <c r="V264" s="140"/>
      <c r="W264" s="138"/>
      <c r="X264" s="32"/>
      <c r="Z264" s="5"/>
    </row>
    <row r="265" spans="1:40" x14ac:dyDescent="0.25">
      <c r="A265" s="143">
        <v>19</v>
      </c>
      <c r="B265" s="142">
        <v>45182</v>
      </c>
      <c r="C265" s="31"/>
      <c r="D265" s="32"/>
      <c r="E265" s="32"/>
      <c r="F265" s="32"/>
      <c r="G265" s="39"/>
      <c r="H265" s="39"/>
      <c r="I265" s="42"/>
      <c r="J265" s="43">
        <v>10</v>
      </c>
      <c r="K265" s="21">
        <f t="shared" si="33"/>
        <v>-10</v>
      </c>
      <c r="L265" s="21">
        <f t="shared" si="30"/>
        <v>10</v>
      </c>
      <c r="M265" s="21">
        <f t="shared" si="31"/>
        <v>-10</v>
      </c>
      <c r="N265" s="21"/>
      <c r="O265" s="21"/>
      <c r="P265" s="5"/>
      <c r="Q265" s="32"/>
      <c r="R265" s="32"/>
      <c r="S265" s="21">
        <f t="shared" si="32"/>
        <v>0</v>
      </c>
      <c r="T265" s="32"/>
      <c r="U265" s="78">
        <f t="shared" si="34"/>
        <v>0</v>
      </c>
      <c r="V265" s="140"/>
      <c r="W265" s="138"/>
      <c r="X265" s="32"/>
      <c r="Z265" s="5"/>
    </row>
    <row r="266" spans="1:40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141"/>
      <c r="W266" s="5"/>
      <c r="X266" s="5"/>
      <c r="Y266" s="5"/>
      <c r="Z266" s="5"/>
    </row>
  </sheetData>
  <mergeCells count="128">
    <mergeCell ref="S245:T245"/>
    <mergeCell ref="AC245:AD245"/>
    <mergeCell ref="AG245:AH245"/>
    <mergeCell ref="AJ245:AK245"/>
    <mergeCell ref="AM245:AN245"/>
    <mergeCell ref="Y247:Y263"/>
    <mergeCell ref="AE261:AE262"/>
    <mergeCell ref="AF261:AF262"/>
    <mergeCell ref="AH261:AH262"/>
    <mergeCell ref="AI261:AI262"/>
    <mergeCell ref="AK261:AK262"/>
    <mergeCell ref="S204:T204"/>
    <mergeCell ref="AC204:AD204"/>
    <mergeCell ref="AG204:AH204"/>
    <mergeCell ref="AJ204:AK204"/>
    <mergeCell ref="AM204:AN204"/>
    <mergeCell ref="Y206:Y222"/>
    <mergeCell ref="AE220:AE221"/>
    <mergeCell ref="AF220:AF221"/>
    <mergeCell ref="AH220:AH221"/>
    <mergeCell ref="AI220:AI221"/>
    <mergeCell ref="AK220:AK221"/>
    <mergeCell ref="S128:T128"/>
    <mergeCell ref="AC128:AD128"/>
    <mergeCell ref="AG128:AH128"/>
    <mergeCell ref="AJ128:AK128"/>
    <mergeCell ref="AM128:AN128"/>
    <mergeCell ref="AK144:AK145"/>
    <mergeCell ref="Y130:Y146"/>
    <mergeCell ref="AE144:AE145"/>
    <mergeCell ref="AF144:AF145"/>
    <mergeCell ref="AH144:AH145"/>
    <mergeCell ref="AI144:AI145"/>
    <mergeCell ref="AE23:AE24"/>
    <mergeCell ref="AF23:AF24"/>
    <mergeCell ref="AH23:AH24"/>
    <mergeCell ref="AI23:AI24"/>
    <mergeCell ref="AJ23:AJ24"/>
    <mergeCell ref="AL79:AL80"/>
    <mergeCell ref="AN79:AN80"/>
    <mergeCell ref="AE84:AE85"/>
    <mergeCell ref="AF84:AF85"/>
    <mergeCell ref="AH84:AH85"/>
    <mergeCell ref="AI84:AI85"/>
    <mergeCell ref="AJ84:AJ85"/>
    <mergeCell ref="AK84:AK85"/>
    <mergeCell ref="AM84:AM85"/>
    <mergeCell ref="AN84:AN85"/>
    <mergeCell ref="AK79:AK80"/>
    <mergeCell ref="AJ63:AK63"/>
    <mergeCell ref="AM63:AN63"/>
    <mergeCell ref="AL55:AL56"/>
    <mergeCell ref="AN55:AN56"/>
    <mergeCell ref="AE60:AE61"/>
    <mergeCell ref="AF60:AF61"/>
    <mergeCell ref="AH60:AH61"/>
    <mergeCell ref="AI60:AI61"/>
    <mergeCell ref="Y36:Y52"/>
    <mergeCell ref="S34:T34"/>
    <mergeCell ref="AC34:AD34"/>
    <mergeCell ref="AG34:AH34"/>
    <mergeCell ref="AJ34:AK34"/>
    <mergeCell ref="AM34:AN34"/>
    <mergeCell ref="X14:X22"/>
    <mergeCell ref="X4:X13"/>
    <mergeCell ref="S2:T2"/>
    <mergeCell ref="AC2:AD2"/>
    <mergeCell ref="AG2:AH2"/>
    <mergeCell ref="AM23:AM24"/>
    <mergeCell ref="AK23:AK24"/>
    <mergeCell ref="AN23:AN24"/>
    <mergeCell ref="AM2:AN2"/>
    <mergeCell ref="Y4:Y20"/>
    <mergeCell ref="AE18:AE19"/>
    <mergeCell ref="AF18:AF19"/>
    <mergeCell ref="AH18:AH19"/>
    <mergeCell ref="AI18:AI19"/>
    <mergeCell ref="AN18:AN19"/>
    <mergeCell ref="AL18:AL19"/>
    <mergeCell ref="AK18:AK19"/>
    <mergeCell ref="AJ2:AK2"/>
    <mergeCell ref="AJ60:AJ61"/>
    <mergeCell ref="AK60:AK61"/>
    <mergeCell ref="AM60:AM61"/>
    <mergeCell ref="AN60:AN61"/>
    <mergeCell ref="AE55:AE56"/>
    <mergeCell ref="AF55:AF56"/>
    <mergeCell ref="AH55:AH56"/>
    <mergeCell ref="AI55:AI56"/>
    <mergeCell ref="AK55:AK56"/>
    <mergeCell ref="Y65:Y81"/>
    <mergeCell ref="AF79:AF80"/>
    <mergeCell ref="AH79:AH80"/>
    <mergeCell ref="AI79:AI80"/>
    <mergeCell ref="S98:T98"/>
    <mergeCell ref="AC98:AD98"/>
    <mergeCell ref="AG98:AH98"/>
    <mergeCell ref="S63:T63"/>
    <mergeCell ref="AC63:AD63"/>
    <mergeCell ref="AG63:AH63"/>
    <mergeCell ref="AJ98:AK98"/>
    <mergeCell ref="AM98:AN98"/>
    <mergeCell ref="Y100:Y116"/>
    <mergeCell ref="AF114:AF115"/>
    <mergeCell ref="AH114:AH115"/>
    <mergeCell ref="AI114:AI115"/>
    <mergeCell ref="AK114:AK115"/>
    <mergeCell ref="AL114:AL115"/>
    <mergeCell ref="AN114:AN115"/>
    <mergeCell ref="AM175:AN175"/>
    <mergeCell ref="AK119:AK120"/>
    <mergeCell ref="AM119:AM120"/>
    <mergeCell ref="AN119:AN120"/>
    <mergeCell ref="AE119:AE120"/>
    <mergeCell ref="AF119:AF120"/>
    <mergeCell ref="AH119:AH120"/>
    <mergeCell ref="AI119:AI120"/>
    <mergeCell ref="AJ119:AJ120"/>
    <mergeCell ref="AK191:AK192"/>
    <mergeCell ref="Y177:Y193"/>
    <mergeCell ref="AE191:AE192"/>
    <mergeCell ref="AF191:AF192"/>
    <mergeCell ref="AH191:AH192"/>
    <mergeCell ref="AI191:AI192"/>
    <mergeCell ref="S175:T175"/>
    <mergeCell ref="AC175:AD175"/>
    <mergeCell ref="AG175:AH175"/>
    <mergeCell ref="AJ175:AK175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3"/>
  <sheetViews>
    <sheetView topLeftCell="A25" workbookViewId="0">
      <selection activeCell="C32" sqref="C32"/>
    </sheetView>
  </sheetViews>
  <sheetFormatPr baseColWidth="10" defaultRowHeight="15" x14ac:dyDescent="0.25"/>
  <sheetData>
    <row r="1" spans="1:46" x14ac:dyDescent="0.25">
      <c r="AJ1">
        <v>1132</v>
      </c>
      <c r="AK1">
        <f>+AJ1-400</f>
        <v>732</v>
      </c>
      <c r="AL1" s="83">
        <f>+AK1+AD13</f>
        <v>2419.5</v>
      </c>
      <c r="AM1" s="83">
        <f>+AL1+400</f>
        <v>2819.5</v>
      </c>
    </row>
    <row r="2" spans="1:46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148</v>
      </c>
      <c r="J2" s="1"/>
      <c r="K2" s="1"/>
      <c r="L2" s="1"/>
      <c r="M2" s="1"/>
      <c r="N2" s="1"/>
      <c r="O2" s="1"/>
      <c r="P2" s="1"/>
      <c r="Q2" s="1"/>
      <c r="R2" s="1"/>
      <c r="S2" s="342" t="s">
        <v>1</v>
      </c>
      <c r="T2" s="342"/>
      <c r="U2" s="5"/>
      <c r="V2" s="139"/>
      <c r="W2" s="1"/>
      <c r="X2" s="1"/>
      <c r="Y2" s="1"/>
      <c r="Z2" s="5"/>
      <c r="AC2" s="335" t="s">
        <v>160</v>
      </c>
      <c r="AD2" s="336"/>
      <c r="AG2" s="335" t="s">
        <v>170</v>
      </c>
      <c r="AH2" s="336"/>
      <c r="AJ2" s="337" t="s">
        <v>172</v>
      </c>
      <c r="AK2" s="337"/>
      <c r="AM2" s="337" t="s">
        <v>681</v>
      </c>
      <c r="AN2" s="337"/>
    </row>
    <row r="3" spans="1:46" ht="90" x14ac:dyDescent="0.25">
      <c r="A3" s="6" t="s">
        <v>2</v>
      </c>
      <c r="B3" s="7" t="s">
        <v>3</v>
      </c>
      <c r="C3" s="7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8" t="s">
        <v>9</v>
      </c>
      <c r="I3" s="9" t="s">
        <v>10</v>
      </c>
      <c r="J3" s="8" t="s">
        <v>11</v>
      </c>
      <c r="K3" s="10" t="s">
        <v>12</v>
      </c>
      <c r="L3" s="10" t="s">
        <v>13</v>
      </c>
      <c r="M3" s="11" t="s">
        <v>14</v>
      </c>
      <c r="N3" s="10" t="s">
        <v>691</v>
      </c>
      <c r="O3" s="10" t="s">
        <v>28</v>
      </c>
      <c r="P3" s="5"/>
      <c r="Q3" s="10" t="s">
        <v>16</v>
      </c>
      <c r="R3" s="10" t="s">
        <v>17</v>
      </c>
      <c r="S3" s="10" t="s">
        <v>18</v>
      </c>
      <c r="T3" s="10" t="s">
        <v>19</v>
      </c>
      <c r="U3" s="10" t="s">
        <v>20</v>
      </c>
      <c r="V3" s="13"/>
      <c r="W3" s="136" t="s">
        <v>688</v>
      </c>
      <c r="X3" s="14" t="s">
        <v>22</v>
      </c>
      <c r="Y3" s="15" t="s">
        <v>23</v>
      </c>
      <c r="Z3" s="5"/>
      <c r="AB3">
        <v>10</v>
      </c>
      <c r="AC3" s="16" t="s">
        <v>161</v>
      </c>
      <c r="AD3" s="58">
        <f>+AB3*10</f>
        <v>100</v>
      </c>
      <c r="AF3">
        <v>13</v>
      </c>
      <c r="AG3" s="16" t="s">
        <v>161</v>
      </c>
      <c r="AH3" s="58">
        <f>+AF3*10</f>
        <v>130</v>
      </c>
      <c r="AJ3" s="61" t="s">
        <v>173</v>
      </c>
      <c r="AK3" s="62" t="s">
        <v>174</v>
      </c>
      <c r="AM3" s="16" t="s">
        <v>161</v>
      </c>
      <c r="AN3" s="58">
        <f>+AL3*10</f>
        <v>0</v>
      </c>
    </row>
    <row r="4" spans="1:46" x14ac:dyDescent="0.25">
      <c r="A4" s="16">
        <v>1</v>
      </c>
      <c r="B4" s="92">
        <v>45194</v>
      </c>
      <c r="C4" s="31" t="s">
        <v>2672</v>
      </c>
      <c r="D4" s="32"/>
      <c r="E4" s="32"/>
      <c r="F4" s="39" t="s">
        <v>1113</v>
      </c>
      <c r="G4" s="39" t="s">
        <v>1112</v>
      </c>
      <c r="H4" s="122">
        <v>500</v>
      </c>
      <c r="I4" s="32"/>
      <c r="J4" s="20">
        <v>10</v>
      </c>
      <c r="K4" s="21">
        <f>U4-J4-O4</f>
        <v>5</v>
      </c>
      <c r="L4" s="21">
        <f t="shared" ref="L4:L22" si="0">+I4+J4</f>
        <v>10</v>
      </c>
      <c r="M4" s="21">
        <f t="shared" ref="M4:M22" si="1">+H4-L4</f>
        <v>490</v>
      </c>
      <c r="N4" s="21"/>
      <c r="O4" s="21"/>
      <c r="P4" s="5"/>
      <c r="Q4" s="21"/>
      <c r="R4" s="16"/>
      <c r="S4" s="21">
        <f t="shared" ref="S4:S22" si="2">+Q4+R4</f>
        <v>0</v>
      </c>
      <c r="T4" s="21">
        <v>15</v>
      </c>
      <c r="U4" s="78">
        <f>T4-S4-O4</f>
        <v>15</v>
      </c>
      <c r="V4" s="13"/>
      <c r="W4" s="147"/>
      <c r="X4" s="23"/>
      <c r="Y4" s="333"/>
      <c r="Z4" s="5"/>
      <c r="AB4">
        <v>62.5</v>
      </c>
      <c r="AC4" s="59" t="s">
        <v>162</v>
      </c>
      <c r="AD4" s="18">
        <f>+AB4*1</f>
        <v>62.5</v>
      </c>
      <c r="AF4">
        <v>80</v>
      </c>
      <c r="AG4" s="59" t="s">
        <v>162</v>
      </c>
      <c r="AH4" s="18">
        <f>+AF4*1</f>
        <v>80</v>
      </c>
      <c r="AJ4" s="16">
        <v>144</v>
      </c>
      <c r="AK4" s="16"/>
      <c r="AM4" s="59" t="s">
        <v>162</v>
      </c>
      <c r="AN4" s="18">
        <f>+AL4*1</f>
        <v>0</v>
      </c>
    </row>
    <row r="5" spans="1:46" x14ac:dyDescent="0.25">
      <c r="A5" s="26">
        <v>2</v>
      </c>
      <c r="B5" s="92">
        <v>45194</v>
      </c>
      <c r="C5" s="31" t="s">
        <v>2472</v>
      </c>
      <c r="D5" s="32"/>
      <c r="E5" s="32"/>
      <c r="F5" s="32" t="s">
        <v>1115</v>
      </c>
      <c r="G5" s="39" t="s">
        <v>1114</v>
      </c>
      <c r="H5" s="122"/>
      <c r="I5" s="32">
        <v>147</v>
      </c>
      <c r="J5" s="20">
        <v>10</v>
      </c>
      <c r="K5" s="21">
        <f t="shared" ref="K5:K22" si="3">U5-J5-O5</f>
        <v>0</v>
      </c>
      <c r="L5" s="21">
        <f t="shared" si="0"/>
        <v>157</v>
      </c>
      <c r="M5" s="21">
        <f t="shared" si="1"/>
        <v>-157</v>
      </c>
      <c r="N5" s="21">
        <v>157</v>
      </c>
      <c r="O5" s="21"/>
      <c r="P5" s="5"/>
      <c r="Q5" s="21">
        <v>200</v>
      </c>
      <c r="R5" s="16"/>
      <c r="S5" s="21">
        <f t="shared" si="2"/>
        <v>200</v>
      </c>
      <c r="T5" s="21"/>
      <c r="U5" s="78">
        <v>10</v>
      </c>
      <c r="V5" s="140"/>
      <c r="W5" s="147"/>
      <c r="X5" s="23"/>
      <c r="Y5" s="334"/>
      <c r="Z5" s="5"/>
      <c r="AB5">
        <v>31</v>
      </c>
      <c r="AC5" s="16" t="s">
        <v>163</v>
      </c>
      <c r="AD5" s="60">
        <f>+AB5*5</f>
        <v>155</v>
      </c>
      <c r="AF5">
        <v>24</v>
      </c>
      <c r="AG5" s="16" t="s">
        <v>163</v>
      </c>
      <c r="AH5" s="60">
        <f>+AF5*5</f>
        <v>120</v>
      </c>
      <c r="AJ5" s="16">
        <v>77</v>
      </c>
      <c r="AK5" s="16"/>
      <c r="AM5" s="16" t="s">
        <v>163</v>
      </c>
      <c r="AN5" s="60">
        <f>+AL5*5</f>
        <v>0</v>
      </c>
      <c r="AT5">
        <v>20</v>
      </c>
    </row>
    <row r="6" spans="1:46" x14ac:dyDescent="0.25">
      <c r="A6" s="143">
        <v>3</v>
      </c>
      <c r="B6" s="92">
        <v>45194</v>
      </c>
      <c r="C6" s="31" t="s">
        <v>3524</v>
      </c>
      <c r="D6" s="32"/>
      <c r="E6" s="32"/>
      <c r="F6" s="32" t="s">
        <v>1116</v>
      </c>
      <c r="G6" s="39" t="s">
        <v>1117</v>
      </c>
      <c r="H6" s="122"/>
      <c r="I6" s="32"/>
      <c r="J6" s="20">
        <v>20</v>
      </c>
      <c r="K6" s="21">
        <f t="shared" si="3"/>
        <v>-10</v>
      </c>
      <c r="L6" s="21">
        <f t="shared" si="0"/>
        <v>20</v>
      </c>
      <c r="M6" s="21">
        <f t="shared" si="1"/>
        <v>-20</v>
      </c>
      <c r="N6" s="21"/>
      <c r="O6" s="21"/>
      <c r="P6" s="5"/>
      <c r="Q6" s="21">
        <v>500</v>
      </c>
      <c r="R6" s="16"/>
      <c r="S6" s="21">
        <f t="shared" si="2"/>
        <v>500</v>
      </c>
      <c r="T6" s="21"/>
      <c r="U6" s="78">
        <v>10</v>
      </c>
      <c r="V6" s="140"/>
      <c r="W6" s="147"/>
      <c r="X6" s="23"/>
      <c r="Y6" s="334"/>
      <c r="Z6" s="5"/>
      <c r="AB6">
        <v>3</v>
      </c>
      <c r="AC6" s="16" t="s">
        <v>164</v>
      </c>
      <c r="AD6" s="18">
        <f>+AB6*200</f>
        <v>600</v>
      </c>
      <c r="AF6">
        <v>3</v>
      </c>
      <c r="AG6" s="16" t="s">
        <v>164</v>
      </c>
      <c r="AH6" s="18">
        <f>+AF6*200</f>
        <v>600</v>
      </c>
      <c r="AJ6" s="16"/>
      <c r="AK6" s="16"/>
      <c r="AM6" s="16" t="s">
        <v>164</v>
      </c>
      <c r="AN6" s="18">
        <f>+AL6*200</f>
        <v>0</v>
      </c>
      <c r="AQ6" t="s">
        <v>1133</v>
      </c>
      <c r="AR6" t="s">
        <v>1134</v>
      </c>
      <c r="AS6">
        <v>30</v>
      </c>
    </row>
    <row r="7" spans="1:46" x14ac:dyDescent="0.25">
      <c r="A7" s="143">
        <v>4</v>
      </c>
      <c r="B7" s="92">
        <v>45194</v>
      </c>
      <c r="C7" s="31" t="s">
        <v>921</v>
      </c>
      <c r="D7" s="32"/>
      <c r="E7" s="32"/>
      <c r="F7" s="32"/>
      <c r="G7" s="39" t="s">
        <v>1118</v>
      </c>
      <c r="H7" s="122">
        <v>200</v>
      </c>
      <c r="I7" s="32"/>
      <c r="J7" s="20">
        <v>10</v>
      </c>
      <c r="K7" s="21">
        <f t="shared" si="3"/>
        <v>0</v>
      </c>
      <c r="L7" s="21">
        <f t="shared" si="0"/>
        <v>10</v>
      </c>
      <c r="M7" s="21">
        <f t="shared" si="1"/>
        <v>190</v>
      </c>
      <c r="N7" s="21"/>
      <c r="O7" s="21"/>
      <c r="P7" s="5"/>
      <c r="Q7" s="21">
        <v>250</v>
      </c>
      <c r="R7" s="16"/>
      <c r="S7" s="21">
        <f t="shared" si="2"/>
        <v>250</v>
      </c>
      <c r="T7" s="21"/>
      <c r="U7" s="78">
        <v>10</v>
      </c>
      <c r="V7" s="140"/>
      <c r="W7" s="147"/>
      <c r="X7" s="23"/>
      <c r="Y7" s="334"/>
      <c r="Z7" s="5"/>
      <c r="AB7">
        <v>2</v>
      </c>
      <c r="AC7" s="16" t="s">
        <v>165</v>
      </c>
      <c r="AD7" s="18">
        <f>+AB7*100</f>
        <v>200</v>
      </c>
      <c r="AF7">
        <v>5</v>
      </c>
      <c r="AG7" s="16" t="s">
        <v>165</v>
      </c>
      <c r="AH7" s="18">
        <f>+AF7*100</f>
        <v>500</v>
      </c>
      <c r="AJ7" s="16"/>
      <c r="AK7" s="16"/>
      <c r="AM7" s="16" t="s">
        <v>165</v>
      </c>
      <c r="AN7" s="18">
        <f>+AL7*100</f>
        <v>0</v>
      </c>
      <c r="AQ7" t="s">
        <v>1135</v>
      </c>
      <c r="AR7">
        <v>17</v>
      </c>
    </row>
    <row r="8" spans="1:46" x14ac:dyDescent="0.25">
      <c r="A8" s="143">
        <v>5</v>
      </c>
      <c r="B8" s="92">
        <v>45194</v>
      </c>
      <c r="C8" s="31" t="s">
        <v>2116</v>
      </c>
      <c r="D8" s="32"/>
      <c r="E8" s="32"/>
      <c r="F8" s="32" t="s">
        <v>1121</v>
      </c>
      <c r="G8" s="32" t="s">
        <v>1120</v>
      </c>
      <c r="H8" s="122">
        <v>100</v>
      </c>
      <c r="I8" s="32">
        <v>67</v>
      </c>
      <c r="J8" s="20">
        <v>10</v>
      </c>
      <c r="K8" s="21">
        <f t="shared" si="3"/>
        <v>0</v>
      </c>
      <c r="L8" s="21">
        <f t="shared" si="0"/>
        <v>77</v>
      </c>
      <c r="M8" s="21">
        <f t="shared" si="1"/>
        <v>23</v>
      </c>
      <c r="N8" s="21"/>
      <c r="O8" s="21"/>
      <c r="P8" s="5"/>
      <c r="Q8" s="16">
        <v>100</v>
      </c>
      <c r="R8" s="16"/>
      <c r="S8" s="21">
        <f t="shared" si="2"/>
        <v>100</v>
      </c>
      <c r="T8" s="21"/>
      <c r="U8" s="78">
        <v>10</v>
      </c>
      <c r="V8" s="140"/>
      <c r="W8" s="147"/>
      <c r="X8" s="23"/>
      <c r="Y8" s="334"/>
      <c r="Z8" s="5"/>
      <c r="AB8">
        <v>9</v>
      </c>
      <c r="AC8" s="16" t="s">
        <v>166</v>
      </c>
      <c r="AD8" s="18">
        <f>+AB8*50</f>
        <v>450</v>
      </c>
      <c r="AF8">
        <v>11</v>
      </c>
      <c r="AG8" s="16" t="s">
        <v>166</v>
      </c>
      <c r="AH8" s="18">
        <f>+AF8*50</f>
        <v>550</v>
      </c>
      <c r="AJ8" s="16"/>
      <c r="AK8" s="16"/>
      <c r="AM8" s="16" t="s">
        <v>166</v>
      </c>
      <c r="AN8" s="18">
        <f>+AL8*50</f>
        <v>0</v>
      </c>
      <c r="AQ8" t="s">
        <v>1136</v>
      </c>
    </row>
    <row r="9" spans="1:46" x14ac:dyDescent="0.25">
      <c r="A9" s="143">
        <v>6</v>
      </c>
      <c r="B9" s="92">
        <v>45194</v>
      </c>
      <c r="C9" s="31" t="s">
        <v>114</v>
      </c>
      <c r="D9" s="32"/>
      <c r="E9" s="32"/>
      <c r="F9" s="32" t="s">
        <v>1122</v>
      </c>
      <c r="G9" s="39" t="s">
        <v>1123</v>
      </c>
      <c r="H9" s="39">
        <v>50</v>
      </c>
      <c r="I9" s="42">
        <v>135</v>
      </c>
      <c r="J9" s="20">
        <v>10</v>
      </c>
      <c r="K9" s="21">
        <f t="shared" si="3"/>
        <v>0</v>
      </c>
      <c r="L9" s="21">
        <f t="shared" si="0"/>
        <v>145</v>
      </c>
      <c r="M9" s="21">
        <f t="shared" si="1"/>
        <v>-95</v>
      </c>
      <c r="N9" s="21"/>
      <c r="O9" s="21"/>
      <c r="P9" s="5"/>
      <c r="Q9" s="16">
        <v>150</v>
      </c>
      <c r="R9" s="16"/>
      <c r="S9" s="21">
        <f t="shared" si="2"/>
        <v>150</v>
      </c>
      <c r="T9" s="16">
        <v>160</v>
      </c>
      <c r="U9" s="78">
        <f t="shared" ref="U9:U22" si="4">T9-S9-O9</f>
        <v>10</v>
      </c>
      <c r="V9" s="140"/>
      <c r="W9" s="147"/>
      <c r="X9" s="23"/>
      <c r="Y9" s="334"/>
      <c r="Z9" s="5"/>
      <c r="AB9">
        <v>6</v>
      </c>
      <c r="AC9" s="16" t="s">
        <v>167</v>
      </c>
      <c r="AD9" s="18">
        <f>+AB9*20</f>
        <v>120</v>
      </c>
      <c r="AF9">
        <v>13</v>
      </c>
      <c r="AG9" s="16" t="s">
        <v>167</v>
      </c>
      <c r="AH9" s="18">
        <f>+AF9*20</f>
        <v>260</v>
      </c>
      <c r="AJ9" s="16"/>
      <c r="AK9" s="16"/>
      <c r="AM9" s="16" t="s">
        <v>167</v>
      </c>
      <c r="AN9" s="18">
        <f>+AL9*20</f>
        <v>0</v>
      </c>
    </row>
    <row r="10" spans="1:46" x14ac:dyDescent="0.25">
      <c r="A10" s="143">
        <v>7</v>
      </c>
      <c r="B10" s="92">
        <v>45194</v>
      </c>
      <c r="C10" s="31" t="s">
        <v>82</v>
      </c>
      <c r="D10" s="32"/>
      <c r="E10" s="32"/>
      <c r="F10" s="32" t="s">
        <v>751</v>
      </c>
      <c r="G10" s="39" t="s">
        <v>1126</v>
      </c>
      <c r="H10" s="122"/>
      <c r="I10" s="42"/>
      <c r="J10" s="20">
        <v>10</v>
      </c>
      <c r="K10" s="21">
        <f t="shared" si="3"/>
        <v>0</v>
      </c>
      <c r="L10" s="21">
        <f t="shared" si="0"/>
        <v>10</v>
      </c>
      <c r="M10" s="21">
        <f t="shared" si="1"/>
        <v>-10</v>
      </c>
      <c r="N10" s="21">
        <v>50</v>
      </c>
      <c r="O10" s="21"/>
      <c r="P10" s="5"/>
      <c r="Q10" s="16"/>
      <c r="R10" s="16"/>
      <c r="S10" s="21">
        <f t="shared" si="2"/>
        <v>0</v>
      </c>
      <c r="T10" s="16">
        <v>10</v>
      </c>
      <c r="U10" s="78">
        <f t="shared" si="4"/>
        <v>10</v>
      </c>
      <c r="V10" s="140"/>
      <c r="W10" s="147"/>
      <c r="X10" s="23"/>
      <c r="Y10" s="334"/>
      <c r="Z10" s="5"/>
      <c r="AC10" s="16" t="s">
        <v>171</v>
      </c>
      <c r="AD10" s="18">
        <f>+AB10*500</f>
        <v>0</v>
      </c>
      <c r="AF10">
        <v>1</v>
      </c>
      <c r="AG10" s="16" t="s">
        <v>171</v>
      </c>
      <c r="AH10" s="18">
        <f>+AF10*500</f>
        <v>500</v>
      </c>
      <c r="AJ10" s="16"/>
      <c r="AK10" s="16"/>
      <c r="AM10" s="16" t="s">
        <v>171</v>
      </c>
      <c r="AN10" s="18">
        <f>+AL10*500</f>
        <v>0</v>
      </c>
    </row>
    <row r="11" spans="1:46" x14ac:dyDescent="0.25">
      <c r="A11" s="143">
        <v>8</v>
      </c>
      <c r="B11" s="92">
        <v>45194</v>
      </c>
      <c r="C11" s="31" t="s">
        <v>921</v>
      </c>
      <c r="D11" s="123"/>
      <c r="E11" s="123"/>
      <c r="F11" s="123"/>
      <c r="G11" s="39" t="s">
        <v>1125</v>
      </c>
      <c r="H11" s="122">
        <v>100</v>
      </c>
      <c r="I11" s="32">
        <v>18</v>
      </c>
      <c r="J11" s="20">
        <v>10</v>
      </c>
      <c r="K11" s="21">
        <f t="shared" si="3"/>
        <v>0</v>
      </c>
      <c r="L11" s="21">
        <f t="shared" si="0"/>
        <v>28</v>
      </c>
      <c r="M11" s="21">
        <f t="shared" si="1"/>
        <v>72</v>
      </c>
      <c r="N11" s="21"/>
      <c r="O11" s="21"/>
      <c r="P11" s="5"/>
      <c r="Q11" s="16">
        <v>100</v>
      </c>
      <c r="R11" s="16"/>
      <c r="S11" s="21">
        <f t="shared" si="2"/>
        <v>100</v>
      </c>
      <c r="T11" s="16">
        <v>110</v>
      </c>
      <c r="U11" s="78">
        <f t="shared" si="4"/>
        <v>10</v>
      </c>
      <c r="V11" s="140"/>
      <c r="W11" s="147"/>
      <c r="X11" s="23"/>
      <c r="Y11" s="334"/>
      <c r="Z11" s="5"/>
      <c r="AC11" s="16" t="s">
        <v>168</v>
      </c>
      <c r="AD11" s="18">
        <f>+AB11*1000</f>
        <v>0</v>
      </c>
      <c r="AG11" s="16" t="s">
        <v>168</v>
      </c>
      <c r="AH11" s="18">
        <f>+AF11*1000</f>
        <v>0</v>
      </c>
      <c r="AJ11" s="16"/>
      <c r="AK11" s="16"/>
      <c r="AM11" s="16" t="s">
        <v>168</v>
      </c>
      <c r="AN11" s="18">
        <f>+AL11*1000</f>
        <v>0</v>
      </c>
    </row>
    <row r="12" spans="1:46" x14ac:dyDescent="0.25">
      <c r="A12" s="41">
        <v>9</v>
      </c>
      <c r="B12" s="92">
        <v>45194</v>
      </c>
      <c r="C12" s="31" t="s">
        <v>3525</v>
      </c>
      <c r="D12" s="32"/>
      <c r="E12" s="32"/>
      <c r="F12" s="32"/>
      <c r="G12" s="39" t="s">
        <v>1138</v>
      </c>
      <c r="H12" s="39"/>
      <c r="I12" s="40"/>
      <c r="J12" s="20">
        <v>10</v>
      </c>
      <c r="K12" s="21">
        <f t="shared" si="3"/>
        <v>40</v>
      </c>
      <c r="L12" s="21">
        <f t="shared" si="0"/>
        <v>10</v>
      </c>
      <c r="M12" s="21">
        <f t="shared" si="1"/>
        <v>-10</v>
      </c>
      <c r="N12" s="21"/>
      <c r="O12" s="21"/>
      <c r="P12" s="5"/>
      <c r="Q12" s="16"/>
      <c r="R12" s="16"/>
      <c r="S12" s="21">
        <f t="shared" si="2"/>
        <v>0</v>
      </c>
      <c r="T12" s="16"/>
      <c r="U12" s="78">
        <v>50</v>
      </c>
      <c r="V12" s="140"/>
      <c r="W12" s="147"/>
      <c r="X12" s="23"/>
      <c r="Y12" s="334"/>
      <c r="Z12" s="5"/>
      <c r="AC12" s="26"/>
      <c r="AD12" s="58"/>
      <c r="AG12" s="26"/>
      <c r="AH12" s="58"/>
      <c r="AJ12" s="16"/>
      <c r="AK12" s="16"/>
      <c r="AM12" s="26"/>
      <c r="AN12" s="58"/>
    </row>
    <row r="13" spans="1:46" x14ac:dyDescent="0.25">
      <c r="A13" s="143">
        <v>10</v>
      </c>
      <c r="B13" s="92">
        <v>45194</v>
      </c>
      <c r="C13" s="31" t="s">
        <v>635</v>
      </c>
      <c r="D13" s="32">
        <v>5611728082</v>
      </c>
      <c r="E13" s="32" t="s">
        <v>52</v>
      </c>
      <c r="F13" s="32" t="s">
        <v>773</v>
      </c>
      <c r="G13" s="39" t="s">
        <v>1127</v>
      </c>
      <c r="H13" s="122">
        <v>144</v>
      </c>
      <c r="I13" s="42">
        <v>134</v>
      </c>
      <c r="J13" s="20">
        <v>10</v>
      </c>
      <c r="K13" s="21">
        <f t="shared" si="3"/>
        <v>-134</v>
      </c>
      <c r="L13" s="21">
        <f t="shared" si="0"/>
        <v>144</v>
      </c>
      <c r="M13" s="21">
        <f t="shared" si="1"/>
        <v>0</v>
      </c>
      <c r="N13" s="21">
        <v>144</v>
      </c>
      <c r="O13" s="21">
        <v>134</v>
      </c>
      <c r="P13" s="5"/>
      <c r="Q13" s="16"/>
      <c r="R13" s="16"/>
      <c r="S13" s="21">
        <f t="shared" si="2"/>
        <v>0</v>
      </c>
      <c r="T13" s="16">
        <v>144</v>
      </c>
      <c r="U13" s="78">
        <v>10</v>
      </c>
      <c r="V13" s="140"/>
      <c r="W13" s="147"/>
      <c r="X13" s="23"/>
      <c r="Y13" s="334"/>
      <c r="Z13" s="5"/>
      <c r="AC13" s="16" t="s">
        <v>169</v>
      </c>
      <c r="AD13" s="18">
        <f>SUM(AD3:AD12)</f>
        <v>1687.5</v>
      </c>
      <c r="AG13" s="16" t="s">
        <v>169</v>
      </c>
      <c r="AH13" s="18">
        <f>SUM(AH3:AH12)</f>
        <v>2740</v>
      </c>
      <c r="AJ13" s="16"/>
      <c r="AK13" s="16"/>
      <c r="AM13" s="16" t="s">
        <v>169</v>
      </c>
      <c r="AN13" s="18"/>
    </row>
    <row r="14" spans="1:46" x14ac:dyDescent="0.25">
      <c r="A14" s="143">
        <v>11</v>
      </c>
      <c r="B14" s="92">
        <v>45194</v>
      </c>
      <c r="C14" s="31" t="s">
        <v>3527</v>
      </c>
      <c r="D14" s="124">
        <v>5537803548</v>
      </c>
      <c r="E14" s="123" t="s">
        <v>52</v>
      </c>
      <c r="F14" s="123" t="s">
        <v>837</v>
      </c>
      <c r="G14" s="39" t="s">
        <v>1129</v>
      </c>
      <c r="H14" s="122">
        <v>500</v>
      </c>
      <c r="I14" s="42">
        <v>258</v>
      </c>
      <c r="J14" s="20">
        <v>10</v>
      </c>
      <c r="K14" s="21">
        <f t="shared" si="3"/>
        <v>0</v>
      </c>
      <c r="L14" s="21">
        <f t="shared" si="0"/>
        <v>268</v>
      </c>
      <c r="M14" s="21">
        <f t="shared" si="1"/>
        <v>232</v>
      </c>
      <c r="N14" s="21"/>
      <c r="O14" s="21"/>
      <c r="P14" s="5"/>
      <c r="Q14" s="16"/>
      <c r="R14" s="16"/>
      <c r="S14" s="21">
        <f t="shared" si="2"/>
        <v>0</v>
      </c>
      <c r="T14" s="16">
        <v>268</v>
      </c>
      <c r="U14" s="78">
        <v>10</v>
      </c>
      <c r="V14" s="140"/>
      <c r="W14" s="147"/>
      <c r="X14" s="23"/>
      <c r="Y14" s="334"/>
      <c r="Z14" s="5"/>
      <c r="AD14" s="83">
        <f>+'Semana 5 del 18 al 24'!AD215</f>
        <v>2451.5</v>
      </c>
      <c r="AJ14" s="16"/>
      <c r="AK14" s="16"/>
      <c r="AM14" s="16"/>
      <c r="AN14" s="16"/>
    </row>
    <row r="15" spans="1:46" x14ac:dyDescent="0.25">
      <c r="A15" s="143">
        <v>12</v>
      </c>
      <c r="B15" s="92">
        <v>45194</v>
      </c>
      <c r="C15" s="32" t="s">
        <v>24</v>
      </c>
      <c r="D15" s="32">
        <v>5562236073</v>
      </c>
      <c r="E15" s="124" t="s">
        <v>656</v>
      </c>
      <c r="F15" s="123" t="s">
        <v>625</v>
      </c>
      <c r="G15" s="39" t="s">
        <v>1130</v>
      </c>
      <c r="H15" s="39">
        <v>35</v>
      </c>
      <c r="I15" s="42">
        <v>25</v>
      </c>
      <c r="J15" s="20">
        <v>10</v>
      </c>
      <c r="K15" s="21">
        <f t="shared" si="3"/>
        <v>0</v>
      </c>
      <c r="L15" s="21">
        <f t="shared" si="0"/>
        <v>35</v>
      </c>
      <c r="M15" s="21">
        <f t="shared" si="1"/>
        <v>0</v>
      </c>
      <c r="N15" s="21"/>
      <c r="O15" s="21"/>
      <c r="P15" s="5"/>
      <c r="Q15" s="45"/>
      <c r="R15" s="44"/>
      <c r="S15" s="21">
        <f t="shared" si="2"/>
        <v>0</v>
      </c>
      <c r="T15" s="45">
        <v>35</v>
      </c>
      <c r="U15" s="78">
        <v>10</v>
      </c>
      <c r="V15" s="140"/>
      <c r="W15" s="147"/>
      <c r="X15" s="23"/>
      <c r="Y15" s="334"/>
      <c r="Z15" s="5"/>
      <c r="AD15" s="83">
        <f>+AD14-AD13</f>
        <v>764</v>
      </c>
      <c r="AE15" s="83">
        <f>+AD16-100</f>
        <v>614</v>
      </c>
      <c r="AJ15" s="63" t="s">
        <v>169</v>
      </c>
      <c r="AK15" s="63">
        <f>+SUM(AJ4:AJ14)-SUM(AK4:AK14)</f>
        <v>221</v>
      </c>
      <c r="AM15" s="63" t="s">
        <v>169</v>
      </c>
      <c r="AN15" s="85">
        <f>+SUM(AM3:AM14)-SUM(AN4:AN14)</f>
        <v>0</v>
      </c>
    </row>
    <row r="16" spans="1:46" x14ac:dyDescent="0.25">
      <c r="A16" s="143">
        <v>13</v>
      </c>
      <c r="B16" s="92">
        <v>45194</v>
      </c>
      <c r="C16" s="31" t="s">
        <v>37</v>
      </c>
      <c r="D16" s="32">
        <v>5554180418</v>
      </c>
      <c r="E16" s="32" t="s">
        <v>38</v>
      </c>
      <c r="F16" s="32" t="s">
        <v>1132</v>
      </c>
      <c r="G16" s="39" t="s">
        <v>1131</v>
      </c>
      <c r="H16" s="39">
        <v>500</v>
      </c>
      <c r="I16" s="42">
        <v>115</v>
      </c>
      <c r="J16" s="108">
        <v>15</v>
      </c>
      <c r="K16" s="21">
        <f t="shared" si="3"/>
        <v>0</v>
      </c>
      <c r="L16" s="21">
        <f t="shared" si="0"/>
        <v>130</v>
      </c>
      <c r="M16" s="21">
        <f t="shared" si="1"/>
        <v>370</v>
      </c>
      <c r="N16" s="21"/>
      <c r="O16" s="21"/>
      <c r="P16" s="5"/>
      <c r="Q16" s="43"/>
      <c r="R16" s="32"/>
      <c r="S16" s="21">
        <f t="shared" si="2"/>
        <v>0</v>
      </c>
      <c r="T16" s="43">
        <v>135</v>
      </c>
      <c r="U16" s="78">
        <v>15</v>
      </c>
      <c r="V16" s="140"/>
      <c r="W16" s="147"/>
      <c r="X16" s="23"/>
      <c r="Y16" s="334"/>
      <c r="Z16" s="5"/>
      <c r="AD16" s="83">
        <f>+AD15-50</f>
        <v>714</v>
      </c>
      <c r="AE16" s="83">
        <f>AD14-150-80</f>
        <v>2221.5</v>
      </c>
      <c r="AH16" s="83"/>
    </row>
    <row r="17" spans="1:40" x14ac:dyDescent="0.25">
      <c r="A17" s="143">
        <v>14</v>
      </c>
      <c r="B17" s="92">
        <v>45194</v>
      </c>
      <c r="C17" s="31" t="s">
        <v>3379</v>
      </c>
      <c r="D17" s="32">
        <v>5541831909</v>
      </c>
      <c r="E17" s="32" t="s">
        <v>52</v>
      </c>
      <c r="F17" s="32" t="s">
        <v>662</v>
      </c>
      <c r="G17" s="39" t="s">
        <v>1137</v>
      </c>
      <c r="H17" s="39">
        <v>100</v>
      </c>
      <c r="I17" s="42">
        <v>72</v>
      </c>
      <c r="J17" s="108">
        <v>10</v>
      </c>
      <c r="K17" s="21">
        <f t="shared" si="3"/>
        <v>0</v>
      </c>
      <c r="L17" s="21">
        <f t="shared" si="0"/>
        <v>82</v>
      </c>
      <c r="M17" s="21">
        <f t="shared" si="1"/>
        <v>18</v>
      </c>
      <c r="N17" s="21"/>
      <c r="O17" s="21"/>
      <c r="P17" s="5"/>
      <c r="Q17" s="43"/>
      <c r="R17" s="43"/>
      <c r="S17" s="21">
        <f t="shared" si="2"/>
        <v>0</v>
      </c>
      <c r="T17" s="43">
        <v>82</v>
      </c>
      <c r="U17" s="78">
        <v>10</v>
      </c>
      <c r="V17" s="140"/>
      <c r="W17" s="147"/>
      <c r="X17" s="23"/>
      <c r="Y17" s="334"/>
      <c r="Z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40" x14ac:dyDescent="0.25">
      <c r="A18" s="143">
        <v>15</v>
      </c>
      <c r="B18" s="92">
        <v>45194</v>
      </c>
      <c r="C18" s="127" t="s">
        <v>3100</v>
      </c>
      <c r="D18" s="32">
        <v>5545382189</v>
      </c>
      <c r="E18" s="32" t="s">
        <v>41</v>
      </c>
      <c r="F18" s="128" t="s">
        <v>220</v>
      </c>
      <c r="G18" s="129" t="s">
        <v>1139</v>
      </c>
      <c r="H18" s="39">
        <v>233</v>
      </c>
      <c r="I18" s="42">
        <v>180</v>
      </c>
      <c r="J18" s="108">
        <v>10</v>
      </c>
      <c r="K18" s="21">
        <v>44</v>
      </c>
      <c r="L18" s="21">
        <f t="shared" si="0"/>
        <v>190</v>
      </c>
      <c r="M18" s="21">
        <f t="shared" si="1"/>
        <v>43</v>
      </c>
      <c r="N18" s="21"/>
      <c r="O18" s="21"/>
      <c r="P18" s="5"/>
      <c r="Q18" s="43"/>
      <c r="R18" s="43"/>
      <c r="S18" s="21">
        <f t="shared" si="2"/>
        <v>0</v>
      </c>
      <c r="T18" s="43">
        <v>233</v>
      </c>
      <c r="U18" s="78">
        <v>33</v>
      </c>
      <c r="V18" s="140"/>
      <c r="W18" s="147"/>
      <c r="X18" s="23"/>
      <c r="Y18" s="334"/>
      <c r="Z18" s="5"/>
      <c r="AC18" s="5"/>
      <c r="AD18" s="134" t="s">
        <v>20</v>
      </c>
      <c r="AE18" s="338">
        <v>2234</v>
      </c>
      <c r="AF18" s="341" t="s">
        <v>686</v>
      </c>
      <c r="AG18" s="134" t="s">
        <v>20</v>
      </c>
      <c r="AH18" s="338">
        <v>78.5</v>
      </c>
      <c r="AI18" s="341" t="s">
        <v>687</v>
      </c>
      <c r="AJ18" s="134" t="s">
        <v>20</v>
      </c>
      <c r="AK18" s="338">
        <v>145</v>
      </c>
      <c r="AL18" s="5"/>
    </row>
    <row r="19" spans="1:40" x14ac:dyDescent="0.25">
      <c r="A19" s="143">
        <v>16</v>
      </c>
      <c r="B19" s="92">
        <v>45194</v>
      </c>
      <c r="C19" s="31"/>
      <c r="D19" s="32"/>
      <c r="E19" s="32"/>
      <c r="F19" s="32"/>
      <c r="G19" s="39"/>
      <c r="H19" s="39"/>
      <c r="I19" s="42"/>
      <c r="J19" s="43">
        <v>10</v>
      </c>
      <c r="K19" s="21">
        <f t="shared" si="3"/>
        <v>-10</v>
      </c>
      <c r="L19" s="21">
        <f t="shared" si="0"/>
        <v>10</v>
      </c>
      <c r="M19" s="21">
        <f t="shared" si="1"/>
        <v>-10</v>
      </c>
      <c r="N19" s="21"/>
      <c r="O19" s="21"/>
      <c r="P19" s="5"/>
      <c r="Q19" s="43"/>
      <c r="R19" s="32"/>
      <c r="S19" s="21">
        <f t="shared" si="2"/>
        <v>0</v>
      </c>
      <c r="T19" s="131"/>
      <c r="U19" s="78">
        <f t="shared" si="4"/>
        <v>0</v>
      </c>
      <c r="V19" s="140"/>
      <c r="W19" s="147"/>
      <c r="X19" s="23"/>
      <c r="Y19" s="334"/>
      <c r="Z19" s="5"/>
      <c r="AC19" s="5" t="s">
        <v>685</v>
      </c>
      <c r="AD19" s="115" t="s">
        <v>684</v>
      </c>
      <c r="AE19" s="339"/>
      <c r="AF19" s="341"/>
      <c r="AG19" s="115" t="s">
        <v>684</v>
      </c>
      <c r="AH19" s="339"/>
      <c r="AI19" s="341"/>
      <c r="AJ19" s="115" t="s">
        <v>684</v>
      </c>
      <c r="AK19" s="339"/>
      <c r="AL19" s="5"/>
    </row>
    <row r="20" spans="1:40" x14ac:dyDescent="0.25">
      <c r="A20" s="143">
        <v>17</v>
      </c>
      <c r="B20" s="92">
        <v>45194</v>
      </c>
      <c r="C20" s="31"/>
      <c r="D20" s="32"/>
      <c r="E20" s="32"/>
      <c r="F20" s="32"/>
      <c r="G20" s="39"/>
      <c r="H20" s="39"/>
      <c r="I20" s="42"/>
      <c r="J20" s="43">
        <v>10</v>
      </c>
      <c r="K20" s="21">
        <f t="shared" si="3"/>
        <v>-10</v>
      </c>
      <c r="L20" s="21">
        <f t="shared" si="0"/>
        <v>10</v>
      </c>
      <c r="M20" s="21">
        <f t="shared" si="1"/>
        <v>-10</v>
      </c>
      <c r="N20" s="21"/>
      <c r="O20" s="21"/>
      <c r="P20" s="5"/>
      <c r="Q20" s="43"/>
      <c r="R20" s="32"/>
      <c r="S20" s="21">
        <f t="shared" si="2"/>
        <v>0</v>
      </c>
      <c r="T20" s="132"/>
      <c r="U20" s="78">
        <f t="shared" si="4"/>
        <v>0</v>
      </c>
      <c r="V20" s="140"/>
      <c r="W20" s="147"/>
      <c r="X20" s="23"/>
      <c r="Y20" s="334"/>
      <c r="Z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40" x14ac:dyDescent="0.25">
      <c r="A21" s="143">
        <v>18</v>
      </c>
      <c r="B21" s="92">
        <v>45194</v>
      </c>
      <c r="C21" s="31"/>
      <c r="D21" s="32"/>
      <c r="E21" s="32"/>
      <c r="F21" s="32"/>
      <c r="G21" s="39"/>
      <c r="H21" s="39"/>
      <c r="I21" s="42"/>
      <c r="J21" s="43">
        <v>10</v>
      </c>
      <c r="K21" s="21">
        <f t="shared" si="3"/>
        <v>-10</v>
      </c>
      <c r="L21" s="21">
        <f t="shared" si="0"/>
        <v>10</v>
      </c>
      <c r="M21" s="21">
        <f t="shared" si="1"/>
        <v>-10</v>
      </c>
      <c r="N21" s="21"/>
      <c r="O21" s="21"/>
      <c r="P21" s="5"/>
      <c r="Q21" s="135"/>
      <c r="R21" s="104"/>
      <c r="S21" s="21">
        <f t="shared" si="2"/>
        <v>0</v>
      </c>
      <c r="T21" s="131"/>
      <c r="U21" s="78">
        <f t="shared" si="4"/>
        <v>0</v>
      </c>
      <c r="V21" s="140"/>
      <c r="W21" s="138"/>
      <c r="X21" s="32"/>
      <c r="Z21" s="5"/>
      <c r="AE21">
        <v>20</v>
      </c>
    </row>
    <row r="22" spans="1:40" x14ac:dyDescent="0.25">
      <c r="A22" s="143">
        <v>19</v>
      </c>
      <c r="B22" s="92">
        <v>45194</v>
      </c>
      <c r="C22" s="31"/>
      <c r="D22" s="32"/>
      <c r="E22" s="32"/>
      <c r="F22" s="32"/>
      <c r="G22" s="39"/>
      <c r="H22" s="39"/>
      <c r="I22" s="42"/>
      <c r="J22" s="43">
        <v>10</v>
      </c>
      <c r="K22" s="21">
        <f t="shared" si="3"/>
        <v>-10</v>
      </c>
      <c r="L22" s="21">
        <f t="shared" si="0"/>
        <v>10</v>
      </c>
      <c r="M22" s="21">
        <f t="shared" si="1"/>
        <v>-10</v>
      </c>
      <c r="N22" s="21"/>
      <c r="O22" s="21"/>
      <c r="P22" s="5"/>
      <c r="Q22" s="32"/>
      <c r="R22" s="32"/>
      <c r="S22" s="21">
        <f t="shared" si="2"/>
        <v>0</v>
      </c>
      <c r="T22" s="32"/>
      <c r="U22" s="78">
        <f t="shared" si="4"/>
        <v>0</v>
      </c>
      <c r="V22" s="140"/>
      <c r="W22" s="138"/>
      <c r="X22" s="32"/>
      <c r="Z22" s="5"/>
      <c r="AE22">
        <v>65</v>
      </c>
    </row>
    <row r="23" spans="1:40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22">
        <f>SUM(U4:U22)</f>
        <v>223</v>
      </c>
      <c r="V23" s="141"/>
      <c r="W23" s="5"/>
      <c r="X23" s="5"/>
      <c r="Y23" s="5"/>
      <c r="Z23" s="5"/>
      <c r="AE23">
        <v>2</v>
      </c>
    </row>
    <row r="24" spans="1:40" x14ac:dyDescent="0.25">
      <c r="AE24">
        <v>6</v>
      </c>
    </row>
    <row r="25" spans="1:40" x14ac:dyDescent="0.25">
      <c r="AE25">
        <f>+SUM(AE21:AE24)</f>
        <v>93</v>
      </c>
    </row>
    <row r="27" spans="1:40" x14ac:dyDescent="0.25">
      <c r="I27">
        <f>50-17</f>
        <v>33</v>
      </c>
    </row>
    <row r="28" spans="1:40" x14ac:dyDescent="0.25">
      <c r="P28" t="s">
        <v>1156</v>
      </c>
      <c r="T28">
        <f>+T38+142</f>
        <v>362</v>
      </c>
    </row>
    <row r="29" spans="1:40" x14ac:dyDescent="0.25">
      <c r="AF29" t="s">
        <v>148</v>
      </c>
    </row>
    <row r="30" spans="1:40" x14ac:dyDescent="0.25">
      <c r="A30" s="1" t="s">
        <v>0</v>
      </c>
      <c r="B30" s="1"/>
      <c r="C30" s="1"/>
      <c r="D30" s="1"/>
      <c r="E30" s="1"/>
      <c r="F30" s="1"/>
      <c r="G30" s="1"/>
      <c r="H30" s="1"/>
      <c r="I30" s="1" t="s">
        <v>148</v>
      </c>
      <c r="J30" s="1"/>
      <c r="K30" s="1"/>
      <c r="L30" s="1"/>
      <c r="M30" s="1"/>
      <c r="N30" s="1"/>
      <c r="O30" s="1"/>
      <c r="P30" s="1"/>
      <c r="Q30" s="1"/>
      <c r="R30" s="1"/>
      <c r="S30" s="342" t="s">
        <v>1</v>
      </c>
      <c r="T30" s="342"/>
      <c r="U30" s="5"/>
      <c r="V30" s="139"/>
      <c r="W30" s="1"/>
      <c r="X30" s="1"/>
      <c r="Y30" s="1"/>
      <c r="Z30" s="5"/>
      <c r="AC30" s="335" t="s">
        <v>160</v>
      </c>
      <c r="AD30" s="336"/>
      <c r="AG30" s="335" t="s">
        <v>170</v>
      </c>
      <c r="AH30" s="336"/>
      <c r="AJ30" s="337" t="s">
        <v>172</v>
      </c>
      <c r="AK30" s="337"/>
      <c r="AM30" s="337" t="s">
        <v>681</v>
      </c>
      <c r="AN30" s="337"/>
    </row>
    <row r="31" spans="1:40" ht="90" x14ac:dyDescent="0.25">
      <c r="A31" s="6" t="s">
        <v>2</v>
      </c>
      <c r="B31" s="7" t="s">
        <v>3</v>
      </c>
      <c r="C31" s="7" t="s">
        <v>4</v>
      </c>
      <c r="D31" s="6" t="s">
        <v>5</v>
      </c>
      <c r="E31" s="6" t="s">
        <v>6</v>
      </c>
      <c r="F31" s="6" t="s">
        <v>7</v>
      </c>
      <c r="G31" s="6" t="s">
        <v>8</v>
      </c>
      <c r="H31" s="8" t="s">
        <v>9</v>
      </c>
      <c r="I31" s="9" t="s">
        <v>10</v>
      </c>
      <c r="J31" s="8" t="s">
        <v>11</v>
      </c>
      <c r="K31" s="10" t="s">
        <v>12</v>
      </c>
      <c r="L31" s="10" t="s">
        <v>13</v>
      </c>
      <c r="M31" s="11" t="s">
        <v>14</v>
      </c>
      <c r="N31" s="10" t="s">
        <v>691</v>
      </c>
      <c r="O31" s="10" t="s">
        <v>28</v>
      </c>
      <c r="P31" s="5"/>
      <c r="Q31" s="10" t="s">
        <v>16</v>
      </c>
      <c r="R31" s="10" t="s">
        <v>17</v>
      </c>
      <c r="S31" s="10" t="s">
        <v>18</v>
      </c>
      <c r="T31" s="10" t="s">
        <v>19</v>
      </c>
      <c r="U31" s="10" t="s">
        <v>20</v>
      </c>
      <c r="V31" s="13"/>
      <c r="W31" s="136" t="s">
        <v>688</v>
      </c>
      <c r="X31" s="14" t="s">
        <v>22</v>
      </c>
      <c r="Y31" s="15" t="s">
        <v>23</v>
      </c>
      <c r="Z31" s="5"/>
      <c r="AB31">
        <v>10</v>
      </c>
      <c r="AC31" s="16" t="s">
        <v>161</v>
      </c>
      <c r="AD31" s="58">
        <f>+AB31*10</f>
        <v>100</v>
      </c>
      <c r="AF31">
        <v>14</v>
      </c>
      <c r="AG31" s="16" t="s">
        <v>161</v>
      </c>
      <c r="AH31" s="58">
        <f>+AF31*10</f>
        <v>140</v>
      </c>
      <c r="AJ31" s="61" t="s">
        <v>173</v>
      </c>
      <c r="AK31" s="62" t="s">
        <v>174</v>
      </c>
      <c r="AM31" s="16" t="s">
        <v>161</v>
      </c>
      <c r="AN31" s="58">
        <f>+AL31*10</f>
        <v>0</v>
      </c>
    </row>
    <row r="32" spans="1:40" x14ac:dyDescent="0.25">
      <c r="A32" s="16">
        <v>1</v>
      </c>
      <c r="B32" s="92">
        <v>45195</v>
      </c>
      <c r="C32" s="31" t="s">
        <v>1143</v>
      </c>
      <c r="D32" s="32"/>
      <c r="E32" s="32" t="s">
        <v>923</v>
      </c>
      <c r="F32" s="39" t="s">
        <v>1148</v>
      </c>
      <c r="G32" s="39" t="s">
        <v>1141</v>
      </c>
      <c r="H32" s="122">
        <v>200</v>
      </c>
      <c r="I32" s="32">
        <v>186</v>
      </c>
      <c r="J32" s="20">
        <v>10</v>
      </c>
      <c r="K32" s="21">
        <f>U32-J32-O32</f>
        <v>4</v>
      </c>
      <c r="L32" s="21">
        <f t="shared" ref="L32:L50" si="5">+I32+J32</f>
        <v>196</v>
      </c>
      <c r="M32" s="21">
        <f t="shared" ref="M32:M50" si="6">+H32-L32</f>
        <v>4</v>
      </c>
      <c r="N32" s="21"/>
      <c r="O32" s="21"/>
      <c r="P32" s="5"/>
      <c r="Q32" s="21"/>
      <c r="R32" s="16"/>
      <c r="S32" s="21">
        <f t="shared" ref="S32:S50" si="7">+Q32+R32</f>
        <v>0</v>
      </c>
      <c r="T32" s="21">
        <v>14</v>
      </c>
      <c r="U32" s="78">
        <f>T32-S32-O32</f>
        <v>14</v>
      </c>
      <c r="V32" s="13"/>
      <c r="W32" s="147"/>
      <c r="X32" s="23"/>
      <c r="Y32" s="333"/>
      <c r="Z32" s="5"/>
      <c r="AB32">
        <v>86</v>
      </c>
      <c r="AC32" s="59" t="s">
        <v>162</v>
      </c>
      <c r="AD32" s="18">
        <f>+AB32*1</f>
        <v>86</v>
      </c>
      <c r="AF32">
        <v>83</v>
      </c>
      <c r="AG32" s="59" t="s">
        <v>162</v>
      </c>
      <c r="AH32" s="18">
        <f>+AF32*1</f>
        <v>83</v>
      </c>
      <c r="AJ32" s="16">
        <v>120</v>
      </c>
      <c r="AK32" s="16"/>
      <c r="AM32" s="59" t="s">
        <v>162</v>
      </c>
      <c r="AN32" s="18">
        <f>+AL32*1</f>
        <v>0</v>
      </c>
    </row>
    <row r="33" spans="1:40" x14ac:dyDescent="0.25">
      <c r="A33" s="26">
        <v>2</v>
      </c>
      <c r="B33" s="92">
        <v>45195</v>
      </c>
      <c r="C33" s="31" t="s">
        <v>933</v>
      </c>
      <c r="D33" s="32">
        <v>5559971116</v>
      </c>
      <c r="E33" s="32" t="s">
        <v>41</v>
      </c>
      <c r="F33" s="32" t="s">
        <v>1053</v>
      </c>
      <c r="G33" s="39" t="s">
        <v>1142</v>
      </c>
      <c r="H33" s="122">
        <v>114</v>
      </c>
      <c r="I33" s="32">
        <v>104</v>
      </c>
      <c r="J33" s="20">
        <v>10</v>
      </c>
      <c r="K33" s="21">
        <f t="shared" ref="K33:K50" si="8">U33-J33-O33</f>
        <v>0</v>
      </c>
      <c r="L33" s="21">
        <f t="shared" si="5"/>
        <v>114</v>
      </c>
      <c r="M33" s="21">
        <f t="shared" si="6"/>
        <v>0</v>
      </c>
      <c r="N33" s="21"/>
      <c r="O33" s="21"/>
      <c r="P33" s="5"/>
      <c r="Q33" s="21">
        <v>100</v>
      </c>
      <c r="R33" s="16"/>
      <c r="S33" s="21">
        <f t="shared" si="7"/>
        <v>100</v>
      </c>
      <c r="T33" s="21">
        <v>110</v>
      </c>
      <c r="U33" s="78">
        <f t="shared" ref="U33:U50" si="9">T33-S33-O33</f>
        <v>10</v>
      </c>
      <c r="V33" s="140"/>
      <c r="W33" s="147"/>
      <c r="X33" s="23"/>
      <c r="Y33" s="334"/>
      <c r="Z33" s="5"/>
      <c r="AB33">
        <v>25</v>
      </c>
      <c r="AC33" s="16" t="s">
        <v>163</v>
      </c>
      <c r="AD33" s="60">
        <f>+AB33*5</f>
        <v>125</v>
      </c>
      <c r="AF33">
        <v>31</v>
      </c>
      <c r="AG33" s="16" t="s">
        <v>163</v>
      </c>
      <c r="AH33" s="60">
        <f>+AF33*5</f>
        <v>155</v>
      </c>
      <c r="AJ33" s="16">
        <v>190</v>
      </c>
      <c r="AK33" s="16"/>
      <c r="AM33" s="16" t="s">
        <v>163</v>
      </c>
      <c r="AN33" s="60">
        <f>+AL33*5</f>
        <v>0</v>
      </c>
    </row>
    <row r="34" spans="1:40" x14ac:dyDescent="0.25">
      <c r="A34" s="143">
        <v>3</v>
      </c>
      <c r="B34" s="92">
        <v>45195</v>
      </c>
      <c r="C34" s="31" t="s">
        <v>24</v>
      </c>
      <c r="D34" s="32">
        <v>5562236073</v>
      </c>
      <c r="E34" s="32" t="s">
        <v>403</v>
      </c>
      <c r="F34" s="32" t="s">
        <v>1146</v>
      </c>
      <c r="G34" s="39" t="s">
        <v>213</v>
      </c>
      <c r="H34" s="122">
        <v>200</v>
      </c>
      <c r="I34" s="32">
        <v>190</v>
      </c>
      <c r="J34" s="20">
        <v>10</v>
      </c>
      <c r="K34" s="21">
        <f t="shared" si="8"/>
        <v>0</v>
      </c>
      <c r="L34" s="21">
        <f t="shared" si="5"/>
        <v>200</v>
      </c>
      <c r="M34" s="21">
        <f t="shared" si="6"/>
        <v>0</v>
      </c>
      <c r="N34" s="21"/>
      <c r="O34" s="21"/>
      <c r="P34" s="5"/>
      <c r="Q34" s="21"/>
      <c r="R34" s="16"/>
      <c r="S34" s="21">
        <f t="shared" si="7"/>
        <v>0</v>
      </c>
      <c r="T34" s="21">
        <v>200</v>
      </c>
      <c r="U34" s="78">
        <v>10</v>
      </c>
      <c r="V34" s="140" t="s">
        <v>403</v>
      </c>
      <c r="W34" s="147"/>
      <c r="X34" s="23"/>
      <c r="Y34" s="334"/>
      <c r="Z34" s="5"/>
      <c r="AB34">
        <v>1</v>
      </c>
      <c r="AC34" s="16" t="s">
        <v>164</v>
      </c>
      <c r="AD34" s="18">
        <f>+AB34*200</f>
        <v>200</v>
      </c>
      <c r="AF34">
        <v>2</v>
      </c>
      <c r="AG34" s="16" t="s">
        <v>164</v>
      </c>
      <c r="AH34" s="18">
        <f>+AF34*200</f>
        <v>400</v>
      </c>
      <c r="AJ34" s="16"/>
      <c r="AK34" s="16"/>
      <c r="AM34" s="16" t="s">
        <v>164</v>
      </c>
      <c r="AN34" s="18">
        <f>+AL34*200</f>
        <v>0</v>
      </c>
    </row>
    <row r="35" spans="1:40" x14ac:dyDescent="0.25">
      <c r="A35" s="143">
        <v>4</v>
      </c>
      <c r="B35" s="92">
        <v>45195</v>
      </c>
      <c r="C35" s="31" t="s">
        <v>1500</v>
      </c>
      <c r="D35" s="32">
        <v>5639611669</v>
      </c>
      <c r="E35" s="32" t="s">
        <v>1147</v>
      </c>
      <c r="F35" s="32" t="s">
        <v>1144</v>
      </c>
      <c r="G35" s="39" t="s">
        <v>1145</v>
      </c>
      <c r="H35" s="122"/>
      <c r="I35" s="32">
        <v>210</v>
      </c>
      <c r="J35" s="20">
        <v>10</v>
      </c>
      <c r="K35" s="21">
        <f t="shared" si="8"/>
        <v>0</v>
      </c>
      <c r="L35" s="21">
        <f t="shared" si="5"/>
        <v>220</v>
      </c>
      <c r="M35" s="21">
        <f t="shared" si="6"/>
        <v>-220</v>
      </c>
      <c r="N35" s="21"/>
      <c r="O35" s="21"/>
      <c r="P35" s="5"/>
      <c r="Q35" s="21">
        <v>250</v>
      </c>
      <c r="R35" s="16"/>
      <c r="S35" s="21">
        <f t="shared" si="7"/>
        <v>250</v>
      </c>
      <c r="T35" s="21">
        <v>260</v>
      </c>
      <c r="U35" s="78">
        <f t="shared" si="9"/>
        <v>10</v>
      </c>
      <c r="V35" s="140"/>
      <c r="W35" s="147"/>
      <c r="X35" s="23"/>
      <c r="Y35" s="334"/>
      <c r="Z35" s="5"/>
      <c r="AB35">
        <v>7</v>
      </c>
      <c r="AC35" s="16" t="s">
        <v>165</v>
      </c>
      <c r="AD35" s="18">
        <f>+AB35*100</f>
        <v>700</v>
      </c>
      <c r="AF35">
        <v>6</v>
      </c>
      <c r="AG35" s="16" t="s">
        <v>165</v>
      </c>
      <c r="AH35" s="18">
        <f>+AF35*100</f>
        <v>600</v>
      </c>
      <c r="AJ35" s="16"/>
      <c r="AK35" s="16"/>
      <c r="AM35" s="16" t="s">
        <v>165</v>
      </c>
      <c r="AN35" s="18">
        <f>+AL35*100</f>
        <v>0</v>
      </c>
    </row>
    <row r="36" spans="1:40" x14ac:dyDescent="0.25">
      <c r="A36" s="64">
        <v>5</v>
      </c>
      <c r="B36" s="92">
        <v>45195</v>
      </c>
      <c r="C36" s="166" t="s">
        <v>2464</v>
      </c>
      <c r="D36" s="64">
        <v>5610020620</v>
      </c>
      <c r="E36" s="64" t="s">
        <v>1151</v>
      </c>
      <c r="F36" s="64" t="s">
        <v>1152</v>
      </c>
      <c r="G36" s="64" t="s">
        <v>1153</v>
      </c>
      <c r="H36" s="167"/>
      <c r="I36" s="64">
        <v>17</v>
      </c>
      <c r="J36" s="168">
        <v>10</v>
      </c>
      <c r="K36" s="169">
        <f t="shared" si="8"/>
        <v>0</v>
      </c>
      <c r="L36" s="169">
        <f t="shared" si="5"/>
        <v>27</v>
      </c>
      <c r="M36" s="169">
        <f t="shared" si="6"/>
        <v>-27</v>
      </c>
      <c r="N36" s="169"/>
      <c r="O36" s="169"/>
      <c r="P36" s="150"/>
      <c r="Q36" s="170">
        <v>50</v>
      </c>
      <c r="R36" s="170"/>
      <c r="S36" s="169">
        <f t="shared" si="7"/>
        <v>50</v>
      </c>
      <c r="T36" s="169"/>
      <c r="U36" s="171">
        <v>10</v>
      </c>
      <c r="V36" s="172"/>
      <c r="W36" s="147"/>
      <c r="X36" s="23"/>
      <c r="Y36" s="334"/>
      <c r="Z36" s="5"/>
      <c r="AB36">
        <v>14</v>
      </c>
      <c r="AC36" s="16" t="s">
        <v>166</v>
      </c>
      <c r="AD36" s="18">
        <f>+AB36*50</f>
        <v>700</v>
      </c>
      <c r="AF36">
        <v>13</v>
      </c>
      <c r="AG36" s="16" t="s">
        <v>166</v>
      </c>
      <c r="AH36" s="18">
        <f>+AF36*50</f>
        <v>650</v>
      </c>
      <c r="AJ36" s="16"/>
      <c r="AK36" s="16"/>
      <c r="AM36" s="16" t="s">
        <v>166</v>
      </c>
      <c r="AN36" s="18">
        <f>+AL36*50</f>
        <v>0</v>
      </c>
    </row>
    <row r="37" spans="1:40" x14ac:dyDescent="0.25">
      <c r="A37" s="143">
        <v>6</v>
      </c>
      <c r="B37" s="92">
        <v>45195</v>
      </c>
      <c r="C37" s="31" t="s">
        <v>3526</v>
      </c>
      <c r="D37" s="32">
        <v>5652291825</v>
      </c>
      <c r="E37" s="32" t="s">
        <v>76</v>
      </c>
      <c r="F37" s="32" t="s">
        <v>1149</v>
      </c>
      <c r="G37" s="32" t="s">
        <v>1150</v>
      </c>
      <c r="H37" s="122">
        <v>300</v>
      </c>
      <c r="I37" s="32">
        <v>223</v>
      </c>
      <c r="J37" s="20">
        <v>10</v>
      </c>
      <c r="K37" s="21">
        <f t="shared" si="8"/>
        <v>0</v>
      </c>
      <c r="L37" s="21">
        <f t="shared" si="5"/>
        <v>233</v>
      </c>
      <c r="M37" s="21">
        <f t="shared" si="6"/>
        <v>67</v>
      </c>
      <c r="N37" s="21"/>
      <c r="O37" s="21"/>
      <c r="P37" s="5"/>
      <c r="Q37" s="16">
        <v>300</v>
      </c>
      <c r="R37" s="16"/>
      <c r="S37" s="21">
        <f t="shared" si="7"/>
        <v>300</v>
      </c>
      <c r="T37" s="16">
        <v>310</v>
      </c>
      <c r="U37" s="78">
        <f t="shared" si="9"/>
        <v>10</v>
      </c>
      <c r="V37" s="140"/>
      <c r="W37" s="147"/>
      <c r="X37" s="23"/>
      <c r="Y37" s="334"/>
      <c r="Z37" s="5"/>
      <c r="AB37">
        <v>18</v>
      </c>
      <c r="AC37" s="16" t="s">
        <v>167</v>
      </c>
      <c r="AD37" s="18">
        <f>+AB37*20</f>
        <v>360</v>
      </c>
      <c r="AF37">
        <v>17</v>
      </c>
      <c r="AG37" s="16" t="s">
        <v>167</v>
      </c>
      <c r="AH37" s="18">
        <f>+AF37*20</f>
        <v>340</v>
      </c>
      <c r="AJ37" s="16"/>
      <c r="AK37" s="16"/>
      <c r="AM37" s="16" t="s">
        <v>167</v>
      </c>
      <c r="AN37" s="18">
        <f>+AL37*20</f>
        <v>0</v>
      </c>
    </row>
    <row r="38" spans="1:40" x14ac:dyDescent="0.25">
      <c r="A38" s="143">
        <v>7</v>
      </c>
      <c r="B38" s="92">
        <v>45195</v>
      </c>
      <c r="C38" s="31" t="s">
        <v>82</v>
      </c>
      <c r="D38" s="32">
        <v>562483893</v>
      </c>
      <c r="E38" s="32" t="s">
        <v>1154</v>
      </c>
      <c r="F38" s="32"/>
      <c r="G38" s="39" t="s">
        <v>1155</v>
      </c>
      <c r="H38" s="122">
        <v>142</v>
      </c>
      <c r="I38" s="42">
        <v>132</v>
      </c>
      <c r="J38" s="20">
        <v>10</v>
      </c>
      <c r="K38" s="21">
        <f t="shared" si="8"/>
        <v>10</v>
      </c>
      <c r="L38" s="21">
        <f t="shared" si="5"/>
        <v>142</v>
      </c>
      <c r="M38" s="21">
        <f t="shared" si="6"/>
        <v>0</v>
      </c>
      <c r="N38" s="21">
        <v>142</v>
      </c>
      <c r="O38" s="21"/>
      <c r="P38" s="5"/>
      <c r="Q38" s="16">
        <v>200</v>
      </c>
      <c r="R38" s="16"/>
      <c r="S38" s="21">
        <f t="shared" si="7"/>
        <v>200</v>
      </c>
      <c r="T38" s="16">
        <v>220</v>
      </c>
      <c r="U38" s="78">
        <f t="shared" si="9"/>
        <v>20</v>
      </c>
      <c r="V38" s="140"/>
      <c r="W38" s="147"/>
      <c r="X38" s="23"/>
      <c r="Y38" s="334"/>
      <c r="Z38" s="5"/>
      <c r="AB38">
        <v>1</v>
      </c>
      <c r="AC38" s="16" t="s">
        <v>171</v>
      </c>
      <c r="AD38" s="18">
        <f>+AB38*500</f>
        <v>500</v>
      </c>
      <c r="AF38">
        <v>1</v>
      </c>
      <c r="AG38" s="16" t="s">
        <v>171</v>
      </c>
      <c r="AH38" s="18">
        <f>+AF38*500</f>
        <v>500</v>
      </c>
      <c r="AJ38" s="16"/>
      <c r="AK38" s="16"/>
      <c r="AM38" s="16" t="s">
        <v>171</v>
      </c>
      <c r="AN38" s="18">
        <f>+AL38*500</f>
        <v>0</v>
      </c>
    </row>
    <row r="39" spans="1:40" x14ac:dyDescent="0.25">
      <c r="A39" s="41">
        <v>8</v>
      </c>
      <c r="B39" s="92">
        <v>45195</v>
      </c>
      <c r="C39" s="31" t="s">
        <v>921</v>
      </c>
      <c r="D39" s="123"/>
      <c r="E39" s="123" t="s">
        <v>1158</v>
      </c>
      <c r="F39" s="123"/>
      <c r="G39" s="39" t="s">
        <v>1157</v>
      </c>
      <c r="H39" s="122">
        <v>100</v>
      </c>
      <c r="I39" s="32">
        <v>80</v>
      </c>
      <c r="J39" s="20">
        <v>10</v>
      </c>
      <c r="K39" s="21">
        <f t="shared" si="8"/>
        <v>5</v>
      </c>
      <c r="L39" s="21">
        <f t="shared" si="5"/>
        <v>90</v>
      </c>
      <c r="M39" s="21">
        <f t="shared" si="6"/>
        <v>10</v>
      </c>
      <c r="N39" s="21"/>
      <c r="O39" s="21"/>
      <c r="P39" s="5"/>
      <c r="Q39" s="16">
        <v>100</v>
      </c>
      <c r="R39" s="16"/>
      <c r="S39" s="21">
        <f t="shared" si="7"/>
        <v>100</v>
      </c>
      <c r="T39" s="16">
        <v>115</v>
      </c>
      <c r="U39" s="78">
        <f t="shared" si="9"/>
        <v>15</v>
      </c>
      <c r="V39" s="140"/>
      <c r="W39" s="147"/>
      <c r="X39" s="23"/>
      <c r="Y39" s="334"/>
      <c r="Z39" s="5"/>
      <c r="AC39" s="16" t="s">
        <v>168</v>
      </c>
      <c r="AD39" s="18">
        <f>+AB39*1000</f>
        <v>0</v>
      </c>
      <c r="AG39" s="16" t="s">
        <v>168</v>
      </c>
      <c r="AH39" s="18">
        <f>+AF39*1000</f>
        <v>0</v>
      </c>
      <c r="AJ39" s="16"/>
      <c r="AK39" s="16"/>
      <c r="AM39" s="16" t="s">
        <v>168</v>
      </c>
      <c r="AN39" s="18">
        <f>+AL39*1000</f>
        <v>0</v>
      </c>
    </row>
    <row r="40" spans="1:40" x14ac:dyDescent="0.25">
      <c r="A40" s="143">
        <v>9</v>
      </c>
      <c r="B40" s="92">
        <v>45195</v>
      </c>
      <c r="C40" s="31" t="s">
        <v>2639</v>
      </c>
      <c r="D40" s="32"/>
      <c r="E40" s="32" t="s">
        <v>41</v>
      </c>
      <c r="F40" s="32" t="s">
        <v>1161</v>
      </c>
      <c r="G40" s="39" t="s">
        <v>1159</v>
      </c>
      <c r="H40" s="39">
        <v>200</v>
      </c>
      <c r="I40" s="40">
        <v>75</v>
      </c>
      <c r="J40" s="20">
        <v>10</v>
      </c>
      <c r="K40" s="21">
        <v>10</v>
      </c>
      <c r="L40" s="21">
        <f t="shared" si="5"/>
        <v>85</v>
      </c>
      <c r="M40" s="21">
        <f t="shared" si="6"/>
        <v>115</v>
      </c>
      <c r="N40" s="21"/>
      <c r="O40" s="21"/>
      <c r="P40" s="5"/>
      <c r="Q40" s="16"/>
      <c r="R40" s="16"/>
      <c r="S40" s="21">
        <f t="shared" si="7"/>
        <v>0</v>
      </c>
      <c r="T40" s="16">
        <v>200</v>
      </c>
      <c r="U40" s="78">
        <v>20</v>
      </c>
      <c r="V40" s="140"/>
      <c r="W40" s="147"/>
      <c r="X40" s="23"/>
      <c r="Y40" s="334"/>
      <c r="Z40" s="5"/>
      <c r="AC40" s="26"/>
      <c r="AD40" s="58"/>
      <c r="AG40" s="26"/>
      <c r="AH40" s="58"/>
      <c r="AJ40" s="16"/>
      <c r="AK40" s="16"/>
      <c r="AM40" s="26"/>
      <c r="AN40" s="58"/>
    </row>
    <row r="41" spans="1:40" x14ac:dyDescent="0.25">
      <c r="A41" s="143">
        <v>10</v>
      </c>
      <c r="B41" s="92">
        <v>45195</v>
      </c>
      <c r="C41" s="31" t="s">
        <v>3381</v>
      </c>
      <c r="D41" s="32">
        <v>5522701719</v>
      </c>
      <c r="E41" s="32" t="s">
        <v>52</v>
      </c>
      <c r="F41" s="32" t="s">
        <v>1168</v>
      </c>
      <c r="G41" s="39" t="s">
        <v>1160</v>
      </c>
      <c r="H41" s="122">
        <v>120</v>
      </c>
      <c r="I41" s="42">
        <v>90</v>
      </c>
      <c r="J41" s="20">
        <v>10</v>
      </c>
      <c r="K41" s="21">
        <v>20</v>
      </c>
      <c r="L41" s="21">
        <f t="shared" si="5"/>
        <v>100</v>
      </c>
      <c r="M41" s="21">
        <f t="shared" si="6"/>
        <v>20</v>
      </c>
      <c r="N41" s="21">
        <v>120</v>
      </c>
      <c r="O41" s="21">
        <v>90</v>
      </c>
      <c r="P41" s="5"/>
      <c r="Q41" s="16"/>
      <c r="R41" s="16"/>
      <c r="S41" s="21">
        <f t="shared" si="7"/>
        <v>0</v>
      </c>
      <c r="T41" s="16">
        <v>100</v>
      </c>
      <c r="U41" s="78">
        <v>30</v>
      </c>
      <c r="V41" s="140"/>
      <c r="W41" s="147"/>
      <c r="X41" s="23"/>
      <c r="Y41" s="334"/>
      <c r="Z41" s="5"/>
      <c r="AC41" s="16" t="s">
        <v>169</v>
      </c>
      <c r="AD41" s="18">
        <f>SUM(AD31:AD40)</f>
        <v>2771</v>
      </c>
      <c r="AG41" s="16" t="s">
        <v>169</v>
      </c>
      <c r="AH41" s="18">
        <f>SUM(AH31:AH40)</f>
        <v>2868</v>
      </c>
      <c r="AJ41" s="16"/>
      <c r="AK41" s="16"/>
      <c r="AM41" s="16" t="s">
        <v>169</v>
      </c>
      <c r="AN41" s="18"/>
    </row>
    <row r="42" spans="1:40" x14ac:dyDescent="0.25">
      <c r="A42" s="143">
        <v>11</v>
      </c>
      <c r="B42" s="92">
        <v>45195</v>
      </c>
      <c r="C42" s="31" t="s">
        <v>2639</v>
      </c>
      <c r="D42" s="124">
        <v>5572135350</v>
      </c>
      <c r="E42" s="123" t="s">
        <v>52</v>
      </c>
      <c r="F42" s="123" t="s">
        <v>482</v>
      </c>
      <c r="G42" s="39" t="s">
        <v>1166</v>
      </c>
      <c r="H42" s="122">
        <v>100</v>
      </c>
      <c r="I42" s="42">
        <v>80</v>
      </c>
      <c r="J42" s="20">
        <v>10</v>
      </c>
      <c r="K42" s="21">
        <v>0</v>
      </c>
      <c r="L42" s="21">
        <f t="shared" si="5"/>
        <v>90</v>
      </c>
      <c r="M42" s="21">
        <f t="shared" si="6"/>
        <v>10</v>
      </c>
      <c r="N42" s="21"/>
      <c r="O42" s="21">
        <v>80</v>
      </c>
      <c r="P42" s="5"/>
      <c r="Q42" s="16"/>
      <c r="R42" s="16"/>
      <c r="S42" s="21">
        <f t="shared" si="7"/>
        <v>0</v>
      </c>
      <c r="T42" s="16">
        <v>90</v>
      </c>
      <c r="U42" s="78">
        <f t="shared" si="9"/>
        <v>10</v>
      </c>
      <c r="V42" s="140"/>
      <c r="W42" s="147"/>
      <c r="X42" s="23"/>
      <c r="Y42" s="334"/>
      <c r="Z42" s="5"/>
      <c r="AJ42" s="16"/>
      <c r="AK42" s="16"/>
      <c r="AM42" s="16"/>
      <c r="AN42" s="16"/>
    </row>
    <row r="43" spans="1:40" x14ac:dyDescent="0.25">
      <c r="A43" s="143">
        <v>12</v>
      </c>
      <c r="B43" s="92">
        <v>45195</v>
      </c>
      <c r="C43" s="31" t="s">
        <v>3680</v>
      </c>
      <c r="D43" s="32">
        <v>5523279972</v>
      </c>
      <c r="E43" s="124" t="s">
        <v>38</v>
      </c>
      <c r="F43" s="123" t="s">
        <v>1164</v>
      </c>
      <c r="G43" s="39" t="s">
        <v>1163</v>
      </c>
      <c r="H43" s="39">
        <v>500</v>
      </c>
      <c r="I43" s="42">
        <v>195</v>
      </c>
      <c r="J43" s="20">
        <v>10</v>
      </c>
      <c r="K43" s="21"/>
      <c r="L43" s="21">
        <f t="shared" si="5"/>
        <v>205</v>
      </c>
      <c r="M43" s="21">
        <f t="shared" si="6"/>
        <v>295</v>
      </c>
      <c r="N43" s="21"/>
      <c r="O43" s="21"/>
      <c r="P43" s="5"/>
      <c r="Q43" s="45"/>
      <c r="R43" s="44"/>
      <c r="S43" s="21">
        <f t="shared" si="7"/>
        <v>0</v>
      </c>
      <c r="T43" s="45">
        <v>205</v>
      </c>
      <c r="U43" s="78">
        <v>10</v>
      </c>
      <c r="V43" s="140"/>
      <c r="W43" s="147"/>
      <c r="X43" s="23"/>
      <c r="Y43" s="334"/>
      <c r="Z43" s="5"/>
      <c r="AC43" s="32" t="s">
        <v>1140</v>
      </c>
      <c r="AD43" s="32">
        <v>2480</v>
      </c>
      <c r="AJ43" s="63" t="s">
        <v>169</v>
      </c>
      <c r="AK43" s="63">
        <f>+SUM(AJ32:AJ42)-SUM(AK32:AK42)</f>
        <v>310</v>
      </c>
      <c r="AM43" s="63" t="s">
        <v>169</v>
      </c>
      <c r="AN43" s="85">
        <f>+SUM(AM31:AM42)-SUM(AN32:AN42)</f>
        <v>0</v>
      </c>
    </row>
    <row r="44" spans="1:40" x14ac:dyDescent="0.25">
      <c r="A44" s="143">
        <v>13</v>
      </c>
      <c r="B44" s="92">
        <v>45195</v>
      </c>
      <c r="C44" s="31" t="s">
        <v>245</v>
      </c>
      <c r="D44" s="32">
        <v>5530508709</v>
      </c>
      <c r="E44" s="32" t="s">
        <v>52</v>
      </c>
      <c r="F44" s="32" t="s">
        <v>724</v>
      </c>
      <c r="G44" s="39" t="s">
        <v>1162</v>
      </c>
      <c r="H44" s="39">
        <v>100</v>
      </c>
      <c r="I44" s="42">
        <v>71</v>
      </c>
      <c r="J44" s="108">
        <v>10</v>
      </c>
      <c r="K44" s="21">
        <v>10</v>
      </c>
      <c r="L44" s="21">
        <f t="shared" si="5"/>
        <v>81</v>
      </c>
      <c r="M44" s="21">
        <f t="shared" si="6"/>
        <v>19</v>
      </c>
      <c r="N44" s="21"/>
      <c r="O44" s="21">
        <v>71</v>
      </c>
      <c r="P44" s="5"/>
      <c r="Q44" s="43"/>
      <c r="R44" s="32"/>
      <c r="S44" s="21">
        <f t="shared" si="7"/>
        <v>0</v>
      </c>
      <c r="T44" s="43">
        <v>90</v>
      </c>
      <c r="U44" s="78">
        <v>20</v>
      </c>
      <c r="V44" s="140"/>
      <c r="W44" s="147"/>
      <c r="X44" s="23"/>
      <c r="Y44" s="334"/>
      <c r="Z44" s="5"/>
      <c r="AH44" s="83"/>
    </row>
    <row r="45" spans="1:40" x14ac:dyDescent="0.25">
      <c r="A45" s="143">
        <v>14</v>
      </c>
      <c r="B45" s="92">
        <v>45195</v>
      </c>
      <c r="C45" s="31" t="s">
        <v>483</v>
      </c>
      <c r="D45" s="32">
        <v>5559971116</v>
      </c>
      <c r="E45" s="32" t="s">
        <v>41</v>
      </c>
      <c r="F45" s="32" t="s">
        <v>220</v>
      </c>
      <c r="G45" s="32" t="s">
        <v>1167</v>
      </c>
      <c r="H45" s="39">
        <v>800</v>
      </c>
      <c r="I45" s="42">
        <v>766</v>
      </c>
      <c r="J45" s="108">
        <v>10</v>
      </c>
      <c r="K45" s="21">
        <v>33</v>
      </c>
      <c r="L45" s="21">
        <f t="shared" si="5"/>
        <v>776</v>
      </c>
      <c r="M45" s="21">
        <f t="shared" si="6"/>
        <v>24</v>
      </c>
      <c r="N45" s="21"/>
      <c r="O45" s="21"/>
      <c r="P45" s="5"/>
      <c r="Q45" s="43"/>
      <c r="R45" s="43"/>
      <c r="S45" s="21">
        <f t="shared" si="7"/>
        <v>0</v>
      </c>
      <c r="T45" s="43">
        <v>833</v>
      </c>
      <c r="U45" s="78">
        <v>43</v>
      </c>
      <c r="V45" s="140"/>
      <c r="W45" s="147"/>
      <c r="X45" s="23"/>
      <c r="Y45" s="334"/>
      <c r="Z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40" x14ac:dyDescent="0.25">
      <c r="A46" s="143">
        <v>15</v>
      </c>
      <c r="B46" s="92">
        <v>45195</v>
      </c>
      <c r="C46" s="127" t="s">
        <v>2644</v>
      </c>
      <c r="D46" s="32">
        <v>5537803548</v>
      </c>
      <c r="E46" s="32" t="s">
        <v>52</v>
      </c>
      <c r="F46" s="128" t="s">
        <v>837</v>
      </c>
      <c r="G46" s="129" t="s">
        <v>1169</v>
      </c>
      <c r="H46" s="39">
        <v>19</v>
      </c>
      <c r="I46" s="42">
        <v>170</v>
      </c>
      <c r="J46" s="108">
        <v>10</v>
      </c>
      <c r="K46" s="21">
        <v>10</v>
      </c>
      <c r="L46" s="21">
        <f t="shared" si="5"/>
        <v>180</v>
      </c>
      <c r="M46" s="21">
        <f t="shared" si="6"/>
        <v>-161</v>
      </c>
      <c r="N46" s="21">
        <v>190</v>
      </c>
      <c r="O46" s="21">
        <v>170</v>
      </c>
      <c r="P46" s="5"/>
      <c r="Q46" s="43"/>
      <c r="R46" s="43"/>
      <c r="S46" s="21">
        <f t="shared" si="7"/>
        <v>0</v>
      </c>
      <c r="T46" s="43">
        <v>190</v>
      </c>
      <c r="U46" s="78">
        <f t="shared" si="9"/>
        <v>20</v>
      </c>
      <c r="V46" s="140"/>
      <c r="W46" s="147"/>
      <c r="X46" s="23"/>
      <c r="Y46" s="334"/>
      <c r="Z46" s="5"/>
      <c r="AC46" s="5"/>
      <c r="AD46" s="134" t="s">
        <v>20</v>
      </c>
      <c r="AE46" s="338">
        <v>260</v>
      </c>
      <c r="AF46" s="341" t="s">
        <v>686</v>
      </c>
      <c r="AG46" s="134" t="s">
        <v>20</v>
      </c>
      <c r="AH46" s="338">
        <v>136</v>
      </c>
      <c r="AI46" s="341" t="s">
        <v>687</v>
      </c>
      <c r="AJ46" s="134" t="s">
        <v>20</v>
      </c>
      <c r="AK46" s="338">
        <v>116</v>
      </c>
      <c r="AL46" s="5"/>
    </row>
    <row r="47" spans="1:40" x14ac:dyDescent="0.25">
      <c r="A47" s="143">
        <v>16</v>
      </c>
      <c r="B47" s="92">
        <v>45195</v>
      </c>
      <c r="C47" s="31"/>
      <c r="D47" s="32"/>
      <c r="E47" s="32"/>
      <c r="F47" s="32"/>
      <c r="G47" s="39"/>
      <c r="H47" s="39"/>
      <c r="I47" s="42"/>
      <c r="J47" s="43">
        <v>10</v>
      </c>
      <c r="K47" s="21">
        <f t="shared" si="8"/>
        <v>-10</v>
      </c>
      <c r="L47" s="21">
        <f t="shared" si="5"/>
        <v>10</v>
      </c>
      <c r="M47" s="21">
        <f t="shared" si="6"/>
        <v>-10</v>
      </c>
      <c r="N47" s="21"/>
      <c r="O47" s="21"/>
      <c r="P47" s="5"/>
      <c r="Q47" s="43"/>
      <c r="R47" s="32"/>
      <c r="S47" s="21">
        <f t="shared" si="7"/>
        <v>0</v>
      </c>
      <c r="T47" s="131"/>
      <c r="U47" s="78">
        <f t="shared" si="9"/>
        <v>0</v>
      </c>
      <c r="V47" s="140"/>
      <c r="W47" s="147"/>
      <c r="X47" s="23"/>
      <c r="Y47" s="334"/>
      <c r="Z47" s="5"/>
      <c r="AC47" s="5" t="s">
        <v>685</v>
      </c>
      <c r="AD47" s="115" t="s">
        <v>684</v>
      </c>
      <c r="AE47" s="339"/>
      <c r="AF47" s="341"/>
      <c r="AG47" s="115" t="s">
        <v>684</v>
      </c>
      <c r="AH47" s="339"/>
      <c r="AI47" s="341"/>
      <c r="AJ47" s="115" t="s">
        <v>684</v>
      </c>
      <c r="AK47" s="339"/>
      <c r="AL47" s="5"/>
    </row>
    <row r="48" spans="1:40" x14ac:dyDescent="0.25">
      <c r="A48" s="143">
        <v>17</v>
      </c>
      <c r="B48" s="92">
        <v>45195</v>
      </c>
      <c r="C48" s="31"/>
      <c r="D48" s="32"/>
      <c r="E48" s="32"/>
      <c r="F48" s="32"/>
      <c r="G48" s="39"/>
      <c r="H48" s="39"/>
      <c r="I48" s="42"/>
      <c r="J48" s="43">
        <v>10</v>
      </c>
      <c r="K48" s="21">
        <f t="shared" si="8"/>
        <v>-10</v>
      </c>
      <c r="L48" s="21">
        <f t="shared" si="5"/>
        <v>10</v>
      </c>
      <c r="M48" s="21">
        <f t="shared" si="6"/>
        <v>-10</v>
      </c>
      <c r="N48" s="21"/>
      <c r="O48" s="21"/>
      <c r="P48" s="5"/>
      <c r="Q48" s="43"/>
      <c r="R48" s="32"/>
      <c r="S48" s="21">
        <f t="shared" si="7"/>
        <v>0</v>
      </c>
      <c r="T48" s="132"/>
      <c r="U48" s="78">
        <f t="shared" si="9"/>
        <v>0</v>
      </c>
      <c r="V48" s="140"/>
      <c r="W48" s="147"/>
      <c r="X48" s="23"/>
      <c r="Y48" s="340"/>
      <c r="Z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42" x14ac:dyDescent="0.25">
      <c r="A49" s="143">
        <v>18</v>
      </c>
      <c r="B49" s="92">
        <v>45195</v>
      </c>
      <c r="C49" s="31"/>
      <c r="D49" s="32"/>
      <c r="E49" s="32"/>
      <c r="F49" s="32"/>
      <c r="G49" s="39"/>
      <c r="H49" s="39"/>
      <c r="I49" s="42"/>
      <c r="J49" s="43">
        <v>10</v>
      </c>
      <c r="K49" s="21">
        <f t="shared" si="8"/>
        <v>-10</v>
      </c>
      <c r="L49" s="21">
        <f t="shared" si="5"/>
        <v>10</v>
      </c>
      <c r="M49" s="21">
        <f t="shared" si="6"/>
        <v>-10</v>
      </c>
      <c r="N49" s="21"/>
      <c r="O49" s="21"/>
      <c r="P49" s="5"/>
      <c r="Q49" s="135"/>
      <c r="R49" s="104"/>
      <c r="S49" s="21">
        <f t="shared" si="7"/>
        <v>0</v>
      </c>
      <c r="T49" s="131"/>
      <c r="U49" s="78">
        <f t="shared" si="9"/>
        <v>0</v>
      </c>
      <c r="V49" s="140"/>
      <c r="W49" s="138"/>
      <c r="X49" s="32"/>
      <c r="Z49" s="5"/>
    </row>
    <row r="50" spans="1:42" x14ac:dyDescent="0.25">
      <c r="A50" s="143">
        <v>19</v>
      </c>
      <c r="B50" s="92">
        <v>45195</v>
      </c>
      <c r="C50" s="31"/>
      <c r="D50" s="32"/>
      <c r="E50" s="32"/>
      <c r="F50" s="32"/>
      <c r="G50" s="39"/>
      <c r="H50" s="39"/>
      <c r="I50" s="42"/>
      <c r="J50" s="43">
        <v>10</v>
      </c>
      <c r="K50" s="21">
        <f t="shared" si="8"/>
        <v>-10</v>
      </c>
      <c r="L50" s="21">
        <f t="shared" si="5"/>
        <v>10</v>
      </c>
      <c r="M50" s="21">
        <f t="shared" si="6"/>
        <v>-10</v>
      </c>
      <c r="N50" s="21"/>
      <c r="O50" s="21"/>
      <c r="P50" s="5"/>
      <c r="Q50" s="32"/>
      <c r="R50" s="32"/>
      <c r="S50" s="21">
        <f t="shared" si="7"/>
        <v>0</v>
      </c>
      <c r="T50" s="32"/>
      <c r="U50" s="78">
        <f t="shared" si="9"/>
        <v>0</v>
      </c>
      <c r="V50" s="140"/>
      <c r="W50" s="138"/>
      <c r="X50" s="32"/>
      <c r="Z50" s="5"/>
    </row>
    <row r="51" spans="1:42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22">
        <f>SUM(U32:U50)</f>
        <v>252</v>
      </c>
      <c r="V51" s="141"/>
      <c r="W51" s="5"/>
      <c r="X51" s="5"/>
      <c r="Y51" s="5"/>
      <c r="Z51" s="5"/>
    </row>
    <row r="52" spans="1:42" x14ac:dyDescent="0.25">
      <c r="AP52">
        <v>340</v>
      </c>
    </row>
    <row r="53" spans="1:42" x14ac:dyDescent="0.25">
      <c r="AP53">
        <v>650</v>
      </c>
    </row>
    <row r="54" spans="1:42" x14ac:dyDescent="0.25">
      <c r="H54" t="s">
        <v>1172</v>
      </c>
      <c r="K54">
        <v>175</v>
      </c>
      <c r="N54" s="83">
        <f>+N64+N60</f>
        <v>0</v>
      </c>
      <c r="W54" t="s">
        <v>148</v>
      </c>
      <c r="AP54">
        <v>400</v>
      </c>
    </row>
    <row r="55" spans="1:42" x14ac:dyDescent="0.25">
      <c r="H55" t="s">
        <v>1173</v>
      </c>
      <c r="I55">
        <v>31</v>
      </c>
      <c r="AP55">
        <v>600</v>
      </c>
    </row>
    <row r="56" spans="1:42" x14ac:dyDescent="0.25">
      <c r="A56" s="1" t="s">
        <v>0</v>
      </c>
      <c r="B56" s="1"/>
      <c r="C56" s="1"/>
      <c r="D56" s="1"/>
      <c r="E56" s="1"/>
      <c r="F56" s="1"/>
      <c r="G56" s="1"/>
      <c r="H56" s="1"/>
      <c r="I56" s="1" t="s">
        <v>148</v>
      </c>
      <c r="J56" s="1"/>
      <c r="K56" s="1"/>
      <c r="L56" s="1"/>
      <c r="M56" s="1"/>
      <c r="N56" s="1"/>
      <c r="O56" s="1"/>
      <c r="P56" s="1"/>
      <c r="Q56" s="1"/>
      <c r="R56" s="1"/>
      <c r="S56" s="342" t="s">
        <v>1</v>
      </c>
      <c r="T56" s="342"/>
      <c r="U56" s="5"/>
      <c r="V56" s="139"/>
      <c r="W56" s="1"/>
      <c r="X56" s="1"/>
      <c r="Y56" s="1"/>
      <c r="Z56" s="5"/>
      <c r="AC56" s="335" t="s">
        <v>160</v>
      </c>
      <c r="AD56" s="336"/>
      <c r="AG56" s="335" t="s">
        <v>170</v>
      </c>
      <c r="AH56" s="336"/>
      <c r="AJ56" s="337" t="s">
        <v>172</v>
      </c>
      <c r="AK56" s="337"/>
      <c r="AM56" s="337" t="s">
        <v>681</v>
      </c>
      <c r="AN56" s="337"/>
      <c r="AP56">
        <v>500</v>
      </c>
    </row>
    <row r="57" spans="1:42" ht="90" x14ac:dyDescent="0.25">
      <c r="A57" s="6" t="s">
        <v>2</v>
      </c>
      <c r="B57" s="7" t="s">
        <v>3</v>
      </c>
      <c r="C57" s="7" t="s">
        <v>4</v>
      </c>
      <c r="D57" s="6" t="s">
        <v>5</v>
      </c>
      <c r="E57" s="6" t="s">
        <v>6</v>
      </c>
      <c r="F57" s="6" t="s">
        <v>7</v>
      </c>
      <c r="G57" s="6" t="s">
        <v>8</v>
      </c>
      <c r="H57" s="8" t="s">
        <v>9</v>
      </c>
      <c r="I57" s="9" t="s">
        <v>10</v>
      </c>
      <c r="J57" s="8" t="s">
        <v>11</v>
      </c>
      <c r="K57" s="10" t="s">
        <v>12</v>
      </c>
      <c r="L57" s="10" t="s">
        <v>13</v>
      </c>
      <c r="M57" s="11" t="s">
        <v>14</v>
      </c>
      <c r="N57" s="10" t="s">
        <v>691</v>
      </c>
      <c r="O57" s="10" t="s">
        <v>28</v>
      </c>
      <c r="P57" s="5"/>
      <c r="Q57" s="10" t="s">
        <v>16</v>
      </c>
      <c r="R57" s="10" t="s">
        <v>17</v>
      </c>
      <c r="S57" s="10" t="s">
        <v>18</v>
      </c>
      <c r="T57" s="10" t="s">
        <v>19</v>
      </c>
      <c r="U57" s="10" t="s">
        <v>20</v>
      </c>
      <c r="V57" s="13"/>
      <c r="W57" s="136" t="s">
        <v>688</v>
      </c>
      <c r="X57" s="14" t="s">
        <v>22</v>
      </c>
      <c r="Y57" s="15" t="s">
        <v>23</v>
      </c>
      <c r="Z57" s="5"/>
      <c r="AC57" s="16" t="s">
        <v>161</v>
      </c>
      <c r="AD57" s="58">
        <f>+AB57*10</f>
        <v>0</v>
      </c>
      <c r="AF57">
        <v>1</v>
      </c>
      <c r="AG57" s="16" t="s">
        <v>161</v>
      </c>
      <c r="AH57" s="58">
        <f>+AF57*10</f>
        <v>10</v>
      </c>
      <c r="AJ57" s="61" t="s">
        <v>173</v>
      </c>
      <c r="AK57" s="62" t="s">
        <v>174</v>
      </c>
      <c r="AM57" s="16" t="s">
        <v>161</v>
      </c>
      <c r="AN57" s="58">
        <f>+AL57*10</f>
        <v>0</v>
      </c>
      <c r="AP57">
        <f>SUM(AP52:AP56)</f>
        <v>2490</v>
      </c>
    </row>
    <row r="58" spans="1:42" x14ac:dyDescent="0.25">
      <c r="A58" s="16">
        <v>1</v>
      </c>
      <c r="B58" s="92">
        <v>45196</v>
      </c>
      <c r="C58" s="31" t="s">
        <v>37</v>
      </c>
      <c r="D58" s="32">
        <v>5554180418</v>
      </c>
      <c r="E58" s="32" t="s">
        <v>408</v>
      </c>
      <c r="F58" s="32" t="s">
        <v>1132</v>
      </c>
      <c r="G58" s="39" t="s">
        <v>1171</v>
      </c>
      <c r="H58" s="122">
        <v>300</v>
      </c>
      <c r="I58" s="32">
        <f>41+100+50+20</f>
        <v>211</v>
      </c>
      <c r="J58" s="20">
        <v>10</v>
      </c>
      <c r="K58" s="21">
        <f>U58-J58-O58</f>
        <v>15</v>
      </c>
      <c r="L58" s="21">
        <f t="shared" ref="L58:L76" si="10">+I58+J58</f>
        <v>221</v>
      </c>
      <c r="M58" s="21">
        <f t="shared" ref="M58:M76" si="11">+H58-L58</f>
        <v>79</v>
      </c>
      <c r="N58" s="21"/>
      <c r="O58" s="21"/>
      <c r="P58" s="5"/>
      <c r="Q58" s="21">
        <v>200</v>
      </c>
      <c r="R58" s="16"/>
      <c r="S58" s="21">
        <f t="shared" ref="S58:S76" si="12">+Q58+R58</f>
        <v>200</v>
      </c>
      <c r="T58" s="21">
        <v>225</v>
      </c>
      <c r="U58" s="78">
        <f>T58-S58-O58</f>
        <v>25</v>
      </c>
      <c r="V58" s="13"/>
      <c r="W58" s="147"/>
      <c r="X58" s="23"/>
      <c r="Y58" s="333"/>
      <c r="Z58" s="5"/>
      <c r="AC58" s="59" t="s">
        <v>162</v>
      </c>
      <c r="AD58" s="18">
        <f>+AB58*1</f>
        <v>0</v>
      </c>
      <c r="AF58">
        <v>39</v>
      </c>
      <c r="AG58" s="59" t="s">
        <v>162</v>
      </c>
      <c r="AH58" s="18">
        <f>+AF58*1</f>
        <v>39</v>
      </c>
      <c r="AJ58" s="16"/>
      <c r="AK58" s="16"/>
      <c r="AM58" s="59" t="s">
        <v>162</v>
      </c>
      <c r="AN58" s="18">
        <f>+AL58*1</f>
        <v>0</v>
      </c>
    </row>
    <row r="59" spans="1:42" x14ac:dyDescent="0.25">
      <c r="A59" s="174">
        <v>2</v>
      </c>
      <c r="B59" s="92">
        <v>45196</v>
      </c>
      <c r="C59" s="31" t="s">
        <v>3528</v>
      </c>
      <c r="D59" s="32">
        <v>5585668921</v>
      </c>
      <c r="E59" s="32" t="s">
        <v>52</v>
      </c>
      <c r="F59" s="32" t="s">
        <v>1176</v>
      </c>
      <c r="G59" s="39" t="s">
        <v>1177</v>
      </c>
      <c r="H59" s="122">
        <v>200</v>
      </c>
      <c r="I59" s="32">
        <v>46</v>
      </c>
      <c r="J59" s="20">
        <v>10</v>
      </c>
      <c r="K59" s="21">
        <v>10</v>
      </c>
      <c r="L59" s="21">
        <f t="shared" si="10"/>
        <v>56</v>
      </c>
      <c r="M59" s="21">
        <f t="shared" si="11"/>
        <v>144</v>
      </c>
      <c r="N59" s="21"/>
      <c r="O59" s="173">
        <v>43</v>
      </c>
      <c r="P59" s="5"/>
      <c r="Q59" s="21"/>
      <c r="R59" s="16"/>
      <c r="S59" s="21"/>
      <c r="T59" s="21">
        <v>66</v>
      </c>
      <c r="U59" s="78">
        <v>20</v>
      </c>
      <c r="V59" s="140"/>
      <c r="W59" s="147"/>
      <c r="X59" s="23"/>
      <c r="Y59" s="334"/>
      <c r="Z59" s="5"/>
      <c r="AC59" s="16" t="s">
        <v>163</v>
      </c>
      <c r="AD59" s="60">
        <f>+AB59*5</f>
        <v>0</v>
      </c>
      <c r="AF59">
        <v>15</v>
      </c>
      <c r="AG59" s="16" t="s">
        <v>163</v>
      </c>
      <c r="AH59" s="60">
        <f>+AF59*5</f>
        <v>75</v>
      </c>
      <c r="AJ59" s="16"/>
      <c r="AK59" s="16"/>
      <c r="AM59" s="16" t="s">
        <v>163</v>
      </c>
      <c r="AN59" s="60">
        <f>+AL59*5</f>
        <v>0</v>
      </c>
      <c r="AP59">
        <v>2700</v>
      </c>
    </row>
    <row r="60" spans="1:42" x14ac:dyDescent="0.25">
      <c r="A60" s="143">
        <v>3</v>
      </c>
      <c r="B60" s="92">
        <v>45196</v>
      </c>
      <c r="C60" s="31" t="s">
        <v>3381</v>
      </c>
      <c r="D60" s="32">
        <v>5522701719</v>
      </c>
      <c r="E60" s="32" t="s">
        <v>38</v>
      </c>
      <c r="F60" s="32" t="s">
        <v>98</v>
      </c>
      <c r="G60" s="39" t="s">
        <v>1179</v>
      </c>
      <c r="H60" s="122">
        <v>90</v>
      </c>
      <c r="I60" s="32">
        <v>80</v>
      </c>
      <c r="J60" s="20">
        <v>10</v>
      </c>
      <c r="K60" s="21">
        <v>0</v>
      </c>
      <c r="L60" s="21">
        <f t="shared" si="10"/>
        <v>90</v>
      </c>
      <c r="M60" s="21">
        <f t="shared" si="11"/>
        <v>0</v>
      </c>
      <c r="N60" s="21"/>
      <c r="O60" s="21"/>
      <c r="P60" s="5"/>
      <c r="Q60" s="21"/>
      <c r="R60" s="16"/>
      <c r="S60" s="21">
        <f t="shared" si="12"/>
        <v>0</v>
      </c>
      <c r="T60" s="21">
        <v>90</v>
      </c>
      <c r="U60" s="78">
        <v>10</v>
      </c>
      <c r="V60" s="140"/>
      <c r="W60" s="147"/>
      <c r="X60" s="23"/>
      <c r="Y60" s="334"/>
      <c r="Z60" s="5"/>
      <c r="AB60">
        <v>1</v>
      </c>
      <c r="AC60" s="16" t="s">
        <v>164</v>
      </c>
      <c r="AD60" s="18">
        <f>+AB60*200</f>
        <v>200</v>
      </c>
      <c r="AF60">
        <v>3</v>
      </c>
      <c r="AG60" s="16" t="s">
        <v>164</v>
      </c>
      <c r="AH60" s="18">
        <f>+AF60*200</f>
        <v>600</v>
      </c>
      <c r="AJ60" s="16"/>
      <c r="AK60" s="16"/>
      <c r="AM60" s="16" t="s">
        <v>164</v>
      </c>
      <c r="AN60" s="18">
        <f>+AL60*200</f>
        <v>0</v>
      </c>
    </row>
    <row r="61" spans="1:42" x14ac:dyDescent="0.25">
      <c r="A61" s="143">
        <v>4</v>
      </c>
      <c r="B61" s="92">
        <v>45196</v>
      </c>
      <c r="C61" s="31" t="s">
        <v>3809</v>
      </c>
      <c r="D61" s="32">
        <v>5545678909</v>
      </c>
      <c r="E61" s="32" t="s">
        <v>1181</v>
      </c>
      <c r="F61" s="32" t="s">
        <v>905</v>
      </c>
      <c r="G61" s="39" t="s">
        <v>1182</v>
      </c>
      <c r="H61" s="122">
        <v>10</v>
      </c>
      <c r="I61" s="32">
        <v>10</v>
      </c>
      <c r="J61" s="20">
        <v>10</v>
      </c>
      <c r="K61" s="21">
        <f t="shared" ref="K61:K76" si="13">U61-J61-O61</f>
        <v>0</v>
      </c>
      <c r="L61" s="21">
        <f t="shared" si="10"/>
        <v>20</v>
      </c>
      <c r="M61" s="21">
        <f t="shared" si="11"/>
        <v>-10</v>
      </c>
      <c r="N61" s="21"/>
      <c r="O61" s="21"/>
      <c r="P61" s="5"/>
      <c r="Q61" s="21"/>
      <c r="R61" s="16"/>
      <c r="S61" s="21">
        <f t="shared" si="12"/>
        <v>0</v>
      </c>
      <c r="T61" s="21">
        <v>10</v>
      </c>
      <c r="U61" s="78">
        <f t="shared" ref="U61:U76" si="14">T61-S61-O61</f>
        <v>10</v>
      </c>
      <c r="V61" s="140"/>
      <c r="W61" s="147"/>
      <c r="X61" s="23"/>
      <c r="Y61" s="334"/>
      <c r="Z61" s="5"/>
      <c r="AB61">
        <v>1</v>
      </c>
      <c r="AC61" s="16" t="s">
        <v>165</v>
      </c>
      <c r="AD61" s="18">
        <f>+AB61*100</f>
        <v>100</v>
      </c>
      <c r="AG61" s="16" t="s">
        <v>165</v>
      </c>
      <c r="AH61" s="18">
        <f>+AF61*100</f>
        <v>0</v>
      </c>
      <c r="AJ61" s="16"/>
      <c r="AK61" s="16"/>
      <c r="AM61" s="16" t="s">
        <v>165</v>
      </c>
      <c r="AN61" s="18">
        <f>+AL61*100</f>
        <v>0</v>
      </c>
    </row>
    <row r="62" spans="1:42" x14ac:dyDescent="0.25">
      <c r="A62" s="143">
        <v>5</v>
      </c>
      <c r="B62" s="92">
        <v>45196</v>
      </c>
      <c r="C62" s="31" t="s">
        <v>483</v>
      </c>
      <c r="D62" s="32"/>
      <c r="E62" s="32" t="s">
        <v>52</v>
      </c>
      <c r="F62" s="32" t="s">
        <v>220</v>
      </c>
      <c r="G62" s="32" t="s">
        <v>1183</v>
      </c>
      <c r="H62" s="122">
        <v>400</v>
      </c>
      <c r="I62" s="32">
        <v>340</v>
      </c>
      <c r="J62" s="20">
        <v>10</v>
      </c>
      <c r="K62" s="21">
        <v>60</v>
      </c>
      <c r="L62" s="21">
        <f t="shared" si="10"/>
        <v>350</v>
      </c>
      <c r="M62" s="21">
        <f t="shared" si="11"/>
        <v>50</v>
      </c>
      <c r="N62" s="21"/>
      <c r="O62" s="21"/>
      <c r="P62" s="5"/>
      <c r="Q62" s="16"/>
      <c r="R62" s="16"/>
      <c r="S62" s="21">
        <f t="shared" si="12"/>
        <v>0</v>
      </c>
      <c r="T62" s="21">
        <v>400</v>
      </c>
      <c r="U62" s="78">
        <v>70</v>
      </c>
      <c r="V62" s="140"/>
      <c r="W62" s="147"/>
      <c r="X62" s="23"/>
      <c r="Y62" s="334"/>
      <c r="Z62" s="5"/>
      <c r="AC62" s="16" t="s">
        <v>166</v>
      </c>
      <c r="AD62" s="18">
        <f>+AB62*50</f>
        <v>0</v>
      </c>
      <c r="AF62">
        <v>0</v>
      </c>
      <c r="AG62" s="16" t="s">
        <v>166</v>
      </c>
      <c r="AH62" s="18">
        <f>+AF62*50</f>
        <v>0</v>
      </c>
      <c r="AJ62" s="16"/>
      <c r="AK62" s="16"/>
      <c r="AM62" s="16" t="s">
        <v>166</v>
      </c>
      <c r="AN62" s="18">
        <f>+AL62*50</f>
        <v>0</v>
      </c>
      <c r="AP62">
        <v>2817</v>
      </c>
    </row>
    <row r="63" spans="1:42" x14ac:dyDescent="0.25">
      <c r="A63" s="143">
        <v>6</v>
      </c>
      <c r="B63" s="92">
        <v>45196</v>
      </c>
      <c r="C63" s="31" t="s">
        <v>767</v>
      </c>
      <c r="D63" s="32">
        <v>5554180418</v>
      </c>
      <c r="E63" s="32" t="s">
        <v>52</v>
      </c>
      <c r="F63" s="32" t="s">
        <v>237</v>
      </c>
      <c r="G63" s="39" t="s">
        <v>1184</v>
      </c>
      <c r="H63" s="39">
        <v>200</v>
      </c>
      <c r="I63" s="42">
        <v>114</v>
      </c>
      <c r="J63" s="20">
        <v>10</v>
      </c>
      <c r="K63" s="21">
        <f t="shared" si="13"/>
        <v>0</v>
      </c>
      <c r="L63" s="21">
        <f t="shared" si="10"/>
        <v>124</v>
      </c>
      <c r="M63" s="21">
        <f t="shared" si="11"/>
        <v>76</v>
      </c>
      <c r="N63" s="21"/>
      <c r="O63" s="21"/>
      <c r="P63" s="5"/>
      <c r="Q63" s="16"/>
      <c r="R63" s="16"/>
      <c r="S63" s="21">
        <f t="shared" si="12"/>
        <v>0</v>
      </c>
      <c r="T63" s="16">
        <v>124</v>
      </c>
      <c r="U63" s="78">
        <v>10</v>
      </c>
      <c r="V63" s="140"/>
      <c r="W63" s="147"/>
      <c r="X63" s="23"/>
      <c r="Y63" s="334"/>
      <c r="Z63" s="5"/>
      <c r="AB63">
        <v>1</v>
      </c>
      <c r="AC63" s="16" t="s">
        <v>167</v>
      </c>
      <c r="AD63" s="18">
        <f>+AB63*20</f>
        <v>20</v>
      </c>
      <c r="AF63">
        <v>1</v>
      </c>
      <c r="AG63" s="16" t="s">
        <v>167</v>
      </c>
      <c r="AH63" s="18">
        <f>+AF63*20</f>
        <v>20</v>
      </c>
      <c r="AJ63" s="16"/>
      <c r="AK63" s="16"/>
      <c r="AM63" s="16" t="s">
        <v>167</v>
      </c>
      <c r="AN63" s="18">
        <f>+AL63*20</f>
        <v>0</v>
      </c>
    </row>
    <row r="64" spans="1:42" x14ac:dyDescent="0.25">
      <c r="A64" s="143">
        <v>7</v>
      </c>
      <c r="B64" s="92">
        <v>45196</v>
      </c>
      <c r="C64" s="31" t="s">
        <v>3381</v>
      </c>
      <c r="D64" s="32">
        <v>5522701719</v>
      </c>
      <c r="E64" s="32" t="s">
        <v>52</v>
      </c>
      <c r="F64" s="32" t="s">
        <v>98</v>
      </c>
      <c r="G64" s="39" t="s">
        <v>1185</v>
      </c>
      <c r="H64" s="122"/>
      <c r="I64" s="42">
        <v>144</v>
      </c>
      <c r="J64" s="20">
        <v>10</v>
      </c>
      <c r="K64" s="21">
        <f t="shared" si="13"/>
        <v>10</v>
      </c>
      <c r="L64" s="21">
        <f t="shared" si="10"/>
        <v>154</v>
      </c>
      <c r="M64" s="21">
        <f t="shared" si="11"/>
        <v>-154</v>
      </c>
      <c r="N64" s="21"/>
      <c r="O64" s="21"/>
      <c r="P64" s="5"/>
      <c r="Q64" s="16"/>
      <c r="R64" s="16"/>
      <c r="S64" s="21">
        <f t="shared" si="12"/>
        <v>0</v>
      </c>
      <c r="T64" s="16">
        <v>154</v>
      </c>
      <c r="U64" s="78">
        <v>20</v>
      </c>
      <c r="V64" s="140"/>
      <c r="W64" s="147"/>
      <c r="X64" s="23"/>
      <c r="Y64" s="334"/>
      <c r="Z64" s="5"/>
      <c r="AC64" s="16" t="s">
        <v>171</v>
      </c>
      <c r="AD64" s="18">
        <f>+AB64*500</f>
        <v>0</v>
      </c>
      <c r="AG64" s="16" t="s">
        <v>171</v>
      </c>
      <c r="AH64" s="18">
        <f>+AF64*500</f>
        <v>0</v>
      </c>
      <c r="AJ64" s="16"/>
      <c r="AK64" s="16"/>
      <c r="AM64" s="16" t="s">
        <v>171</v>
      </c>
      <c r="AN64" s="18">
        <f>+AL64*500</f>
        <v>0</v>
      </c>
    </row>
    <row r="65" spans="1:40" x14ac:dyDescent="0.25">
      <c r="A65" s="143">
        <v>8</v>
      </c>
      <c r="B65" s="92">
        <v>45196</v>
      </c>
      <c r="C65" s="31" t="s">
        <v>2464</v>
      </c>
      <c r="D65" s="123">
        <v>5545346567</v>
      </c>
      <c r="E65" s="123" t="s">
        <v>52</v>
      </c>
      <c r="F65" s="123" t="s">
        <v>61</v>
      </c>
      <c r="G65" s="39" t="s">
        <v>384</v>
      </c>
      <c r="H65" s="122">
        <v>40</v>
      </c>
      <c r="I65" s="32">
        <v>42</v>
      </c>
      <c r="J65" s="20">
        <v>0</v>
      </c>
      <c r="K65" s="21">
        <f t="shared" si="13"/>
        <v>0</v>
      </c>
      <c r="L65" s="21">
        <f t="shared" si="10"/>
        <v>42</v>
      </c>
      <c r="M65" s="21">
        <v>0</v>
      </c>
      <c r="N65" s="21"/>
      <c r="O65" s="21"/>
      <c r="P65" s="5"/>
      <c r="Q65" s="16"/>
      <c r="R65" s="16"/>
      <c r="S65" s="21">
        <f t="shared" si="12"/>
        <v>0</v>
      </c>
      <c r="T65" s="16"/>
      <c r="U65" s="78">
        <f t="shared" si="14"/>
        <v>0</v>
      </c>
      <c r="V65" s="140"/>
      <c r="W65" s="147"/>
      <c r="X65" s="23"/>
      <c r="Y65" s="334"/>
      <c r="Z65" s="5"/>
      <c r="AC65" s="16" t="s">
        <v>168</v>
      </c>
      <c r="AD65" s="18">
        <f>+AB65*1000</f>
        <v>0</v>
      </c>
      <c r="AG65" s="16" t="s">
        <v>168</v>
      </c>
      <c r="AH65" s="18">
        <f>+AF65*1000</f>
        <v>0</v>
      </c>
      <c r="AJ65" s="16"/>
      <c r="AK65" s="16"/>
      <c r="AM65" s="16" t="s">
        <v>168</v>
      </c>
      <c r="AN65" s="18">
        <f>+AL65*1000</f>
        <v>0</v>
      </c>
    </row>
    <row r="66" spans="1:40" x14ac:dyDescent="0.25">
      <c r="A66" s="143">
        <v>9</v>
      </c>
      <c r="B66" s="92">
        <v>45196</v>
      </c>
      <c r="C66" s="31"/>
      <c r="D66" s="32"/>
      <c r="E66" s="32"/>
      <c r="F66" s="32"/>
      <c r="G66" s="39"/>
      <c r="H66" s="39"/>
      <c r="I66" s="40"/>
      <c r="J66" s="20">
        <v>10</v>
      </c>
      <c r="K66" s="21">
        <f t="shared" si="13"/>
        <v>-10</v>
      </c>
      <c r="L66" s="21">
        <f t="shared" si="10"/>
        <v>10</v>
      </c>
      <c r="M66" s="21">
        <f t="shared" si="11"/>
        <v>-10</v>
      </c>
      <c r="N66" s="21"/>
      <c r="O66" s="21"/>
      <c r="P66" s="5"/>
      <c r="Q66" s="16"/>
      <c r="R66" s="16"/>
      <c r="S66" s="21">
        <f t="shared" si="12"/>
        <v>0</v>
      </c>
      <c r="T66" s="16"/>
      <c r="U66" s="78">
        <f t="shared" si="14"/>
        <v>0</v>
      </c>
      <c r="V66" s="140"/>
      <c r="W66" s="147"/>
      <c r="X66" s="23"/>
      <c r="Y66" s="334"/>
      <c r="Z66" s="5"/>
      <c r="AC66" s="26"/>
      <c r="AD66" s="58"/>
      <c r="AG66" s="26"/>
      <c r="AH66" s="58"/>
      <c r="AJ66" s="16"/>
      <c r="AK66" s="16"/>
      <c r="AM66" s="26"/>
      <c r="AN66" s="58"/>
    </row>
    <row r="67" spans="1:40" x14ac:dyDescent="0.25">
      <c r="A67" s="143">
        <v>10</v>
      </c>
      <c r="B67" s="92">
        <v>45196</v>
      </c>
      <c r="C67" s="31"/>
      <c r="D67" s="32"/>
      <c r="E67" s="32"/>
      <c r="F67" s="32"/>
      <c r="G67" s="39"/>
      <c r="H67" s="122"/>
      <c r="I67" s="42"/>
      <c r="J67" s="20">
        <v>10</v>
      </c>
      <c r="K67" s="21">
        <f t="shared" si="13"/>
        <v>-10</v>
      </c>
      <c r="L67" s="21">
        <f t="shared" si="10"/>
        <v>10</v>
      </c>
      <c r="M67" s="21">
        <f t="shared" si="11"/>
        <v>-10</v>
      </c>
      <c r="N67" s="21"/>
      <c r="O67" s="21"/>
      <c r="P67" s="5"/>
      <c r="Q67" s="16"/>
      <c r="R67" s="16"/>
      <c r="S67" s="21">
        <f t="shared" si="12"/>
        <v>0</v>
      </c>
      <c r="T67" s="16"/>
      <c r="U67" s="78">
        <f t="shared" si="14"/>
        <v>0</v>
      </c>
      <c r="V67" s="140"/>
      <c r="W67" s="147"/>
      <c r="X67" s="23"/>
      <c r="Y67" s="334"/>
      <c r="Z67" s="5"/>
      <c r="AC67" s="16" t="s">
        <v>169</v>
      </c>
      <c r="AD67" s="18">
        <f>SUM(AD57:AD66)</f>
        <v>320</v>
      </c>
      <c r="AG67" s="16" t="s">
        <v>169</v>
      </c>
      <c r="AH67" s="18">
        <f>SUM(AH57:AH66)</f>
        <v>744</v>
      </c>
      <c r="AJ67" s="16"/>
      <c r="AK67" s="16"/>
      <c r="AM67" s="16" t="s">
        <v>169</v>
      </c>
      <c r="AN67" s="18"/>
    </row>
    <row r="68" spans="1:40" x14ac:dyDescent="0.25">
      <c r="A68" s="143">
        <v>11</v>
      </c>
      <c r="B68" s="92">
        <v>45196</v>
      </c>
      <c r="C68" s="31"/>
      <c r="D68" s="124"/>
      <c r="E68" s="123"/>
      <c r="F68" s="123"/>
      <c r="G68" s="39"/>
      <c r="H68" s="122"/>
      <c r="I68" s="42"/>
      <c r="J68" s="20">
        <v>10</v>
      </c>
      <c r="K68" s="21">
        <f t="shared" si="13"/>
        <v>-10</v>
      </c>
      <c r="L68" s="21">
        <f t="shared" si="10"/>
        <v>10</v>
      </c>
      <c r="M68" s="21">
        <f t="shared" si="11"/>
        <v>-10</v>
      </c>
      <c r="N68" s="21"/>
      <c r="O68" s="21"/>
      <c r="P68" s="5"/>
      <c r="Q68" s="16"/>
      <c r="R68" s="16"/>
      <c r="S68" s="21">
        <f t="shared" si="12"/>
        <v>0</v>
      </c>
      <c r="T68" s="16"/>
      <c r="U68" s="78">
        <f t="shared" si="14"/>
        <v>0</v>
      </c>
      <c r="V68" s="140"/>
      <c r="W68" s="147"/>
      <c r="X68" s="23"/>
      <c r="Y68" s="334"/>
      <c r="Z68" s="5"/>
      <c r="AJ68" s="16"/>
      <c r="AK68" s="16"/>
      <c r="AM68" s="16"/>
      <c r="AN68" s="16"/>
    </row>
    <row r="69" spans="1:40" x14ac:dyDescent="0.25">
      <c r="A69" s="143">
        <v>12</v>
      </c>
      <c r="B69" s="92">
        <v>45196</v>
      </c>
      <c r="C69" s="32"/>
      <c r="D69" s="32"/>
      <c r="E69" s="124"/>
      <c r="F69" s="123"/>
      <c r="G69" s="39"/>
      <c r="H69" s="39"/>
      <c r="I69" s="42"/>
      <c r="J69" s="20">
        <v>10</v>
      </c>
      <c r="K69" s="21">
        <f t="shared" si="13"/>
        <v>-10</v>
      </c>
      <c r="L69" s="21">
        <f t="shared" si="10"/>
        <v>10</v>
      </c>
      <c r="M69" s="21">
        <f t="shared" si="11"/>
        <v>-10</v>
      </c>
      <c r="N69" s="21"/>
      <c r="O69" s="21"/>
      <c r="P69" s="5"/>
      <c r="Q69" s="45"/>
      <c r="R69" s="44"/>
      <c r="S69" s="21">
        <f t="shared" si="12"/>
        <v>0</v>
      </c>
      <c r="T69" s="45"/>
      <c r="U69" s="78">
        <f t="shared" si="14"/>
        <v>0</v>
      </c>
      <c r="V69" s="140"/>
      <c r="W69" s="147"/>
      <c r="X69" s="23"/>
      <c r="Y69" s="334"/>
      <c r="Z69" s="5"/>
      <c r="AC69" t="s">
        <v>1170</v>
      </c>
      <c r="AD69">
        <v>2875.5</v>
      </c>
      <c r="AJ69" s="63" t="s">
        <v>169</v>
      </c>
      <c r="AK69" s="63">
        <f>+SUM(AJ58:AJ68)-SUM(AK58:AK68)</f>
        <v>0</v>
      </c>
      <c r="AM69" s="63" t="s">
        <v>169</v>
      </c>
      <c r="AN69" s="85">
        <f>+SUM(AM57:AM68)-SUM(AN58:AN68)</f>
        <v>0</v>
      </c>
    </row>
    <row r="70" spans="1:40" x14ac:dyDescent="0.25">
      <c r="A70" s="143">
        <v>13</v>
      </c>
      <c r="B70" s="92">
        <v>45196</v>
      </c>
      <c r="C70" s="31"/>
      <c r="D70" s="32"/>
      <c r="E70" s="32"/>
      <c r="F70" s="32"/>
      <c r="G70" s="39"/>
      <c r="H70" s="39"/>
      <c r="I70" s="42"/>
      <c r="J70" s="108">
        <v>10</v>
      </c>
      <c r="K70" s="21">
        <f t="shared" si="13"/>
        <v>-10</v>
      </c>
      <c r="L70" s="21">
        <f t="shared" si="10"/>
        <v>10</v>
      </c>
      <c r="M70" s="21">
        <f t="shared" si="11"/>
        <v>-10</v>
      </c>
      <c r="N70" s="21"/>
      <c r="O70" s="21"/>
      <c r="P70" s="5"/>
      <c r="Q70" s="43"/>
      <c r="R70" s="32"/>
      <c r="S70" s="21">
        <f t="shared" si="12"/>
        <v>0</v>
      </c>
      <c r="T70" s="43"/>
      <c r="U70" s="78">
        <f t="shared" si="14"/>
        <v>0</v>
      </c>
      <c r="V70" s="140"/>
      <c r="W70" s="147"/>
      <c r="X70" s="23"/>
      <c r="Y70" s="334"/>
      <c r="Z70" s="5"/>
      <c r="AC70" t="s">
        <v>1175</v>
      </c>
      <c r="AD70">
        <v>3.5</v>
      </c>
      <c r="AH70" s="83"/>
    </row>
    <row r="71" spans="1:40" x14ac:dyDescent="0.25">
      <c r="A71" s="143">
        <v>14</v>
      </c>
      <c r="B71" s="92">
        <v>45196</v>
      </c>
      <c r="C71" s="31"/>
      <c r="D71" s="32"/>
      <c r="E71" s="32"/>
      <c r="F71" s="32"/>
      <c r="G71" s="39"/>
      <c r="H71" s="39"/>
      <c r="I71" s="42"/>
      <c r="J71" s="108">
        <v>10</v>
      </c>
      <c r="K71" s="21">
        <f t="shared" si="13"/>
        <v>-10</v>
      </c>
      <c r="L71" s="21">
        <f t="shared" si="10"/>
        <v>10</v>
      </c>
      <c r="M71" s="21">
        <f t="shared" si="11"/>
        <v>-10</v>
      </c>
      <c r="N71" s="21"/>
      <c r="O71" s="21"/>
      <c r="P71" s="5"/>
      <c r="Q71" s="43"/>
      <c r="R71" s="43"/>
      <c r="S71" s="21">
        <f t="shared" si="12"/>
        <v>0</v>
      </c>
      <c r="T71" s="43"/>
      <c r="U71" s="78">
        <f t="shared" si="14"/>
        <v>0</v>
      </c>
      <c r="V71" s="140"/>
      <c r="W71" s="147"/>
      <c r="X71" s="23"/>
      <c r="Y71" s="334"/>
      <c r="Z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40" x14ac:dyDescent="0.25">
      <c r="A72" s="143">
        <v>15</v>
      </c>
      <c r="B72" s="92">
        <v>45196</v>
      </c>
      <c r="C72" s="127"/>
      <c r="D72" s="32"/>
      <c r="E72" s="32"/>
      <c r="F72" s="128"/>
      <c r="G72" s="129"/>
      <c r="H72" s="39"/>
      <c r="I72" s="42"/>
      <c r="J72" s="108">
        <v>10</v>
      </c>
      <c r="K72" s="21">
        <f t="shared" si="13"/>
        <v>-10</v>
      </c>
      <c r="L72" s="21">
        <f t="shared" si="10"/>
        <v>10</v>
      </c>
      <c r="M72" s="21">
        <f t="shared" si="11"/>
        <v>-10</v>
      </c>
      <c r="N72" s="21"/>
      <c r="O72" s="21"/>
      <c r="P72" s="5"/>
      <c r="Q72" s="43"/>
      <c r="R72" s="43"/>
      <c r="S72" s="21">
        <f t="shared" si="12"/>
        <v>0</v>
      </c>
      <c r="T72" s="43"/>
      <c r="U72" s="78">
        <f t="shared" si="14"/>
        <v>0</v>
      </c>
      <c r="V72" s="140"/>
      <c r="W72" s="147"/>
      <c r="X72" s="23"/>
      <c r="Y72" s="334"/>
      <c r="Z72" s="5"/>
      <c r="AC72" s="5"/>
      <c r="AD72" s="134" t="s">
        <v>20</v>
      </c>
      <c r="AE72" s="338"/>
      <c r="AF72" s="341" t="s">
        <v>686</v>
      </c>
      <c r="AG72" s="134" t="s">
        <v>20</v>
      </c>
      <c r="AH72" s="338"/>
      <c r="AI72" s="341" t="s">
        <v>687</v>
      </c>
      <c r="AJ72" s="134" t="s">
        <v>20</v>
      </c>
      <c r="AK72" s="338"/>
      <c r="AL72" s="5"/>
    </row>
    <row r="73" spans="1:40" x14ac:dyDescent="0.25">
      <c r="A73" s="143">
        <v>16</v>
      </c>
      <c r="B73" s="92">
        <v>45196</v>
      </c>
      <c r="C73" s="31"/>
      <c r="D73" s="32"/>
      <c r="E73" s="32"/>
      <c r="F73" s="32"/>
      <c r="G73" s="39"/>
      <c r="H73" s="39"/>
      <c r="I73" s="42"/>
      <c r="J73" s="43">
        <v>10</v>
      </c>
      <c r="K73" s="21">
        <f t="shared" si="13"/>
        <v>-10</v>
      </c>
      <c r="L73" s="21">
        <f t="shared" si="10"/>
        <v>10</v>
      </c>
      <c r="M73" s="21">
        <f t="shared" si="11"/>
        <v>-10</v>
      </c>
      <c r="N73" s="21"/>
      <c r="O73" s="21"/>
      <c r="P73" s="5"/>
      <c r="Q73" s="43"/>
      <c r="R73" s="32"/>
      <c r="S73" s="21">
        <f t="shared" si="12"/>
        <v>0</v>
      </c>
      <c r="T73" s="131"/>
      <c r="U73" s="78">
        <f t="shared" si="14"/>
        <v>0</v>
      </c>
      <c r="V73" s="140"/>
      <c r="W73" s="147"/>
      <c r="X73" s="23"/>
      <c r="Y73" s="334"/>
      <c r="Z73" s="5"/>
      <c r="AC73" s="5" t="s">
        <v>685</v>
      </c>
      <c r="AD73" s="115" t="s">
        <v>684</v>
      </c>
      <c r="AE73" s="339"/>
      <c r="AF73" s="341"/>
      <c r="AG73" s="115" t="s">
        <v>684</v>
      </c>
      <c r="AH73" s="339"/>
      <c r="AI73" s="341"/>
      <c r="AJ73" s="115" t="s">
        <v>684</v>
      </c>
      <c r="AK73" s="339"/>
      <c r="AL73" s="5"/>
    </row>
    <row r="74" spans="1:40" x14ac:dyDescent="0.25">
      <c r="A74" s="143">
        <v>17</v>
      </c>
      <c r="B74" s="92">
        <v>45196</v>
      </c>
      <c r="C74" s="31"/>
      <c r="D74" s="32"/>
      <c r="E74" s="32"/>
      <c r="F74" s="32"/>
      <c r="G74" s="39"/>
      <c r="H74" s="39"/>
      <c r="I74" s="42"/>
      <c r="J74" s="43">
        <v>10</v>
      </c>
      <c r="K74" s="21">
        <f t="shared" si="13"/>
        <v>-10</v>
      </c>
      <c r="L74" s="21">
        <f t="shared" si="10"/>
        <v>10</v>
      </c>
      <c r="M74" s="21">
        <f t="shared" si="11"/>
        <v>-10</v>
      </c>
      <c r="N74" s="21"/>
      <c r="O74" s="21"/>
      <c r="P74" s="5"/>
      <c r="Q74" s="43"/>
      <c r="R74" s="32"/>
      <c r="S74" s="21">
        <f t="shared" si="12"/>
        <v>0</v>
      </c>
      <c r="T74" s="132"/>
      <c r="U74" s="78">
        <f t="shared" si="14"/>
        <v>0</v>
      </c>
      <c r="V74" s="140"/>
      <c r="W74" s="147"/>
      <c r="X74" s="23"/>
      <c r="Y74" s="340"/>
      <c r="Z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40" x14ac:dyDescent="0.25">
      <c r="A75" s="143">
        <v>18</v>
      </c>
      <c r="B75" s="92">
        <v>45196</v>
      </c>
      <c r="C75" s="31"/>
      <c r="D75" s="32"/>
      <c r="E75" s="32"/>
      <c r="F75" s="32"/>
      <c r="G75" s="39"/>
      <c r="H75" s="39"/>
      <c r="I75" s="42"/>
      <c r="J75" s="43">
        <v>10</v>
      </c>
      <c r="K75" s="21">
        <f t="shared" si="13"/>
        <v>-10</v>
      </c>
      <c r="L75" s="21">
        <f t="shared" si="10"/>
        <v>10</v>
      </c>
      <c r="M75" s="21">
        <f t="shared" si="11"/>
        <v>-10</v>
      </c>
      <c r="N75" s="21"/>
      <c r="O75" s="21"/>
      <c r="P75" s="5"/>
      <c r="Q75" s="135"/>
      <c r="R75" s="104"/>
      <c r="S75" s="21">
        <f t="shared" si="12"/>
        <v>0</v>
      </c>
      <c r="T75" s="131"/>
      <c r="U75" s="78">
        <f t="shared" si="14"/>
        <v>0</v>
      </c>
      <c r="V75" s="140"/>
      <c r="W75" s="138"/>
      <c r="X75" s="32"/>
      <c r="Z75" s="5"/>
      <c r="AG75" t="s">
        <v>1174</v>
      </c>
    </row>
    <row r="76" spans="1:40" x14ac:dyDescent="0.25">
      <c r="A76" s="143">
        <v>19</v>
      </c>
      <c r="B76" s="92">
        <v>45196</v>
      </c>
      <c r="C76" s="31"/>
      <c r="D76" s="32"/>
      <c r="E76" s="32"/>
      <c r="F76" s="32"/>
      <c r="G76" s="39"/>
      <c r="H76" s="39"/>
      <c r="I76" s="42"/>
      <c r="J76" s="43">
        <v>10</v>
      </c>
      <c r="K76" s="21">
        <f t="shared" si="13"/>
        <v>-10</v>
      </c>
      <c r="L76" s="21">
        <f t="shared" si="10"/>
        <v>10</v>
      </c>
      <c r="M76" s="21">
        <f t="shared" si="11"/>
        <v>-10</v>
      </c>
      <c r="N76" s="21"/>
      <c r="O76" s="21"/>
      <c r="P76" s="5"/>
      <c r="Q76" s="32"/>
      <c r="R76" s="32"/>
      <c r="S76" s="21">
        <f t="shared" si="12"/>
        <v>0</v>
      </c>
      <c r="T76" s="32"/>
      <c r="U76" s="78">
        <f t="shared" si="14"/>
        <v>0</v>
      </c>
      <c r="V76" s="140"/>
      <c r="W76" s="138"/>
      <c r="X76" s="32"/>
      <c r="Z76" s="5"/>
    </row>
    <row r="77" spans="1:40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141"/>
      <c r="W77" s="5"/>
      <c r="X77" s="5"/>
      <c r="Y77" s="5"/>
      <c r="Z77" s="5"/>
    </row>
    <row r="80" spans="1:40" x14ac:dyDescent="0.25">
      <c r="A80" t="s">
        <v>1186</v>
      </c>
    </row>
    <row r="82" spans="1:40" x14ac:dyDescent="0.25">
      <c r="J82">
        <v>430</v>
      </c>
    </row>
    <row r="83" spans="1:40" x14ac:dyDescent="0.25">
      <c r="J83">
        <v>418</v>
      </c>
      <c r="O83" s="83">
        <f>+O95+30</f>
        <v>106</v>
      </c>
    </row>
    <row r="84" spans="1:40" x14ac:dyDescent="0.25">
      <c r="A84" t="s">
        <v>1207</v>
      </c>
      <c r="B84" t="s">
        <v>1208</v>
      </c>
    </row>
    <row r="85" spans="1:40" x14ac:dyDescent="0.25">
      <c r="A85" s="1" t="s">
        <v>0</v>
      </c>
      <c r="B85" s="1"/>
      <c r="C85" s="1"/>
      <c r="D85" s="1"/>
      <c r="E85" s="1"/>
      <c r="F85" s="1"/>
      <c r="G85" s="1"/>
      <c r="H85" s="1"/>
      <c r="I85" s="1" t="s">
        <v>148</v>
      </c>
      <c r="J85" s="1"/>
      <c r="K85" s="1"/>
      <c r="L85" s="1"/>
      <c r="M85" s="1"/>
      <c r="N85" s="1"/>
      <c r="O85" s="1"/>
      <c r="P85" s="1"/>
      <c r="Q85" s="1"/>
      <c r="R85" s="1"/>
      <c r="S85" s="342" t="s">
        <v>1</v>
      </c>
      <c r="T85" s="342"/>
      <c r="U85" s="5"/>
      <c r="V85" s="139"/>
      <c r="W85" s="1"/>
      <c r="X85" s="1"/>
      <c r="Y85" s="1"/>
      <c r="Z85" s="5"/>
      <c r="AC85" s="335" t="s">
        <v>160</v>
      </c>
      <c r="AD85" s="336"/>
      <c r="AG85" s="335" t="s">
        <v>170</v>
      </c>
      <c r="AH85" s="336"/>
      <c r="AJ85" s="337" t="s">
        <v>172</v>
      </c>
      <c r="AK85" s="337"/>
      <c r="AM85" s="337" t="s">
        <v>681</v>
      </c>
      <c r="AN85" s="337"/>
    </row>
    <row r="86" spans="1:40" ht="90" x14ac:dyDescent="0.25">
      <c r="A86" s="6" t="s">
        <v>2</v>
      </c>
      <c r="B86" s="7" t="s">
        <v>3</v>
      </c>
      <c r="C86" s="7" t="s">
        <v>4</v>
      </c>
      <c r="D86" s="6" t="s">
        <v>5</v>
      </c>
      <c r="E86" s="6" t="s">
        <v>6</v>
      </c>
      <c r="F86" s="6" t="s">
        <v>7</v>
      </c>
      <c r="G86" s="6" t="s">
        <v>8</v>
      </c>
      <c r="H86" s="8" t="s">
        <v>9</v>
      </c>
      <c r="I86" s="9" t="s">
        <v>10</v>
      </c>
      <c r="J86" s="8" t="s">
        <v>11</v>
      </c>
      <c r="K86" s="10" t="s">
        <v>12</v>
      </c>
      <c r="L86" s="10" t="s">
        <v>13</v>
      </c>
      <c r="M86" s="11" t="s">
        <v>14</v>
      </c>
      <c r="N86" s="10" t="s">
        <v>691</v>
      </c>
      <c r="O86" s="10" t="s">
        <v>28</v>
      </c>
      <c r="P86" s="5"/>
      <c r="Q86" s="10" t="s">
        <v>16</v>
      </c>
      <c r="R86" s="10" t="s">
        <v>17</v>
      </c>
      <c r="S86" s="10" t="s">
        <v>18</v>
      </c>
      <c r="T86" s="10" t="s">
        <v>19</v>
      </c>
      <c r="U86" s="10" t="s">
        <v>20</v>
      </c>
      <c r="V86" s="13"/>
      <c r="W86" s="136" t="s">
        <v>688</v>
      </c>
      <c r="X86" s="14" t="s">
        <v>22</v>
      </c>
      <c r="Y86" s="15" t="s">
        <v>23</v>
      </c>
      <c r="Z86" s="5"/>
      <c r="AB86">
        <v>2</v>
      </c>
      <c r="AC86" s="16" t="s">
        <v>161</v>
      </c>
      <c r="AD86" s="58">
        <f>+AB86*10</f>
        <v>20</v>
      </c>
      <c r="AF86">
        <v>2</v>
      </c>
      <c r="AG86" s="16" t="s">
        <v>161</v>
      </c>
      <c r="AH86" s="58">
        <f>+AF86*10</f>
        <v>20</v>
      </c>
      <c r="AJ86" s="61" t="s">
        <v>173</v>
      </c>
      <c r="AK86" s="62" t="s">
        <v>174</v>
      </c>
      <c r="AM86" s="16" t="s">
        <v>161</v>
      </c>
      <c r="AN86" s="58">
        <f>+AL86*10</f>
        <v>0</v>
      </c>
    </row>
    <row r="87" spans="1:40" x14ac:dyDescent="0.25">
      <c r="A87" s="16">
        <v>1</v>
      </c>
      <c r="B87" s="92">
        <v>45197</v>
      </c>
      <c r="C87" s="31" t="s">
        <v>114</v>
      </c>
      <c r="D87" s="32"/>
      <c r="E87" s="32" t="s">
        <v>1190</v>
      </c>
      <c r="F87" s="39" t="s">
        <v>1192</v>
      </c>
      <c r="G87" s="39" t="s">
        <v>1189</v>
      </c>
      <c r="H87" s="122">
        <v>50</v>
      </c>
      <c r="I87" s="32">
        <v>18</v>
      </c>
      <c r="J87" s="20">
        <v>10</v>
      </c>
      <c r="K87" s="21">
        <f>U87-J87-O87</f>
        <v>10</v>
      </c>
      <c r="L87" s="21">
        <f t="shared" ref="L87:L106" si="15">+I87+J87</f>
        <v>28</v>
      </c>
      <c r="M87" s="21">
        <f t="shared" ref="M87:M106" si="16">+H87-L87</f>
        <v>22</v>
      </c>
      <c r="N87" s="21"/>
      <c r="O87" s="21"/>
      <c r="P87" s="5"/>
      <c r="Q87" s="21">
        <v>50</v>
      </c>
      <c r="R87" s="16"/>
      <c r="S87" s="21">
        <f t="shared" ref="S87:S106" si="17">+Q87+R87</f>
        <v>50</v>
      </c>
      <c r="T87" s="21">
        <v>70</v>
      </c>
      <c r="U87" s="78">
        <f>T87-S87-O87</f>
        <v>20</v>
      </c>
      <c r="V87" s="13"/>
      <c r="W87" s="147"/>
      <c r="X87" s="23"/>
      <c r="Y87" s="333"/>
      <c r="Z87" s="5"/>
      <c r="AB87">
        <v>40.5</v>
      </c>
      <c r="AC87" s="59" t="s">
        <v>162</v>
      </c>
      <c r="AD87" s="18">
        <f>+AB87*1</f>
        <v>40.5</v>
      </c>
      <c r="AF87">
        <v>44.5</v>
      </c>
      <c r="AG87" s="59" t="s">
        <v>162</v>
      </c>
      <c r="AH87" s="18">
        <f>+AF87*1</f>
        <v>44.5</v>
      </c>
      <c r="AJ87" s="16"/>
      <c r="AK87" s="16"/>
      <c r="AM87" s="59" t="s">
        <v>162</v>
      </c>
      <c r="AN87" s="18">
        <f>+AL87*1</f>
        <v>0</v>
      </c>
    </row>
    <row r="88" spans="1:40" x14ac:dyDescent="0.25">
      <c r="A88" s="26">
        <v>2</v>
      </c>
      <c r="B88" s="92">
        <v>45197</v>
      </c>
      <c r="C88" s="31" t="s">
        <v>2464</v>
      </c>
      <c r="D88" s="32"/>
      <c r="E88" s="32" t="s">
        <v>394</v>
      </c>
      <c r="F88" s="32" t="s">
        <v>1199</v>
      </c>
      <c r="G88" s="39" t="s">
        <v>1191</v>
      </c>
      <c r="H88" s="122">
        <v>52</v>
      </c>
      <c r="I88" s="32">
        <v>42</v>
      </c>
      <c r="J88" s="20">
        <v>10</v>
      </c>
      <c r="K88" s="21">
        <f t="shared" ref="K88:K106" si="18">U88-J88-O88</f>
        <v>-10</v>
      </c>
      <c r="L88" s="21">
        <f t="shared" si="15"/>
        <v>52</v>
      </c>
      <c r="M88" s="21">
        <f t="shared" si="16"/>
        <v>0</v>
      </c>
      <c r="N88" s="21">
        <v>52</v>
      </c>
      <c r="O88" s="21"/>
      <c r="P88" s="5"/>
      <c r="Q88" s="21"/>
      <c r="R88" s="16"/>
      <c r="S88" s="21">
        <f t="shared" si="17"/>
        <v>0</v>
      </c>
      <c r="T88" s="21"/>
      <c r="U88" s="78">
        <f t="shared" ref="U88:U106" si="19">T88-S88-O88</f>
        <v>0</v>
      </c>
      <c r="V88" s="140"/>
      <c r="W88" s="147"/>
      <c r="X88" s="23"/>
      <c r="Y88" s="334"/>
      <c r="Z88" s="5"/>
      <c r="AB88">
        <v>6</v>
      </c>
      <c r="AC88" s="16" t="s">
        <v>163</v>
      </c>
      <c r="AD88" s="60">
        <f>+AB88*5</f>
        <v>30</v>
      </c>
      <c r="AF88">
        <v>13</v>
      </c>
      <c r="AG88" s="16" t="s">
        <v>163</v>
      </c>
      <c r="AH88" s="60">
        <f>+AF88*5</f>
        <v>65</v>
      </c>
      <c r="AJ88" s="16"/>
      <c r="AK88" s="16"/>
      <c r="AM88" s="16" t="s">
        <v>163</v>
      </c>
      <c r="AN88" s="60">
        <f>+AL88*5</f>
        <v>0</v>
      </c>
    </row>
    <row r="89" spans="1:40" x14ac:dyDescent="0.25">
      <c r="A89" s="143">
        <v>3</v>
      </c>
      <c r="B89" s="92">
        <v>45197</v>
      </c>
      <c r="C89" s="31" t="s">
        <v>2644</v>
      </c>
      <c r="D89" s="32"/>
      <c r="E89" s="32" t="s">
        <v>1190</v>
      </c>
      <c r="F89" s="32" t="s">
        <v>837</v>
      </c>
      <c r="G89" s="39" t="s">
        <v>1193</v>
      </c>
      <c r="H89" s="122">
        <v>260</v>
      </c>
      <c r="I89" s="32">
        <v>231</v>
      </c>
      <c r="J89" s="20">
        <v>10</v>
      </c>
      <c r="K89" s="21">
        <f t="shared" si="18"/>
        <v>0</v>
      </c>
      <c r="L89" s="21">
        <f t="shared" si="15"/>
        <v>241</v>
      </c>
      <c r="M89" s="21">
        <f t="shared" si="16"/>
        <v>19</v>
      </c>
      <c r="N89" s="21">
        <v>260</v>
      </c>
      <c r="O89" s="21"/>
      <c r="P89" s="5"/>
      <c r="Q89" s="21">
        <v>250</v>
      </c>
      <c r="R89" s="16"/>
      <c r="S89" s="21">
        <f t="shared" si="17"/>
        <v>250</v>
      </c>
      <c r="T89" s="21">
        <v>260</v>
      </c>
      <c r="U89" s="78">
        <f t="shared" si="19"/>
        <v>10</v>
      </c>
      <c r="V89" s="140"/>
      <c r="W89" s="147"/>
      <c r="X89" s="23"/>
      <c r="Y89" s="334"/>
      <c r="Z89" s="5"/>
      <c r="AB89">
        <v>1</v>
      </c>
      <c r="AC89" s="16" t="s">
        <v>164</v>
      </c>
      <c r="AD89" s="18">
        <f>+AB89*200</f>
        <v>200</v>
      </c>
      <c r="AF89">
        <v>1</v>
      </c>
      <c r="AG89" s="16" t="s">
        <v>164</v>
      </c>
      <c r="AH89" s="18">
        <f>+AF89*200</f>
        <v>200</v>
      </c>
      <c r="AJ89" s="16"/>
      <c r="AK89" s="16"/>
      <c r="AM89" s="16" t="s">
        <v>164</v>
      </c>
      <c r="AN89" s="18">
        <f>+AL89*200</f>
        <v>0</v>
      </c>
    </row>
    <row r="90" spans="1:40" x14ac:dyDescent="0.25">
      <c r="A90" s="143">
        <v>4</v>
      </c>
      <c r="B90" s="92">
        <v>45197</v>
      </c>
      <c r="C90" s="31" t="s">
        <v>1194</v>
      </c>
      <c r="D90" s="32"/>
      <c r="E90" s="32" t="s">
        <v>106</v>
      </c>
      <c r="F90" s="32" t="s">
        <v>918</v>
      </c>
      <c r="G90" s="39" t="s">
        <v>1195</v>
      </c>
      <c r="H90" s="122">
        <v>130</v>
      </c>
      <c r="I90" s="32">
        <v>59</v>
      </c>
      <c r="J90" s="20">
        <v>10</v>
      </c>
      <c r="K90" s="21">
        <f t="shared" si="18"/>
        <v>-48</v>
      </c>
      <c r="L90" s="21">
        <f t="shared" si="15"/>
        <v>69</v>
      </c>
      <c r="M90" s="21">
        <f t="shared" si="16"/>
        <v>61</v>
      </c>
      <c r="N90" s="21"/>
      <c r="O90" s="21">
        <v>59</v>
      </c>
      <c r="P90" s="5"/>
      <c r="Q90" s="21"/>
      <c r="R90" s="16">
        <v>50</v>
      </c>
      <c r="S90" s="21">
        <f t="shared" si="17"/>
        <v>50</v>
      </c>
      <c r="T90" s="21">
        <v>130</v>
      </c>
      <c r="U90" s="78">
        <f t="shared" si="19"/>
        <v>21</v>
      </c>
      <c r="V90" s="140"/>
      <c r="W90" s="147"/>
      <c r="X90" s="23"/>
      <c r="Y90" s="334"/>
      <c r="Z90" s="5"/>
      <c r="AB90">
        <v>1</v>
      </c>
      <c r="AC90" s="16" t="s">
        <v>165</v>
      </c>
      <c r="AD90" s="18">
        <f>+AB90*100</f>
        <v>100</v>
      </c>
      <c r="AG90" s="16" t="s">
        <v>165</v>
      </c>
      <c r="AH90" s="18">
        <f>+AF90*100</f>
        <v>0</v>
      </c>
      <c r="AJ90" s="16"/>
      <c r="AK90" s="16"/>
      <c r="AM90" s="16" t="s">
        <v>165</v>
      </c>
      <c r="AN90" s="18">
        <f>+AL90*100</f>
        <v>0</v>
      </c>
    </row>
    <row r="91" spans="1:40" x14ac:dyDescent="0.25">
      <c r="A91" s="175">
        <v>5</v>
      </c>
      <c r="B91" s="176">
        <v>45197</v>
      </c>
      <c r="C91" s="177" t="s">
        <v>3530</v>
      </c>
      <c r="D91" s="175"/>
      <c r="E91" s="175" t="s">
        <v>106</v>
      </c>
      <c r="F91" s="175" t="s">
        <v>1197</v>
      </c>
      <c r="G91" s="175" t="s">
        <v>1196</v>
      </c>
      <c r="H91" s="178"/>
      <c r="I91" s="175"/>
      <c r="J91" s="179">
        <v>10</v>
      </c>
      <c r="K91" s="180">
        <f t="shared" si="18"/>
        <v>-80</v>
      </c>
      <c r="L91" s="180">
        <f t="shared" si="15"/>
        <v>10</v>
      </c>
      <c r="M91" s="180">
        <f t="shared" si="16"/>
        <v>-10</v>
      </c>
      <c r="N91" s="180"/>
      <c r="O91" s="180"/>
      <c r="P91" s="181"/>
      <c r="Q91" s="182">
        <v>70</v>
      </c>
      <c r="R91" s="182"/>
      <c r="S91" s="180">
        <f t="shared" si="17"/>
        <v>70</v>
      </c>
      <c r="T91" s="180"/>
      <c r="U91" s="183">
        <f t="shared" si="19"/>
        <v>-70</v>
      </c>
      <c r="V91" s="140"/>
      <c r="W91" s="147"/>
      <c r="X91" s="23"/>
      <c r="Y91" s="334"/>
      <c r="Z91" s="5"/>
      <c r="AB91">
        <v>1</v>
      </c>
      <c r="AC91" s="16" t="s">
        <v>166</v>
      </c>
      <c r="AD91" s="18">
        <f>+AB91*50</f>
        <v>50</v>
      </c>
      <c r="AF91">
        <v>3</v>
      </c>
      <c r="AG91" s="16" t="s">
        <v>166</v>
      </c>
      <c r="AH91" s="18">
        <f>+AF91*50</f>
        <v>150</v>
      </c>
      <c r="AJ91" s="16"/>
      <c r="AK91" s="16"/>
      <c r="AM91" s="16" t="s">
        <v>166</v>
      </c>
      <c r="AN91" s="18">
        <f>+AL91*50</f>
        <v>0</v>
      </c>
    </row>
    <row r="92" spans="1:40" x14ac:dyDescent="0.25">
      <c r="A92" s="143">
        <v>6</v>
      </c>
      <c r="B92" s="92">
        <v>45197</v>
      </c>
      <c r="C92" s="31" t="s">
        <v>1500</v>
      </c>
      <c r="D92" s="32"/>
      <c r="E92" s="32" t="s">
        <v>408</v>
      </c>
      <c r="F92" s="32" t="s">
        <v>898</v>
      </c>
      <c r="G92" s="39" t="s">
        <v>1200</v>
      </c>
      <c r="H92" s="39">
        <v>430</v>
      </c>
      <c r="I92" s="42">
        <v>418</v>
      </c>
      <c r="J92" s="20">
        <v>10</v>
      </c>
      <c r="K92" s="21">
        <f t="shared" si="18"/>
        <v>-420</v>
      </c>
      <c r="L92" s="21">
        <f t="shared" si="15"/>
        <v>428</v>
      </c>
      <c r="M92" s="21">
        <f t="shared" si="16"/>
        <v>2</v>
      </c>
      <c r="N92" s="21"/>
      <c r="O92" s="21"/>
      <c r="P92" s="5"/>
      <c r="Q92" s="16">
        <v>410</v>
      </c>
      <c r="R92" s="16"/>
      <c r="S92" s="21">
        <f t="shared" si="17"/>
        <v>410</v>
      </c>
      <c r="T92" s="16"/>
      <c r="U92" s="78">
        <f t="shared" si="19"/>
        <v>-410</v>
      </c>
      <c r="V92" s="140"/>
      <c r="W92" s="147"/>
      <c r="X92" s="23"/>
      <c r="Y92" s="334"/>
      <c r="Z92" s="5"/>
      <c r="AB92">
        <v>1</v>
      </c>
      <c r="AC92" s="16" t="s">
        <v>167</v>
      </c>
      <c r="AD92" s="18">
        <f>+AB92*20</f>
        <v>20</v>
      </c>
      <c r="AG92" s="16" t="s">
        <v>167</v>
      </c>
      <c r="AH92" s="18">
        <f>+AF92*20</f>
        <v>0</v>
      </c>
      <c r="AJ92" s="16"/>
      <c r="AK92" s="16"/>
      <c r="AM92" s="16" t="s">
        <v>167</v>
      </c>
      <c r="AN92" s="18">
        <f>+AL92*20</f>
        <v>0</v>
      </c>
    </row>
    <row r="93" spans="1:40" x14ac:dyDescent="0.25">
      <c r="A93" s="143">
        <v>7</v>
      </c>
      <c r="B93" s="92">
        <v>45197</v>
      </c>
      <c r="C93" s="31" t="s">
        <v>3744</v>
      </c>
      <c r="D93" s="32"/>
      <c r="E93" s="32" t="s">
        <v>1203</v>
      </c>
      <c r="F93" s="32" t="s">
        <v>1202</v>
      </c>
      <c r="G93" s="39" t="s">
        <v>1201</v>
      </c>
      <c r="H93" s="122">
        <v>382</v>
      </c>
      <c r="I93" s="42">
        <v>272</v>
      </c>
      <c r="J93" s="20">
        <v>10</v>
      </c>
      <c r="K93" s="21">
        <f t="shared" si="18"/>
        <v>0</v>
      </c>
      <c r="L93" s="21">
        <f t="shared" si="15"/>
        <v>282</v>
      </c>
      <c r="M93" s="21">
        <f t="shared" si="16"/>
        <v>100</v>
      </c>
      <c r="N93" s="21"/>
      <c r="O93" s="21"/>
      <c r="P93" s="5"/>
      <c r="Q93" s="16">
        <v>450</v>
      </c>
      <c r="R93" s="16"/>
      <c r="S93" s="21">
        <f t="shared" si="17"/>
        <v>450</v>
      </c>
      <c r="T93" s="16">
        <v>460</v>
      </c>
      <c r="U93" s="78">
        <f t="shared" si="19"/>
        <v>10</v>
      </c>
      <c r="V93" s="140"/>
      <c r="W93" s="147"/>
      <c r="X93" s="23"/>
      <c r="Y93" s="334"/>
      <c r="Z93" s="5"/>
      <c r="AC93" s="16" t="s">
        <v>171</v>
      </c>
      <c r="AD93" s="18">
        <f>+AB93*500</f>
        <v>0</v>
      </c>
      <c r="AF93">
        <v>1</v>
      </c>
      <c r="AG93" s="16" t="s">
        <v>171</v>
      </c>
      <c r="AH93" s="18">
        <f>+AF93*500</f>
        <v>500</v>
      </c>
      <c r="AJ93" s="16"/>
      <c r="AK93" s="16"/>
      <c r="AM93" s="16" t="s">
        <v>171</v>
      </c>
      <c r="AN93" s="18">
        <f>+AL93*500</f>
        <v>0</v>
      </c>
    </row>
    <row r="94" spans="1:40" x14ac:dyDescent="0.25">
      <c r="A94" s="143">
        <v>8</v>
      </c>
      <c r="B94" s="92">
        <v>45197</v>
      </c>
      <c r="C94" s="31" t="s">
        <v>3379</v>
      </c>
      <c r="D94" s="123"/>
      <c r="E94" s="123" t="s">
        <v>106</v>
      </c>
      <c r="F94" s="32" t="s">
        <v>1205</v>
      </c>
      <c r="G94" s="39" t="s">
        <v>1204</v>
      </c>
      <c r="H94" s="39">
        <v>200</v>
      </c>
      <c r="I94" s="32">
        <v>84</v>
      </c>
      <c r="J94" s="20">
        <v>10</v>
      </c>
      <c r="K94" s="21">
        <f t="shared" si="18"/>
        <v>-74</v>
      </c>
      <c r="L94" s="21">
        <f t="shared" si="15"/>
        <v>94</v>
      </c>
      <c r="M94" s="21">
        <f t="shared" si="16"/>
        <v>106</v>
      </c>
      <c r="N94" s="21"/>
      <c r="O94" s="21">
        <v>84</v>
      </c>
      <c r="P94" s="5"/>
      <c r="Q94" s="16">
        <v>200</v>
      </c>
      <c r="R94" s="16"/>
      <c r="S94" s="21">
        <f t="shared" si="17"/>
        <v>200</v>
      </c>
      <c r="T94" s="16">
        <v>304</v>
      </c>
      <c r="U94" s="78">
        <f t="shared" si="19"/>
        <v>20</v>
      </c>
      <c r="V94" s="140"/>
      <c r="W94" s="147"/>
      <c r="X94" s="23"/>
      <c r="Y94" s="334"/>
      <c r="Z94" s="5"/>
      <c r="AC94" s="16" t="s">
        <v>168</v>
      </c>
      <c r="AD94" s="18">
        <f>+AB94*1000</f>
        <v>0</v>
      </c>
      <c r="AG94" s="16" t="s">
        <v>168</v>
      </c>
      <c r="AH94" s="18">
        <f>+AF94*1000</f>
        <v>0</v>
      </c>
      <c r="AJ94" s="16"/>
      <c r="AK94" s="16"/>
      <c r="AM94" s="16" t="s">
        <v>168</v>
      </c>
      <c r="AN94" s="18">
        <f>+AL94*1000</f>
        <v>0</v>
      </c>
    </row>
    <row r="95" spans="1:40" x14ac:dyDescent="0.25">
      <c r="A95" s="143">
        <v>9</v>
      </c>
      <c r="B95" s="92">
        <v>45197</v>
      </c>
      <c r="C95" s="31" t="s">
        <v>921</v>
      </c>
      <c r="D95" s="32"/>
      <c r="E95" s="32" t="s">
        <v>408</v>
      </c>
      <c r="F95" s="32"/>
      <c r="G95" s="39" t="s">
        <v>1206</v>
      </c>
      <c r="H95" s="39">
        <v>200</v>
      </c>
      <c r="I95" s="40">
        <v>116</v>
      </c>
      <c r="J95" s="20">
        <v>10</v>
      </c>
      <c r="K95" s="21">
        <f t="shared" si="18"/>
        <v>-63</v>
      </c>
      <c r="L95" s="21">
        <f t="shared" si="15"/>
        <v>126</v>
      </c>
      <c r="M95" s="21">
        <f t="shared" si="16"/>
        <v>74</v>
      </c>
      <c r="N95" s="21"/>
      <c r="O95" s="21">
        <v>76</v>
      </c>
      <c r="P95" s="5"/>
      <c r="Q95" s="16">
        <v>90</v>
      </c>
      <c r="R95" s="16"/>
      <c r="S95" s="21">
        <f t="shared" si="17"/>
        <v>90</v>
      </c>
      <c r="T95" s="16">
        <v>189</v>
      </c>
      <c r="U95" s="78">
        <f t="shared" si="19"/>
        <v>23</v>
      </c>
      <c r="V95" s="140"/>
      <c r="W95" s="147"/>
      <c r="X95" s="23"/>
      <c r="Y95" s="334"/>
      <c r="Z95" s="5"/>
      <c r="AC95" s="26"/>
      <c r="AD95" s="58"/>
      <c r="AG95" s="26"/>
      <c r="AH95" s="58"/>
      <c r="AJ95" s="16"/>
      <c r="AK95" s="16"/>
      <c r="AM95" s="26"/>
      <c r="AN95" s="58"/>
    </row>
    <row r="96" spans="1:40" x14ac:dyDescent="0.25">
      <c r="A96" s="175">
        <v>10</v>
      </c>
      <c r="B96" s="176">
        <v>45197</v>
      </c>
      <c r="C96" s="177" t="s">
        <v>1211</v>
      </c>
      <c r="D96" s="175"/>
      <c r="E96" s="175"/>
      <c r="F96" s="175" t="s">
        <v>1209</v>
      </c>
      <c r="G96" s="184" t="s">
        <v>1210</v>
      </c>
      <c r="H96" s="178"/>
      <c r="I96" s="184"/>
      <c r="J96" s="179">
        <v>10</v>
      </c>
      <c r="K96" s="180">
        <f t="shared" si="18"/>
        <v>-10</v>
      </c>
      <c r="L96" s="180">
        <f t="shared" si="15"/>
        <v>10</v>
      </c>
      <c r="M96" s="180">
        <f t="shared" si="16"/>
        <v>-10</v>
      </c>
      <c r="N96" s="180"/>
      <c r="O96" s="180"/>
      <c r="P96" s="181"/>
      <c r="Q96" s="182"/>
      <c r="R96" s="182"/>
      <c r="S96" s="180">
        <f t="shared" si="17"/>
        <v>0</v>
      </c>
      <c r="T96" s="182"/>
      <c r="U96" s="183">
        <f t="shared" si="19"/>
        <v>0</v>
      </c>
      <c r="V96" s="140"/>
      <c r="W96" s="147"/>
      <c r="X96" s="23"/>
      <c r="Y96" s="334"/>
      <c r="Z96" s="5"/>
      <c r="AC96" s="16" t="s">
        <v>169</v>
      </c>
      <c r="AD96" s="18">
        <f>SUM(AD86:AD95)</f>
        <v>460.5</v>
      </c>
      <c r="AE96">
        <v>460</v>
      </c>
      <c r="AG96" s="16" t="s">
        <v>169</v>
      </c>
      <c r="AH96" s="18">
        <f>SUM(AH86:AH95)</f>
        <v>979.5</v>
      </c>
      <c r="AJ96" s="16"/>
      <c r="AK96" s="16"/>
      <c r="AM96" s="16" t="s">
        <v>169</v>
      </c>
      <c r="AN96" s="18"/>
    </row>
    <row r="97" spans="1:40" x14ac:dyDescent="0.25">
      <c r="A97" s="143">
        <v>11</v>
      </c>
      <c r="B97" s="92">
        <v>45197</v>
      </c>
      <c r="C97" s="31" t="s">
        <v>933</v>
      </c>
      <c r="D97" s="124"/>
      <c r="E97" s="123" t="s">
        <v>1214</v>
      </c>
      <c r="F97" s="123" t="s">
        <v>524</v>
      </c>
      <c r="G97" s="39" t="s">
        <v>1213</v>
      </c>
      <c r="H97" s="122"/>
      <c r="I97" s="42">
        <v>295</v>
      </c>
      <c r="J97" s="20">
        <v>10</v>
      </c>
      <c r="K97" s="21">
        <f t="shared" si="18"/>
        <v>-10</v>
      </c>
      <c r="L97" s="21">
        <f t="shared" si="15"/>
        <v>305</v>
      </c>
      <c r="M97" s="21">
        <f t="shared" si="16"/>
        <v>-305</v>
      </c>
      <c r="N97" s="21"/>
      <c r="O97" s="21"/>
      <c r="P97" s="5"/>
      <c r="Q97" s="16"/>
      <c r="R97" s="16"/>
      <c r="S97" s="21">
        <f t="shared" si="17"/>
        <v>0</v>
      </c>
      <c r="T97" s="16"/>
      <c r="U97" s="78">
        <f t="shared" si="19"/>
        <v>0</v>
      </c>
      <c r="V97" s="140"/>
      <c r="W97" s="147"/>
      <c r="X97" s="23"/>
      <c r="Y97" s="334"/>
      <c r="Z97" s="5"/>
      <c r="AC97" s="162" t="s">
        <v>1187</v>
      </c>
      <c r="AJ97" s="16"/>
      <c r="AK97" s="16"/>
      <c r="AM97" s="16"/>
      <c r="AN97" s="16"/>
    </row>
    <row r="98" spans="1:40" x14ac:dyDescent="0.25">
      <c r="A98" s="143">
        <v>12</v>
      </c>
      <c r="B98" s="92">
        <v>45197</v>
      </c>
      <c r="C98" s="32" t="s">
        <v>975</v>
      </c>
      <c r="D98" s="32"/>
      <c r="E98" s="124" t="s">
        <v>52</v>
      </c>
      <c r="F98" s="123"/>
      <c r="G98" s="39" t="s">
        <v>1216</v>
      </c>
      <c r="H98" s="39"/>
      <c r="I98" s="42"/>
      <c r="J98" s="20">
        <v>10</v>
      </c>
      <c r="K98" s="21">
        <f t="shared" si="18"/>
        <v>-10</v>
      </c>
      <c r="L98" s="21">
        <f t="shared" si="15"/>
        <v>10</v>
      </c>
      <c r="M98" s="21">
        <f t="shared" si="16"/>
        <v>-10</v>
      </c>
      <c r="N98" s="21"/>
      <c r="O98" s="21"/>
      <c r="P98" s="5"/>
      <c r="Q98" s="45"/>
      <c r="R98" s="44"/>
      <c r="S98" s="21">
        <f t="shared" si="17"/>
        <v>0</v>
      </c>
      <c r="T98" s="45"/>
      <c r="U98" s="78">
        <f t="shared" si="19"/>
        <v>0</v>
      </c>
      <c r="V98" s="140"/>
      <c r="W98" s="147"/>
      <c r="X98" s="23"/>
      <c r="Y98" s="334"/>
      <c r="Z98" s="5"/>
      <c r="AC98" s="162" t="s">
        <v>1188</v>
      </c>
      <c r="AJ98" s="63" t="s">
        <v>169</v>
      </c>
      <c r="AK98" s="63">
        <f>+SUM(AJ87:AJ97)-SUM(AK87:AK97)</f>
        <v>0</v>
      </c>
      <c r="AM98" s="63" t="s">
        <v>169</v>
      </c>
      <c r="AN98" s="85">
        <f>+SUM(AM86:AM97)-SUM(AN87:AN97)</f>
        <v>0</v>
      </c>
    </row>
    <row r="99" spans="1:40" x14ac:dyDescent="0.25">
      <c r="A99" s="143">
        <v>13</v>
      </c>
      <c r="B99" s="92">
        <v>45197</v>
      </c>
      <c r="C99" s="31" t="s">
        <v>2464</v>
      </c>
      <c r="D99" s="32"/>
      <c r="E99" s="32" t="s">
        <v>52</v>
      </c>
      <c r="F99" s="32"/>
      <c r="G99" s="39" t="s">
        <v>1215</v>
      </c>
      <c r="H99" s="39">
        <v>56</v>
      </c>
      <c r="I99" s="42">
        <v>46</v>
      </c>
      <c r="J99" s="108">
        <v>10</v>
      </c>
      <c r="K99" s="21">
        <f t="shared" si="18"/>
        <v>-10</v>
      </c>
      <c r="L99" s="21">
        <f t="shared" si="15"/>
        <v>56</v>
      </c>
      <c r="M99" s="21">
        <f t="shared" si="16"/>
        <v>0</v>
      </c>
      <c r="N99" s="21">
        <v>56</v>
      </c>
      <c r="O99" s="21"/>
      <c r="P99" s="5"/>
      <c r="Q99" s="43"/>
      <c r="R99" s="32"/>
      <c r="S99" s="21">
        <f t="shared" si="17"/>
        <v>0</v>
      </c>
      <c r="T99" s="43"/>
      <c r="U99" s="78">
        <f t="shared" si="19"/>
        <v>0</v>
      </c>
      <c r="V99" s="140"/>
      <c r="W99" s="147"/>
      <c r="X99" s="23"/>
      <c r="Y99" s="334"/>
      <c r="Z99" s="5"/>
      <c r="AH99" s="83"/>
    </row>
    <row r="100" spans="1:40" x14ac:dyDescent="0.25">
      <c r="A100" s="143">
        <v>14</v>
      </c>
      <c r="B100" s="92">
        <v>45197</v>
      </c>
      <c r="C100" s="31" t="s">
        <v>1165</v>
      </c>
      <c r="D100" s="32"/>
      <c r="E100" s="32" t="s">
        <v>52</v>
      </c>
      <c r="F100" s="32"/>
      <c r="G100" s="39" t="s">
        <v>1217</v>
      </c>
      <c r="H100" s="39"/>
      <c r="I100" s="42">
        <v>97</v>
      </c>
      <c r="J100" s="108">
        <v>20</v>
      </c>
      <c r="K100" s="21">
        <f t="shared" si="18"/>
        <v>-140</v>
      </c>
      <c r="L100" s="21">
        <f t="shared" si="15"/>
        <v>117</v>
      </c>
      <c r="M100" s="21">
        <f t="shared" si="16"/>
        <v>-117</v>
      </c>
      <c r="N100" s="21"/>
      <c r="O100" s="21">
        <v>60</v>
      </c>
      <c r="P100" s="5"/>
      <c r="Q100" s="43"/>
      <c r="R100" s="43"/>
      <c r="S100" s="21">
        <f t="shared" si="17"/>
        <v>0</v>
      </c>
      <c r="T100" s="43"/>
      <c r="U100" s="78">
        <f t="shared" si="19"/>
        <v>-60</v>
      </c>
      <c r="V100" s="140"/>
      <c r="W100" s="147"/>
      <c r="X100" s="23"/>
      <c r="Y100" s="334"/>
      <c r="Z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40" x14ac:dyDescent="0.25">
      <c r="A101" s="143">
        <v>15</v>
      </c>
      <c r="B101" s="92">
        <v>45197</v>
      </c>
      <c r="C101" s="127" t="s">
        <v>483</v>
      </c>
      <c r="D101" s="32"/>
      <c r="E101" s="32"/>
      <c r="F101" s="128"/>
      <c r="G101" s="129" t="s">
        <v>1219</v>
      </c>
      <c r="H101" s="39"/>
      <c r="I101" s="42">
        <v>132</v>
      </c>
      <c r="J101" s="108">
        <v>10</v>
      </c>
      <c r="K101" s="21">
        <f t="shared" si="18"/>
        <v>-10</v>
      </c>
      <c r="L101" s="21">
        <f t="shared" si="15"/>
        <v>142</v>
      </c>
      <c r="M101" s="21">
        <f t="shared" si="16"/>
        <v>-142</v>
      </c>
      <c r="N101" s="21">
        <v>84</v>
      </c>
      <c r="O101" s="21"/>
      <c r="P101" s="5"/>
      <c r="Q101" s="43"/>
      <c r="R101" s="43"/>
      <c r="S101" s="21">
        <f t="shared" si="17"/>
        <v>0</v>
      </c>
      <c r="T101" s="43"/>
      <c r="U101" s="78">
        <f t="shared" si="19"/>
        <v>0</v>
      </c>
      <c r="V101" s="140"/>
      <c r="W101" s="147"/>
      <c r="X101" s="23"/>
      <c r="Y101" s="334"/>
      <c r="Z101" s="5"/>
      <c r="AC101" s="5"/>
      <c r="AD101" s="134" t="s">
        <v>20</v>
      </c>
      <c r="AE101" s="338"/>
      <c r="AF101" s="341" t="s">
        <v>686</v>
      </c>
      <c r="AG101" s="134" t="s">
        <v>20</v>
      </c>
      <c r="AH101" s="338">
        <v>120</v>
      </c>
      <c r="AI101" s="341" t="s">
        <v>687</v>
      </c>
      <c r="AJ101" s="134" t="s">
        <v>20</v>
      </c>
      <c r="AK101" s="338">
        <v>168</v>
      </c>
      <c r="AL101" s="5"/>
    </row>
    <row r="102" spans="1:40" x14ac:dyDescent="0.25">
      <c r="A102" s="143">
        <v>16</v>
      </c>
      <c r="B102" s="92">
        <v>45197</v>
      </c>
      <c r="C102" s="31" t="s">
        <v>48</v>
      </c>
      <c r="D102" s="32"/>
      <c r="E102" s="32"/>
      <c r="F102" s="32"/>
      <c r="G102" s="39" t="s">
        <v>1218</v>
      </c>
      <c r="H102" s="39"/>
      <c r="I102" s="42"/>
      <c r="J102" s="43">
        <v>10</v>
      </c>
      <c r="K102" s="21">
        <f t="shared" si="18"/>
        <v>-310</v>
      </c>
      <c r="L102" s="21">
        <f t="shared" si="15"/>
        <v>10</v>
      </c>
      <c r="M102" s="21">
        <f t="shared" si="16"/>
        <v>-10</v>
      </c>
      <c r="N102" s="21"/>
      <c r="O102" s="21"/>
      <c r="P102" s="5"/>
      <c r="Q102" s="43">
        <v>300</v>
      </c>
      <c r="R102" s="32"/>
      <c r="S102" s="21">
        <f t="shared" si="17"/>
        <v>300</v>
      </c>
      <c r="T102" s="131"/>
      <c r="U102" s="78">
        <f t="shared" si="19"/>
        <v>-300</v>
      </c>
      <c r="V102" s="140"/>
      <c r="W102" s="147"/>
      <c r="X102" s="23"/>
      <c r="Y102" s="334"/>
      <c r="Z102" s="5"/>
      <c r="AC102" s="5" t="s">
        <v>685</v>
      </c>
      <c r="AD102" s="115" t="s">
        <v>684</v>
      </c>
      <c r="AE102" s="339"/>
      <c r="AF102" s="341"/>
      <c r="AG102" s="115" t="s">
        <v>684</v>
      </c>
      <c r="AH102" s="339"/>
      <c r="AI102" s="341"/>
      <c r="AJ102" s="115" t="s">
        <v>684</v>
      </c>
      <c r="AK102" s="339"/>
      <c r="AL102" s="5"/>
    </row>
    <row r="103" spans="1:40" x14ac:dyDescent="0.25">
      <c r="A103" s="143">
        <v>17</v>
      </c>
      <c r="B103" s="92">
        <v>45197</v>
      </c>
      <c r="C103" s="31" t="s">
        <v>923</v>
      </c>
      <c r="D103" s="32"/>
      <c r="E103" s="32"/>
      <c r="F103" s="32" t="s">
        <v>1222</v>
      </c>
      <c r="G103" s="39" t="s">
        <v>1221</v>
      </c>
      <c r="H103" s="39">
        <v>200</v>
      </c>
      <c r="I103" s="42">
        <v>118</v>
      </c>
      <c r="J103" s="43">
        <v>10</v>
      </c>
      <c r="K103" s="21">
        <f t="shared" si="18"/>
        <v>-210</v>
      </c>
      <c r="L103" s="21">
        <f t="shared" si="15"/>
        <v>128</v>
      </c>
      <c r="M103" s="21">
        <f t="shared" si="16"/>
        <v>72</v>
      </c>
      <c r="N103" s="21"/>
      <c r="O103" s="21"/>
      <c r="P103" s="5"/>
      <c r="Q103" s="43">
        <v>200</v>
      </c>
      <c r="R103" s="32"/>
      <c r="S103" s="21">
        <f t="shared" si="17"/>
        <v>200</v>
      </c>
      <c r="T103" s="132"/>
      <c r="U103" s="78">
        <f t="shared" si="19"/>
        <v>-200</v>
      </c>
      <c r="V103" s="140"/>
      <c r="W103" s="147"/>
      <c r="X103" s="23"/>
      <c r="Y103" s="340"/>
      <c r="Z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40" x14ac:dyDescent="0.25">
      <c r="A104" s="143">
        <v>18</v>
      </c>
      <c r="B104" s="92">
        <v>45197</v>
      </c>
      <c r="C104" s="31" t="s">
        <v>2897</v>
      </c>
      <c r="D104" s="32"/>
      <c r="E104" s="32"/>
      <c r="F104" s="32" t="s">
        <v>1223</v>
      </c>
      <c r="G104" s="39" t="s">
        <v>1224</v>
      </c>
      <c r="H104" s="39"/>
      <c r="I104" s="42">
        <v>208</v>
      </c>
      <c r="J104" s="43">
        <v>10</v>
      </c>
      <c r="K104" s="21">
        <f t="shared" si="18"/>
        <v>10</v>
      </c>
      <c r="L104" s="21">
        <f t="shared" si="15"/>
        <v>218</v>
      </c>
      <c r="M104" s="21">
        <f t="shared" si="16"/>
        <v>-218</v>
      </c>
      <c r="N104" s="21">
        <v>218</v>
      </c>
      <c r="O104" s="21"/>
      <c r="P104" s="5"/>
      <c r="Q104" s="135">
        <v>300</v>
      </c>
      <c r="R104" s="104"/>
      <c r="S104" s="21">
        <f t="shared" si="17"/>
        <v>300</v>
      </c>
      <c r="T104" s="131">
        <v>320</v>
      </c>
      <c r="U104" s="78">
        <f t="shared" si="19"/>
        <v>20</v>
      </c>
      <c r="V104" s="140"/>
      <c r="W104" s="138"/>
      <c r="X104" s="32"/>
      <c r="Z104" s="5"/>
    </row>
    <row r="105" spans="1:40" x14ac:dyDescent="0.25">
      <c r="A105" s="143"/>
      <c r="B105" s="92"/>
      <c r="C105" s="31"/>
      <c r="D105" s="32"/>
      <c r="E105" s="32"/>
      <c r="F105" s="32"/>
      <c r="G105" s="39"/>
      <c r="H105" s="39"/>
      <c r="I105" s="42"/>
      <c r="J105" s="43"/>
      <c r="K105" s="21"/>
      <c r="L105" s="21"/>
      <c r="M105" s="21"/>
      <c r="N105" s="21"/>
      <c r="O105" s="21"/>
      <c r="P105" s="5"/>
      <c r="Q105" s="135"/>
      <c r="R105" s="104"/>
      <c r="S105" s="21"/>
      <c r="T105" s="131"/>
      <c r="U105" s="78"/>
      <c r="V105" s="140"/>
      <c r="W105" s="138"/>
      <c r="X105" s="32"/>
      <c r="Z105" s="5"/>
    </row>
    <row r="106" spans="1:40" x14ac:dyDescent="0.25">
      <c r="A106" s="143">
        <v>19</v>
      </c>
      <c r="B106" s="92">
        <v>45197</v>
      </c>
      <c r="C106" s="31" t="s">
        <v>3751</v>
      </c>
      <c r="D106" s="32"/>
      <c r="E106" s="32"/>
      <c r="F106" s="32" t="s">
        <v>1226</v>
      </c>
      <c r="G106" s="39" t="s">
        <v>1225</v>
      </c>
      <c r="H106" s="39">
        <v>500</v>
      </c>
      <c r="I106" s="42">
        <v>145</v>
      </c>
      <c r="J106" s="43">
        <v>10</v>
      </c>
      <c r="K106" s="21">
        <f t="shared" si="18"/>
        <v>10</v>
      </c>
      <c r="L106" s="21">
        <f t="shared" si="15"/>
        <v>155</v>
      </c>
      <c r="M106" s="21">
        <f t="shared" si="16"/>
        <v>345</v>
      </c>
      <c r="N106" s="21"/>
      <c r="O106" s="21"/>
      <c r="P106" s="5"/>
      <c r="Q106" s="32">
        <v>500</v>
      </c>
      <c r="R106" s="32"/>
      <c r="S106" s="21">
        <f t="shared" si="17"/>
        <v>500</v>
      </c>
      <c r="T106" s="32">
        <v>520</v>
      </c>
      <c r="U106" s="78">
        <f t="shared" si="19"/>
        <v>20</v>
      </c>
      <c r="V106" s="140"/>
      <c r="W106" s="138"/>
      <c r="X106" s="32"/>
      <c r="Z106" s="5"/>
    </row>
    <row r="107" spans="1:40" x14ac:dyDescent="0.25">
      <c r="A107" s="185"/>
      <c r="B107" s="186"/>
      <c r="C107" s="186"/>
      <c r="D107" s="187"/>
      <c r="E107" s="187"/>
      <c r="F107" s="187"/>
      <c r="G107" s="87"/>
      <c r="H107" s="87"/>
      <c r="I107" s="46"/>
      <c r="J107" s="126"/>
      <c r="K107" s="126"/>
      <c r="L107" s="126"/>
      <c r="M107" s="126"/>
      <c r="N107" s="126"/>
      <c r="O107" s="126"/>
      <c r="P107" s="5"/>
      <c r="Q107" s="187"/>
      <c r="R107" s="187"/>
      <c r="S107" s="126"/>
      <c r="T107" s="187"/>
      <c r="U107" s="126"/>
      <c r="V107" s="140"/>
      <c r="W107" s="187"/>
      <c r="X107" s="187"/>
      <c r="Z107" s="5"/>
    </row>
    <row r="108" spans="1:40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141"/>
      <c r="W108" s="5"/>
      <c r="X108" s="5"/>
      <c r="Y108" s="5"/>
      <c r="Z108" s="5"/>
    </row>
    <row r="109" spans="1:40" x14ac:dyDescent="0.25">
      <c r="I109">
        <f>130+64</f>
        <v>194</v>
      </c>
      <c r="T109">
        <v>284</v>
      </c>
      <c r="U109">
        <v>310</v>
      </c>
      <c r="V109">
        <f>+T109-U109</f>
        <v>-26</v>
      </c>
    </row>
    <row r="110" spans="1:40" x14ac:dyDescent="0.25">
      <c r="E110">
        <f>37+60+20</f>
        <v>117</v>
      </c>
      <c r="F110">
        <f>+E110-20</f>
        <v>97</v>
      </c>
      <c r="H110" t="s">
        <v>1220</v>
      </c>
      <c r="I110">
        <v>52</v>
      </c>
      <c r="P110" s="83">
        <f>+N104+500</f>
        <v>718</v>
      </c>
      <c r="T110">
        <v>116</v>
      </c>
    </row>
    <row r="111" spans="1:40" x14ac:dyDescent="0.25">
      <c r="I111">
        <v>54</v>
      </c>
    </row>
    <row r="112" spans="1:40" x14ac:dyDescent="0.25">
      <c r="I112">
        <v>10</v>
      </c>
    </row>
    <row r="113" spans="1:40" x14ac:dyDescent="0.25">
      <c r="I113">
        <f>+I110+I111+I112</f>
        <v>116</v>
      </c>
    </row>
    <row r="115" spans="1:40" x14ac:dyDescent="0.25">
      <c r="E115" t="s">
        <v>1237</v>
      </c>
    </row>
    <row r="116" spans="1:40" x14ac:dyDescent="0.25">
      <c r="E116" t="s">
        <v>1236</v>
      </c>
    </row>
    <row r="117" spans="1:40" x14ac:dyDescent="0.25">
      <c r="E117" t="s">
        <v>169</v>
      </c>
      <c r="F117" s="188">
        <v>79</v>
      </c>
    </row>
    <row r="118" spans="1:40" x14ac:dyDescent="0.25">
      <c r="A118" s="1" t="s">
        <v>0</v>
      </c>
      <c r="B118" s="1"/>
      <c r="C118" s="1"/>
      <c r="D118" s="1"/>
      <c r="E118" s="1"/>
      <c r="F118" s="1"/>
      <c r="G118" s="1"/>
      <c r="H118" s="1"/>
      <c r="I118" s="1" t="s">
        <v>148</v>
      </c>
      <c r="J118" s="1"/>
      <c r="K118" s="1"/>
      <c r="L118" s="1"/>
      <c r="M118" s="1"/>
      <c r="N118" s="1"/>
      <c r="O118" s="1"/>
      <c r="P118" s="1"/>
      <c r="Q118" s="1"/>
      <c r="R118" s="1"/>
      <c r="S118" s="342" t="s">
        <v>1</v>
      </c>
      <c r="T118" s="342"/>
      <c r="U118" s="5"/>
      <c r="V118" s="139"/>
      <c r="W118" s="1"/>
      <c r="X118" s="1"/>
      <c r="Y118" s="1"/>
      <c r="Z118" s="5"/>
      <c r="AC118" s="335" t="s">
        <v>160</v>
      </c>
      <c r="AD118" s="336"/>
      <c r="AG118" s="335" t="s">
        <v>170</v>
      </c>
      <c r="AH118" s="336"/>
      <c r="AJ118" s="337" t="s">
        <v>172</v>
      </c>
      <c r="AK118" s="337"/>
      <c r="AM118" s="337" t="s">
        <v>681</v>
      </c>
      <c r="AN118" s="337"/>
    </row>
    <row r="119" spans="1:40" ht="90" x14ac:dyDescent="0.25">
      <c r="A119" s="6" t="s">
        <v>2</v>
      </c>
      <c r="B119" s="7" t="s">
        <v>3</v>
      </c>
      <c r="C119" s="7" t="s">
        <v>4</v>
      </c>
      <c r="D119" s="6" t="s">
        <v>5</v>
      </c>
      <c r="E119" s="6" t="s">
        <v>6</v>
      </c>
      <c r="F119" s="6" t="s">
        <v>7</v>
      </c>
      <c r="G119" s="6" t="s">
        <v>8</v>
      </c>
      <c r="H119" s="8" t="s">
        <v>9</v>
      </c>
      <c r="I119" s="9" t="s">
        <v>10</v>
      </c>
      <c r="J119" s="8" t="s">
        <v>11</v>
      </c>
      <c r="K119" s="10" t="s">
        <v>12</v>
      </c>
      <c r="L119" s="10" t="s">
        <v>13</v>
      </c>
      <c r="M119" s="11" t="s">
        <v>14</v>
      </c>
      <c r="N119" s="10" t="s">
        <v>691</v>
      </c>
      <c r="O119" s="10" t="s">
        <v>28</v>
      </c>
      <c r="P119" s="5"/>
      <c r="Q119" s="10" t="s">
        <v>16</v>
      </c>
      <c r="R119" s="10" t="s">
        <v>17</v>
      </c>
      <c r="S119" s="10" t="s">
        <v>18</v>
      </c>
      <c r="T119" s="10" t="s">
        <v>19</v>
      </c>
      <c r="U119" s="10" t="s">
        <v>20</v>
      </c>
      <c r="V119" s="13"/>
      <c r="W119" s="136" t="s">
        <v>688</v>
      </c>
      <c r="X119" s="14" t="s">
        <v>22</v>
      </c>
      <c r="Y119" s="15" t="s">
        <v>23</v>
      </c>
      <c r="Z119" s="5"/>
      <c r="AB119">
        <v>10</v>
      </c>
      <c r="AC119" s="16" t="s">
        <v>161</v>
      </c>
      <c r="AD119" s="58">
        <f>+AB119*10</f>
        <v>100</v>
      </c>
      <c r="AF119">
        <v>3</v>
      </c>
      <c r="AG119" s="16" t="s">
        <v>161</v>
      </c>
      <c r="AH119" s="58">
        <f>+AF119*10</f>
        <v>30</v>
      </c>
      <c r="AJ119" s="61" t="s">
        <v>173</v>
      </c>
      <c r="AK119" s="62" t="s">
        <v>174</v>
      </c>
      <c r="AM119" s="16" t="s">
        <v>161</v>
      </c>
      <c r="AN119" s="58">
        <f>+AL119*10</f>
        <v>0</v>
      </c>
    </row>
    <row r="120" spans="1:40" x14ac:dyDescent="0.25">
      <c r="A120" s="16">
        <v>1</v>
      </c>
      <c r="B120" s="92">
        <v>45198</v>
      </c>
      <c r="C120" s="31" t="s">
        <v>82</v>
      </c>
      <c r="D120" s="32"/>
      <c r="E120" s="32" t="s">
        <v>408</v>
      </c>
      <c r="F120" s="39" t="s">
        <v>1227</v>
      </c>
      <c r="G120" s="39" t="s">
        <v>1228</v>
      </c>
      <c r="H120" s="122"/>
      <c r="I120" s="32">
        <v>50</v>
      </c>
      <c r="J120" s="20">
        <v>10</v>
      </c>
      <c r="K120" s="21">
        <f>U120-J120-O120</f>
        <v>5</v>
      </c>
      <c r="L120" s="21">
        <f t="shared" ref="L120:L138" si="20">+I120+J120</f>
        <v>60</v>
      </c>
      <c r="M120" s="21">
        <f t="shared" ref="M120:M138" si="21">+H120-L120</f>
        <v>-60</v>
      </c>
      <c r="N120" s="21"/>
      <c r="O120" s="21"/>
      <c r="P120" s="5"/>
      <c r="Q120" s="21">
        <v>50</v>
      </c>
      <c r="R120" s="16"/>
      <c r="S120" s="21">
        <f t="shared" ref="S120:S138" si="22">+Q120+R120</f>
        <v>50</v>
      </c>
      <c r="T120" s="21">
        <v>65</v>
      </c>
      <c r="U120" s="78">
        <f>T120-S120-O120</f>
        <v>15</v>
      </c>
      <c r="V120" s="13"/>
      <c r="W120" s="147"/>
      <c r="X120" s="23"/>
      <c r="Y120" s="333"/>
      <c r="Z120" s="5"/>
      <c r="AB120">
        <v>61</v>
      </c>
      <c r="AC120" s="59" t="s">
        <v>162</v>
      </c>
      <c r="AD120" s="18">
        <f>+AB120*1</f>
        <v>61</v>
      </c>
      <c r="AF120">
        <v>108</v>
      </c>
      <c r="AG120" s="59" t="s">
        <v>162</v>
      </c>
      <c r="AH120" s="18">
        <f>+AF120*1</f>
        <v>108</v>
      </c>
      <c r="AJ120" s="16">
        <v>141</v>
      </c>
      <c r="AK120" s="16"/>
      <c r="AM120" s="59" t="s">
        <v>162</v>
      </c>
      <c r="AN120" s="18">
        <f>+AL120*1</f>
        <v>0</v>
      </c>
    </row>
    <row r="121" spans="1:40" x14ac:dyDescent="0.25">
      <c r="A121" s="26">
        <v>2</v>
      </c>
      <c r="B121" s="92">
        <v>45198</v>
      </c>
      <c r="C121" s="31" t="s">
        <v>1806</v>
      </c>
      <c r="D121" s="32"/>
      <c r="E121" s="32" t="s">
        <v>1230</v>
      </c>
      <c r="F121" s="32" t="s">
        <v>1229</v>
      </c>
      <c r="G121" s="39" t="s">
        <v>1231</v>
      </c>
      <c r="H121" s="122">
        <v>200</v>
      </c>
      <c r="I121" s="32"/>
      <c r="J121" s="20">
        <v>10</v>
      </c>
      <c r="K121" s="21">
        <f t="shared" ref="K121:K138" si="23">U121-J121-O121</f>
        <v>-210</v>
      </c>
      <c r="L121" s="21">
        <f t="shared" si="20"/>
        <v>10</v>
      </c>
      <c r="M121" s="21">
        <f t="shared" si="21"/>
        <v>190</v>
      </c>
      <c r="N121" s="21"/>
      <c r="O121" s="21"/>
      <c r="P121" s="5"/>
      <c r="Q121" s="21">
        <v>200</v>
      </c>
      <c r="R121" s="16"/>
      <c r="S121" s="21">
        <f t="shared" si="22"/>
        <v>200</v>
      </c>
      <c r="T121" s="21"/>
      <c r="U121" s="78">
        <f t="shared" ref="U121:U138" si="24">T121-S121-O121</f>
        <v>-200</v>
      </c>
      <c r="V121" s="140"/>
      <c r="W121" s="147"/>
      <c r="X121" s="23"/>
      <c r="Y121" s="334"/>
      <c r="Z121" s="5"/>
      <c r="AB121">
        <v>18</v>
      </c>
      <c r="AC121" s="16" t="s">
        <v>163</v>
      </c>
      <c r="AD121" s="60">
        <f>+AB121*5</f>
        <v>90</v>
      </c>
      <c r="AF121">
        <v>28</v>
      </c>
      <c r="AG121" s="16" t="s">
        <v>163</v>
      </c>
      <c r="AH121" s="60">
        <f>+AF121*5</f>
        <v>140</v>
      </c>
      <c r="AJ121" s="16">
        <v>770</v>
      </c>
      <c r="AK121" s="16"/>
      <c r="AM121" s="16" t="s">
        <v>163</v>
      </c>
      <c r="AN121" s="60">
        <f>+AL121*5</f>
        <v>0</v>
      </c>
    </row>
    <row r="122" spans="1:40" x14ac:dyDescent="0.25">
      <c r="A122" s="143">
        <v>3</v>
      </c>
      <c r="B122" s="92">
        <v>45198</v>
      </c>
      <c r="C122" s="31" t="s">
        <v>44</v>
      </c>
      <c r="D122" s="32"/>
      <c r="E122" s="32" t="s">
        <v>451</v>
      </c>
      <c r="F122" s="32"/>
      <c r="G122" s="39" t="s">
        <v>1232</v>
      </c>
      <c r="H122" s="122"/>
      <c r="I122" s="32">
        <v>42</v>
      </c>
      <c r="J122" s="20">
        <v>10</v>
      </c>
      <c r="K122" s="21">
        <f t="shared" si="23"/>
        <v>-52</v>
      </c>
      <c r="L122" s="21">
        <f t="shared" si="20"/>
        <v>52</v>
      </c>
      <c r="M122" s="21">
        <f t="shared" si="21"/>
        <v>-52</v>
      </c>
      <c r="N122" s="21">
        <v>52</v>
      </c>
      <c r="O122" s="21">
        <v>37</v>
      </c>
      <c r="P122" s="5"/>
      <c r="Q122" s="21">
        <v>20</v>
      </c>
      <c r="R122" s="16"/>
      <c r="S122" s="21">
        <f t="shared" si="22"/>
        <v>20</v>
      </c>
      <c r="T122" s="21">
        <v>52</v>
      </c>
      <c r="U122" s="78">
        <f t="shared" si="24"/>
        <v>-5</v>
      </c>
      <c r="V122" s="140"/>
      <c r="W122" s="147"/>
      <c r="X122" s="23"/>
      <c r="Y122" s="334"/>
      <c r="Z122" s="5"/>
      <c r="AC122" s="16" t="s">
        <v>164</v>
      </c>
      <c r="AD122" s="18">
        <f>+AB122*200</f>
        <v>0</v>
      </c>
      <c r="AG122" s="16" t="s">
        <v>164</v>
      </c>
      <c r="AH122" s="18">
        <f>+AF122*200</f>
        <v>0</v>
      </c>
      <c r="AJ122" s="16"/>
      <c r="AK122" s="16"/>
      <c r="AM122" s="16" t="s">
        <v>164</v>
      </c>
      <c r="AN122" s="18">
        <f>+AL122*200</f>
        <v>0</v>
      </c>
    </row>
    <row r="123" spans="1:40" x14ac:dyDescent="0.25">
      <c r="A123" s="143">
        <v>4</v>
      </c>
      <c r="B123" s="92">
        <v>45198</v>
      </c>
      <c r="C123" s="31" t="s">
        <v>1806</v>
      </c>
      <c r="D123" s="32"/>
      <c r="E123" s="32"/>
      <c r="F123" s="32"/>
      <c r="G123" s="39" t="s">
        <v>1233</v>
      </c>
      <c r="H123" s="122">
        <v>600</v>
      </c>
      <c r="I123" s="32">
        <v>585</v>
      </c>
      <c r="J123" s="20">
        <v>10</v>
      </c>
      <c r="K123" s="21">
        <f t="shared" si="23"/>
        <v>13</v>
      </c>
      <c r="L123" s="21">
        <f t="shared" si="20"/>
        <v>595</v>
      </c>
      <c r="M123" s="21">
        <f t="shared" si="21"/>
        <v>5</v>
      </c>
      <c r="N123" s="21"/>
      <c r="O123" s="21"/>
      <c r="P123" s="5"/>
      <c r="Q123" s="21">
        <v>600</v>
      </c>
      <c r="R123" s="16"/>
      <c r="S123" s="21">
        <f t="shared" si="22"/>
        <v>600</v>
      </c>
      <c r="T123" s="21">
        <v>623</v>
      </c>
      <c r="U123" s="78">
        <f t="shared" si="24"/>
        <v>23</v>
      </c>
      <c r="V123" s="140"/>
      <c r="W123" s="147"/>
      <c r="X123" s="23"/>
      <c r="Y123" s="334"/>
      <c r="Z123" s="5"/>
      <c r="AB123">
        <v>1</v>
      </c>
      <c r="AC123" s="16" t="s">
        <v>165</v>
      </c>
      <c r="AD123" s="18">
        <f>+AB123*100</f>
        <v>100</v>
      </c>
      <c r="AF123">
        <v>2</v>
      </c>
      <c r="AG123" s="16" t="s">
        <v>165</v>
      </c>
      <c r="AH123" s="18">
        <f>+AF123*100</f>
        <v>200</v>
      </c>
      <c r="AJ123" s="16"/>
      <c r="AK123" s="16"/>
      <c r="AM123" s="16" t="s">
        <v>165</v>
      </c>
      <c r="AN123" s="18">
        <f>+AL123*100</f>
        <v>0</v>
      </c>
    </row>
    <row r="124" spans="1:40" x14ac:dyDescent="0.25">
      <c r="A124" s="143">
        <v>5</v>
      </c>
      <c r="B124" s="92">
        <v>45198</v>
      </c>
      <c r="C124" s="31" t="s">
        <v>634</v>
      </c>
      <c r="D124" s="32"/>
      <c r="E124" s="32"/>
      <c r="F124" s="32"/>
      <c r="G124" s="32" t="s">
        <v>1234</v>
      </c>
      <c r="H124" s="122">
        <v>100</v>
      </c>
      <c r="I124" s="32">
        <v>39</v>
      </c>
      <c r="J124" s="20">
        <v>10</v>
      </c>
      <c r="K124" s="21">
        <f t="shared" si="23"/>
        <v>13</v>
      </c>
      <c r="L124" s="21">
        <f t="shared" si="20"/>
        <v>49</v>
      </c>
      <c r="M124" s="21">
        <f t="shared" si="21"/>
        <v>51</v>
      </c>
      <c r="N124" s="21"/>
      <c r="O124" s="21"/>
      <c r="P124" s="5"/>
      <c r="Q124" s="16">
        <v>100</v>
      </c>
      <c r="R124" s="16"/>
      <c r="S124" s="21">
        <f t="shared" si="22"/>
        <v>100</v>
      </c>
      <c r="T124" s="21">
        <v>123</v>
      </c>
      <c r="U124" s="78">
        <f t="shared" si="24"/>
        <v>23</v>
      </c>
      <c r="V124" s="140"/>
      <c r="W124" s="147"/>
      <c r="X124" s="23"/>
      <c r="Y124" s="334"/>
      <c r="Z124" s="5"/>
      <c r="AB124">
        <v>3</v>
      </c>
      <c r="AC124" s="16" t="s">
        <v>166</v>
      </c>
      <c r="AD124" s="18">
        <f>+AB124*50</f>
        <v>150</v>
      </c>
      <c r="AF124">
        <v>4</v>
      </c>
      <c r="AG124" s="16" t="s">
        <v>166</v>
      </c>
      <c r="AH124" s="18">
        <f>+AF124*50</f>
        <v>200</v>
      </c>
      <c r="AJ124" s="16"/>
      <c r="AK124" s="16"/>
      <c r="AM124" s="16" t="s">
        <v>166</v>
      </c>
      <c r="AN124" s="18">
        <f>+AL124*50</f>
        <v>0</v>
      </c>
    </row>
    <row r="125" spans="1:40" x14ac:dyDescent="0.25">
      <c r="A125" s="41">
        <v>6</v>
      </c>
      <c r="B125" s="92">
        <v>45198</v>
      </c>
      <c r="C125" s="31" t="s">
        <v>2644</v>
      </c>
      <c r="D125" s="32"/>
      <c r="E125" s="32"/>
      <c r="F125" s="32" t="s">
        <v>207</v>
      </c>
      <c r="G125" s="39" t="s">
        <v>1235</v>
      </c>
      <c r="H125" s="39">
        <v>100</v>
      </c>
      <c r="I125" s="42">
        <v>61</v>
      </c>
      <c r="J125" s="20">
        <v>10</v>
      </c>
      <c r="K125" s="21">
        <v>10</v>
      </c>
      <c r="L125" s="21">
        <f t="shared" si="20"/>
        <v>71</v>
      </c>
      <c r="M125" s="21">
        <f t="shared" si="21"/>
        <v>29</v>
      </c>
      <c r="N125" s="21">
        <v>61</v>
      </c>
      <c r="O125" s="21"/>
      <c r="P125" s="5"/>
      <c r="Q125" s="16">
        <v>100</v>
      </c>
      <c r="R125" s="16"/>
      <c r="S125" s="21">
        <f t="shared" si="22"/>
        <v>100</v>
      </c>
      <c r="T125" s="16">
        <v>110</v>
      </c>
      <c r="U125" s="78">
        <v>20</v>
      </c>
      <c r="V125" s="140"/>
      <c r="W125" s="147"/>
      <c r="X125" s="23"/>
      <c r="Y125" s="334"/>
      <c r="Z125" s="5"/>
      <c r="AC125" s="16" t="s">
        <v>167</v>
      </c>
      <c r="AD125" s="18">
        <f>+AB125*20</f>
        <v>0</v>
      </c>
      <c r="AF125">
        <v>5</v>
      </c>
      <c r="AG125" s="16" t="s">
        <v>167</v>
      </c>
      <c r="AH125" s="18">
        <f>+AF125*20</f>
        <v>100</v>
      </c>
      <c r="AJ125" s="16"/>
      <c r="AK125" s="16"/>
      <c r="AM125" s="16" t="s">
        <v>167</v>
      </c>
      <c r="AN125" s="18">
        <f>+AL125*20</f>
        <v>0</v>
      </c>
    </row>
    <row r="126" spans="1:40" x14ac:dyDescent="0.25">
      <c r="A126" s="143">
        <v>7</v>
      </c>
      <c r="B126" s="92">
        <v>45198</v>
      </c>
      <c r="C126" s="31" t="s">
        <v>2527</v>
      </c>
      <c r="D126" s="32">
        <v>5522701719</v>
      </c>
      <c r="E126" s="32" t="s">
        <v>451</v>
      </c>
      <c r="F126" s="32" t="s">
        <v>98</v>
      </c>
      <c r="G126" s="39" t="s">
        <v>632</v>
      </c>
      <c r="H126" s="122">
        <v>61</v>
      </c>
      <c r="I126" s="42">
        <v>51</v>
      </c>
      <c r="J126" s="20">
        <v>10</v>
      </c>
      <c r="K126" s="21">
        <f t="shared" si="23"/>
        <v>0</v>
      </c>
      <c r="L126" s="21">
        <f t="shared" si="20"/>
        <v>61</v>
      </c>
      <c r="M126" s="21">
        <f t="shared" si="21"/>
        <v>0</v>
      </c>
      <c r="N126" s="21"/>
      <c r="O126" s="21"/>
      <c r="P126" s="5"/>
      <c r="Q126" s="16"/>
      <c r="R126" s="16"/>
      <c r="S126" s="21">
        <f t="shared" si="22"/>
        <v>0</v>
      </c>
      <c r="T126" s="16">
        <v>61</v>
      </c>
      <c r="U126" s="78">
        <v>10</v>
      </c>
      <c r="V126" s="140"/>
      <c r="W126" s="147"/>
      <c r="X126" s="23"/>
      <c r="Y126" s="334"/>
      <c r="Z126" s="5"/>
      <c r="AB126">
        <v>1</v>
      </c>
      <c r="AC126" s="16" t="s">
        <v>171</v>
      </c>
      <c r="AD126" s="18">
        <f>+AB126*500</f>
        <v>500</v>
      </c>
      <c r="AG126" s="16" t="s">
        <v>171</v>
      </c>
      <c r="AH126" s="18">
        <f>+AF126*500</f>
        <v>0</v>
      </c>
      <c r="AJ126" s="16"/>
      <c r="AK126" s="16"/>
      <c r="AM126" s="16" t="s">
        <v>171</v>
      </c>
      <c r="AN126" s="18">
        <f>+AL126*500</f>
        <v>0</v>
      </c>
    </row>
    <row r="127" spans="1:40" x14ac:dyDescent="0.25">
      <c r="A127" s="143">
        <v>8</v>
      </c>
      <c r="B127" s="92">
        <v>45198</v>
      </c>
      <c r="C127" s="31" t="s">
        <v>3810</v>
      </c>
      <c r="D127" s="123"/>
      <c r="E127" s="123" t="s">
        <v>52</v>
      </c>
      <c r="F127" s="123" t="s">
        <v>482</v>
      </c>
      <c r="G127" s="39"/>
      <c r="H127" s="122">
        <v>203</v>
      </c>
      <c r="I127" s="32">
        <v>183</v>
      </c>
      <c r="J127" s="20">
        <v>20</v>
      </c>
      <c r="K127" s="21">
        <v>13</v>
      </c>
      <c r="L127" s="21">
        <f t="shared" si="20"/>
        <v>203</v>
      </c>
      <c r="M127" s="21">
        <f t="shared" si="21"/>
        <v>0</v>
      </c>
      <c r="N127" s="21"/>
      <c r="O127" s="21">
        <v>79</v>
      </c>
      <c r="P127" s="5"/>
      <c r="Q127" s="16"/>
      <c r="R127" s="16"/>
      <c r="S127" s="21">
        <f t="shared" si="22"/>
        <v>0</v>
      </c>
      <c r="T127" s="16">
        <v>226</v>
      </c>
      <c r="U127" s="78">
        <v>36</v>
      </c>
      <c r="V127" s="140"/>
      <c r="W127" s="147"/>
      <c r="X127" s="23"/>
      <c r="Y127" s="334"/>
      <c r="Z127" s="5"/>
      <c r="AC127" s="16" t="s">
        <v>168</v>
      </c>
      <c r="AD127" s="18">
        <f>+AB127*1000</f>
        <v>0</v>
      </c>
      <c r="AG127" s="16" t="s">
        <v>168</v>
      </c>
      <c r="AH127" s="18">
        <f>+AF127*1000</f>
        <v>0</v>
      </c>
      <c r="AJ127" s="16"/>
      <c r="AK127" s="16"/>
      <c r="AM127" s="16" t="s">
        <v>168</v>
      </c>
      <c r="AN127" s="18">
        <f>+AL127*1000</f>
        <v>0</v>
      </c>
    </row>
    <row r="128" spans="1:40" x14ac:dyDescent="0.25">
      <c r="A128" s="143">
        <v>9</v>
      </c>
      <c r="B128" s="92">
        <v>45198</v>
      </c>
      <c r="C128" s="31" t="s">
        <v>3811</v>
      </c>
      <c r="D128" s="32"/>
      <c r="E128" s="32" t="s">
        <v>52</v>
      </c>
      <c r="F128" s="32" t="s">
        <v>818</v>
      </c>
      <c r="G128" s="32" t="s">
        <v>1239</v>
      </c>
      <c r="H128" s="39">
        <v>150</v>
      </c>
      <c r="I128" s="40">
        <v>57</v>
      </c>
      <c r="J128" s="20">
        <v>10</v>
      </c>
      <c r="K128" s="21">
        <f t="shared" si="23"/>
        <v>-22</v>
      </c>
      <c r="L128" s="21">
        <f t="shared" si="20"/>
        <v>67</v>
      </c>
      <c r="M128" s="21">
        <f t="shared" si="21"/>
        <v>83</v>
      </c>
      <c r="N128" s="21"/>
      <c r="O128" s="21">
        <v>22</v>
      </c>
      <c r="P128" s="5"/>
      <c r="Q128" s="16"/>
      <c r="R128" s="16"/>
      <c r="S128" s="21">
        <f t="shared" si="22"/>
        <v>0</v>
      </c>
      <c r="T128" s="16">
        <v>175</v>
      </c>
      <c r="U128" s="78">
        <v>10</v>
      </c>
      <c r="V128" s="140"/>
      <c r="W128" s="147"/>
      <c r="X128" s="23"/>
      <c r="Y128" s="334"/>
      <c r="Z128" s="5"/>
      <c r="AC128" s="26"/>
      <c r="AD128" s="58"/>
      <c r="AG128" s="26"/>
      <c r="AH128" s="58"/>
      <c r="AJ128" s="16"/>
      <c r="AK128" s="16"/>
      <c r="AM128" s="26"/>
      <c r="AN128" s="58"/>
    </row>
    <row r="129" spans="1:40" x14ac:dyDescent="0.25">
      <c r="A129" s="143">
        <v>10</v>
      </c>
      <c r="B129" s="92">
        <v>45198</v>
      </c>
      <c r="C129" s="31" t="s">
        <v>767</v>
      </c>
      <c r="D129" s="32"/>
      <c r="E129" s="32" t="s">
        <v>52</v>
      </c>
      <c r="F129" s="32" t="s">
        <v>237</v>
      </c>
      <c r="G129" s="39" t="s">
        <v>1240</v>
      </c>
      <c r="H129" s="122">
        <v>500</v>
      </c>
      <c r="I129" s="42">
        <v>206</v>
      </c>
      <c r="J129" s="20">
        <v>10</v>
      </c>
      <c r="K129" s="21">
        <f t="shared" si="23"/>
        <v>0</v>
      </c>
      <c r="L129" s="21">
        <f t="shared" si="20"/>
        <v>216</v>
      </c>
      <c r="M129" s="21">
        <f t="shared" si="21"/>
        <v>284</v>
      </c>
      <c r="N129" s="21"/>
      <c r="O129" s="21"/>
      <c r="P129" s="5"/>
      <c r="Q129" s="16"/>
      <c r="R129" s="16"/>
      <c r="S129" s="21">
        <f t="shared" si="22"/>
        <v>0</v>
      </c>
      <c r="T129" s="16">
        <v>500</v>
      </c>
      <c r="U129" s="78">
        <v>10</v>
      </c>
      <c r="V129" s="140"/>
      <c r="W129" s="147"/>
      <c r="X129" s="23"/>
      <c r="Y129" s="334"/>
      <c r="Z129" s="5"/>
      <c r="AC129" s="16" t="s">
        <v>169</v>
      </c>
      <c r="AD129" s="18">
        <f>SUM(AD119:AD128)</f>
        <v>1001</v>
      </c>
      <c r="AG129" s="16" t="s">
        <v>169</v>
      </c>
      <c r="AH129" s="18">
        <f>SUM(AH119:AH128)</f>
        <v>778</v>
      </c>
      <c r="AJ129" s="16"/>
      <c r="AK129" s="16"/>
      <c r="AM129" s="16" t="s">
        <v>169</v>
      </c>
      <c r="AN129" s="18"/>
    </row>
    <row r="130" spans="1:40" x14ac:dyDescent="0.25">
      <c r="A130" s="143">
        <v>11</v>
      </c>
      <c r="B130" s="92">
        <v>45198</v>
      </c>
      <c r="C130" s="31" t="s">
        <v>3745</v>
      </c>
      <c r="D130" s="124"/>
      <c r="E130" s="123" t="s">
        <v>1245</v>
      </c>
      <c r="F130" s="123" t="s">
        <v>195</v>
      </c>
      <c r="G130" s="39"/>
      <c r="H130" s="122"/>
      <c r="I130" s="42"/>
      <c r="J130" s="20">
        <v>20</v>
      </c>
      <c r="K130" s="21">
        <f t="shared" si="23"/>
        <v>-20</v>
      </c>
      <c r="L130" s="21">
        <f t="shared" si="20"/>
        <v>20</v>
      </c>
      <c r="M130" s="21">
        <f t="shared" si="21"/>
        <v>-20</v>
      </c>
      <c r="N130" s="21"/>
      <c r="O130" s="21"/>
      <c r="P130" s="5"/>
      <c r="Q130" s="16"/>
      <c r="R130" s="16"/>
      <c r="S130" s="21">
        <f t="shared" si="22"/>
        <v>0</v>
      </c>
      <c r="T130" s="16"/>
      <c r="U130" s="78">
        <f t="shared" si="24"/>
        <v>0</v>
      </c>
      <c r="V130" s="140"/>
      <c r="W130" s="147"/>
      <c r="X130" s="23"/>
      <c r="Y130" s="334"/>
      <c r="Z130" s="5"/>
      <c r="AJ130" s="16"/>
      <c r="AK130" s="16"/>
      <c r="AM130" s="16"/>
      <c r="AN130" s="16"/>
    </row>
    <row r="131" spans="1:40" x14ac:dyDescent="0.25">
      <c r="A131" s="143">
        <v>12</v>
      </c>
      <c r="B131" s="92">
        <v>45198</v>
      </c>
      <c r="C131" s="32" t="s">
        <v>3812</v>
      </c>
      <c r="D131" s="32" t="s">
        <v>1242</v>
      </c>
      <c r="E131" s="124" t="s">
        <v>52</v>
      </c>
      <c r="F131" s="123" t="s">
        <v>1243</v>
      </c>
      <c r="G131" s="39" t="s">
        <v>1244</v>
      </c>
      <c r="H131" s="39">
        <v>106</v>
      </c>
      <c r="I131" s="42">
        <v>74</v>
      </c>
      <c r="J131" s="20">
        <v>10</v>
      </c>
      <c r="K131" s="21">
        <v>6</v>
      </c>
      <c r="L131" s="21">
        <f t="shared" si="20"/>
        <v>84</v>
      </c>
      <c r="M131" s="21">
        <f t="shared" si="21"/>
        <v>22</v>
      </c>
      <c r="N131" s="21"/>
      <c r="O131" s="21"/>
      <c r="P131" s="5"/>
      <c r="Q131" s="45"/>
      <c r="R131" s="44"/>
      <c r="S131" s="21">
        <f t="shared" si="22"/>
        <v>0</v>
      </c>
      <c r="T131" s="45">
        <v>102</v>
      </c>
      <c r="U131" s="78">
        <v>16</v>
      </c>
      <c r="V131" s="140"/>
      <c r="W131" s="147"/>
      <c r="X131" s="23"/>
      <c r="Y131" s="334"/>
      <c r="Z131" s="5"/>
      <c r="AJ131" s="63" t="s">
        <v>169</v>
      </c>
      <c r="AK131" s="63">
        <f>+SUM(AJ120:AJ130)-SUM(AK120:AK130)</f>
        <v>911</v>
      </c>
      <c r="AM131" s="63" t="s">
        <v>169</v>
      </c>
      <c r="AN131" s="85">
        <f>+SUM(AM119:AM130)-SUM(AN120:AN130)</f>
        <v>0</v>
      </c>
    </row>
    <row r="132" spans="1:40" x14ac:dyDescent="0.25">
      <c r="A132" s="143">
        <v>13</v>
      </c>
      <c r="B132" s="92">
        <v>45198</v>
      </c>
      <c r="C132" s="31" t="s">
        <v>1247</v>
      </c>
      <c r="D132" s="32">
        <v>5625982564</v>
      </c>
      <c r="E132" s="32" t="s">
        <v>52</v>
      </c>
      <c r="F132" s="32" t="s">
        <v>1246</v>
      </c>
      <c r="G132" s="39" t="s">
        <v>1248</v>
      </c>
      <c r="H132" s="39">
        <v>106</v>
      </c>
      <c r="I132" s="42">
        <v>96</v>
      </c>
      <c r="J132" s="108">
        <v>10</v>
      </c>
      <c r="K132" s="21">
        <f t="shared" si="23"/>
        <v>0</v>
      </c>
      <c r="L132" s="21">
        <f t="shared" si="20"/>
        <v>106</v>
      </c>
      <c r="M132" s="21">
        <f t="shared" si="21"/>
        <v>0</v>
      </c>
      <c r="N132" s="21"/>
      <c r="O132" s="21"/>
      <c r="P132" s="5"/>
      <c r="Q132" s="43"/>
      <c r="R132" s="32"/>
      <c r="S132" s="21">
        <f t="shared" si="22"/>
        <v>0</v>
      </c>
      <c r="T132" s="43">
        <v>106</v>
      </c>
      <c r="U132" s="78">
        <v>10</v>
      </c>
      <c r="V132" s="140"/>
      <c r="W132" s="147"/>
      <c r="X132" s="23"/>
      <c r="Y132" s="334"/>
      <c r="Z132" s="5"/>
      <c r="AH132" s="83"/>
    </row>
    <row r="133" spans="1:40" x14ac:dyDescent="0.25">
      <c r="A133" s="143">
        <v>14</v>
      </c>
      <c r="B133" s="92">
        <v>45198</v>
      </c>
      <c r="C133" s="31" t="s">
        <v>1061</v>
      </c>
      <c r="D133" s="32">
        <v>5530181574</v>
      </c>
      <c r="E133" s="32" t="s">
        <v>1249</v>
      </c>
      <c r="F133" s="32" t="s">
        <v>934</v>
      </c>
      <c r="G133" s="39" t="s">
        <v>1250</v>
      </c>
      <c r="H133" s="39">
        <v>751</v>
      </c>
      <c r="I133" s="42">
        <v>731</v>
      </c>
      <c r="J133" s="108">
        <v>20</v>
      </c>
      <c r="K133" s="21">
        <v>0</v>
      </c>
      <c r="L133" s="21">
        <f t="shared" si="20"/>
        <v>751</v>
      </c>
      <c r="M133" s="21">
        <f t="shared" si="21"/>
        <v>0</v>
      </c>
      <c r="N133" s="21">
        <v>751</v>
      </c>
      <c r="O133" s="21"/>
      <c r="P133" s="5"/>
      <c r="Q133" s="43"/>
      <c r="R133" s="43"/>
      <c r="S133" s="21">
        <f t="shared" si="22"/>
        <v>0</v>
      </c>
      <c r="T133" s="43">
        <v>751</v>
      </c>
      <c r="U133" s="78">
        <v>39</v>
      </c>
      <c r="V133" s="140"/>
      <c r="W133" s="147"/>
      <c r="X133" s="23"/>
      <c r="Y133" s="334"/>
      <c r="Z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40" x14ac:dyDescent="0.25">
      <c r="A134" s="143">
        <v>15</v>
      </c>
      <c r="B134" s="92">
        <v>45198</v>
      </c>
      <c r="C134" s="127"/>
      <c r="D134" s="32"/>
      <c r="E134" s="32"/>
      <c r="F134" s="128"/>
      <c r="G134" s="129"/>
      <c r="H134" s="39"/>
      <c r="I134" s="42"/>
      <c r="J134" s="108">
        <v>10</v>
      </c>
      <c r="K134" s="21">
        <f t="shared" si="23"/>
        <v>-10</v>
      </c>
      <c r="L134" s="21">
        <f t="shared" si="20"/>
        <v>10</v>
      </c>
      <c r="M134" s="21">
        <f t="shared" si="21"/>
        <v>-10</v>
      </c>
      <c r="N134" s="21"/>
      <c r="O134" s="21"/>
      <c r="P134" s="5"/>
      <c r="Q134" s="43"/>
      <c r="R134" s="43"/>
      <c r="S134" s="21">
        <f t="shared" si="22"/>
        <v>0</v>
      </c>
      <c r="T134" s="43"/>
      <c r="U134" s="78">
        <f t="shared" si="24"/>
        <v>0</v>
      </c>
      <c r="V134" s="140"/>
      <c r="W134" s="147"/>
      <c r="X134" s="23"/>
      <c r="Y134" s="334"/>
      <c r="Z134" s="5"/>
      <c r="AC134" s="5"/>
      <c r="AD134" s="134" t="s">
        <v>20</v>
      </c>
      <c r="AE134" s="338"/>
      <c r="AF134" s="341" t="s">
        <v>686</v>
      </c>
      <c r="AG134" s="134" t="s">
        <v>20</v>
      </c>
      <c r="AH134" s="338">
        <v>145</v>
      </c>
      <c r="AI134" s="341" t="s">
        <v>687</v>
      </c>
      <c r="AJ134" s="134" t="s">
        <v>20</v>
      </c>
      <c r="AK134" s="338"/>
      <c r="AL134" s="5"/>
    </row>
    <row r="135" spans="1:40" x14ac:dyDescent="0.25">
      <c r="A135" s="143">
        <v>16</v>
      </c>
      <c r="B135" s="92">
        <v>45198</v>
      </c>
      <c r="C135" s="31"/>
      <c r="D135" s="32"/>
      <c r="E135" s="32"/>
      <c r="F135" s="32"/>
      <c r="G135" s="39"/>
      <c r="H135" s="39"/>
      <c r="I135" s="42"/>
      <c r="J135" s="43">
        <v>10</v>
      </c>
      <c r="K135" s="21">
        <f t="shared" si="23"/>
        <v>-10</v>
      </c>
      <c r="L135" s="21">
        <f t="shared" si="20"/>
        <v>10</v>
      </c>
      <c r="M135" s="21">
        <f t="shared" si="21"/>
        <v>-10</v>
      </c>
      <c r="N135" s="21"/>
      <c r="O135" s="21"/>
      <c r="P135" s="5"/>
      <c r="Q135" s="43"/>
      <c r="R135" s="32"/>
      <c r="S135" s="21">
        <f t="shared" si="22"/>
        <v>0</v>
      </c>
      <c r="T135" s="131"/>
      <c r="U135" s="78">
        <f t="shared" si="24"/>
        <v>0</v>
      </c>
      <c r="V135" s="140"/>
      <c r="W135" s="147"/>
      <c r="X135" s="23"/>
      <c r="Y135" s="334"/>
      <c r="Z135" s="5"/>
      <c r="AC135" s="5" t="s">
        <v>685</v>
      </c>
      <c r="AD135" s="115" t="s">
        <v>684</v>
      </c>
      <c r="AE135" s="339"/>
      <c r="AF135" s="341"/>
      <c r="AG135" s="115" t="s">
        <v>684</v>
      </c>
      <c r="AH135" s="339"/>
      <c r="AI135" s="341"/>
      <c r="AJ135" s="115" t="s">
        <v>684</v>
      </c>
      <c r="AK135" s="339"/>
      <c r="AL135" s="5"/>
    </row>
    <row r="136" spans="1:40" x14ac:dyDescent="0.25">
      <c r="A136" s="143">
        <v>17</v>
      </c>
      <c r="B136" s="92">
        <v>45198</v>
      </c>
      <c r="C136" s="31"/>
      <c r="D136" s="32"/>
      <c r="E136" s="32"/>
      <c r="F136" s="32"/>
      <c r="G136" s="39"/>
      <c r="H136" s="39"/>
      <c r="I136" s="42"/>
      <c r="J136" s="43">
        <v>10</v>
      </c>
      <c r="K136" s="21">
        <f t="shared" si="23"/>
        <v>-10</v>
      </c>
      <c r="L136" s="21">
        <f t="shared" si="20"/>
        <v>10</v>
      </c>
      <c r="M136" s="21">
        <f t="shared" si="21"/>
        <v>-10</v>
      </c>
      <c r="N136" s="21"/>
      <c r="O136" s="21"/>
      <c r="P136" s="5"/>
      <c r="Q136" s="43"/>
      <c r="R136" s="32"/>
      <c r="S136" s="21">
        <f t="shared" si="22"/>
        <v>0</v>
      </c>
      <c r="T136" s="132"/>
      <c r="U136" s="78">
        <f t="shared" si="24"/>
        <v>0</v>
      </c>
      <c r="V136" s="140"/>
      <c r="W136" s="147"/>
      <c r="X136" s="23"/>
      <c r="Y136" s="340"/>
      <c r="Z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40" x14ac:dyDescent="0.25">
      <c r="A137" s="143">
        <v>18</v>
      </c>
      <c r="B137" s="92">
        <v>45198</v>
      </c>
      <c r="C137" s="31"/>
      <c r="D137" s="32"/>
      <c r="E137" s="32"/>
      <c r="F137" s="32"/>
      <c r="G137" s="39"/>
      <c r="H137" s="39"/>
      <c r="I137" s="42"/>
      <c r="J137" s="43">
        <v>10</v>
      </c>
      <c r="K137" s="21">
        <f t="shared" si="23"/>
        <v>-10</v>
      </c>
      <c r="L137" s="21">
        <f t="shared" si="20"/>
        <v>10</v>
      </c>
      <c r="M137" s="21">
        <f t="shared" si="21"/>
        <v>-10</v>
      </c>
      <c r="N137" s="21"/>
      <c r="O137" s="21"/>
      <c r="P137" s="5"/>
      <c r="Q137" s="135"/>
      <c r="R137" s="104"/>
      <c r="S137" s="21">
        <f t="shared" si="22"/>
        <v>0</v>
      </c>
      <c r="T137" s="131"/>
      <c r="U137" s="78">
        <f t="shared" si="24"/>
        <v>0</v>
      </c>
      <c r="V137" s="140"/>
      <c r="W137" s="138"/>
      <c r="X137" s="32"/>
      <c r="Z137" s="5"/>
    </row>
    <row r="138" spans="1:40" x14ac:dyDescent="0.25">
      <c r="A138" s="143">
        <v>19</v>
      </c>
      <c r="B138" s="92">
        <v>45198</v>
      </c>
      <c r="C138" s="31"/>
      <c r="D138" s="32"/>
      <c r="E138" s="32"/>
      <c r="F138" s="32"/>
      <c r="G138" s="39"/>
      <c r="H138" s="39"/>
      <c r="I138" s="42"/>
      <c r="J138" s="43">
        <v>10</v>
      </c>
      <c r="K138" s="21">
        <f t="shared" si="23"/>
        <v>-10</v>
      </c>
      <c r="L138" s="21">
        <f t="shared" si="20"/>
        <v>10</v>
      </c>
      <c r="M138" s="21">
        <f t="shared" si="21"/>
        <v>-10</v>
      </c>
      <c r="N138" s="21"/>
      <c r="O138" s="21"/>
      <c r="P138" s="5"/>
      <c r="Q138" s="32"/>
      <c r="R138" s="32"/>
      <c r="S138" s="21">
        <f t="shared" si="22"/>
        <v>0</v>
      </c>
      <c r="T138" s="32"/>
      <c r="U138" s="78">
        <f t="shared" si="24"/>
        <v>0</v>
      </c>
      <c r="V138" s="140"/>
      <c r="W138" s="138"/>
      <c r="X138" s="32"/>
      <c r="Z138" s="5"/>
    </row>
    <row r="139" spans="1:40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141"/>
      <c r="W139" s="5"/>
      <c r="X139" s="5"/>
      <c r="Y139" s="5"/>
      <c r="Z139" s="5"/>
    </row>
    <row r="140" spans="1:40" x14ac:dyDescent="0.25">
      <c r="I140" t="s">
        <v>1252</v>
      </c>
    </row>
    <row r="141" spans="1:40" x14ac:dyDescent="0.25">
      <c r="I141">
        <v>445</v>
      </c>
    </row>
    <row r="142" spans="1:40" x14ac:dyDescent="0.25">
      <c r="I142">
        <v>200</v>
      </c>
    </row>
    <row r="143" spans="1:40" x14ac:dyDescent="0.25">
      <c r="I143" t="s">
        <v>1251</v>
      </c>
      <c r="AF143" t="s">
        <v>1303</v>
      </c>
    </row>
    <row r="145" spans="1:40" x14ac:dyDescent="0.25">
      <c r="A145" s="1" t="s">
        <v>0</v>
      </c>
      <c r="B145" s="1"/>
      <c r="C145" s="1"/>
      <c r="D145" s="1"/>
      <c r="E145" s="1"/>
      <c r="F145" s="1"/>
      <c r="G145" s="1"/>
      <c r="H145" s="1"/>
      <c r="I145" s="1" t="s">
        <v>148</v>
      </c>
      <c r="J145" s="1"/>
      <c r="K145" s="1"/>
      <c r="L145" s="1"/>
      <c r="M145" s="1"/>
      <c r="N145" s="1"/>
      <c r="O145" s="1"/>
      <c r="P145" s="1"/>
      <c r="Q145" s="1"/>
      <c r="R145" s="1"/>
      <c r="S145" s="342" t="s">
        <v>1</v>
      </c>
      <c r="T145" s="342"/>
      <c r="U145" s="5"/>
      <c r="V145" s="139"/>
      <c r="W145" s="1"/>
      <c r="X145" s="1"/>
      <c r="Y145" s="1"/>
      <c r="Z145" s="5"/>
      <c r="AC145" s="335" t="s">
        <v>160</v>
      </c>
      <c r="AD145" s="336"/>
      <c r="AG145" s="335" t="s">
        <v>170</v>
      </c>
      <c r="AH145" s="336"/>
      <c r="AJ145" s="337" t="s">
        <v>172</v>
      </c>
      <c r="AK145" s="337"/>
      <c r="AM145" s="337" t="s">
        <v>681</v>
      </c>
      <c r="AN145" s="337"/>
    </row>
    <row r="146" spans="1:40" ht="90" x14ac:dyDescent="0.25">
      <c r="A146" s="6" t="s">
        <v>2</v>
      </c>
      <c r="B146" s="7" t="s">
        <v>3</v>
      </c>
      <c r="C146" s="7" t="s">
        <v>4</v>
      </c>
      <c r="D146" s="6" t="s">
        <v>5</v>
      </c>
      <c r="E146" s="6" t="s">
        <v>6</v>
      </c>
      <c r="F146" s="6" t="s">
        <v>7</v>
      </c>
      <c r="G146" s="6" t="s">
        <v>8</v>
      </c>
      <c r="H146" s="8" t="s">
        <v>9</v>
      </c>
      <c r="I146" s="9" t="s">
        <v>10</v>
      </c>
      <c r="J146" s="8" t="s">
        <v>11</v>
      </c>
      <c r="K146" s="10" t="s">
        <v>12</v>
      </c>
      <c r="L146" s="10" t="s">
        <v>13</v>
      </c>
      <c r="M146" s="11" t="s">
        <v>14</v>
      </c>
      <c r="N146" s="10" t="s">
        <v>691</v>
      </c>
      <c r="O146" s="10" t="s">
        <v>28</v>
      </c>
      <c r="P146" s="5"/>
      <c r="Q146" s="10" t="s">
        <v>16</v>
      </c>
      <c r="R146" s="10" t="s">
        <v>17</v>
      </c>
      <c r="S146" s="10" t="s">
        <v>18</v>
      </c>
      <c r="T146" s="10" t="s">
        <v>19</v>
      </c>
      <c r="U146" s="10" t="s">
        <v>20</v>
      </c>
      <c r="V146" s="13"/>
      <c r="W146" s="136" t="s">
        <v>688</v>
      </c>
      <c r="X146" s="14" t="s">
        <v>22</v>
      </c>
      <c r="Y146" s="15" t="s">
        <v>23</v>
      </c>
      <c r="Z146" s="5"/>
      <c r="AC146" s="16" t="s">
        <v>161</v>
      </c>
      <c r="AD146" s="58">
        <f>+AB146*10</f>
        <v>0</v>
      </c>
      <c r="AF146">
        <v>2</v>
      </c>
      <c r="AG146" s="16" t="s">
        <v>161</v>
      </c>
      <c r="AH146" s="58">
        <f>+AF146*10</f>
        <v>20</v>
      </c>
      <c r="AJ146" s="61" t="s">
        <v>173</v>
      </c>
      <c r="AK146" s="62" t="s">
        <v>174</v>
      </c>
      <c r="AM146" s="16" t="s">
        <v>161</v>
      </c>
      <c r="AN146" s="58">
        <f>+AL146*10</f>
        <v>0</v>
      </c>
    </row>
    <row r="147" spans="1:40" x14ac:dyDescent="0.25">
      <c r="A147" s="16">
        <v>1</v>
      </c>
      <c r="B147" s="92">
        <v>45199</v>
      </c>
      <c r="C147" s="31" t="s">
        <v>3808</v>
      </c>
      <c r="D147" s="32"/>
      <c r="E147" s="32" t="s">
        <v>1253</v>
      </c>
      <c r="F147" s="39" t="s">
        <v>1254</v>
      </c>
      <c r="G147" s="39" t="s">
        <v>1259</v>
      </c>
      <c r="H147" s="122">
        <v>100</v>
      </c>
      <c r="I147" s="32">
        <v>44</v>
      </c>
      <c r="J147" s="20">
        <v>10</v>
      </c>
      <c r="K147" s="21">
        <f>U147-J147-O147</f>
        <v>0</v>
      </c>
      <c r="L147" s="21">
        <f t="shared" ref="L147:L171" si="25">+I147+J147</f>
        <v>54</v>
      </c>
      <c r="M147" s="21">
        <f t="shared" ref="M147:M171" si="26">+H147-L147</f>
        <v>46</v>
      </c>
      <c r="N147" s="21"/>
      <c r="O147" s="21"/>
      <c r="P147" s="5"/>
      <c r="Q147" s="21"/>
      <c r="R147" s="16"/>
      <c r="S147" s="21">
        <f t="shared" ref="S147:S171" si="27">+Q147+R147</f>
        <v>0</v>
      </c>
      <c r="T147" s="21">
        <v>100</v>
      </c>
      <c r="U147" s="78">
        <v>10</v>
      </c>
      <c r="V147" s="13"/>
      <c r="W147" s="147"/>
      <c r="X147" s="23"/>
      <c r="Y147" s="333"/>
      <c r="Z147" s="5"/>
      <c r="AC147" s="59" t="s">
        <v>162</v>
      </c>
      <c r="AD147" s="18">
        <f>+AB147*1</f>
        <v>0</v>
      </c>
      <c r="AF147">
        <v>104</v>
      </c>
      <c r="AG147" s="59" t="s">
        <v>162</v>
      </c>
      <c r="AH147" s="18">
        <f>+AF147*1</f>
        <v>104</v>
      </c>
      <c r="AJ147" s="16">
        <v>50</v>
      </c>
      <c r="AK147" s="16"/>
      <c r="AM147" s="59" t="s">
        <v>162</v>
      </c>
      <c r="AN147" s="18">
        <f>+AL147*1</f>
        <v>0</v>
      </c>
    </row>
    <row r="148" spans="1:40" x14ac:dyDescent="0.25">
      <c r="A148" s="26">
        <v>2</v>
      </c>
      <c r="B148" s="92">
        <v>45199</v>
      </c>
      <c r="C148" s="31" t="s">
        <v>3808</v>
      </c>
      <c r="D148" s="32"/>
      <c r="E148" s="32" t="s">
        <v>1253</v>
      </c>
      <c r="F148" s="32" t="s">
        <v>1255</v>
      </c>
      <c r="G148" s="39" t="s">
        <v>1260</v>
      </c>
      <c r="H148" s="122">
        <v>50</v>
      </c>
      <c r="I148" s="32">
        <v>44</v>
      </c>
      <c r="J148" s="20">
        <v>10</v>
      </c>
      <c r="K148" s="21">
        <v>4</v>
      </c>
      <c r="L148" s="21">
        <f t="shared" si="25"/>
        <v>54</v>
      </c>
      <c r="M148" s="21">
        <f t="shared" si="26"/>
        <v>-4</v>
      </c>
      <c r="N148" s="21"/>
      <c r="O148" s="21"/>
      <c r="P148" s="5"/>
      <c r="Q148" s="21"/>
      <c r="R148" s="16"/>
      <c r="S148" s="21">
        <f t="shared" si="27"/>
        <v>0</v>
      </c>
      <c r="T148" s="21">
        <v>50</v>
      </c>
      <c r="U148" s="78">
        <v>14</v>
      </c>
      <c r="V148" s="140"/>
      <c r="W148" s="147"/>
      <c r="X148" s="23"/>
      <c r="Y148" s="334"/>
      <c r="Z148" s="5"/>
      <c r="AC148" s="16" t="s">
        <v>163</v>
      </c>
      <c r="AD148" s="60">
        <f>+AB148*5</f>
        <v>0</v>
      </c>
      <c r="AF148">
        <v>14</v>
      </c>
      <c r="AG148" s="16" t="s">
        <v>163</v>
      </c>
      <c r="AH148" s="60">
        <f>+AF148*5</f>
        <v>70</v>
      </c>
      <c r="AJ148" s="16">
        <v>150</v>
      </c>
      <c r="AK148" s="16"/>
      <c r="AM148" s="16" t="s">
        <v>163</v>
      </c>
      <c r="AN148" s="60">
        <f>+AL148*5</f>
        <v>0</v>
      </c>
    </row>
    <row r="149" spans="1:40" x14ac:dyDescent="0.25">
      <c r="A149" s="143">
        <v>3</v>
      </c>
      <c r="B149" s="92">
        <v>45199</v>
      </c>
      <c r="C149" s="31" t="s">
        <v>3808</v>
      </c>
      <c r="D149" s="32"/>
      <c r="E149" s="32" t="s">
        <v>1253</v>
      </c>
      <c r="F149" s="32" t="s">
        <v>1256</v>
      </c>
      <c r="G149" s="39" t="s">
        <v>895</v>
      </c>
      <c r="H149" s="122">
        <v>100</v>
      </c>
      <c r="I149" s="32">
        <v>66</v>
      </c>
      <c r="J149" s="20">
        <v>10</v>
      </c>
      <c r="K149" s="21">
        <f>U149-J149-O149</f>
        <v>10</v>
      </c>
      <c r="L149" s="21">
        <f t="shared" si="25"/>
        <v>76</v>
      </c>
      <c r="M149" s="21">
        <f t="shared" si="26"/>
        <v>24</v>
      </c>
      <c r="N149" s="21"/>
      <c r="O149" s="21"/>
      <c r="P149" s="5"/>
      <c r="Q149" s="21"/>
      <c r="R149" s="16"/>
      <c r="S149" s="21">
        <f t="shared" si="27"/>
        <v>0</v>
      </c>
      <c r="T149" s="21">
        <v>100</v>
      </c>
      <c r="U149" s="78">
        <v>20</v>
      </c>
      <c r="V149" s="140"/>
      <c r="W149" s="147"/>
      <c r="X149" s="23"/>
      <c r="Y149" s="334"/>
      <c r="Z149" s="5"/>
      <c r="AC149" s="16" t="s">
        <v>164</v>
      </c>
      <c r="AD149" s="18">
        <f>+AB149*200</f>
        <v>0</v>
      </c>
      <c r="AF149">
        <v>1</v>
      </c>
      <c r="AG149" s="16" t="s">
        <v>164</v>
      </c>
      <c r="AH149" s="18">
        <f>+AF149*200</f>
        <v>200</v>
      </c>
      <c r="AJ149" s="16">
        <v>410</v>
      </c>
      <c r="AK149" s="16"/>
      <c r="AM149" s="16" t="s">
        <v>164</v>
      </c>
      <c r="AN149" s="18">
        <f>+AL149*200</f>
        <v>0</v>
      </c>
    </row>
    <row r="150" spans="1:40" x14ac:dyDescent="0.25">
      <c r="A150" s="143">
        <v>4</v>
      </c>
      <c r="B150" s="92">
        <v>45199</v>
      </c>
      <c r="C150" s="31" t="s">
        <v>2886</v>
      </c>
      <c r="D150" s="32"/>
      <c r="E150" s="32" t="s">
        <v>1258</v>
      </c>
      <c r="F150" s="32" t="s">
        <v>1257</v>
      </c>
      <c r="G150" s="189" t="s">
        <v>1261</v>
      </c>
      <c r="H150" s="122">
        <v>200</v>
      </c>
      <c r="I150" s="32">
        <v>186</v>
      </c>
      <c r="J150" s="20">
        <v>10</v>
      </c>
      <c r="K150" s="21">
        <v>4</v>
      </c>
      <c r="L150" s="21">
        <f t="shared" si="25"/>
        <v>196</v>
      </c>
      <c r="M150" s="21">
        <v>0</v>
      </c>
      <c r="N150" s="21"/>
      <c r="O150" s="21"/>
      <c r="P150" s="5"/>
      <c r="Q150" s="21"/>
      <c r="R150" s="16"/>
      <c r="S150" s="21">
        <f t="shared" si="27"/>
        <v>0</v>
      </c>
      <c r="T150" s="21">
        <v>200</v>
      </c>
      <c r="U150" s="78">
        <v>14</v>
      </c>
      <c r="V150" s="140"/>
      <c r="W150" s="147"/>
      <c r="X150" s="23"/>
      <c r="Y150" s="334"/>
      <c r="Z150" s="5"/>
      <c r="AC150" s="16" t="s">
        <v>165</v>
      </c>
      <c r="AD150" s="18">
        <f>+AB150*100</f>
        <v>0</v>
      </c>
      <c r="AF150">
        <v>2</v>
      </c>
      <c r="AG150" s="16" t="s">
        <v>165</v>
      </c>
      <c r="AH150" s="18">
        <f>+AF150*100</f>
        <v>200</v>
      </c>
      <c r="AJ150" s="16"/>
      <c r="AK150" s="16"/>
      <c r="AM150" s="16" t="s">
        <v>165</v>
      </c>
      <c r="AN150" s="18">
        <f>+AL150*100</f>
        <v>0</v>
      </c>
    </row>
    <row r="151" spans="1:40" x14ac:dyDescent="0.25">
      <c r="A151" s="143">
        <v>5</v>
      </c>
      <c r="B151" s="92">
        <v>45199</v>
      </c>
      <c r="C151" s="31" t="s">
        <v>1247</v>
      </c>
      <c r="D151" s="32"/>
      <c r="E151" s="190" t="s">
        <v>52</v>
      </c>
      <c r="F151" s="32" t="s">
        <v>1246</v>
      </c>
      <c r="G151" s="32" t="s">
        <v>1262</v>
      </c>
      <c r="H151" s="122">
        <v>400</v>
      </c>
      <c r="I151" s="32">
        <v>272</v>
      </c>
      <c r="J151" s="20">
        <v>10</v>
      </c>
      <c r="K151" s="21">
        <f>U151-J151-O151</f>
        <v>0</v>
      </c>
      <c r="L151" s="21">
        <f t="shared" si="25"/>
        <v>282</v>
      </c>
      <c r="M151" s="21">
        <f t="shared" si="26"/>
        <v>118</v>
      </c>
      <c r="N151" s="21"/>
      <c r="O151" s="21"/>
      <c r="P151" s="5"/>
      <c r="Q151" s="16"/>
      <c r="R151" s="16"/>
      <c r="S151" s="21">
        <f t="shared" si="27"/>
        <v>0</v>
      </c>
      <c r="T151" s="21">
        <v>282</v>
      </c>
      <c r="U151" s="78">
        <v>10</v>
      </c>
      <c r="V151" s="140"/>
      <c r="W151" s="147"/>
      <c r="X151" s="23"/>
      <c r="Y151" s="334"/>
      <c r="Z151" s="5"/>
      <c r="AC151" s="16" t="s">
        <v>166</v>
      </c>
      <c r="AD151" s="18">
        <f>+AB151*50</f>
        <v>0</v>
      </c>
      <c r="AF151">
        <v>1</v>
      </c>
      <c r="AG151" s="16" t="s">
        <v>166</v>
      </c>
      <c r="AH151" s="18">
        <f>+AF151*50</f>
        <v>50</v>
      </c>
      <c r="AJ151" s="16"/>
      <c r="AK151" s="16"/>
      <c r="AM151" s="16" t="s">
        <v>166</v>
      </c>
      <c r="AN151" s="18">
        <f>+AL151*50</f>
        <v>0</v>
      </c>
    </row>
    <row r="152" spans="1:40" x14ac:dyDescent="0.25">
      <c r="A152" s="143">
        <v>6</v>
      </c>
      <c r="B152" s="92">
        <v>45199</v>
      </c>
      <c r="C152" s="31" t="s">
        <v>846</v>
      </c>
      <c r="D152" s="32"/>
      <c r="E152" s="32" t="s">
        <v>1263</v>
      </c>
      <c r="F152" s="32" t="s">
        <v>445</v>
      </c>
      <c r="G152" s="39" t="s">
        <v>1264</v>
      </c>
      <c r="H152" s="39">
        <v>243</v>
      </c>
      <c r="I152" s="42">
        <v>233</v>
      </c>
      <c r="J152" s="20">
        <v>10</v>
      </c>
      <c r="K152" s="21"/>
      <c r="L152" s="21">
        <f t="shared" si="25"/>
        <v>243</v>
      </c>
      <c r="M152" s="21">
        <f t="shared" si="26"/>
        <v>0</v>
      </c>
      <c r="N152" s="21"/>
      <c r="O152" s="21"/>
      <c r="P152" s="5"/>
      <c r="Q152" s="16"/>
      <c r="R152" s="16"/>
      <c r="S152" s="21">
        <f t="shared" si="27"/>
        <v>0</v>
      </c>
      <c r="T152" s="16">
        <v>243</v>
      </c>
      <c r="U152" s="78">
        <v>10</v>
      </c>
      <c r="V152" s="140"/>
      <c r="W152" s="147"/>
      <c r="X152" s="23"/>
      <c r="Y152" s="334"/>
      <c r="Z152" s="5"/>
      <c r="AC152" s="16" t="s">
        <v>167</v>
      </c>
      <c r="AD152" s="18">
        <f>+AB152*20</f>
        <v>0</v>
      </c>
      <c r="AG152" s="16" t="s">
        <v>167</v>
      </c>
      <c r="AH152" s="18">
        <f>+AF152*20</f>
        <v>0</v>
      </c>
      <c r="AJ152" s="16"/>
      <c r="AK152" s="16"/>
      <c r="AM152" s="16" t="s">
        <v>167</v>
      </c>
      <c r="AN152" s="18">
        <f>+AL152*20</f>
        <v>0</v>
      </c>
    </row>
    <row r="153" spans="1:40" x14ac:dyDescent="0.25">
      <c r="A153" s="143">
        <v>7</v>
      </c>
      <c r="B153" s="92">
        <v>45199</v>
      </c>
      <c r="C153" s="31" t="s">
        <v>3808</v>
      </c>
      <c r="D153" s="32"/>
      <c r="E153" s="32" t="s">
        <v>1253</v>
      </c>
      <c r="F153" s="32" t="s">
        <v>1265</v>
      </c>
      <c r="G153" s="39" t="s">
        <v>1266</v>
      </c>
      <c r="H153" s="122">
        <v>200</v>
      </c>
      <c r="I153" s="42">
        <v>66</v>
      </c>
      <c r="J153" s="20">
        <v>10</v>
      </c>
      <c r="K153" s="21"/>
      <c r="L153" s="21">
        <f t="shared" si="25"/>
        <v>76</v>
      </c>
      <c r="M153" s="21">
        <f t="shared" si="26"/>
        <v>124</v>
      </c>
      <c r="N153" s="21"/>
      <c r="O153" s="21"/>
      <c r="P153" s="5"/>
      <c r="Q153" s="16"/>
      <c r="R153" s="16"/>
      <c r="S153" s="21">
        <f t="shared" si="27"/>
        <v>0</v>
      </c>
      <c r="T153" s="16">
        <v>200</v>
      </c>
      <c r="U153" s="78">
        <v>10</v>
      </c>
      <c r="V153" s="140"/>
      <c r="W153" s="147"/>
      <c r="X153" s="23"/>
      <c r="Y153" s="334"/>
      <c r="Z153" s="5"/>
      <c r="AC153" s="16" t="s">
        <v>171</v>
      </c>
      <c r="AD153" s="18">
        <f>+AB153*500</f>
        <v>0</v>
      </c>
      <c r="AF153">
        <v>1</v>
      </c>
      <c r="AG153" s="16" t="s">
        <v>171</v>
      </c>
      <c r="AH153" s="18">
        <f>+AF153*500</f>
        <v>500</v>
      </c>
      <c r="AJ153" s="16"/>
      <c r="AK153" s="16"/>
      <c r="AM153" s="16" t="s">
        <v>171</v>
      </c>
      <c r="AN153" s="18">
        <f>+AL153*500</f>
        <v>0</v>
      </c>
    </row>
    <row r="154" spans="1:40" x14ac:dyDescent="0.25">
      <c r="A154" s="143">
        <v>8</v>
      </c>
      <c r="B154" s="92">
        <v>45199</v>
      </c>
      <c r="C154" s="31" t="s">
        <v>2488</v>
      </c>
      <c r="D154" s="123"/>
      <c r="E154" s="123" t="s">
        <v>52</v>
      </c>
      <c r="F154" s="123" t="s">
        <v>938</v>
      </c>
      <c r="G154" s="39" t="s">
        <v>1267</v>
      </c>
      <c r="H154" s="122">
        <v>150</v>
      </c>
      <c r="I154" s="32">
        <v>127</v>
      </c>
      <c r="J154" s="20">
        <v>10</v>
      </c>
      <c r="K154" s="21">
        <v>0</v>
      </c>
      <c r="L154" s="21">
        <f t="shared" si="25"/>
        <v>137</v>
      </c>
      <c r="M154" s="21">
        <f t="shared" si="26"/>
        <v>13</v>
      </c>
      <c r="N154" s="21"/>
      <c r="O154" s="21">
        <v>11</v>
      </c>
      <c r="P154" s="5"/>
      <c r="Q154" s="16"/>
      <c r="R154" s="16"/>
      <c r="S154" s="21">
        <f t="shared" si="27"/>
        <v>0</v>
      </c>
      <c r="T154" s="16">
        <v>163</v>
      </c>
      <c r="U154" s="78">
        <v>23</v>
      </c>
      <c r="V154" s="140"/>
      <c r="W154" s="147"/>
      <c r="X154" s="23"/>
      <c r="Y154" s="334"/>
      <c r="Z154" s="5"/>
      <c r="AC154" s="16" t="s">
        <v>168</v>
      </c>
      <c r="AD154" s="18">
        <f>+AB154*1000</f>
        <v>0</v>
      </c>
      <c r="AG154" s="16" t="s">
        <v>168</v>
      </c>
      <c r="AH154" s="18">
        <f>+AF154*1000</f>
        <v>0</v>
      </c>
      <c r="AJ154" s="16"/>
      <c r="AK154" s="16"/>
      <c r="AM154" s="16" t="s">
        <v>168</v>
      </c>
      <c r="AN154" s="18">
        <f>+AL154*1000</f>
        <v>0</v>
      </c>
    </row>
    <row r="155" spans="1:40" x14ac:dyDescent="0.25">
      <c r="A155" s="143">
        <v>9</v>
      </c>
      <c r="B155" s="92">
        <v>45199</v>
      </c>
      <c r="C155" s="31" t="s">
        <v>1268</v>
      </c>
      <c r="D155" s="32"/>
      <c r="E155" s="32" t="s">
        <v>1269</v>
      </c>
      <c r="F155" s="32" t="s">
        <v>1270</v>
      </c>
      <c r="G155" s="39" t="s">
        <v>1271</v>
      </c>
      <c r="H155" s="39">
        <v>100</v>
      </c>
      <c r="I155" s="40">
        <v>48</v>
      </c>
      <c r="J155" s="20">
        <v>10</v>
      </c>
      <c r="K155" s="21">
        <f>U155-J155-O155</f>
        <v>-127</v>
      </c>
      <c r="L155" s="21">
        <f t="shared" si="25"/>
        <v>58</v>
      </c>
      <c r="M155" s="21">
        <f t="shared" si="26"/>
        <v>42</v>
      </c>
      <c r="N155" s="21"/>
      <c r="O155" s="21">
        <v>127</v>
      </c>
      <c r="P155" s="5"/>
      <c r="Q155" s="16"/>
      <c r="R155" s="16"/>
      <c r="S155" s="21">
        <f t="shared" si="27"/>
        <v>0</v>
      </c>
      <c r="T155" s="16"/>
      <c r="U155" s="78">
        <v>10</v>
      </c>
      <c r="V155" s="140"/>
      <c r="W155" s="147"/>
      <c r="X155" s="23"/>
      <c r="Y155" s="334"/>
      <c r="Z155" s="5"/>
      <c r="AC155" s="26"/>
      <c r="AD155" s="58"/>
      <c r="AG155" s="26"/>
      <c r="AH155" s="58"/>
      <c r="AJ155" s="16"/>
      <c r="AK155" s="16"/>
      <c r="AM155" s="26"/>
      <c r="AN155" s="58"/>
    </row>
    <row r="156" spans="1:40" x14ac:dyDescent="0.25">
      <c r="A156" s="143">
        <v>10</v>
      </c>
      <c r="B156" s="92">
        <v>45199</v>
      </c>
      <c r="C156" s="31" t="s">
        <v>1247</v>
      </c>
      <c r="D156" s="32"/>
      <c r="E156" s="32"/>
      <c r="F156" s="32" t="s">
        <v>1272</v>
      </c>
      <c r="G156" s="39"/>
      <c r="H156" s="122">
        <v>500</v>
      </c>
      <c r="I156" s="42">
        <v>111</v>
      </c>
      <c r="J156" s="20">
        <v>10</v>
      </c>
      <c r="K156" s="21"/>
      <c r="L156" s="21">
        <f t="shared" si="25"/>
        <v>121</v>
      </c>
      <c r="M156" s="21">
        <f t="shared" si="26"/>
        <v>379</v>
      </c>
      <c r="N156" s="21"/>
      <c r="O156" s="21"/>
      <c r="P156" s="5"/>
      <c r="Q156" s="16"/>
      <c r="R156" s="16"/>
      <c r="S156" s="21">
        <f t="shared" si="27"/>
        <v>0</v>
      </c>
      <c r="T156" s="16"/>
      <c r="U156" s="78">
        <f>T156-S156-O156</f>
        <v>0</v>
      </c>
      <c r="V156" s="140"/>
      <c r="W156" s="147"/>
      <c r="X156" s="23"/>
      <c r="Y156" s="334"/>
      <c r="Z156" s="5"/>
      <c r="AC156" s="16" t="s">
        <v>169</v>
      </c>
      <c r="AD156" s="18">
        <f>SUM(AD146:AD155)</f>
        <v>0</v>
      </c>
      <c r="AG156" s="16" t="s">
        <v>169</v>
      </c>
      <c r="AH156" s="18">
        <f>SUM(AH146:AH155)</f>
        <v>1144</v>
      </c>
      <c r="AJ156" s="16"/>
      <c r="AK156" s="16"/>
      <c r="AM156" s="16" t="s">
        <v>169</v>
      </c>
      <c r="AN156" s="18"/>
    </row>
    <row r="157" spans="1:40" x14ac:dyDescent="0.25">
      <c r="A157" s="143">
        <v>11</v>
      </c>
      <c r="B157" s="92">
        <v>45199</v>
      </c>
      <c r="C157" s="31" t="s">
        <v>61</v>
      </c>
      <c r="D157" s="124"/>
      <c r="E157" s="123" t="s">
        <v>52</v>
      </c>
      <c r="F157" s="123" t="s">
        <v>1273</v>
      </c>
      <c r="G157" s="39" t="s">
        <v>227</v>
      </c>
      <c r="H157" s="122">
        <v>188</v>
      </c>
      <c r="I157" s="42">
        <v>168</v>
      </c>
      <c r="J157" s="20">
        <v>10</v>
      </c>
      <c r="K157" s="21">
        <v>14</v>
      </c>
      <c r="L157" s="21">
        <f t="shared" si="25"/>
        <v>178</v>
      </c>
      <c r="M157" s="21"/>
      <c r="N157" s="21"/>
      <c r="O157" s="21">
        <v>168</v>
      </c>
      <c r="P157" s="5"/>
      <c r="Q157" s="16"/>
      <c r="R157" s="16"/>
      <c r="S157" s="21">
        <f t="shared" si="27"/>
        <v>0</v>
      </c>
      <c r="T157" s="16">
        <v>188</v>
      </c>
      <c r="U157" s="78">
        <v>20</v>
      </c>
      <c r="V157" s="140"/>
      <c r="W157" s="147"/>
      <c r="X157" s="23"/>
      <c r="Y157" s="334"/>
      <c r="Z157" s="5"/>
      <c r="AJ157" s="16"/>
      <c r="AK157" s="16"/>
      <c r="AM157" s="16"/>
      <c r="AN157" s="16"/>
    </row>
    <row r="158" spans="1:40" x14ac:dyDescent="0.25">
      <c r="A158" s="143">
        <v>12</v>
      </c>
      <c r="B158" s="92">
        <v>45199</v>
      </c>
      <c r="C158" s="32" t="s">
        <v>2045</v>
      </c>
      <c r="D158" s="32"/>
      <c r="E158" s="124" t="s">
        <v>52</v>
      </c>
      <c r="F158" s="123" t="s">
        <v>1274</v>
      </c>
      <c r="G158" s="39" t="s">
        <v>1275</v>
      </c>
      <c r="H158" s="39">
        <v>200</v>
      </c>
      <c r="I158" s="42">
        <v>70</v>
      </c>
      <c r="J158" s="20">
        <v>10</v>
      </c>
      <c r="K158" s="21">
        <f>U158-J158-O158</f>
        <v>-70</v>
      </c>
      <c r="L158" s="21">
        <f t="shared" si="25"/>
        <v>80</v>
      </c>
      <c r="M158" s="21">
        <f t="shared" si="26"/>
        <v>120</v>
      </c>
      <c r="N158" s="21"/>
      <c r="O158" s="21">
        <v>70</v>
      </c>
      <c r="P158" s="5"/>
      <c r="Q158" s="45"/>
      <c r="R158" s="44"/>
      <c r="S158" s="21">
        <f t="shared" si="27"/>
        <v>0</v>
      </c>
      <c r="T158" s="45">
        <v>200</v>
      </c>
      <c r="U158" s="78">
        <v>10</v>
      </c>
      <c r="V158" s="140"/>
      <c r="W158" s="147"/>
      <c r="X158" s="23"/>
      <c r="Y158" s="334"/>
      <c r="Z158" s="5"/>
      <c r="AJ158" s="63" t="s">
        <v>169</v>
      </c>
      <c r="AK158" s="63">
        <f>+SUM(AJ147:AJ157)-SUM(AK147:AK157)</f>
        <v>610</v>
      </c>
      <c r="AM158" s="63" t="s">
        <v>169</v>
      </c>
      <c r="AN158" s="85">
        <f>+SUM(AM146:AM157)-SUM(AN147:AN157)</f>
        <v>0</v>
      </c>
    </row>
    <row r="159" spans="1:40" x14ac:dyDescent="0.25">
      <c r="A159" s="143">
        <v>13</v>
      </c>
      <c r="B159" s="92">
        <v>45199</v>
      </c>
      <c r="C159" s="31" t="s">
        <v>3746</v>
      </c>
      <c r="D159" s="32"/>
      <c r="E159" s="32" t="s">
        <v>1276</v>
      </c>
      <c r="F159" s="32" t="s">
        <v>1277</v>
      </c>
      <c r="G159" s="39" t="s">
        <v>1278</v>
      </c>
      <c r="H159" s="39">
        <v>185</v>
      </c>
      <c r="I159" s="42">
        <v>150</v>
      </c>
      <c r="J159" s="108">
        <v>35</v>
      </c>
      <c r="K159" s="21">
        <f>U159-J159-O159</f>
        <v>0</v>
      </c>
      <c r="L159" s="21">
        <f t="shared" si="25"/>
        <v>185</v>
      </c>
      <c r="M159" s="21">
        <f t="shared" si="26"/>
        <v>0</v>
      </c>
      <c r="N159" s="21"/>
      <c r="O159" s="21"/>
      <c r="P159" s="5"/>
      <c r="Q159" s="43"/>
      <c r="R159" s="32"/>
      <c r="S159" s="21">
        <f t="shared" si="27"/>
        <v>0</v>
      </c>
      <c r="T159" s="43">
        <v>185</v>
      </c>
      <c r="U159" s="78">
        <v>35</v>
      </c>
      <c r="V159" s="140"/>
      <c r="W159" s="147"/>
      <c r="X159" s="23"/>
      <c r="Y159" s="334"/>
      <c r="Z159" s="5"/>
      <c r="AH159" s="83"/>
    </row>
    <row r="160" spans="1:40" x14ac:dyDescent="0.25">
      <c r="A160" s="143">
        <v>14</v>
      </c>
      <c r="B160" s="92">
        <v>45199</v>
      </c>
      <c r="C160" s="31" t="s">
        <v>1279</v>
      </c>
      <c r="D160" s="32"/>
      <c r="E160" s="32" t="s">
        <v>52</v>
      </c>
      <c r="F160" s="32" t="s">
        <v>1280</v>
      </c>
      <c r="G160" s="39" t="s">
        <v>1282</v>
      </c>
      <c r="H160" s="39">
        <v>150</v>
      </c>
      <c r="I160" s="42">
        <v>110</v>
      </c>
      <c r="J160" s="108">
        <v>10</v>
      </c>
      <c r="K160" s="21"/>
      <c r="L160" s="21">
        <f t="shared" si="25"/>
        <v>120</v>
      </c>
      <c r="M160" s="21">
        <f t="shared" si="26"/>
        <v>30</v>
      </c>
      <c r="N160" s="21"/>
      <c r="O160" s="21">
        <v>110</v>
      </c>
      <c r="P160" s="5"/>
      <c r="Q160" s="43"/>
      <c r="R160" s="43"/>
      <c r="S160" s="21">
        <f t="shared" si="27"/>
        <v>0</v>
      </c>
      <c r="T160" s="43">
        <v>120</v>
      </c>
      <c r="U160" s="78">
        <v>10</v>
      </c>
      <c r="V160" s="140"/>
      <c r="W160" s="147"/>
      <c r="X160" s="23"/>
      <c r="Y160" s="334"/>
      <c r="Z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x14ac:dyDescent="0.25">
      <c r="A161" s="143">
        <v>15</v>
      </c>
      <c r="B161" s="92">
        <v>45199</v>
      </c>
      <c r="C161" s="127" t="s">
        <v>910</v>
      </c>
      <c r="D161" s="32"/>
      <c r="E161" s="32" t="s">
        <v>52</v>
      </c>
      <c r="F161" s="128" t="s">
        <v>911</v>
      </c>
      <c r="G161" s="129" t="s">
        <v>1287</v>
      </c>
      <c r="H161" s="39">
        <v>96</v>
      </c>
      <c r="I161" s="42">
        <v>86</v>
      </c>
      <c r="J161" s="108">
        <v>10</v>
      </c>
      <c r="K161" s="21">
        <f>U161-J161-O161</f>
        <v>-182</v>
      </c>
      <c r="L161" s="21">
        <f t="shared" si="25"/>
        <v>96</v>
      </c>
      <c r="M161" s="21">
        <f t="shared" si="26"/>
        <v>0</v>
      </c>
      <c r="N161" s="21"/>
      <c r="O161" s="21">
        <v>86</v>
      </c>
      <c r="P161" s="5"/>
      <c r="Q161" s="43"/>
      <c r="R161" s="43"/>
      <c r="S161" s="21">
        <f t="shared" si="27"/>
        <v>0</v>
      </c>
      <c r="T161" s="43"/>
      <c r="U161" s="78">
        <f>T161-S161-O161</f>
        <v>-86</v>
      </c>
      <c r="V161" s="140"/>
      <c r="W161" s="147"/>
      <c r="X161" s="23"/>
      <c r="Y161" s="334"/>
      <c r="Z161" s="5"/>
      <c r="AC161" s="5"/>
      <c r="AD161" s="134" t="s">
        <v>20</v>
      </c>
      <c r="AE161" s="338"/>
      <c r="AF161" s="341" t="s">
        <v>686</v>
      </c>
      <c r="AG161" s="134" t="s">
        <v>20</v>
      </c>
      <c r="AH161" s="338"/>
      <c r="AI161" s="341" t="s">
        <v>687</v>
      </c>
      <c r="AJ161" s="134" t="s">
        <v>20</v>
      </c>
      <c r="AK161" s="338"/>
      <c r="AL161" s="5"/>
    </row>
    <row r="162" spans="1:38" x14ac:dyDescent="0.25">
      <c r="A162" s="143">
        <v>16</v>
      </c>
      <c r="B162" s="92">
        <v>45199</v>
      </c>
      <c r="C162" s="31" t="s">
        <v>2478</v>
      </c>
      <c r="D162" s="32"/>
      <c r="E162" s="32" t="s">
        <v>52</v>
      </c>
      <c r="F162" s="32" t="s">
        <v>1288</v>
      </c>
      <c r="G162" s="39" t="s">
        <v>1289</v>
      </c>
      <c r="H162" s="39">
        <v>30</v>
      </c>
      <c r="I162" s="42">
        <v>30</v>
      </c>
      <c r="J162" s="43"/>
      <c r="K162" s="21"/>
      <c r="L162" s="21"/>
      <c r="M162" s="21">
        <f t="shared" si="26"/>
        <v>30</v>
      </c>
      <c r="N162" s="21"/>
      <c r="O162" s="21">
        <v>30</v>
      </c>
      <c r="P162" s="5"/>
      <c r="Q162" s="43"/>
      <c r="R162" s="32"/>
      <c r="S162" s="21">
        <f t="shared" si="27"/>
        <v>0</v>
      </c>
      <c r="T162" s="131"/>
      <c r="U162" s="78">
        <f>T162-S162-O162</f>
        <v>-30</v>
      </c>
      <c r="V162" s="140"/>
      <c r="W162" s="147"/>
      <c r="X162" s="23"/>
      <c r="Y162" s="334"/>
      <c r="Z162" s="5"/>
      <c r="AC162" s="5" t="s">
        <v>685</v>
      </c>
      <c r="AD162" s="115" t="s">
        <v>684</v>
      </c>
      <c r="AE162" s="339"/>
      <c r="AF162" s="341"/>
      <c r="AG162" s="115" t="s">
        <v>684</v>
      </c>
      <c r="AH162" s="339"/>
      <c r="AI162" s="341"/>
      <c r="AJ162" s="115" t="s">
        <v>684</v>
      </c>
      <c r="AK162" s="339"/>
      <c r="AL162" s="5"/>
    </row>
    <row r="163" spans="1:38" x14ac:dyDescent="0.25">
      <c r="A163" s="143">
        <v>17</v>
      </c>
      <c r="B163" s="92">
        <v>45199</v>
      </c>
      <c r="C163" s="31" t="s">
        <v>1283</v>
      </c>
      <c r="D163" s="32"/>
      <c r="E163" s="32" t="s">
        <v>1284</v>
      </c>
      <c r="F163" s="32" t="s">
        <v>1285</v>
      </c>
      <c r="G163" s="39" t="s">
        <v>1286</v>
      </c>
      <c r="H163" s="39"/>
      <c r="I163" s="42">
        <v>54</v>
      </c>
      <c r="J163" s="43">
        <v>10</v>
      </c>
      <c r="K163" s="21">
        <f>U163-J163-O163</f>
        <v>-118</v>
      </c>
      <c r="L163" s="21">
        <f t="shared" si="25"/>
        <v>64</v>
      </c>
      <c r="M163" s="21">
        <f t="shared" si="26"/>
        <v>-64</v>
      </c>
      <c r="N163" s="21"/>
      <c r="O163" s="21">
        <v>54</v>
      </c>
      <c r="P163" s="5"/>
      <c r="Q163" s="43"/>
      <c r="R163" s="32"/>
      <c r="S163" s="21">
        <f t="shared" si="27"/>
        <v>0</v>
      </c>
      <c r="T163" s="132"/>
      <c r="U163" s="78">
        <f>T163-S163-O163</f>
        <v>-54</v>
      </c>
      <c r="V163" s="140"/>
      <c r="W163" s="147"/>
      <c r="X163" s="23"/>
      <c r="Y163" s="340"/>
      <c r="Z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x14ac:dyDescent="0.25">
      <c r="A164" s="143">
        <v>18</v>
      </c>
      <c r="B164" s="92">
        <v>45199</v>
      </c>
      <c r="C164" s="31" t="s">
        <v>1291</v>
      </c>
      <c r="D164" s="32"/>
      <c r="E164" s="32" t="s">
        <v>52</v>
      </c>
      <c r="F164" s="32" t="s">
        <v>1292</v>
      </c>
      <c r="G164" t="s">
        <v>1290</v>
      </c>
      <c r="H164" s="39">
        <v>200</v>
      </c>
      <c r="I164" s="42">
        <v>66</v>
      </c>
      <c r="J164" s="43">
        <v>10</v>
      </c>
      <c r="K164" s="21">
        <f>U164-J164-O164</f>
        <v>-66</v>
      </c>
      <c r="L164" s="21">
        <f t="shared" si="25"/>
        <v>76</v>
      </c>
      <c r="M164" s="21">
        <f t="shared" si="26"/>
        <v>124</v>
      </c>
      <c r="N164" s="21"/>
      <c r="O164" s="21">
        <v>66</v>
      </c>
      <c r="P164" s="5"/>
      <c r="Q164" s="135"/>
      <c r="R164" s="104"/>
      <c r="S164" s="21">
        <f t="shared" si="27"/>
        <v>0</v>
      </c>
      <c r="T164" s="131">
        <v>200</v>
      </c>
      <c r="U164" s="78">
        <v>10</v>
      </c>
      <c r="V164" s="140"/>
      <c r="W164" s="138"/>
      <c r="X164" s="32"/>
      <c r="Z164" s="5"/>
    </row>
    <row r="165" spans="1:38" x14ac:dyDescent="0.25">
      <c r="A165" s="143">
        <v>19</v>
      </c>
      <c r="B165" s="92">
        <v>45199</v>
      </c>
      <c r="C165" s="31" t="s">
        <v>2644</v>
      </c>
      <c r="D165" s="32"/>
      <c r="E165" s="32" t="s">
        <v>52</v>
      </c>
      <c r="F165" s="32" t="s">
        <v>1293</v>
      </c>
      <c r="G165" s="39" t="s">
        <v>1294</v>
      </c>
      <c r="H165" s="39">
        <v>150</v>
      </c>
      <c r="I165" s="42">
        <v>128</v>
      </c>
      <c r="J165" s="43">
        <v>10</v>
      </c>
      <c r="K165" s="21">
        <v>12</v>
      </c>
      <c r="L165" s="21">
        <f t="shared" ref="L165:L170" si="28">+I165+J165</f>
        <v>138</v>
      </c>
      <c r="M165" s="21">
        <v>0</v>
      </c>
      <c r="N165" s="21">
        <v>150</v>
      </c>
      <c r="O165" s="21">
        <v>128</v>
      </c>
      <c r="P165" s="5"/>
      <c r="Q165" s="32"/>
      <c r="R165" s="32"/>
      <c r="S165" s="21">
        <f t="shared" ref="S165:S170" si="29">+Q165+R165</f>
        <v>0</v>
      </c>
      <c r="T165" s="32">
        <v>150</v>
      </c>
      <c r="U165" s="78">
        <v>22</v>
      </c>
      <c r="V165" s="140"/>
      <c r="W165" s="138"/>
      <c r="X165" s="32"/>
      <c r="Z165" s="5"/>
    </row>
    <row r="166" spans="1:38" x14ac:dyDescent="0.25">
      <c r="A166" s="143">
        <v>20</v>
      </c>
      <c r="B166" s="92">
        <v>45199</v>
      </c>
      <c r="C166" s="31" t="s">
        <v>48</v>
      </c>
      <c r="D166" s="32"/>
      <c r="E166" s="32" t="s">
        <v>1295</v>
      </c>
      <c r="F166" s="32" t="s">
        <v>1296</v>
      </c>
      <c r="G166" s="39" t="s">
        <v>1297</v>
      </c>
      <c r="H166" s="39">
        <v>410</v>
      </c>
      <c r="I166" s="42">
        <v>369</v>
      </c>
      <c r="J166" s="43">
        <v>20</v>
      </c>
      <c r="K166" s="21">
        <v>21</v>
      </c>
      <c r="L166" s="21">
        <f t="shared" si="28"/>
        <v>389</v>
      </c>
      <c r="M166" s="21"/>
      <c r="N166" s="21">
        <v>410</v>
      </c>
      <c r="O166" s="21">
        <v>71</v>
      </c>
      <c r="P166" s="5"/>
      <c r="Q166" s="32"/>
      <c r="R166" s="32"/>
      <c r="S166" s="21">
        <f t="shared" si="29"/>
        <v>0</v>
      </c>
      <c r="T166" s="32">
        <v>389</v>
      </c>
      <c r="U166" s="78">
        <v>41</v>
      </c>
      <c r="V166" s="140"/>
      <c r="W166" s="138"/>
      <c r="X166" s="32"/>
      <c r="Z166" s="5"/>
    </row>
    <row r="167" spans="1:38" x14ac:dyDescent="0.25">
      <c r="A167" s="143">
        <v>21</v>
      </c>
      <c r="B167" s="92">
        <v>45199</v>
      </c>
      <c r="C167" s="31" t="s">
        <v>1247</v>
      </c>
      <c r="D167" s="32"/>
      <c r="E167" s="32" t="s">
        <v>52</v>
      </c>
      <c r="F167" s="32" t="s">
        <v>1272</v>
      </c>
      <c r="G167" s="39" t="s">
        <v>1298</v>
      </c>
      <c r="H167" s="39">
        <v>64</v>
      </c>
      <c r="I167" s="42">
        <v>54</v>
      </c>
      <c r="J167" s="43">
        <v>10</v>
      </c>
      <c r="K167" s="21">
        <f>U167-J167-O167</f>
        <v>-54</v>
      </c>
      <c r="L167" s="21">
        <f t="shared" si="28"/>
        <v>64</v>
      </c>
      <c r="M167" s="21">
        <f>+H167-L167</f>
        <v>0</v>
      </c>
      <c r="N167" s="21"/>
      <c r="O167" s="21">
        <v>54</v>
      </c>
      <c r="P167" s="5"/>
      <c r="Q167" s="32"/>
      <c r="R167" s="32"/>
      <c r="S167" s="21">
        <f t="shared" si="29"/>
        <v>0</v>
      </c>
      <c r="T167" s="32">
        <v>64</v>
      </c>
      <c r="U167" s="78">
        <v>10</v>
      </c>
      <c r="V167" s="140"/>
      <c r="W167" s="138"/>
      <c r="X167" s="32"/>
      <c r="Z167" s="5"/>
    </row>
    <row r="168" spans="1:38" x14ac:dyDescent="0.25">
      <c r="A168" s="143">
        <v>22</v>
      </c>
      <c r="B168" s="92">
        <v>45199</v>
      </c>
      <c r="C168" s="31" t="s">
        <v>3747</v>
      </c>
      <c r="D168" s="32"/>
      <c r="E168" s="32" t="s">
        <v>52</v>
      </c>
      <c r="F168" s="32" t="s">
        <v>1300</v>
      </c>
      <c r="G168" s="39" t="s">
        <v>1299</v>
      </c>
      <c r="H168" s="39">
        <v>500</v>
      </c>
      <c r="I168" s="42">
        <v>95</v>
      </c>
      <c r="J168" s="43">
        <v>10</v>
      </c>
      <c r="K168" s="21">
        <f>U168-J168-O168</f>
        <v>-10</v>
      </c>
      <c r="L168" s="21">
        <f t="shared" si="28"/>
        <v>105</v>
      </c>
      <c r="M168" s="21">
        <f>+H168-L168</f>
        <v>395</v>
      </c>
      <c r="N168" s="21"/>
      <c r="O168" s="21"/>
      <c r="P168" s="5"/>
      <c r="Q168" s="32"/>
      <c r="R168" s="32"/>
      <c r="S168" s="21">
        <f t="shared" si="29"/>
        <v>0</v>
      </c>
      <c r="T168" s="32"/>
      <c r="U168" s="78">
        <f>T168-S168-O168</f>
        <v>0</v>
      </c>
      <c r="V168" s="140"/>
      <c r="W168" s="138"/>
      <c r="X168" s="32"/>
      <c r="Z168" s="5"/>
    </row>
    <row r="169" spans="1:38" x14ac:dyDescent="0.25">
      <c r="A169" s="143">
        <v>23</v>
      </c>
      <c r="B169" s="92">
        <v>45199</v>
      </c>
      <c r="C169" s="31" t="s">
        <v>1279</v>
      </c>
      <c r="D169" s="32"/>
      <c r="E169" s="32" t="s">
        <v>52</v>
      </c>
      <c r="F169" s="32" t="s">
        <v>1301</v>
      </c>
      <c r="G169" s="39" t="s">
        <v>1302</v>
      </c>
      <c r="H169" s="39">
        <v>150</v>
      </c>
      <c r="I169" s="42">
        <v>142</v>
      </c>
      <c r="J169" s="43">
        <v>10</v>
      </c>
      <c r="K169" s="21"/>
      <c r="L169" s="21">
        <f t="shared" si="28"/>
        <v>152</v>
      </c>
      <c r="M169" s="21">
        <f>+H169-L169</f>
        <v>-2</v>
      </c>
      <c r="N169" s="21"/>
      <c r="O169" s="21"/>
      <c r="P169" s="5"/>
      <c r="Q169" s="32"/>
      <c r="R169" s="32"/>
      <c r="S169" s="21">
        <f t="shared" si="29"/>
        <v>0</v>
      </c>
      <c r="T169" s="32"/>
      <c r="U169" s="78">
        <f>T169-S169-O169</f>
        <v>0</v>
      </c>
      <c r="V169" s="140"/>
      <c r="W169" s="138"/>
      <c r="X169" s="32"/>
      <c r="Z169" s="5"/>
    </row>
    <row r="170" spans="1:38" x14ac:dyDescent="0.25">
      <c r="A170" s="143">
        <v>24</v>
      </c>
      <c r="B170" s="92">
        <v>45199</v>
      </c>
      <c r="C170" s="31"/>
      <c r="D170" s="32"/>
      <c r="E170" s="32"/>
      <c r="F170" s="32"/>
      <c r="G170" s="39"/>
      <c r="H170" s="39"/>
      <c r="I170" s="42"/>
      <c r="J170" s="43">
        <v>10</v>
      </c>
      <c r="K170" s="21">
        <f>U170-J170-O170</f>
        <v>-10</v>
      </c>
      <c r="L170" s="21">
        <f t="shared" si="28"/>
        <v>10</v>
      </c>
      <c r="M170" s="21">
        <f>+H170-L170</f>
        <v>-10</v>
      </c>
      <c r="N170" s="21"/>
      <c r="O170" s="21"/>
      <c r="P170" s="5"/>
      <c r="Q170" s="32"/>
      <c r="R170" s="32"/>
      <c r="S170" s="21">
        <f t="shared" si="29"/>
        <v>0</v>
      </c>
      <c r="T170" s="32"/>
      <c r="U170" s="78">
        <f>T170-S170-O170</f>
        <v>0</v>
      </c>
      <c r="V170" s="140"/>
      <c r="W170" s="138"/>
      <c r="X170" s="32"/>
      <c r="Z170" s="5"/>
    </row>
    <row r="171" spans="1:38" x14ac:dyDescent="0.25">
      <c r="A171" s="143">
        <v>25</v>
      </c>
      <c r="B171" s="92">
        <v>45199</v>
      </c>
      <c r="C171" s="31"/>
      <c r="D171" s="32"/>
      <c r="E171" s="32"/>
      <c r="F171" s="32"/>
      <c r="G171" s="39"/>
      <c r="H171" s="39"/>
      <c r="I171" s="42"/>
      <c r="J171" s="43">
        <v>10</v>
      </c>
      <c r="K171" s="21">
        <f>U171-J171-O171</f>
        <v>-10</v>
      </c>
      <c r="L171" s="21">
        <f t="shared" si="25"/>
        <v>10</v>
      </c>
      <c r="M171" s="21">
        <f t="shared" si="26"/>
        <v>-10</v>
      </c>
      <c r="N171" s="21"/>
      <c r="O171" s="21"/>
      <c r="P171" s="5"/>
      <c r="Q171" s="32"/>
      <c r="R171" s="32"/>
      <c r="S171" s="21">
        <f t="shared" si="27"/>
        <v>0</v>
      </c>
      <c r="T171" s="32"/>
      <c r="U171" s="78">
        <f>T171-S171-O171</f>
        <v>0</v>
      </c>
      <c r="V171" s="140"/>
      <c r="W171" s="138"/>
      <c r="X171" s="32"/>
      <c r="Z171" s="5"/>
    </row>
    <row r="172" spans="1:38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22"/>
      <c r="V172" s="141"/>
      <c r="W172" s="5"/>
      <c r="X172" s="5"/>
      <c r="Y172" s="5"/>
      <c r="Z172" s="5"/>
    </row>
    <row r="177" spans="1:40" x14ac:dyDescent="0.25">
      <c r="A177" s="1" t="s">
        <v>0</v>
      </c>
      <c r="B177" s="1"/>
      <c r="C177" s="1"/>
      <c r="D177" s="1"/>
      <c r="E177" s="1"/>
      <c r="F177" s="1"/>
      <c r="G177" s="1"/>
      <c r="H177" s="1"/>
      <c r="I177" s="1" t="s">
        <v>148</v>
      </c>
      <c r="J177" s="1"/>
      <c r="K177" s="1"/>
      <c r="L177" s="1"/>
      <c r="M177" s="1"/>
      <c r="N177" s="1"/>
      <c r="O177" s="1"/>
      <c r="P177" s="1"/>
      <c r="Q177" s="1"/>
      <c r="R177" s="1"/>
      <c r="S177" s="342" t="s">
        <v>1</v>
      </c>
      <c r="T177" s="342"/>
      <c r="U177" s="5"/>
      <c r="V177" s="139"/>
      <c r="W177" s="1"/>
      <c r="X177" s="1"/>
      <c r="Y177" s="1"/>
      <c r="Z177" s="5"/>
      <c r="AC177" s="335" t="s">
        <v>160</v>
      </c>
      <c r="AD177" s="336"/>
      <c r="AG177" s="335" t="s">
        <v>170</v>
      </c>
      <c r="AH177" s="336"/>
      <c r="AJ177" s="337" t="s">
        <v>172</v>
      </c>
      <c r="AK177" s="337"/>
      <c r="AM177" s="337" t="s">
        <v>681</v>
      </c>
      <c r="AN177" s="337"/>
    </row>
    <row r="178" spans="1:40" ht="90" x14ac:dyDescent="0.25">
      <c r="A178" s="6" t="s">
        <v>2</v>
      </c>
      <c r="B178" s="7" t="s">
        <v>3</v>
      </c>
      <c r="C178" s="7" t="s">
        <v>4</v>
      </c>
      <c r="D178" s="6" t="s">
        <v>5</v>
      </c>
      <c r="E178" s="6" t="s">
        <v>6</v>
      </c>
      <c r="F178" s="6" t="s">
        <v>7</v>
      </c>
      <c r="G178" s="6" t="s">
        <v>8</v>
      </c>
      <c r="H178" s="8" t="s">
        <v>9</v>
      </c>
      <c r="I178" s="9" t="s">
        <v>10</v>
      </c>
      <c r="J178" s="8" t="s">
        <v>11</v>
      </c>
      <c r="K178" s="10" t="s">
        <v>12</v>
      </c>
      <c r="L178" s="10" t="s">
        <v>13</v>
      </c>
      <c r="M178" s="11" t="s">
        <v>14</v>
      </c>
      <c r="N178" s="10" t="s">
        <v>691</v>
      </c>
      <c r="O178" s="10" t="s">
        <v>28</v>
      </c>
      <c r="P178" s="5"/>
      <c r="Q178" s="10" t="s">
        <v>16</v>
      </c>
      <c r="R178" s="10" t="s">
        <v>17</v>
      </c>
      <c r="S178" s="10" t="s">
        <v>18</v>
      </c>
      <c r="T178" s="10" t="s">
        <v>19</v>
      </c>
      <c r="U178" s="10" t="s">
        <v>20</v>
      </c>
      <c r="V178" s="13"/>
      <c r="W178" s="136" t="s">
        <v>688</v>
      </c>
      <c r="X178" s="14" t="s">
        <v>22</v>
      </c>
      <c r="Y178" s="15" t="s">
        <v>23</v>
      </c>
      <c r="Z178" s="5"/>
      <c r="AC178" s="16" t="s">
        <v>161</v>
      </c>
      <c r="AD178" s="58">
        <f>+AB178*10</f>
        <v>0</v>
      </c>
      <c r="AF178">
        <v>5</v>
      </c>
      <c r="AG178" s="16" t="s">
        <v>161</v>
      </c>
      <c r="AH178" s="58">
        <f>+AF178*10</f>
        <v>50</v>
      </c>
      <c r="AJ178" s="61" t="s">
        <v>173</v>
      </c>
      <c r="AK178" s="62" t="s">
        <v>174</v>
      </c>
      <c r="AM178" s="16" t="s">
        <v>161</v>
      </c>
      <c r="AN178" s="58">
        <f>+AL178*10</f>
        <v>0</v>
      </c>
    </row>
    <row r="179" spans="1:40" x14ac:dyDescent="0.25">
      <c r="A179" s="16">
        <v>1</v>
      </c>
      <c r="B179" s="92">
        <v>45200</v>
      </c>
      <c r="C179" s="31" t="s">
        <v>1306</v>
      </c>
      <c r="D179" s="32"/>
      <c r="E179" s="32" t="s">
        <v>38</v>
      </c>
      <c r="F179" s="39" t="s">
        <v>1332</v>
      </c>
      <c r="G179" s="39" t="s">
        <v>1304</v>
      </c>
      <c r="H179" s="122">
        <v>115</v>
      </c>
      <c r="I179" s="32">
        <v>105</v>
      </c>
      <c r="J179" s="20">
        <v>10</v>
      </c>
      <c r="K179" s="21">
        <f>U179-J179-O179</f>
        <v>105</v>
      </c>
      <c r="L179" s="21">
        <f t="shared" ref="L179:L197" si="30">+I179+J179</f>
        <v>115</v>
      </c>
      <c r="M179" s="21">
        <f t="shared" ref="M179:M197" si="31">+H179-L179</f>
        <v>0</v>
      </c>
      <c r="N179" s="21"/>
      <c r="O179" s="21"/>
      <c r="P179" s="5"/>
      <c r="Q179" s="21"/>
      <c r="R179" s="16"/>
      <c r="S179" s="21">
        <f t="shared" ref="S179:S197" si="32">+Q179+R179</f>
        <v>0</v>
      </c>
      <c r="T179" s="21">
        <v>115</v>
      </c>
      <c r="U179" s="78">
        <f>T179-S179-O179</f>
        <v>115</v>
      </c>
      <c r="V179" s="13"/>
      <c r="W179" s="147"/>
      <c r="X179" s="23"/>
      <c r="Y179" s="333"/>
      <c r="Z179" s="5"/>
      <c r="AC179" s="59" t="s">
        <v>162</v>
      </c>
      <c r="AD179" s="18">
        <f>+AB179*1</f>
        <v>0</v>
      </c>
      <c r="AF179">
        <v>127</v>
      </c>
      <c r="AG179" s="59" t="s">
        <v>162</v>
      </c>
      <c r="AH179" s="18">
        <f>+AF179*1</f>
        <v>127</v>
      </c>
      <c r="AJ179" s="16">
        <v>1962</v>
      </c>
      <c r="AK179" s="16"/>
      <c r="AM179" s="59" t="s">
        <v>162</v>
      </c>
      <c r="AN179" s="18">
        <f>+AL179*1</f>
        <v>0</v>
      </c>
    </row>
    <row r="180" spans="1:40" x14ac:dyDescent="0.25">
      <c r="A180" s="26">
        <v>2</v>
      </c>
      <c r="B180" s="92">
        <v>45200</v>
      </c>
      <c r="C180" s="31" t="s">
        <v>1307</v>
      </c>
      <c r="D180" s="32"/>
      <c r="E180" s="32" t="s">
        <v>892</v>
      </c>
      <c r="F180" s="32" t="s">
        <v>1330</v>
      </c>
      <c r="G180" s="39" t="s">
        <v>1305</v>
      </c>
      <c r="H180" s="122">
        <v>35</v>
      </c>
      <c r="I180" s="32">
        <v>22</v>
      </c>
      <c r="J180" s="20">
        <v>10</v>
      </c>
      <c r="K180" s="21">
        <f t="shared" ref="K180:K197" si="33">U180-J180-O180</f>
        <v>2</v>
      </c>
      <c r="L180" s="21">
        <f t="shared" si="30"/>
        <v>32</v>
      </c>
      <c r="M180" s="21">
        <f t="shared" si="31"/>
        <v>3</v>
      </c>
      <c r="N180" s="21"/>
      <c r="O180" s="21"/>
      <c r="P180" s="5"/>
      <c r="Q180" s="21"/>
      <c r="R180" s="16"/>
      <c r="S180" s="21">
        <f t="shared" si="32"/>
        <v>0</v>
      </c>
      <c r="T180" s="21">
        <v>32</v>
      </c>
      <c r="U180" s="78">
        <v>12</v>
      </c>
      <c r="V180" s="140"/>
      <c r="W180" s="147"/>
      <c r="X180" s="23"/>
      <c r="Y180" s="334"/>
      <c r="Z180" s="5"/>
      <c r="AC180" s="16" t="s">
        <v>163</v>
      </c>
      <c r="AD180" s="60">
        <f>+AB180*5</f>
        <v>0</v>
      </c>
      <c r="AF180">
        <v>37</v>
      </c>
      <c r="AG180" s="16" t="s">
        <v>163</v>
      </c>
      <c r="AH180" s="60">
        <f>+AF180*5</f>
        <v>185</v>
      </c>
      <c r="AJ180" s="16"/>
      <c r="AK180" s="16"/>
      <c r="AM180" s="16" t="s">
        <v>163</v>
      </c>
      <c r="AN180" s="60">
        <f>+AL180*5</f>
        <v>0</v>
      </c>
    </row>
    <row r="181" spans="1:40" x14ac:dyDescent="0.25">
      <c r="A181" s="143">
        <v>3</v>
      </c>
      <c r="B181" s="92">
        <v>45200</v>
      </c>
      <c r="C181" s="31" t="s">
        <v>1308</v>
      </c>
      <c r="D181" s="32"/>
      <c r="E181" s="32" t="s">
        <v>52</v>
      </c>
      <c r="F181" s="32" t="s">
        <v>1331</v>
      </c>
      <c r="G181" s="39" t="s">
        <v>1309</v>
      </c>
      <c r="H181" s="122">
        <v>100</v>
      </c>
      <c r="I181" s="32">
        <v>100</v>
      </c>
      <c r="J181" s="20"/>
      <c r="K181" s="21"/>
      <c r="L181" s="21">
        <f t="shared" si="30"/>
        <v>100</v>
      </c>
      <c r="M181" s="21">
        <f t="shared" si="31"/>
        <v>0</v>
      </c>
      <c r="N181" s="21"/>
      <c r="O181" s="21">
        <v>100</v>
      </c>
      <c r="P181" s="5"/>
      <c r="Q181" s="21"/>
      <c r="R181" s="16"/>
      <c r="S181" s="21">
        <f t="shared" si="32"/>
        <v>0</v>
      </c>
      <c r="T181" s="21">
        <v>100</v>
      </c>
      <c r="U181" s="78">
        <v>0</v>
      </c>
      <c r="V181" s="140"/>
      <c r="W181" s="147"/>
      <c r="X181" s="23"/>
      <c r="Y181" s="334"/>
      <c r="Z181" s="5"/>
      <c r="AC181" s="16" t="s">
        <v>164</v>
      </c>
      <c r="AD181" s="18">
        <f>+AB181*200</f>
        <v>0</v>
      </c>
      <c r="AG181" s="16" t="s">
        <v>164</v>
      </c>
      <c r="AH181" s="18">
        <f>+AF181*200</f>
        <v>0</v>
      </c>
      <c r="AJ181" s="16"/>
      <c r="AK181" s="16"/>
      <c r="AM181" s="16" t="s">
        <v>164</v>
      </c>
      <c r="AN181" s="18">
        <f>+AL181*200</f>
        <v>0</v>
      </c>
    </row>
    <row r="182" spans="1:40" x14ac:dyDescent="0.25">
      <c r="A182" s="143">
        <v>4</v>
      </c>
      <c r="B182" s="92">
        <v>45200</v>
      </c>
      <c r="C182" s="31" t="s">
        <v>1306</v>
      </c>
      <c r="D182" s="32"/>
      <c r="E182" s="32" t="s">
        <v>52</v>
      </c>
      <c r="F182" s="32" t="s">
        <v>1312</v>
      </c>
      <c r="G182" s="39" t="s">
        <v>384</v>
      </c>
      <c r="H182" s="122">
        <v>65</v>
      </c>
      <c r="I182" s="32">
        <v>44</v>
      </c>
      <c r="J182" s="20">
        <v>10</v>
      </c>
      <c r="K182" s="21">
        <v>11</v>
      </c>
      <c r="L182" s="21">
        <f t="shared" si="30"/>
        <v>54</v>
      </c>
      <c r="M182" s="21"/>
      <c r="N182" s="21"/>
      <c r="O182" s="21">
        <v>44</v>
      </c>
      <c r="P182" s="5"/>
      <c r="Q182" s="21"/>
      <c r="R182" s="16"/>
      <c r="S182" s="21">
        <f t="shared" si="32"/>
        <v>0</v>
      </c>
      <c r="T182" s="21">
        <v>65</v>
      </c>
      <c r="U182" s="78">
        <f>T182-S182-O182</f>
        <v>21</v>
      </c>
      <c r="V182" s="140"/>
      <c r="W182" s="147"/>
      <c r="X182" s="23"/>
      <c r="Y182" s="334"/>
      <c r="Z182" s="5"/>
      <c r="AC182" s="16" t="s">
        <v>165</v>
      </c>
      <c r="AD182" s="18">
        <f>+AB182*100</f>
        <v>0</v>
      </c>
      <c r="AF182">
        <v>2</v>
      </c>
      <c r="AG182" s="16" t="s">
        <v>165</v>
      </c>
      <c r="AH182" s="18">
        <f>+AF182*100</f>
        <v>200</v>
      </c>
      <c r="AJ182" s="16"/>
      <c r="AK182" s="16"/>
      <c r="AM182" s="16" t="s">
        <v>165</v>
      </c>
      <c r="AN182" s="18">
        <f>+AL182*100</f>
        <v>0</v>
      </c>
    </row>
    <row r="183" spans="1:40" x14ac:dyDescent="0.25">
      <c r="A183" s="143">
        <v>5</v>
      </c>
      <c r="B183" s="92">
        <v>45200</v>
      </c>
      <c r="C183" s="31" t="s">
        <v>1311</v>
      </c>
      <c r="D183" s="32"/>
      <c r="E183" s="32" t="s">
        <v>968</v>
      </c>
      <c r="F183" s="32" t="s">
        <v>231</v>
      </c>
      <c r="G183" s="31" t="s">
        <v>1310</v>
      </c>
      <c r="H183" s="122">
        <v>76</v>
      </c>
      <c r="I183" s="32">
        <v>66</v>
      </c>
      <c r="J183" s="20">
        <v>10</v>
      </c>
      <c r="K183" s="21">
        <f t="shared" si="33"/>
        <v>0</v>
      </c>
      <c r="L183" s="21">
        <f t="shared" si="30"/>
        <v>76</v>
      </c>
      <c r="M183" s="21">
        <f t="shared" si="31"/>
        <v>0</v>
      </c>
      <c r="N183" s="21"/>
      <c r="O183" s="21"/>
      <c r="P183" s="5"/>
      <c r="Q183" s="16"/>
      <c r="R183" s="16"/>
      <c r="S183" s="21">
        <f t="shared" si="32"/>
        <v>0</v>
      </c>
      <c r="T183" s="21">
        <v>86</v>
      </c>
      <c r="U183" s="78">
        <v>10</v>
      </c>
      <c r="V183" s="140"/>
      <c r="W183" s="147"/>
      <c r="X183" s="23"/>
      <c r="Y183" s="334"/>
      <c r="Z183" s="5"/>
      <c r="AC183" s="16" t="s">
        <v>166</v>
      </c>
      <c r="AD183" s="18">
        <f>+AB183*50</f>
        <v>0</v>
      </c>
      <c r="AF183">
        <v>1</v>
      </c>
      <c r="AG183" s="16" t="s">
        <v>166</v>
      </c>
      <c r="AH183" s="18">
        <f>+AF183*50</f>
        <v>50</v>
      </c>
      <c r="AJ183" s="16"/>
      <c r="AK183" s="16"/>
      <c r="AM183" s="16" t="s">
        <v>166</v>
      </c>
      <c r="AN183" s="18">
        <f>+AL183*50</f>
        <v>0</v>
      </c>
    </row>
    <row r="184" spans="1:40" x14ac:dyDescent="0.25">
      <c r="A184" s="143">
        <v>6</v>
      </c>
      <c r="B184" s="92">
        <v>45200</v>
      </c>
      <c r="C184" s="31" t="s">
        <v>1306</v>
      </c>
      <c r="D184" s="32"/>
      <c r="E184" s="32" t="s">
        <v>674</v>
      </c>
      <c r="F184" s="32" t="s">
        <v>1312</v>
      </c>
      <c r="G184" s="39" t="s">
        <v>1313</v>
      </c>
      <c r="H184" s="39">
        <v>255</v>
      </c>
      <c r="I184" s="42">
        <v>148</v>
      </c>
      <c r="J184" s="20">
        <v>10</v>
      </c>
      <c r="K184" s="21">
        <f t="shared" si="33"/>
        <v>10</v>
      </c>
      <c r="L184" s="21">
        <f t="shared" si="30"/>
        <v>158</v>
      </c>
      <c r="M184" s="21"/>
      <c r="N184" s="21"/>
      <c r="O184" s="21"/>
      <c r="P184" s="5"/>
      <c r="Q184" s="16"/>
      <c r="R184" s="16"/>
      <c r="S184" s="21">
        <f t="shared" si="32"/>
        <v>0</v>
      </c>
      <c r="T184" s="16">
        <v>168</v>
      </c>
      <c r="U184" s="78">
        <v>20</v>
      </c>
      <c r="V184" s="140"/>
      <c r="W184" s="147"/>
      <c r="X184" s="23"/>
      <c r="Y184" s="334"/>
      <c r="Z184" s="5"/>
      <c r="AC184" s="16" t="s">
        <v>167</v>
      </c>
      <c r="AD184" s="18">
        <f>+AB184*20</f>
        <v>0</v>
      </c>
      <c r="AF184">
        <v>5</v>
      </c>
      <c r="AG184" s="16" t="s">
        <v>167</v>
      </c>
      <c r="AH184" s="18">
        <f>+AF184*20</f>
        <v>100</v>
      </c>
      <c r="AJ184" s="16"/>
      <c r="AK184" s="16"/>
      <c r="AM184" s="16" t="s">
        <v>167</v>
      </c>
      <c r="AN184" s="18">
        <f>+AL184*20</f>
        <v>0</v>
      </c>
    </row>
    <row r="185" spans="1:40" x14ac:dyDescent="0.25">
      <c r="A185" s="143">
        <v>7</v>
      </c>
      <c r="B185" s="92">
        <v>45200</v>
      </c>
      <c r="C185" s="31" t="s">
        <v>1306</v>
      </c>
      <c r="D185" s="32"/>
      <c r="E185" s="32" t="s">
        <v>52</v>
      </c>
      <c r="F185" s="32" t="s">
        <v>1312</v>
      </c>
      <c r="G185" s="39" t="s">
        <v>384</v>
      </c>
      <c r="H185" s="122">
        <v>100</v>
      </c>
      <c r="I185" s="42">
        <v>44</v>
      </c>
      <c r="J185" s="20">
        <v>10</v>
      </c>
      <c r="K185" s="21">
        <f t="shared" si="33"/>
        <v>-44</v>
      </c>
      <c r="L185" s="21">
        <f t="shared" si="30"/>
        <v>54</v>
      </c>
      <c r="M185" s="21">
        <f t="shared" si="31"/>
        <v>46</v>
      </c>
      <c r="N185" s="21"/>
      <c r="O185" s="21">
        <v>44</v>
      </c>
      <c r="P185" s="5"/>
      <c r="Q185" s="16"/>
      <c r="R185" s="16"/>
      <c r="S185" s="21">
        <f t="shared" si="32"/>
        <v>0</v>
      </c>
      <c r="T185" s="16">
        <v>100</v>
      </c>
      <c r="U185" s="78">
        <v>10</v>
      </c>
      <c r="V185" s="140"/>
      <c r="W185" s="147"/>
      <c r="X185" s="23"/>
      <c r="Y185" s="334"/>
      <c r="Z185" s="5"/>
      <c r="AC185" s="16" t="s">
        <v>171</v>
      </c>
      <c r="AD185" s="18">
        <f>+AB185*500</f>
        <v>0</v>
      </c>
      <c r="AF185">
        <v>2</v>
      </c>
      <c r="AG185" s="16" t="s">
        <v>171</v>
      </c>
      <c r="AH185" s="18">
        <f>+AF185*500</f>
        <v>1000</v>
      </c>
      <c r="AJ185" s="16"/>
      <c r="AK185" s="16"/>
      <c r="AM185" s="16" t="s">
        <v>171</v>
      </c>
      <c r="AN185" s="18">
        <f>+AL185*500</f>
        <v>0</v>
      </c>
    </row>
    <row r="186" spans="1:40" x14ac:dyDescent="0.25">
      <c r="A186" s="143">
        <v>8</v>
      </c>
      <c r="B186" s="92">
        <v>45200</v>
      </c>
      <c r="C186" s="31" t="s">
        <v>3748</v>
      </c>
      <c r="D186" s="123"/>
      <c r="E186" s="123" t="s">
        <v>38</v>
      </c>
      <c r="F186" s="123" t="s">
        <v>1314</v>
      </c>
      <c r="G186" s="39" t="s">
        <v>1315</v>
      </c>
      <c r="H186" s="122">
        <v>80</v>
      </c>
      <c r="I186" s="32">
        <v>70</v>
      </c>
      <c r="J186" s="20">
        <v>10</v>
      </c>
      <c r="K186" s="21">
        <f t="shared" si="33"/>
        <v>0</v>
      </c>
      <c r="L186" s="21">
        <f t="shared" si="30"/>
        <v>80</v>
      </c>
      <c r="M186" s="21">
        <f t="shared" si="31"/>
        <v>0</v>
      </c>
      <c r="N186" s="21">
        <v>50</v>
      </c>
      <c r="O186" s="21"/>
      <c r="P186" s="5"/>
      <c r="Q186" s="16"/>
      <c r="R186" s="16"/>
      <c r="S186" s="21">
        <f t="shared" si="32"/>
        <v>0</v>
      </c>
      <c r="T186" s="16">
        <v>80</v>
      </c>
      <c r="U186" s="78">
        <v>10</v>
      </c>
      <c r="V186" s="140"/>
      <c r="W186" s="147"/>
      <c r="X186" s="23"/>
      <c r="Y186" s="334"/>
      <c r="Z186" s="5"/>
      <c r="AC186" s="16" t="s">
        <v>168</v>
      </c>
      <c r="AD186" s="18">
        <f>+AB186*1000</f>
        <v>0</v>
      </c>
      <c r="AG186" s="16" t="s">
        <v>168</v>
      </c>
      <c r="AH186" s="18">
        <f>+AF186*1000</f>
        <v>0</v>
      </c>
      <c r="AJ186" s="16"/>
      <c r="AK186" s="16"/>
      <c r="AM186" s="16" t="s">
        <v>168</v>
      </c>
      <c r="AN186" s="18">
        <f>+AL186*1000</f>
        <v>0</v>
      </c>
    </row>
    <row r="187" spans="1:40" x14ac:dyDescent="0.25">
      <c r="A187" s="143">
        <v>9</v>
      </c>
      <c r="B187" s="92">
        <v>45200</v>
      </c>
      <c r="C187" s="31" t="s">
        <v>3749</v>
      </c>
      <c r="D187" s="32"/>
      <c r="E187" s="32" t="s">
        <v>52</v>
      </c>
      <c r="F187" s="32" t="s">
        <v>1317</v>
      </c>
      <c r="G187" s="39" t="s">
        <v>1316</v>
      </c>
      <c r="H187" s="39">
        <v>48</v>
      </c>
      <c r="I187" s="40">
        <v>38</v>
      </c>
      <c r="J187" s="20">
        <v>10</v>
      </c>
      <c r="K187" s="21">
        <f t="shared" si="33"/>
        <v>-12</v>
      </c>
      <c r="L187" s="21">
        <f t="shared" si="30"/>
        <v>48</v>
      </c>
      <c r="M187" s="21">
        <f t="shared" si="31"/>
        <v>0</v>
      </c>
      <c r="N187" s="21"/>
      <c r="O187" s="21">
        <v>17</v>
      </c>
      <c r="P187" s="5"/>
      <c r="Q187" s="16"/>
      <c r="R187" s="16"/>
      <c r="S187" s="21">
        <f t="shared" si="32"/>
        <v>0</v>
      </c>
      <c r="T187" s="16">
        <v>115</v>
      </c>
      <c r="U187" s="78">
        <v>15</v>
      </c>
      <c r="V187" s="140"/>
      <c r="W187" s="147"/>
      <c r="X187" s="23"/>
      <c r="Y187" s="334"/>
      <c r="Z187" s="5"/>
      <c r="AC187" s="26"/>
      <c r="AD187" s="58"/>
      <c r="AG187" s="26"/>
      <c r="AH187" s="58"/>
      <c r="AJ187" s="16"/>
      <c r="AK187" s="16"/>
      <c r="AM187" s="26"/>
      <c r="AN187" s="58"/>
    </row>
    <row r="188" spans="1:40" x14ac:dyDescent="0.25">
      <c r="A188" s="143">
        <v>10</v>
      </c>
      <c r="B188" s="92">
        <v>45200</v>
      </c>
      <c r="C188" s="31" t="s">
        <v>3750</v>
      </c>
      <c r="D188" s="32"/>
      <c r="E188" s="32" t="s">
        <v>52</v>
      </c>
      <c r="F188" s="32" t="s">
        <v>482</v>
      </c>
      <c r="G188" s="39" t="s">
        <v>1318</v>
      </c>
      <c r="H188" s="122">
        <v>200</v>
      </c>
      <c r="I188" s="42">
        <v>87</v>
      </c>
      <c r="J188" s="20">
        <v>10</v>
      </c>
      <c r="K188" s="21">
        <f t="shared" si="33"/>
        <v>-184</v>
      </c>
      <c r="L188" s="21">
        <f t="shared" si="30"/>
        <v>97</v>
      </c>
      <c r="M188" s="21">
        <f t="shared" si="31"/>
        <v>103</v>
      </c>
      <c r="N188" s="21"/>
      <c r="O188" s="21">
        <v>87</v>
      </c>
      <c r="P188" s="5"/>
      <c r="Q188" s="16"/>
      <c r="R188" s="16"/>
      <c r="S188" s="21">
        <f t="shared" si="32"/>
        <v>0</v>
      </c>
      <c r="T188" s="16"/>
      <c r="U188" s="78">
        <f>T188-S188-O188</f>
        <v>-87</v>
      </c>
      <c r="V188" s="140"/>
      <c r="W188" s="147"/>
      <c r="X188" s="23"/>
      <c r="Y188" s="334"/>
      <c r="Z188" s="5"/>
      <c r="AC188" s="16" t="s">
        <v>169</v>
      </c>
      <c r="AD188" s="18">
        <f>SUM(AD178:AD187)</f>
        <v>0</v>
      </c>
      <c r="AG188" s="16" t="s">
        <v>169</v>
      </c>
      <c r="AH188" s="18">
        <f>SUM(AH178:AH187)</f>
        <v>1712</v>
      </c>
      <c r="AJ188" s="16"/>
      <c r="AK188" s="16"/>
      <c r="AM188" s="16" t="s">
        <v>169</v>
      </c>
      <c r="AN188" s="18"/>
    </row>
    <row r="189" spans="1:40" x14ac:dyDescent="0.25">
      <c r="A189" s="143">
        <v>11</v>
      </c>
      <c r="B189" s="92">
        <v>45200</v>
      </c>
      <c r="C189" s="31" t="s">
        <v>1319</v>
      </c>
      <c r="D189" s="124"/>
      <c r="E189" s="123" t="s">
        <v>52</v>
      </c>
      <c r="F189" s="123" t="s">
        <v>1320</v>
      </c>
      <c r="G189" s="39" t="s">
        <v>1321</v>
      </c>
      <c r="H189" s="122">
        <v>100</v>
      </c>
      <c r="I189" s="42">
        <v>69</v>
      </c>
      <c r="J189" s="20">
        <v>10</v>
      </c>
      <c r="K189" s="21">
        <f t="shared" si="33"/>
        <v>-49</v>
      </c>
      <c r="L189" s="21">
        <f t="shared" si="30"/>
        <v>79</v>
      </c>
      <c r="M189" s="21">
        <f t="shared" si="31"/>
        <v>21</v>
      </c>
      <c r="N189" s="21"/>
      <c r="O189" s="21">
        <v>69</v>
      </c>
      <c r="P189" s="5"/>
      <c r="Q189" s="16"/>
      <c r="R189" s="16"/>
      <c r="S189" s="21">
        <f t="shared" si="32"/>
        <v>0</v>
      </c>
      <c r="T189" s="16">
        <v>120</v>
      </c>
      <c r="U189" s="78">
        <v>30</v>
      </c>
      <c r="V189" s="140"/>
      <c r="W189" s="147"/>
      <c r="X189" s="23"/>
      <c r="Y189" s="334"/>
      <c r="Z189" s="5"/>
      <c r="AJ189" s="16"/>
      <c r="AK189" s="16"/>
      <c r="AM189" s="16"/>
      <c r="AN189" s="16"/>
    </row>
    <row r="190" spans="1:40" x14ac:dyDescent="0.25">
      <c r="A190" s="143">
        <v>12</v>
      </c>
      <c r="B190" s="92">
        <v>45200</v>
      </c>
      <c r="C190" s="32" t="s">
        <v>1323</v>
      </c>
      <c r="D190" s="32">
        <v>5514261216</v>
      </c>
      <c r="E190" s="124" t="s">
        <v>52</v>
      </c>
      <c r="F190" s="123">
        <v>844</v>
      </c>
      <c r="G190" s="39" t="s">
        <v>1322</v>
      </c>
      <c r="H190" s="39">
        <v>200</v>
      </c>
      <c r="I190" s="42">
        <v>101</v>
      </c>
      <c r="J190" s="20">
        <v>10</v>
      </c>
      <c r="K190" s="21">
        <f t="shared" si="33"/>
        <v>0</v>
      </c>
      <c r="L190" s="21">
        <f t="shared" si="30"/>
        <v>111</v>
      </c>
      <c r="M190" s="21">
        <f t="shared" si="31"/>
        <v>89</v>
      </c>
      <c r="N190" s="21"/>
      <c r="O190" s="21"/>
      <c r="P190" s="5"/>
      <c r="Q190" s="45"/>
      <c r="R190" s="44"/>
      <c r="S190" s="21">
        <f t="shared" si="32"/>
        <v>0</v>
      </c>
      <c r="T190" s="45">
        <v>200</v>
      </c>
      <c r="U190" s="78">
        <v>10</v>
      </c>
      <c r="V190" s="140"/>
      <c r="W190" s="147"/>
      <c r="X190" s="23"/>
      <c r="Y190" s="334"/>
      <c r="Z190" s="5"/>
      <c r="AJ190" s="63" t="s">
        <v>169</v>
      </c>
      <c r="AK190" s="63">
        <f>+SUM(AJ179:AJ189)-SUM(AK179:AK189)</f>
        <v>1962</v>
      </c>
      <c r="AM190" s="63" t="s">
        <v>169</v>
      </c>
      <c r="AN190" s="85">
        <f>+SUM(AM178:AM189)-SUM(AN179:AN189)</f>
        <v>0</v>
      </c>
    </row>
    <row r="191" spans="1:40" x14ac:dyDescent="0.25">
      <c r="A191" s="143">
        <v>13</v>
      </c>
      <c r="B191" s="92">
        <v>45200</v>
      </c>
      <c r="C191" s="31" t="s">
        <v>1324</v>
      </c>
      <c r="D191" s="32"/>
      <c r="E191" s="32"/>
      <c r="F191" s="32" t="s">
        <v>625</v>
      </c>
      <c r="G191" s="32" t="s">
        <v>1325</v>
      </c>
      <c r="H191" s="39">
        <v>110</v>
      </c>
      <c r="I191" s="42">
        <v>100</v>
      </c>
      <c r="J191" s="108">
        <v>10</v>
      </c>
      <c r="K191" s="21">
        <f t="shared" si="33"/>
        <v>0</v>
      </c>
      <c r="L191" s="21">
        <f t="shared" si="30"/>
        <v>110</v>
      </c>
      <c r="M191" s="21">
        <f t="shared" si="31"/>
        <v>0</v>
      </c>
      <c r="N191" s="21"/>
      <c r="O191" s="21"/>
      <c r="P191" s="5"/>
      <c r="Q191" s="43"/>
      <c r="R191" s="32"/>
      <c r="S191" s="21">
        <f t="shared" si="32"/>
        <v>0</v>
      </c>
      <c r="T191" s="43">
        <v>110</v>
      </c>
      <c r="U191" s="78">
        <v>10</v>
      </c>
      <c r="V191" s="140"/>
      <c r="W191" s="147"/>
      <c r="X191" s="23"/>
      <c r="Y191" s="334"/>
      <c r="Z191" s="5"/>
      <c r="AH191" s="83"/>
    </row>
    <row r="192" spans="1:40" x14ac:dyDescent="0.25">
      <c r="A192" s="143">
        <v>14</v>
      </c>
      <c r="B192" s="92">
        <v>45200</v>
      </c>
      <c r="C192" s="31" t="s">
        <v>1327</v>
      </c>
      <c r="D192" s="32"/>
      <c r="E192" s="32"/>
      <c r="F192" s="32" t="s">
        <v>1328</v>
      </c>
      <c r="G192" s="32" t="s">
        <v>1326</v>
      </c>
      <c r="H192" s="39">
        <v>41</v>
      </c>
      <c r="I192" s="42">
        <v>31</v>
      </c>
      <c r="J192" s="108">
        <v>10</v>
      </c>
      <c r="K192" s="21">
        <f t="shared" si="33"/>
        <v>0</v>
      </c>
      <c r="L192" s="21">
        <f t="shared" si="30"/>
        <v>41</v>
      </c>
      <c r="M192" s="21">
        <f t="shared" si="31"/>
        <v>0</v>
      </c>
      <c r="N192" s="21"/>
      <c r="O192" s="21"/>
      <c r="P192" s="5"/>
      <c r="Q192" s="43"/>
      <c r="R192" s="43"/>
      <c r="S192" s="21">
        <f t="shared" si="32"/>
        <v>0</v>
      </c>
      <c r="T192" s="43">
        <v>41</v>
      </c>
      <c r="U192" s="78">
        <v>10</v>
      </c>
      <c r="V192" s="140"/>
      <c r="W192" s="147"/>
      <c r="X192" s="23"/>
      <c r="Y192" s="334"/>
      <c r="Z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x14ac:dyDescent="0.25">
      <c r="A193" s="143">
        <v>15</v>
      </c>
      <c r="B193" s="92">
        <v>45200</v>
      </c>
      <c r="C193" s="127" t="s">
        <v>478</v>
      </c>
      <c r="D193" s="32"/>
      <c r="E193" s="32" t="s">
        <v>672</v>
      </c>
      <c r="F193" s="128" t="s">
        <v>1329</v>
      </c>
      <c r="G193" s="129" t="s">
        <v>1333</v>
      </c>
      <c r="H193" s="39">
        <v>200</v>
      </c>
      <c r="I193" s="42">
        <v>135</v>
      </c>
      <c r="J193" s="108">
        <v>20</v>
      </c>
      <c r="K193" s="21">
        <v>0</v>
      </c>
      <c r="L193" s="21">
        <f t="shared" si="30"/>
        <v>155</v>
      </c>
      <c r="M193" s="21">
        <f t="shared" si="31"/>
        <v>45</v>
      </c>
      <c r="N193" s="21"/>
      <c r="O193" s="21"/>
      <c r="P193" s="5"/>
      <c r="Q193" s="43"/>
      <c r="R193" s="43"/>
      <c r="S193" s="21">
        <f t="shared" si="32"/>
        <v>0</v>
      </c>
      <c r="T193" s="43">
        <v>150</v>
      </c>
      <c r="U193" s="78">
        <v>20</v>
      </c>
      <c r="V193" s="140"/>
      <c r="W193" s="147"/>
      <c r="X193" s="23"/>
      <c r="Y193" s="334"/>
      <c r="Z193" s="5"/>
      <c r="AC193" s="5"/>
      <c r="AD193" s="134" t="s">
        <v>20</v>
      </c>
      <c r="AE193" s="338"/>
      <c r="AF193" s="341" t="s">
        <v>686</v>
      </c>
      <c r="AG193" s="134" t="s">
        <v>20</v>
      </c>
      <c r="AH193" s="338"/>
      <c r="AI193" s="341" t="s">
        <v>687</v>
      </c>
      <c r="AJ193" s="134" t="s">
        <v>20</v>
      </c>
      <c r="AK193" s="338"/>
      <c r="AL193" s="5"/>
    </row>
    <row r="194" spans="1:38" x14ac:dyDescent="0.25">
      <c r="A194" s="143">
        <v>16</v>
      </c>
      <c r="B194" s="142">
        <v>45200</v>
      </c>
      <c r="C194" s="31" t="s">
        <v>1335</v>
      </c>
      <c r="D194" s="32"/>
      <c r="E194" s="32" t="s">
        <v>52</v>
      </c>
      <c r="F194" s="32" t="s">
        <v>577</v>
      </c>
      <c r="G194" s="39" t="s">
        <v>1334</v>
      </c>
      <c r="H194" s="39">
        <v>200</v>
      </c>
      <c r="I194" s="42">
        <v>95</v>
      </c>
      <c r="J194" s="43">
        <v>10</v>
      </c>
      <c r="K194" s="21">
        <v>10</v>
      </c>
      <c r="L194" s="21">
        <f t="shared" si="30"/>
        <v>105</v>
      </c>
      <c r="M194" s="21">
        <f t="shared" si="31"/>
        <v>95</v>
      </c>
      <c r="N194" s="21"/>
      <c r="O194" s="21"/>
      <c r="P194" s="5"/>
      <c r="Q194" s="43"/>
      <c r="R194" s="32"/>
      <c r="S194" s="21">
        <f t="shared" si="32"/>
        <v>0</v>
      </c>
      <c r="T194" s="131">
        <v>200</v>
      </c>
      <c r="U194" s="78">
        <v>10</v>
      </c>
      <c r="V194" s="140"/>
      <c r="W194" s="147"/>
      <c r="X194" s="23"/>
      <c r="Y194" s="334"/>
      <c r="Z194" s="5"/>
      <c r="AC194" s="5" t="s">
        <v>685</v>
      </c>
      <c r="AD194" s="115" t="s">
        <v>684</v>
      </c>
      <c r="AE194" s="339"/>
      <c r="AF194" s="341"/>
      <c r="AG194" s="115" t="s">
        <v>684</v>
      </c>
      <c r="AH194" s="339"/>
      <c r="AI194" s="341"/>
      <c r="AJ194" s="115" t="s">
        <v>684</v>
      </c>
      <c r="AK194" s="339"/>
      <c r="AL194" s="5"/>
    </row>
    <row r="195" spans="1:38" x14ac:dyDescent="0.25">
      <c r="A195" s="143">
        <v>17</v>
      </c>
      <c r="B195" s="92">
        <v>45200</v>
      </c>
      <c r="C195" s="31" t="s">
        <v>1337</v>
      </c>
      <c r="D195" s="32"/>
      <c r="E195" s="32" t="s">
        <v>52</v>
      </c>
      <c r="F195" s="32" t="s">
        <v>220</v>
      </c>
      <c r="G195" s="39" t="s">
        <v>1338</v>
      </c>
      <c r="H195" s="39">
        <v>105</v>
      </c>
      <c r="I195" s="42">
        <v>95</v>
      </c>
      <c r="J195" s="43">
        <v>10</v>
      </c>
      <c r="K195" s="21">
        <f t="shared" si="33"/>
        <v>-10</v>
      </c>
      <c r="L195" s="21">
        <f t="shared" si="30"/>
        <v>105</v>
      </c>
      <c r="M195" s="21">
        <f t="shared" si="31"/>
        <v>0</v>
      </c>
      <c r="N195" s="21"/>
      <c r="O195" s="21"/>
      <c r="P195" s="5"/>
      <c r="Q195" s="43"/>
      <c r="R195" s="32"/>
      <c r="S195" s="21">
        <f t="shared" si="32"/>
        <v>0</v>
      </c>
      <c r="T195" s="132"/>
      <c r="U195" s="78">
        <f>T195-S195-O195</f>
        <v>0</v>
      </c>
      <c r="V195" s="140"/>
      <c r="W195" s="147"/>
      <c r="X195" s="23"/>
      <c r="Y195" s="340"/>
      <c r="Z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x14ac:dyDescent="0.25">
      <c r="A196" s="143">
        <v>18</v>
      </c>
      <c r="B196" s="92">
        <v>45200</v>
      </c>
      <c r="C196" s="31" t="s">
        <v>3379</v>
      </c>
      <c r="D196" s="32"/>
      <c r="E196" s="32"/>
      <c r="F196" s="32" t="s">
        <v>1205</v>
      </c>
      <c r="G196" s="39" t="s">
        <v>1339</v>
      </c>
      <c r="H196" s="39">
        <v>500</v>
      </c>
      <c r="I196" s="42">
        <v>130</v>
      </c>
      <c r="J196" s="43">
        <v>10</v>
      </c>
      <c r="K196" s="21">
        <f t="shared" si="33"/>
        <v>-10</v>
      </c>
      <c r="L196" s="21">
        <f t="shared" si="30"/>
        <v>140</v>
      </c>
      <c r="M196" s="21">
        <f t="shared" si="31"/>
        <v>360</v>
      </c>
      <c r="N196" s="21"/>
      <c r="O196" s="21"/>
      <c r="P196" s="5"/>
      <c r="Q196" s="135"/>
      <c r="R196" s="104"/>
      <c r="S196" s="21">
        <f t="shared" si="32"/>
        <v>0</v>
      </c>
      <c r="T196" s="131"/>
      <c r="U196" s="78">
        <f>T196-S196-O196</f>
        <v>0</v>
      </c>
      <c r="V196" s="140"/>
      <c r="W196" s="138"/>
      <c r="X196" s="32"/>
      <c r="Z196" s="5"/>
    </row>
    <row r="197" spans="1:38" x14ac:dyDescent="0.25">
      <c r="A197" s="143">
        <v>19</v>
      </c>
      <c r="B197" s="92">
        <v>45200</v>
      </c>
      <c r="C197" s="31"/>
      <c r="D197" s="32"/>
      <c r="E197" s="32"/>
      <c r="F197" s="32"/>
      <c r="G197" s="39"/>
      <c r="H197" s="39"/>
      <c r="I197" s="42"/>
      <c r="J197" s="43">
        <v>10</v>
      </c>
      <c r="K197" s="21">
        <f t="shared" si="33"/>
        <v>-10</v>
      </c>
      <c r="L197" s="21">
        <f t="shared" si="30"/>
        <v>10</v>
      </c>
      <c r="M197" s="21">
        <f t="shared" si="31"/>
        <v>-10</v>
      </c>
      <c r="N197" s="21"/>
      <c r="O197" s="21"/>
      <c r="P197" s="5"/>
      <c r="Q197" s="32"/>
      <c r="R197" s="32"/>
      <c r="S197" s="21">
        <f t="shared" si="32"/>
        <v>0</v>
      </c>
      <c r="T197" s="32"/>
      <c r="U197" s="78">
        <f>T197-S197-O197</f>
        <v>0</v>
      </c>
      <c r="V197" s="140"/>
      <c r="W197" s="138"/>
      <c r="X197" s="32"/>
      <c r="Z197" s="5"/>
      <c r="AB197" t="s">
        <v>1336</v>
      </c>
    </row>
    <row r="198" spans="1:38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22">
        <f>SUM(U179:U197)</f>
        <v>216</v>
      </c>
      <c r="V198" s="141"/>
      <c r="W198" s="5"/>
      <c r="X198" s="5"/>
      <c r="Y198" s="5"/>
      <c r="Z198" s="5"/>
      <c r="AB198">
        <v>50</v>
      </c>
    </row>
    <row r="200" spans="1:38" x14ac:dyDescent="0.25">
      <c r="AA200" t="s">
        <v>1180</v>
      </c>
      <c r="AB200">
        <v>260</v>
      </c>
    </row>
    <row r="201" spans="1:38" x14ac:dyDescent="0.25">
      <c r="AA201" t="s">
        <v>1340</v>
      </c>
      <c r="AB201">
        <v>120</v>
      </c>
    </row>
    <row r="202" spans="1:38" x14ac:dyDescent="0.25">
      <c r="AA202" t="s">
        <v>1341</v>
      </c>
      <c r="AB202">
        <v>135</v>
      </c>
    </row>
    <row r="203" spans="1:38" x14ac:dyDescent="0.25">
      <c r="AA203" t="s">
        <v>1342</v>
      </c>
      <c r="AB203">
        <v>100</v>
      </c>
    </row>
  </sheetData>
  <mergeCells count="77">
    <mergeCell ref="AK193:AK194"/>
    <mergeCell ref="Y179:Y195"/>
    <mergeCell ref="AE193:AE194"/>
    <mergeCell ref="AF193:AF194"/>
    <mergeCell ref="AH193:AH194"/>
    <mergeCell ref="AI193:AI194"/>
    <mergeCell ref="S177:T177"/>
    <mergeCell ref="AC177:AD177"/>
    <mergeCell ref="AG177:AH177"/>
    <mergeCell ref="AJ177:AK177"/>
    <mergeCell ref="AM177:AN177"/>
    <mergeCell ref="AK134:AK135"/>
    <mergeCell ref="Y120:Y136"/>
    <mergeCell ref="AE134:AE135"/>
    <mergeCell ref="AF134:AF135"/>
    <mergeCell ref="AH134:AH135"/>
    <mergeCell ref="AI134:AI135"/>
    <mergeCell ref="S118:T118"/>
    <mergeCell ref="AC118:AD118"/>
    <mergeCell ref="AG118:AH118"/>
    <mergeCell ref="AJ118:AK118"/>
    <mergeCell ref="AM118:AN118"/>
    <mergeCell ref="AK72:AK73"/>
    <mergeCell ref="Y58:Y74"/>
    <mergeCell ref="AE72:AE73"/>
    <mergeCell ref="AF72:AF73"/>
    <mergeCell ref="AH72:AH73"/>
    <mergeCell ref="AI72:AI73"/>
    <mergeCell ref="S56:T56"/>
    <mergeCell ref="AC56:AD56"/>
    <mergeCell ref="AG56:AH56"/>
    <mergeCell ref="AJ56:AK56"/>
    <mergeCell ref="AM56:AN56"/>
    <mergeCell ref="AM30:AN30"/>
    <mergeCell ref="Y32:Y48"/>
    <mergeCell ref="AE46:AE47"/>
    <mergeCell ref="AF46:AF47"/>
    <mergeCell ref="AH46:AH47"/>
    <mergeCell ref="AI46:AI47"/>
    <mergeCell ref="AK46:AK47"/>
    <mergeCell ref="S2:T2"/>
    <mergeCell ref="AC2:AD2"/>
    <mergeCell ref="AG2:AH2"/>
    <mergeCell ref="AJ2:AK2"/>
    <mergeCell ref="S30:T30"/>
    <mergeCell ref="AC30:AD30"/>
    <mergeCell ref="AG30:AH30"/>
    <mergeCell ref="AJ30:AK30"/>
    <mergeCell ref="AM2:AN2"/>
    <mergeCell ref="Y4:Y20"/>
    <mergeCell ref="AE18:AE19"/>
    <mergeCell ref="AF18:AF19"/>
    <mergeCell ref="AH18:AH19"/>
    <mergeCell ref="AI18:AI19"/>
    <mergeCell ref="AK18:AK19"/>
    <mergeCell ref="S85:T85"/>
    <mergeCell ref="AC85:AD85"/>
    <mergeCell ref="AG85:AH85"/>
    <mergeCell ref="AJ85:AK85"/>
    <mergeCell ref="AM85:AN85"/>
    <mergeCell ref="AK101:AK102"/>
    <mergeCell ref="Y87:Y103"/>
    <mergeCell ref="AE101:AE102"/>
    <mergeCell ref="AF101:AF102"/>
    <mergeCell ref="AH101:AH102"/>
    <mergeCell ref="AI101:AI102"/>
    <mergeCell ref="S145:T145"/>
    <mergeCell ref="AC145:AD145"/>
    <mergeCell ref="AG145:AH145"/>
    <mergeCell ref="AJ145:AK145"/>
    <mergeCell ref="AM145:AN145"/>
    <mergeCell ref="AK161:AK162"/>
    <mergeCell ref="Y147:Y163"/>
    <mergeCell ref="AE161:AE162"/>
    <mergeCell ref="AF161:AF162"/>
    <mergeCell ref="AH161:AH162"/>
    <mergeCell ref="AI161:AI16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5"/>
  <sheetViews>
    <sheetView topLeftCell="A6" workbookViewId="0">
      <selection activeCell="A13" sqref="A13"/>
    </sheetView>
  </sheetViews>
  <sheetFormatPr baseColWidth="10" defaultRowHeight="15" x14ac:dyDescent="0.25"/>
  <sheetData>
    <row r="3" spans="1:21" x14ac:dyDescent="0.25">
      <c r="D3" t="s">
        <v>3666</v>
      </c>
    </row>
    <row r="5" spans="1:21" x14ac:dyDescent="0.25">
      <c r="A5" s="300" t="s">
        <v>3667</v>
      </c>
      <c r="B5" s="300" t="s">
        <v>3668</v>
      </c>
      <c r="C5" s="300" t="s">
        <v>3669</v>
      </c>
      <c r="D5" s="300" t="s">
        <v>3670</v>
      </c>
      <c r="E5" s="300" t="s">
        <v>3672</v>
      </c>
      <c r="F5" s="300" t="s">
        <v>3671</v>
      </c>
      <c r="G5" s="300" t="s">
        <v>8</v>
      </c>
      <c r="H5" s="300" t="s">
        <v>3673</v>
      </c>
      <c r="I5" s="300" t="s">
        <v>3674</v>
      </c>
      <c r="J5" s="300" t="s">
        <v>281</v>
      </c>
    </row>
    <row r="6" spans="1:21" x14ac:dyDescent="0.25">
      <c r="A6" s="298">
        <v>45195</v>
      </c>
      <c r="B6" s="299">
        <f>+'Semana 6 del 25 al 1 '!A36</f>
        <v>5</v>
      </c>
      <c r="C6" s="299" t="str">
        <f>+'Semana 6 del 25 al 1 '!C36</f>
        <v>Yayo</v>
      </c>
      <c r="D6" s="299">
        <f>+'Semana 6 del 25 al 1 '!D36</f>
        <v>5610020620</v>
      </c>
      <c r="E6" s="299" t="str">
        <f>+'Semana 6 del 25 al 1 '!E36</f>
        <v xml:space="preserve">Purificadora </v>
      </c>
      <c r="F6" s="299" t="str">
        <f>+'Semana 6 del 25 al 1 '!F36</f>
        <v xml:space="preserve">32 B </v>
      </c>
      <c r="G6" s="299" t="str">
        <f>+'Semana 6 del 25 al 1 '!G36</f>
        <v xml:space="preserve">1 Garrafon bonafont </v>
      </c>
      <c r="H6" s="299">
        <f>+'Semana 6 del 25 al 1 '!I36</f>
        <v>17</v>
      </c>
      <c r="I6" s="299">
        <f>+'Semana 6 del 25 al 1 '!J36</f>
        <v>10</v>
      </c>
      <c r="J6" s="299">
        <f>+H6+I6</f>
        <v>27</v>
      </c>
      <c r="U6">
        <f>+'Semana 6 del 25 al 1 '!U36</f>
        <v>10</v>
      </c>
    </row>
    <row r="7" spans="1:21" x14ac:dyDescent="0.25">
      <c r="A7" s="299"/>
      <c r="B7" s="299"/>
      <c r="C7" s="299"/>
      <c r="D7" s="299"/>
      <c r="E7" s="299"/>
      <c r="F7" s="299"/>
      <c r="G7" s="299"/>
      <c r="H7" s="299"/>
      <c r="I7" s="299"/>
      <c r="J7" s="299">
        <f t="shared" ref="J7:J25" si="0">+H7+I7</f>
        <v>0</v>
      </c>
    </row>
    <row r="8" spans="1:21" x14ac:dyDescent="0.25">
      <c r="A8" s="299"/>
      <c r="B8" s="299"/>
      <c r="C8" s="299"/>
      <c r="D8" s="299"/>
      <c r="E8" s="299"/>
      <c r="F8" s="299"/>
      <c r="G8" s="299"/>
      <c r="H8" s="299"/>
      <c r="I8" s="299"/>
      <c r="J8" s="299">
        <f t="shared" si="0"/>
        <v>0</v>
      </c>
    </row>
    <row r="9" spans="1:21" x14ac:dyDescent="0.25">
      <c r="A9" s="299"/>
      <c r="B9" s="299"/>
      <c r="C9" s="299"/>
      <c r="D9" s="299"/>
      <c r="E9" s="299"/>
      <c r="F9" s="299"/>
      <c r="G9" s="299"/>
      <c r="H9" s="299"/>
      <c r="I9" s="299"/>
      <c r="J9" s="299">
        <f t="shared" si="0"/>
        <v>0</v>
      </c>
    </row>
    <row r="10" spans="1:21" x14ac:dyDescent="0.25">
      <c r="A10" s="299"/>
      <c r="B10" s="299"/>
      <c r="C10" s="299"/>
      <c r="D10" s="299"/>
      <c r="E10" s="299"/>
      <c r="F10" s="299"/>
      <c r="G10" s="299"/>
      <c r="H10" s="299"/>
      <c r="I10" s="299"/>
      <c r="J10" s="299">
        <f t="shared" si="0"/>
        <v>0</v>
      </c>
    </row>
    <row r="11" spans="1:21" x14ac:dyDescent="0.25">
      <c r="A11" s="299"/>
      <c r="B11" s="299"/>
      <c r="C11" s="299"/>
      <c r="D11" s="299"/>
      <c r="E11" s="299"/>
      <c r="F11" s="299"/>
      <c r="G11" s="299"/>
      <c r="H11" s="299"/>
      <c r="I11" s="299"/>
      <c r="J11" s="299">
        <f t="shared" si="0"/>
        <v>0</v>
      </c>
    </row>
    <row r="12" spans="1:21" x14ac:dyDescent="0.25">
      <c r="A12" s="299"/>
      <c r="B12" s="299"/>
      <c r="C12" s="299"/>
      <c r="D12" s="299"/>
      <c r="E12" s="299"/>
      <c r="F12" s="299"/>
      <c r="G12" s="299"/>
      <c r="H12" s="299"/>
      <c r="I12" s="299"/>
      <c r="J12" s="299">
        <f t="shared" si="0"/>
        <v>0</v>
      </c>
    </row>
    <row r="13" spans="1:21" x14ac:dyDescent="0.25">
      <c r="A13" s="299"/>
      <c r="B13" s="299"/>
      <c r="C13" s="299"/>
      <c r="D13" s="299"/>
      <c r="E13" s="299"/>
      <c r="F13" s="299"/>
      <c r="G13" s="299"/>
      <c r="H13" s="299"/>
      <c r="I13" s="299"/>
      <c r="J13" s="299">
        <f t="shared" si="0"/>
        <v>0</v>
      </c>
    </row>
    <row r="14" spans="1:21" x14ac:dyDescent="0.25">
      <c r="A14" s="299"/>
      <c r="B14" s="299"/>
      <c r="C14" s="299"/>
      <c r="D14" s="299"/>
      <c r="E14" s="299"/>
      <c r="F14" s="299"/>
      <c r="G14" s="299"/>
      <c r="H14" s="299"/>
      <c r="I14" s="299"/>
      <c r="J14" s="299">
        <f t="shared" si="0"/>
        <v>0</v>
      </c>
    </row>
    <row r="15" spans="1:21" x14ac:dyDescent="0.25">
      <c r="A15" s="299"/>
      <c r="B15" s="299"/>
      <c r="C15" s="299"/>
      <c r="D15" s="299"/>
      <c r="E15" s="299"/>
      <c r="F15" s="299"/>
      <c r="G15" s="299"/>
      <c r="H15" s="299"/>
      <c r="I15" s="299"/>
      <c r="J15" s="299">
        <f t="shared" si="0"/>
        <v>0</v>
      </c>
    </row>
    <row r="16" spans="1:21" x14ac:dyDescent="0.25">
      <c r="A16" s="299"/>
      <c r="B16" s="299"/>
      <c r="C16" s="299"/>
      <c r="D16" s="299"/>
      <c r="E16" s="299"/>
      <c r="F16" s="299"/>
      <c r="G16" s="299"/>
      <c r="H16" s="299"/>
      <c r="I16" s="299"/>
      <c r="J16" s="299">
        <f t="shared" si="0"/>
        <v>0</v>
      </c>
    </row>
    <row r="17" spans="1:10" x14ac:dyDescent="0.25">
      <c r="A17" s="299"/>
      <c r="B17" s="299"/>
      <c r="C17" s="299"/>
      <c r="D17" s="299"/>
      <c r="E17" s="299"/>
      <c r="F17" s="299"/>
      <c r="G17" s="299"/>
      <c r="H17" s="299"/>
      <c r="I17" s="299"/>
      <c r="J17" s="299">
        <f t="shared" si="0"/>
        <v>0</v>
      </c>
    </row>
    <row r="18" spans="1:10" x14ac:dyDescent="0.25">
      <c r="A18" s="299"/>
      <c r="B18" s="299"/>
      <c r="C18" s="299"/>
      <c r="D18" s="299"/>
      <c r="E18" s="299"/>
      <c r="F18" s="299"/>
      <c r="G18" s="299"/>
      <c r="H18" s="299"/>
      <c r="I18" s="299"/>
      <c r="J18" s="299">
        <f t="shared" si="0"/>
        <v>0</v>
      </c>
    </row>
    <row r="19" spans="1:10" x14ac:dyDescent="0.25">
      <c r="A19" s="299"/>
      <c r="B19" s="299"/>
      <c r="C19" s="299"/>
      <c r="D19" s="299"/>
      <c r="E19" s="299"/>
      <c r="F19" s="299"/>
      <c r="G19" s="299"/>
      <c r="H19" s="299"/>
      <c r="I19" s="299"/>
      <c r="J19" s="299">
        <f t="shared" si="0"/>
        <v>0</v>
      </c>
    </row>
    <row r="20" spans="1:10" x14ac:dyDescent="0.25">
      <c r="A20" s="299"/>
      <c r="B20" s="299"/>
      <c r="C20" s="299"/>
      <c r="D20" s="299"/>
      <c r="E20" s="299"/>
      <c r="F20" s="299"/>
      <c r="G20" s="299"/>
      <c r="H20" s="299"/>
      <c r="I20" s="299"/>
      <c r="J20" s="299">
        <f t="shared" si="0"/>
        <v>0</v>
      </c>
    </row>
    <row r="21" spans="1:10" x14ac:dyDescent="0.25">
      <c r="A21" s="299"/>
      <c r="B21" s="299"/>
      <c r="C21" s="299"/>
      <c r="D21" s="299"/>
      <c r="E21" s="299"/>
      <c r="F21" s="299"/>
      <c r="G21" s="299"/>
      <c r="H21" s="299"/>
      <c r="I21" s="299"/>
      <c r="J21" s="299">
        <f t="shared" si="0"/>
        <v>0</v>
      </c>
    </row>
    <row r="22" spans="1:10" x14ac:dyDescent="0.25">
      <c r="A22" s="299"/>
      <c r="B22" s="299"/>
      <c r="C22" s="299"/>
      <c r="D22" s="299"/>
      <c r="E22" s="299"/>
      <c r="F22" s="299"/>
      <c r="G22" s="299"/>
      <c r="H22" s="299"/>
      <c r="I22" s="299"/>
      <c r="J22" s="299">
        <f t="shared" si="0"/>
        <v>0</v>
      </c>
    </row>
    <row r="23" spans="1:10" x14ac:dyDescent="0.25">
      <c r="A23" s="299"/>
      <c r="B23" s="299"/>
      <c r="C23" s="299"/>
      <c r="D23" s="299"/>
      <c r="E23" s="299"/>
      <c r="F23" s="299"/>
      <c r="G23" s="299"/>
      <c r="H23" s="299"/>
      <c r="I23" s="299"/>
      <c r="J23" s="299">
        <f t="shared" si="0"/>
        <v>0</v>
      </c>
    </row>
    <row r="24" spans="1:10" x14ac:dyDescent="0.25">
      <c r="A24" s="299"/>
      <c r="B24" s="299"/>
      <c r="C24" s="299"/>
      <c r="D24" s="299"/>
      <c r="E24" s="299"/>
      <c r="F24" s="299"/>
      <c r="G24" s="299"/>
      <c r="H24" s="299"/>
      <c r="I24" s="299"/>
      <c r="J24" s="299">
        <f t="shared" si="0"/>
        <v>0</v>
      </c>
    </row>
    <row r="25" spans="1:10" x14ac:dyDescent="0.25">
      <c r="A25" s="299"/>
      <c r="B25" s="299"/>
      <c r="C25" s="299"/>
      <c r="D25" s="299"/>
      <c r="E25" s="299"/>
      <c r="F25" s="299"/>
      <c r="G25" s="299"/>
      <c r="H25" s="299"/>
      <c r="I25" s="299"/>
      <c r="J25" s="299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6"/>
  <sheetViews>
    <sheetView topLeftCell="A141" zoomScaleNormal="100" workbookViewId="0">
      <selection activeCell="G145" sqref="G145"/>
    </sheetView>
  </sheetViews>
  <sheetFormatPr baseColWidth="10" defaultRowHeight="15" x14ac:dyDescent="0.25"/>
  <sheetData>
    <row r="1" spans="1:40" x14ac:dyDescent="0.25">
      <c r="A1" t="s">
        <v>1360</v>
      </c>
      <c r="H1">
        <f>177+117+100</f>
        <v>394</v>
      </c>
      <c r="I1">
        <f>+H1-187</f>
        <v>207</v>
      </c>
    </row>
    <row r="2" spans="1:40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148</v>
      </c>
      <c r="J2" s="1"/>
      <c r="K2" s="1"/>
      <c r="L2" s="1"/>
      <c r="M2" s="1"/>
      <c r="N2" s="1"/>
      <c r="O2" s="1"/>
      <c r="P2" s="1"/>
      <c r="Q2" s="1"/>
      <c r="R2" s="1"/>
      <c r="S2" s="342" t="s">
        <v>1</v>
      </c>
      <c r="T2" s="342"/>
      <c r="U2" s="5"/>
      <c r="V2" s="139"/>
      <c r="W2" s="1"/>
      <c r="X2" s="1"/>
      <c r="Y2" s="1"/>
      <c r="Z2" s="5"/>
      <c r="AC2" s="335" t="s">
        <v>160</v>
      </c>
      <c r="AD2" s="336"/>
      <c r="AG2" s="335" t="s">
        <v>170</v>
      </c>
      <c r="AH2" s="336"/>
      <c r="AJ2" s="337" t="s">
        <v>172</v>
      </c>
      <c r="AK2" s="337"/>
      <c r="AM2" s="337" t="s">
        <v>681</v>
      </c>
      <c r="AN2" s="337"/>
    </row>
    <row r="3" spans="1:40" ht="90" x14ac:dyDescent="0.25">
      <c r="A3" s="6" t="s">
        <v>2</v>
      </c>
      <c r="B3" s="7" t="s">
        <v>3</v>
      </c>
      <c r="C3" s="7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8" t="s">
        <v>9</v>
      </c>
      <c r="I3" s="9" t="s">
        <v>10</v>
      </c>
      <c r="J3" s="8" t="s">
        <v>11</v>
      </c>
      <c r="K3" s="10" t="s">
        <v>12</v>
      </c>
      <c r="L3" s="10" t="s">
        <v>13</v>
      </c>
      <c r="M3" s="11" t="s">
        <v>14</v>
      </c>
      <c r="N3" s="10" t="s">
        <v>691</v>
      </c>
      <c r="O3" s="10" t="s">
        <v>28</v>
      </c>
      <c r="P3" s="5"/>
      <c r="Q3" s="10" t="s">
        <v>16</v>
      </c>
      <c r="R3" s="10" t="s">
        <v>17</v>
      </c>
      <c r="S3" s="10" t="s">
        <v>18</v>
      </c>
      <c r="T3" s="10" t="s">
        <v>19</v>
      </c>
      <c r="U3" s="10" t="s">
        <v>20</v>
      </c>
      <c r="V3" s="13"/>
      <c r="W3" s="136" t="s">
        <v>688</v>
      </c>
      <c r="X3" s="14" t="s">
        <v>22</v>
      </c>
      <c r="Y3" s="15" t="s">
        <v>23</v>
      </c>
      <c r="Z3" s="5"/>
      <c r="AB3">
        <v>17</v>
      </c>
      <c r="AC3" s="16" t="s">
        <v>161</v>
      </c>
      <c r="AD3" s="58">
        <f>+AB3*10</f>
        <v>170</v>
      </c>
      <c r="AF3">
        <v>28</v>
      </c>
      <c r="AG3" s="16" t="s">
        <v>161</v>
      </c>
      <c r="AH3" s="58">
        <f>+AF3*10</f>
        <v>280</v>
      </c>
      <c r="AJ3" s="61" t="s">
        <v>173</v>
      </c>
      <c r="AK3" s="62" t="s">
        <v>174</v>
      </c>
      <c r="AM3" s="16" t="s">
        <v>161</v>
      </c>
      <c r="AN3" s="58">
        <f>+AL3*10</f>
        <v>0</v>
      </c>
    </row>
    <row r="4" spans="1:40" x14ac:dyDescent="0.25">
      <c r="A4" s="16">
        <v>1</v>
      </c>
      <c r="B4" s="92">
        <v>45201</v>
      </c>
      <c r="C4" s="31" t="s">
        <v>3950</v>
      </c>
      <c r="D4" s="32">
        <v>5541403377</v>
      </c>
      <c r="E4" s="32" t="s">
        <v>408</v>
      </c>
      <c r="F4" s="39" t="s">
        <v>1343</v>
      </c>
      <c r="G4" s="39" t="s">
        <v>1344</v>
      </c>
      <c r="H4" s="122">
        <v>200</v>
      </c>
      <c r="I4" s="32">
        <v>141</v>
      </c>
      <c r="J4" s="20">
        <v>10</v>
      </c>
      <c r="K4" s="21">
        <f>U4-J4-O4</f>
        <v>10</v>
      </c>
      <c r="L4" s="21">
        <f t="shared" ref="L4:L22" si="0">+I4+J4</f>
        <v>151</v>
      </c>
      <c r="M4" s="21">
        <f t="shared" ref="M4:M22" si="1">+H4-L4</f>
        <v>49</v>
      </c>
      <c r="N4" s="21"/>
      <c r="O4" s="21"/>
      <c r="P4" s="5"/>
      <c r="Q4" s="21">
        <v>200</v>
      </c>
      <c r="R4" s="16"/>
      <c r="S4" s="21">
        <f t="shared" ref="S4:S22" si="2">+Q4+R4</f>
        <v>200</v>
      </c>
      <c r="T4" s="21">
        <v>220</v>
      </c>
      <c r="U4" s="78">
        <f>T4-S4-O4</f>
        <v>20</v>
      </c>
      <c r="V4" s="13"/>
      <c r="W4" s="147"/>
      <c r="X4" s="23"/>
      <c r="Y4" s="333"/>
      <c r="Z4" s="5"/>
      <c r="AB4">
        <v>128</v>
      </c>
      <c r="AC4" s="59" t="s">
        <v>162</v>
      </c>
      <c r="AD4" s="18">
        <f>+AB4*1</f>
        <v>128</v>
      </c>
      <c r="AF4">
        <v>162</v>
      </c>
      <c r="AG4" s="59" t="s">
        <v>162</v>
      </c>
      <c r="AH4" s="18">
        <f>+AF4*1</f>
        <v>162</v>
      </c>
      <c r="AJ4" s="16"/>
      <c r="AK4" s="16">
        <v>150</v>
      </c>
      <c r="AM4" s="59" t="s">
        <v>162</v>
      </c>
      <c r="AN4" s="18">
        <f>+AL4*1</f>
        <v>0</v>
      </c>
    </row>
    <row r="5" spans="1:40" x14ac:dyDescent="0.25">
      <c r="A5" s="26">
        <v>2</v>
      </c>
      <c r="B5" s="92">
        <v>45201</v>
      </c>
      <c r="C5" s="31" t="s">
        <v>1143</v>
      </c>
      <c r="D5" s="32">
        <v>5578861024</v>
      </c>
      <c r="E5" s="32"/>
      <c r="F5" s="32" t="s">
        <v>1350</v>
      </c>
      <c r="G5" s="39" t="s">
        <v>1345</v>
      </c>
      <c r="H5" s="122">
        <v>150</v>
      </c>
      <c r="I5" s="32">
        <v>150</v>
      </c>
      <c r="J5" s="20">
        <v>10</v>
      </c>
      <c r="K5" s="21">
        <f t="shared" ref="K5:K22" si="3">U5-J5-O5</f>
        <v>10</v>
      </c>
      <c r="L5" s="21">
        <f t="shared" si="0"/>
        <v>160</v>
      </c>
      <c r="M5" s="21">
        <f t="shared" si="1"/>
        <v>-10</v>
      </c>
      <c r="N5" s="21"/>
      <c r="O5" s="21"/>
      <c r="P5" s="5"/>
      <c r="Q5" s="21"/>
      <c r="R5" s="16"/>
      <c r="S5" s="21">
        <f t="shared" si="2"/>
        <v>0</v>
      </c>
      <c r="T5" s="21">
        <v>20</v>
      </c>
      <c r="U5" s="78">
        <f t="shared" ref="U5:U22" si="4">T5-S5-O5</f>
        <v>20</v>
      </c>
      <c r="V5" s="140"/>
      <c r="W5" s="147"/>
      <c r="X5" s="23"/>
      <c r="Y5" s="334"/>
      <c r="Z5" s="5"/>
      <c r="AB5">
        <v>35</v>
      </c>
      <c r="AC5" s="16" t="s">
        <v>163</v>
      </c>
      <c r="AD5" s="60">
        <f>+AB5*5</f>
        <v>175</v>
      </c>
      <c r="AF5">
        <v>55</v>
      </c>
      <c r="AG5" s="16" t="s">
        <v>163</v>
      </c>
      <c r="AH5" s="60">
        <f>+AF5*5</f>
        <v>275</v>
      </c>
      <c r="AJ5" s="16">
        <v>2480</v>
      </c>
      <c r="AK5" s="16"/>
      <c r="AM5" s="16" t="s">
        <v>163</v>
      </c>
      <c r="AN5" s="60">
        <f>+AL5*5</f>
        <v>0</v>
      </c>
    </row>
    <row r="6" spans="1:40" x14ac:dyDescent="0.25">
      <c r="A6" s="143">
        <v>3</v>
      </c>
      <c r="B6" s="92">
        <v>45201</v>
      </c>
      <c r="C6" s="31" t="s">
        <v>48</v>
      </c>
      <c r="D6" s="32"/>
      <c r="E6" s="32" t="s">
        <v>408</v>
      </c>
      <c r="F6" s="32" t="s">
        <v>1349</v>
      </c>
      <c r="G6" s="39" t="s">
        <v>1346</v>
      </c>
      <c r="H6" s="122">
        <v>140</v>
      </c>
      <c r="I6" s="32">
        <v>114</v>
      </c>
      <c r="J6" s="20">
        <v>10</v>
      </c>
      <c r="K6" s="21">
        <f t="shared" si="3"/>
        <v>-70</v>
      </c>
      <c r="L6" s="21">
        <f t="shared" si="0"/>
        <v>124</v>
      </c>
      <c r="M6" s="21">
        <f t="shared" si="1"/>
        <v>16</v>
      </c>
      <c r="N6" s="21">
        <v>140</v>
      </c>
      <c r="O6" s="21"/>
      <c r="P6" s="5"/>
      <c r="Q6" s="21">
        <v>200</v>
      </c>
      <c r="R6" s="16"/>
      <c r="S6" s="21">
        <f t="shared" si="2"/>
        <v>200</v>
      </c>
      <c r="T6" s="21">
        <v>140</v>
      </c>
      <c r="U6" s="78">
        <f t="shared" si="4"/>
        <v>-60</v>
      </c>
      <c r="V6" s="140"/>
      <c r="W6" s="147"/>
      <c r="X6" s="23"/>
      <c r="Y6" s="334"/>
      <c r="Z6" s="5"/>
      <c r="AB6">
        <v>4</v>
      </c>
      <c r="AC6" s="16" t="s">
        <v>164</v>
      </c>
      <c r="AD6" s="18">
        <f>+AB6*200</f>
        <v>800</v>
      </c>
      <c r="AF6">
        <v>2</v>
      </c>
      <c r="AG6" s="16" t="s">
        <v>164</v>
      </c>
      <c r="AH6" s="18">
        <f>+AF6*200</f>
        <v>400</v>
      </c>
      <c r="AJ6" s="16"/>
      <c r="AK6" s="16"/>
      <c r="AM6" s="16" t="s">
        <v>164</v>
      </c>
      <c r="AN6" s="18">
        <f>+AL6*200</f>
        <v>0</v>
      </c>
    </row>
    <row r="7" spans="1:40" x14ac:dyDescent="0.25">
      <c r="A7" s="143">
        <v>4</v>
      </c>
      <c r="B7" s="92">
        <v>45201</v>
      </c>
      <c r="C7" s="31" t="s">
        <v>3949</v>
      </c>
      <c r="D7" s="32"/>
      <c r="E7" s="32" t="s">
        <v>31</v>
      </c>
      <c r="F7" s="32" t="s">
        <v>1347</v>
      </c>
      <c r="G7" s="32" t="s">
        <v>1348</v>
      </c>
      <c r="H7" s="122">
        <v>140</v>
      </c>
      <c r="I7" s="32">
        <v>61</v>
      </c>
      <c r="J7" s="20">
        <v>10</v>
      </c>
      <c r="K7" s="21">
        <f t="shared" si="3"/>
        <v>0</v>
      </c>
      <c r="L7" s="21">
        <f t="shared" si="0"/>
        <v>71</v>
      </c>
      <c r="M7" s="21">
        <f t="shared" si="1"/>
        <v>69</v>
      </c>
      <c r="N7" s="21"/>
      <c r="O7" s="21"/>
      <c r="P7" s="5"/>
      <c r="Q7" s="21">
        <v>200</v>
      </c>
      <c r="R7" s="16"/>
      <c r="S7" s="21">
        <f t="shared" si="2"/>
        <v>200</v>
      </c>
      <c r="T7" s="21">
        <v>210</v>
      </c>
      <c r="U7" s="78">
        <f t="shared" si="4"/>
        <v>10</v>
      </c>
      <c r="V7" s="140"/>
      <c r="W7" s="147"/>
      <c r="X7" s="23"/>
      <c r="Y7" s="334"/>
      <c r="Z7" s="5"/>
      <c r="AB7">
        <v>1</v>
      </c>
      <c r="AC7" s="16" t="s">
        <v>165</v>
      </c>
      <c r="AD7" s="18">
        <f>+AB7*100</f>
        <v>100</v>
      </c>
      <c r="AF7">
        <v>1</v>
      </c>
      <c r="AG7" s="16" t="s">
        <v>165</v>
      </c>
      <c r="AH7" s="18">
        <f>+AF7*100</f>
        <v>100</v>
      </c>
      <c r="AJ7" s="16"/>
      <c r="AK7" s="16"/>
      <c r="AM7" s="16" t="s">
        <v>165</v>
      </c>
      <c r="AN7" s="18">
        <f>+AL7*100</f>
        <v>0</v>
      </c>
    </row>
    <row r="8" spans="1:40" x14ac:dyDescent="0.25">
      <c r="A8" s="143">
        <v>5</v>
      </c>
      <c r="B8" s="92">
        <v>45201</v>
      </c>
      <c r="C8" s="31" t="s">
        <v>634</v>
      </c>
      <c r="D8" s="32">
        <v>5628127385</v>
      </c>
      <c r="E8" s="32" t="s">
        <v>413</v>
      </c>
      <c r="F8" s="32" t="s">
        <v>1351</v>
      </c>
      <c r="G8" s="32" t="s">
        <v>1352</v>
      </c>
      <c r="H8" s="122">
        <v>112</v>
      </c>
      <c r="I8" s="32">
        <v>102</v>
      </c>
      <c r="J8" s="20">
        <v>10</v>
      </c>
      <c r="K8" s="21">
        <f t="shared" si="3"/>
        <v>10</v>
      </c>
      <c r="L8" s="21">
        <f t="shared" si="0"/>
        <v>112</v>
      </c>
      <c r="M8" s="21">
        <f t="shared" si="1"/>
        <v>0</v>
      </c>
      <c r="N8" s="21"/>
      <c r="O8" s="21"/>
      <c r="P8" s="5"/>
      <c r="Q8" s="16">
        <v>500</v>
      </c>
      <c r="R8" s="16"/>
      <c r="S8" s="21">
        <f t="shared" si="2"/>
        <v>500</v>
      </c>
      <c r="T8" s="21">
        <v>520</v>
      </c>
      <c r="U8" s="78">
        <f t="shared" si="4"/>
        <v>20</v>
      </c>
      <c r="V8" s="140"/>
      <c r="W8" s="147"/>
      <c r="X8" s="23"/>
      <c r="Y8" s="334"/>
      <c r="Z8" s="5"/>
      <c r="AB8">
        <v>4</v>
      </c>
      <c r="AC8" s="16" t="s">
        <v>166</v>
      </c>
      <c r="AD8" s="18">
        <f>+AB8*50</f>
        <v>200</v>
      </c>
      <c r="AF8">
        <v>11</v>
      </c>
      <c r="AG8" s="16" t="s">
        <v>166</v>
      </c>
      <c r="AH8" s="18">
        <f>+AF8*50</f>
        <v>550</v>
      </c>
      <c r="AJ8" s="16"/>
      <c r="AK8" s="16"/>
      <c r="AM8" s="16" t="s">
        <v>166</v>
      </c>
      <c r="AN8" s="18">
        <f>+AL8*50</f>
        <v>0</v>
      </c>
    </row>
    <row r="9" spans="1:40" x14ac:dyDescent="0.25">
      <c r="A9" s="143">
        <v>6</v>
      </c>
      <c r="B9" s="92">
        <v>45201</v>
      </c>
      <c r="C9" s="31" t="s">
        <v>2644</v>
      </c>
      <c r="D9" s="32">
        <v>5537803548</v>
      </c>
      <c r="E9" s="32" t="s">
        <v>1190</v>
      </c>
      <c r="F9" s="32" t="s">
        <v>207</v>
      </c>
      <c r="G9" s="39" t="s">
        <v>1353</v>
      </c>
      <c r="H9" s="39">
        <v>320</v>
      </c>
      <c r="I9" s="42">
        <v>290</v>
      </c>
      <c r="J9" s="20">
        <v>10</v>
      </c>
      <c r="K9" s="21">
        <f t="shared" si="3"/>
        <v>20</v>
      </c>
      <c r="L9" s="21">
        <f t="shared" si="0"/>
        <v>300</v>
      </c>
      <c r="M9" s="21">
        <f t="shared" si="1"/>
        <v>20</v>
      </c>
      <c r="N9" s="21">
        <v>320</v>
      </c>
      <c r="O9" s="21"/>
      <c r="P9" s="5"/>
      <c r="Q9" s="16">
        <v>290</v>
      </c>
      <c r="R9" s="16"/>
      <c r="S9" s="21">
        <f t="shared" si="2"/>
        <v>290</v>
      </c>
      <c r="T9" s="16">
        <v>320</v>
      </c>
      <c r="U9" s="78">
        <f t="shared" si="4"/>
        <v>30</v>
      </c>
      <c r="V9" s="140"/>
      <c r="W9" s="147"/>
      <c r="X9" s="23"/>
      <c r="Y9" s="334"/>
      <c r="Z9" s="5"/>
      <c r="AB9">
        <v>13</v>
      </c>
      <c r="AC9" s="16" t="s">
        <v>167</v>
      </c>
      <c r="AD9" s="18">
        <f>+AB9*20</f>
        <v>260</v>
      </c>
      <c r="AF9">
        <v>12</v>
      </c>
      <c r="AG9" s="16" t="s">
        <v>167</v>
      </c>
      <c r="AH9" s="18">
        <f>+AF9*20</f>
        <v>240</v>
      </c>
      <c r="AJ9" s="16"/>
      <c r="AK9" s="16"/>
      <c r="AM9" s="16" t="s">
        <v>167</v>
      </c>
      <c r="AN9" s="18">
        <f>+AL9*20</f>
        <v>0</v>
      </c>
    </row>
    <row r="10" spans="1:40" x14ac:dyDescent="0.25">
      <c r="A10" s="143">
        <v>7</v>
      </c>
      <c r="B10" s="92">
        <v>45201</v>
      </c>
      <c r="C10" s="31" t="s">
        <v>3845</v>
      </c>
      <c r="D10" s="32">
        <v>5611728082</v>
      </c>
      <c r="E10" s="32" t="s">
        <v>106</v>
      </c>
      <c r="F10" s="32" t="s">
        <v>1355</v>
      </c>
      <c r="G10" s="39" t="s">
        <v>1356</v>
      </c>
      <c r="H10" s="122">
        <v>110</v>
      </c>
      <c r="I10" s="42">
        <v>100</v>
      </c>
      <c r="J10" s="20">
        <v>10</v>
      </c>
      <c r="K10" s="21">
        <f t="shared" si="3"/>
        <v>0</v>
      </c>
      <c r="L10" s="21">
        <f t="shared" si="0"/>
        <v>110</v>
      </c>
      <c r="M10" s="21">
        <f t="shared" si="1"/>
        <v>0</v>
      </c>
      <c r="N10" s="21">
        <v>110</v>
      </c>
      <c r="O10" s="21"/>
      <c r="P10" s="5"/>
      <c r="Q10" s="16">
        <v>100</v>
      </c>
      <c r="R10" s="16"/>
      <c r="S10" s="21">
        <f t="shared" si="2"/>
        <v>100</v>
      </c>
      <c r="T10" s="16">
        <v>110</v>
      </c>
      <c r="U10" s="78">
        <f t="shared" si="4"/>
        <v>10</v>
      </c>
      <c r="V10" s="140"/>
      <c r="W10" s="147"/>
      <c r="X10" s="23"/>
      <c r="Y10" s="334"/>
      <c r="Z10" s="5"/>
      <c r="AB10">
        <v>1</v>
      </c>
      <c r="AC10" s="16" t="s">
        <v>171</v>
      </c>
      <c r="AD10" s="18">
        <f>+AB10*500</f>
        <v>500</v>
      </c>
      <c r="AF10">
        <v>1</v>
      </c>
      <c r="AG10" s="16" t="s">
        <v>171</v>
      </c>
      <c r="AH10" s="18">
        <f>+AF10*500</f>
        <v>500</v>
      </c>
      <c r="AJ10" s="16"/>
      <c r="AK10" s="16"/>
      <c r="AM10" s="16" t="s">
        <v>171</v>
      </c>
      <c r="AN10" s="18">
        <f>+AL10*500</f>
        <v>0</v>
      </c>
    </row>
    <row r="11" spans="1:40" x14ac:dyDescent="0.25">
      <c r="A11" s="143">
        <v>8</v>
      </c>
      <c r="B11" s="92">
        <v>45201</v>
      </c>
      <c r="C11" s="31" t="s">
        <v>260</v>
      </c>
      <c r="D11" s="123">
        <v>5586180942</v>
      </c>
      <c r="E11" s="123" t="s">
        <v>83</v>
      </c>
      <c r="F11" s="123" t="s">
        <v>1357</v>
      </c>
      <c r="G11" s="39" t="s">
        <v>1358</v>
      </c>
      <c r="H11" s="122">
        <v>200</v>
      </c>
      <c r="I11" s="32">
        <v>177</v>
      </c>
      <c r="J11" s="20">
        <v>10</v>
      </c>
      <c r="K11" s="21">
        <f t="shared" si="3"/>
        <v>-109</v>
      </c>
      <c r="L11" s="21">
        <f t="shared" si="0"/>
        <v>187</v>
      </c>
      <c r="M11" s="21">
        <f t="shared" si="1"/>
        <v>13</v>
      </c>
      <c r="N11" s="21"/>
      <c r="O11" s="21">
        <v>117</v>
      </c>
      <c r="P11" s="5"/>
      <c r="Q11" s="51">
        <v>100</v>
      </c>
      <c r="R11" s="16"/>
      <c r="S11" s="21">
        <f t="shared" si="2"/>
        <v>100</v>
      </c>
      <c r="T11" s="16">
        <v>235</v>
      </c>
      <c r="U11" s="78">
        <f t="shared" si="4"/>
        <v>18</v>
      </c>
      <c r="V11" s="140"/>
      <c r="W11" s="147"/>
      <c r="X11" s="23"/>
      <c r="Y11" s="334"/>
      <c r="Z11" s="5"/>
      <c r="AC11" s="16" t="s">
        <v>168</v>
      </c>
      <c r="AD11" s="18">
        <f>+AB11*1000</f>
        <v>0</v>
      </c>
      <c r="AG11" s="16" t="s">
        <v>168</v>
      </c>
      <c r="AH11" s="18">
        <f>+AF11*1000</f>
        <v>0</v>
      </c>
      <c r="AJ11" s="16"/>
      <c r="AK11" s="16"/>
      <c r="AM11" s="16" t="s">
        <v>168</v>
      </c>
      <c r="AN11" s="18">
        <f>+AL11*1000</f>
        <v>0</v>
      </c>
    </row>
    <row r="12" spans="1:40" x14ac:dyDescent="0.25">
      <c r="A12" s="143">
        <v>9</v>
      </c>
      <c r="B12" s="92">
        <v>45201</v>
      </c>
      <c r="C12" s="31" t="s">
        <v>24</v>
      </c>
      <c r="D12" s="32">
        <v>5562236073</v>
      </c>
      <c r="E12" s="32" t="s">
        <v>1359</v>
      </c>
      <c r="F12" s="123" t="s">
        <v>625</v>
      </c>
      <c r="G12" s="39" t="s">
        <v>1361</v>
      </c>
      <c r="H12" s="39">
        <v>148</v>
      </c>
      <c r="I12" s="40">
        <v>94</v>
      </c>
      <c r="J12" s="20">
        <v>10</v>
      </c>
      <c r="K12" s="21">
        <f t="shared" si="3"/>
        <v>-36</v>
      </c>
      <c r="L12" s="21">
        <f t="shared" si="0"/>
        <v>104</v>
      </c>
      <c r="M12" s="21">
        <f t="shared" si="1"/>
        <v>44</v>
      </c>
      <c r="N12" s="21"/>
      <c r="O12" s="21">
        <v>37</v>
      </c>
      <c r="P12" s="5"/>
      <c r="Q12" s="16">
        <v>100</v>
      </c>
      <c r="R12" s="16"/>
      <c r="S12" s="21">
        <f t="shared" si="2"/>
        <v>100</v>
      </c>
      <c r="T12" s="16">
        <v>148</v>
      </c>
      <c r="U12" s="78">
        <f t="shared" si="4"/>
        <v>11</v>
      </c>
      <c r="V12" s="140"/>
      <c r="W12" s="147"/>
      <c r="X12" s="23"/>
      <c r="Y12" s="334"/>
      <c r="Z12" s="5"/>
      <c r="AC12" s="26"/>
      <c r="AD12" s="58"/>
      <c r="AG12" s="26"/>
      <c r="AH12" s="58"/>
      <c r="AJ12" s="16"/>
      <c r="AK12" s="16"/>
      <c r="AM12" s="26"/>
      <c r="AN12" s="58"/>
    </row>
    <row r="13" spans="1:40" x14ac:dyDescent="0.25">
      <c r="A13" s="143">
        <v>10</v>
      </c>
      <c r="B13" s="92">
        <v>45201</v>
      </c>
      <c r="C13" s="31" t="s">
        <v>1238</v>
      </c>
      <c r="D13" s="32">
        <v>5532536647</v>
      </c>
      <c r="E13" s="32" t="s">
        <v>1365</v>
      </c>
      <c r="F13" s="32" t="s">
        <v>818</v>
      </c>
      <c r="G13" s="39" t="s">
        <v>1364</v>
      </c>
      <c r="H13" s="122"/>
      <c r="I13" s="42">
        <v>70</v>
      </c>
      <c r="J13" s="20">
        <v>10</v>
      </c>
      <c r="K13" s="21">
        <v>13</v>
      </c>
      <c r="L13" s="21">
        <f t="shared" si="0"/>
        <v>80</v>
      </c>
      <c r="M13" s="21">
        <f t="shared" si="1"/>
        <v>-80</v>
      </c>
      <c r="N13" s="21"/>
      <c r="O13" s="21">
        <v>55</v>
      </c>
      <c r="P13" s="5"/>
      <c r="Q13" s="16"/>
      <c r="R13" s="16"/>
      <c r="S13" s="21">
        <f t="shared" si="2"/>
        <v>0</v>
      </c>
      <c r="T13" s="16">
        <v>100</v>
      </c>
      <c r="U13" s="78">
        <v>23</v>
      </c>
      <c r="V13" s="140"/>
      <c r="W13" s="147"/>
      <c r="X13" s="23"/>
      <c r="Y13" s="334"/>
      <c r="Z13" s="5"/>
      <c r="AC13" s="16" t="s">
        <v>169</v>
      </c>
      <c r="AD13" s="18">
        <f>SUM(AD3:AD12)</f>
        <v>2333</v>
      </c>
      <c r="AG13" s="16" t="s">
        <v>169</v>
      </c>
      <c r="AH13" s="18">
        <f>SUM(AH3:AH12)</f>
        <v>2507</v>
      </c>
      <c r="AJ13" s="16"/>
      <c r="AK13" s="16"/>
      <c r="AM13" s="16" t="s">
        <v>169</v>
      </c>
      <c r="AN13" s="18"/>
    </row>
    <row r="14" spans="1:40" x14ac:dyDescent="0.25">
      <c r="A14" s="143">
        <v>11</v>
      </c>
      <c r="B14" s="92">
        <v>45201</v>
      </c>
      <c r="C14" s="31" t="s">
        <v>3943</v>
      </c>
      <c r="D14" s="124"/>
      <c r="E14" s="123" t="s">
        <v>52</v>
      </c>
      <c r="F14" s="123" t="s">
        <v>760</v>
      </c>
      <c r="G14" s="39" t="s">
        <v>1368</v>
      </c>
      <c r="H14" s="122">
        <v>150</v>
      </c>
      <c r="I14" s="42">
        <v>140</v>
      </c>
      <c r="J14" s="20">
        <v>10</v>
      </c>
      <c r="K14" s="21">
        <f t="shared" si="3"/>
        <v>0</v>
      </c>
      <c r="L14" s="21">
        <f t="shared" si="0"/>
        <v>150</v>
      </c>
      <c r="M14" s="21">
        <f t="shared" si="1"/>
        <v>0</v>
      </c>
      <c r="N14" s="21"/>
      <c r="O14" s="21"/>
      <c r="P14" s="5"/>
      <c r="Q14" s="16"/>
      <c r="R14" s="16"/>
      <c r="S14" s="21">
        <f t="shared" si="2"/>
        <v>0</v>
      </c>
      <c r="T14" s="16">
        <v>150</v>
      </c>
      <c r="U14" s="78">
        <v>10</v>
      </c>
      <c r="V14" s="140"/>
      <c r="W14" s="147"/>
      <c r="X14" s="23"/>
      <c r="Y14" s="334"/>
      <c r="Z14" s="5"/>
      <c r="AJ14" s="16"/>
      <c r="AK14" s="16"/>
      <c r="AM14" s="16"/>
      <c r="AN14" s="16"/>
    </row>
    <row r="15" spans="1:40" x14ac:dyDescent="0.25">
      <c r="A15" s="143">
        <v>12</v>
      </c>
      <c r="B15" s="92">
        <v>45201</v>
      </c>
      <c r="C15" s="32" t="s">
        <v>3949</v>
      </c>
      <c r="D15" s="32"/>
      <c r="E15" s="124" t="s">
        <v>52</v>
      </c>
      <c r="F15" s="123" t="s">
        <v>1366</v>
      </c>
      <c r="G15" s="39" t="s">
        <v>1367</v>
      </c>
      <c r="H15" s="39">
        <v>48</v>
      </c>
      <c r="I15" s="42">
        <v>38</v>
      </c>
      <c r="J15" s="20">
        <v>10</v>
      </c>
      <c r="K15" s="21">
        <f t="shared" si="3"/>
        <v>-34</v>
      </c>
      <c r="L15" s="21">
        <f t="shared" si="0"/>
        <v>48</v>
      </c>
      <c r="M15" s="21">
        <f t="shared" si="1"/>
        <v>0</v>
      </c>
      <c r="N15" s="21">
        <v>48</v>
      </c>
      <c r="O15" s="21">
        <v>36</v>
      </c>
      <c r="P15" s="5"/>
      <c r="Q15" s="45"/>
      <c r="R15" s="44"/>
      <c r="S15" s="21">
        <f t="shared" si="2"/>
        <v>0</v>
      </c>
      <c r="T15" s="45">
        <v>48</v>
      </c>
      <c r="U15" s="78">
        <v>12</v>
      </c>
      <c r="V15" s="140"/>
      <c r="W15" s="147"/>
      <c r="X15" s="23"/>
      <c r="Y15" s="334"/>
      <c r="Z15" s="5"/>
      <c r="AC15" t="s">
        <v>1362</v>
      </c>
      <c r="AG15" s="16"/>
      <c r="AJ15" s="63" t="s">
        <v>169</v>
      </c>
      <c r="AK15" s="63">
        <f>+SUM(AJ4:AJ14)-SUM(AK4:AK14)</f>
        <v>2330</v>
      </c>
      <c r="AM15" s="63" t="s">
        <v>169</v>
      </c>
      <c r="AN15" s="85">
        <f>+SUM(AM3:AM14)-SUM(AN4:AN14)</f>
        <v>0</v>
      </c>
    </row>
    <row r="16" spans="1:40" x14ac:dyDescent="0.25">
      <c r="A16" s="143">
        <v>13</v>
      </c>
      <c r="B16" s="92">
        <v>45201</v>
      </c>
      <c r="C16" s="31"/>
      <c r="D16" s="32"/>
      <c r="E16" s="32"/>
      <c r="F16" s="32"/>
      <c r="G16" s="39"/>
      <c r="H16" s="39"/>
      <c r="I16" s="42"/>
      <c r="J16" s="108">
        <v>10</v>
      </c>
      <c r="K16" s="21">
        <f t="shared" si="3"/>
        <v>-10</v>
      </c>
      <c r="L16" s="21">
        <f t="shared" si="0"/>
        <v>10</v>
      </c>
      <c r="M16" s="21">
        <f t="shared" si="1"/>
        <v>-10</v>
      </c>
      <c r="N16" s="21"/>
      <c r="O16" s="21"/>
      <c r="P16" s="5"/>
      <c r="Q16" s="43"/>
      <c r="R16" s="32"/>
      <c r="S16" s="21">
        <f t="shared" si="2"/>
        <v>0</v>
      </c>
      <c r="T16" s="43"/>
      <c r="U16" s="78">
        <f t="shared" si="4"/>
        <v>0</v>
      </c>
      <c r="V16" s="140"/>
      <c r="W16" s="147"/>
      <c r="X16" s="23"/>
      <c r="Y16" s="334"/>
      <c r="Z16" s="5"/>
      <c r="AC16" t="s">
        <v>1363</v>
      </c>
      <c r="AH16" s="83">
        <v>4887</v>
      </c>
    </row>
    <row r="17" spans="1:40" x14ac:dyDescent="0.25">
      <c r="A17" s="143">
        <v>14</v>
      </c>
      <c r="B17" s="92">
        <v>45201</v>
      </c>
      <c r="C17" s="31"/>
      <c r="D17" s="32"/>
      <c r="E17" s="32"/>
      <c r="F17" s="32"/>
      <c r="G17" s="39"/>
      <c r="H17" s="39"/>
      <c r="I17" s="42"/>
      <c r="J17" s="108">
        <v>10</v>
      </c>
      <c r="K17" s="21">
        <f t="shared" si="3"/>
        <v>-10</v>
      </c>
      <c r="L17" s="21">
        <f t="shared" si="0"/>
        <v>10</v>
      </c>
      <c r="M17" s="21">
        <f t="shared" si="1"/>
        <v>-10</v>
      </c>
      <c r="N17" s="21"/>
      <c r="O17" s="21"/>
      <c r="P17" s="5"/>
      <c r="Q17" s="43"/>
      <c r="R17" s="43"/>
      <c r="S17" s="21">
        <f t="shared" si="2"/>
        <v>0</v>
      </c>
      <c r="T17" s="43"/>
      <c r="U17" s="78">
        <f t="shared" si="4"/>
        <v>0</v>
      </c>
      <c r="V17" s="140"/>
      <c r="W17" s="147"/>
      <c r="X17" s="23"/>
      <c r="Y17" s="334"/>
      <c r="Z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40" x14ac:dyDescent="0.25">
      <c r="A18" s="143">
        <v>15</v>
      </c>
      <c r="B18" s="92">
        <v>45201</v>
      </c>
      <c r="C18" s="127"/>
      <c r="D18" s="32"/>
      <c r="E18" s="32"/>
      <c r="F18" s="128"/>
      <c r="G18" s="129"/>
      <c r="H18" s="39"/>
      <c r="I18" s="42"/>
      <c r="J18" s="108">
        <v>10</v>
      </c>
      <c r="K18" s="21">
        <f t="shared" si="3"/>
        <v>-10</v>
      </c>
      <c r="L18" s="21">
        <f t="shared" si="0"/>
        <v>10</v>
      </c>
      <c r="M18" s="21">
        <f t="shared" si="1"/>
        <v>-10</v>
      </c>
      <c r="N18" s="21"/>
      <c r="O18" s="21"/>
      <c r="P18" s="5"/>
      <c r="Q18" s="43"/>
      <c r="R18" s="43"/>
      <c r="S18" s="21">
        <f t="shared" si="2"/>
        <v>0</v>
      </c>
      <c r="T18" s="43"/>
      <c r="U18" s="78">
        <f t="shared" si="4"/>
        <v>0</v>
      </c>
      <c r="V18" s="140"/>
      <c r="W18" s="147"/>
      <c r="X18" s="23"/>
      <c r="Y18" s="334"/>
      <c r="Z18" s="5"/>
      <c r="AC18" s="5"/>
      <c r="AD18" s="134" t="s">
        <v>20</v>
      </c>
      <c r="AE18" s="338">
        <v>1923</v>
      </c>
      <c r="AF18" s="341" t="s">
        <v>686</v>
      </c>
      <c r="AG18" s="134" t="s">
        <v>20</v>
      </c>
      <c r="AH18" s="338"/>
      <c r="AI18" s="341" t="s">
        <v>687</v>
      </c>
      <c r="AJ18" s="134" t="s">
        <v>20</v>
      </c>
      <c r="AK18" s="338"/>
      <c r="AL18" s="5"/>
    </row>
    <row r="19" spans="1:40" x14ac:dyDescent="0.25">
      <c r="A19" s="143">
        <v>16</v>
      </c>
      <c r="B19" s="92">
        <v>45201</v>
      </c>
      <c r="C19" s="31"/>
      <c r="D19" s="32"/>
      <c r="E19" s="32"/>
      <c r="F19" s="32"/>
      <c r="G19" s="39"/>
      <c r="H19" s="39"/>
      <c r="I19" s="42"/>
      <c r="J19" s="43">
        <v>10</v>
      </c>
      <c r="K19" s="21">
        <f t="shared" si="3"/>
        <v>-10</v>
      </c>
      <c r="L19" s="21">
        <f t="shared" si="0"/>
        <v>10</v>
      </c>
      <c r="M19" s="21">
        <f t="shared" si="1"/>
        <v>-10</v>
      </c>
      <c r="N19" s="21"/>
      <c r="O19" s="21"/>
      <c r="P19" s="5"/>
      <c r="Q19" s="43"/>
      <c r="R19" s="32"/>
      <c r="S19" s="21">
        <f t="shared" si="2"/>
        <v>0</v>
      </c>
      <c r="T19" s="131"/>
      <c r="U19" s="78">
        <f t="shared" si="4"/>
        <v>0</v>
      </c>
      <c r="V19" s="140"/>
      <c r="W19" s="147"/>
      <c r="X19" s="23"/>
      <c r="Y19" s="334"/>
      <c r="Z19" s="5"/>
      <c r="AC19" s="5" t="s">
        <v>685</v>
      </c>
      <c r="AD19" s="115" t="s">
        <v>684</v>
      </c>
      <c r="AE19" s="339"/>
      <c r="AF19" s="341"/>
      <c r="AG19" s="115" t="s">
        <v>684</v>
      </c>
      <c r="AH19" s="339"/>
      <c r="AI19" s="341"/>
      <c r="AJ19" s="115" t="s">
        <v>684</v>
      </c>
      <c r="AK19" s="339"/>
      <c r="AL19" s="5"/>
    </row>
    <row r="20" spans="1:40" x14ac:dyDescent="0.25">
      <c r="A20" s="143">
        <v>17</v>
      </c>
      <c r="B20" s="92">
        <v>45201</v>
      </c>
      <c r="C20" s="31"/>
      <c r="D20" s="32"/>
      <c r="E20" s="32"/>
      <c r="F20" s="32"/>
      <c r="G20" s="39"/>
      <c r="H20" s="39"/>
      <c r="I20" s="42"/>
      <c r="J20" s="43">
        <v>10</v>
      </c>
      <c r="K20" s="21">
        <f t="shared" si="3"/>
        <v>-10</v>
      </c>
      <c r="L20" s="21">
        <f t="shared" si="0"/>
        <v>10</v>
      </c>
      <c r="M20" s="21">
        <f t="shared" si="1"/>
        <v>-10</v>
      </c>
      <c r="N20" s="21"/>
      <c r="O20" s="21"/>
      <c r="P20" s="5"/>
      <c r="Q20" s="43"/>
      <c r="R20" s="32"/>
      <c r="S20" s="21">
        <f t="shared" si="2"/>
        <v>0</v>
      </c>
      <c r="T20" s="132"/>
      <c r="U20" s="78">
        <f t="shared" si="4"/>
        <v>0</v>
      </c>
      <c r="V20" s="140"/>
      <c r="W20" s="147"/>
      <c r="X20" s="23"/>
      <c r="Y20" s="340"/>
      <c r="Z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40" x14ac:dyDescent="0.25">
      <c r="A21" s="143">
        <v>18</v>
      </c>
      <c r="B21" s="92">
        <v>45201</v>
      </c>
      <c r="C21" s="31"/>
      <c r="D21" s="32"/>
      <c r="E21" s="32"/>
      <c r="F21" s="32"/>
      <c r="G21" s="39"/>
      <c r="H21" s="39"/>
      <c r="I21" s="42"/>
      <c r="J21" s="43">
        <v>10</v>
      </c>
      <c r="K21" s="21">
        <f t="shared" si="3"/>
        <v>-10</v>
      </c>
      <c r="L21" s="21">
        <f t="shared" si="0"/>
        <v>10</v>
      </c>
      <c r="M21" s="21">
        <f t="shared" si="1"/>
        <v>-10</v>
      </c>
      <c r="N21" s="21"/>
      <c r="O21" s="21"/>
      <c r="P21" s="5"/>
      <c r="Q21" s="135"/>
      <c r="R21" s="104"/>
      <c r="S21" s="21">
        <f t="shared" si="2"/>
        <v>0</v>
      </c>
      <c r="T21" s="131"/>
      <c r="U21" s="78">
        <f t="shared" si="4"/>
        <v>0</v>
      </c>
      <c r="V21" s="140"/>
      <c r="W21" s="138"/>
      <c r="X21" s="32"/>
      <c r="Z21" s="5"/>
    </row>
    <row r="22" spans="1:40" x14ac:dyDescent="0.25">
      <c r="A22" s="143">
        <v>19</v>
      </c>
      <c r="B22" s="92">
        <v>45201</v>
      </c>
      <c r="C22" s="31"/>
      <c r="D22" s="32"/>
      <c r="E22" s="32"/>
      <c r="F22" s="32"/>
      <c r="G22" s="39"/>
      <c r="H22" s="39"/>
      <c r="I22" s="42"/>
      <c r="J22" s="43">
        <v>10</v>
      </c>
      <c r="K22" s="21">
        <f t="shared" si="3"/>
        <v>-10</v>
      </c>
      <c r="L22" s="21">
        <f t="shared" si="0"/>
        <v>10</v>
      </c>
      <c r="M22" s="21">
        <f t="shared" si="1"/>
        <v>-10</v>
      </c>
      <c r="N22" s="21"/>
      <c r="O22" s="21"/>
      <c r="P22" s="5"/>
      <c r="Q22" s="32"/>
      <c r="R22" s="32"/>
      <c r="S22" s="21">
        <f t="shared" si="2"/>
        <v>0</v>
      </c>
      <c r="T22" s="32"/>
      <c r="U22" s="78">
        <f t="shared" si="4"/>
        <v>0</v>
      </c>
      <c r="V22" s="140"/>
      <c r="W22" s="138"/>
      <c r="X22" s="32"/>
      <c r="Z22" s="5"/>
    </row>
    <row r="23" spans="1:40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141"/>
      <c r="W23" s="5"/>
      <c r="X23" s="5"/>
      <c r="Y23" s="5"/>
      <c r="Z23" s="5"/>
    </row>
    <row r="28" spans="1:40" x14ac:dyDescent="0.25">
      <c r="B28" t="s">
        <v>1373</v>
      </c>
      <c r="M28" s="83"/>
    </row>
    <row r="29" spans="1:40" x14ac:dyDescent="0.25">
      <c r="B29" t="s">
        <v>1374</v>
      </c>
      <c r="I29" s="83">
        <f>+O35+N35</f>
        <v>699</v>
      </c>
      <c r="J29">
        <f>+I35+I36-500</f>
        <v>-318</v>
      </c>
      <c r="K29" s="83">
        <f>+J29-O35</f>
        <v>-877</v>
      </c>
      <c r="Q29">
        <v>440</v>
      </c>
    </row>
    <row r="30" spans="1:40" x14ac:dyDescent="0.25">
      <c r="I30" s="83"/>
    </row>
    <row r="31" spans="1:40" x14ac:dyDescent="0.25">
      <c r="A31" s="1" t="s">
        <v>0</v>
      </c>
      <c r="B31" s="1"/>
      <c r="C31" s="1"/>
      <c r="D31" s="1"/>
      <c r="E31" s="1"/>
      <c r="F31" s="1"/>
      <c r="G31" s="1"/>
      <c r="H31" s="1"/>
      <c r="I31" s="1" t="s">
        <v>148</v>
      </c>
      <c r="J31" s="1"/>
      <c r="K31" s="1"/>
      <c r="L31" s="1"/>
      <c r="M31" s="1"/>
      <c r="N31" s="1"/>
      <c r="O31" s="1"/>
      <c r="P31" s="1"/>
      <c r="Q31" s="1"/>
      <c r="R31" s="1"/>
      <c r="S31" s="342" t="s">
        <v>1</v>
      </c>
      <c r="T31" s="342"/>
      <c r="U31" s="5"/>
      <c r="V31" s="139"/>
      <c r="W31" s="1"/>
      <c r="X31" s="1"/>
      <c r="Y31" s="1"/>
      <c r="Z31" s="5"/>
      <c r="AC31" s="335" t="s">
        <v>160</v>
      </c>
      <c r="AD31" s="336"/>
      <c r="AG31" s="335" t="s">
        <v>170</v>
      </c>
      <c r="AH31" s="336"/>
      <c r="AJ31" s="337" t="s">
        <v>172</v>
      </c>
      <c r="AK31" s="337"/>
      <c r="AM31" s="337" t="s">
        <v>681</v>
      </c>
      <c r="AN31" s="337"/>
    </row>
    <row r="32" spans="1:40" ht="90" x14ac:dyDescent="0.25">
      <c r="A32" s="6" t="s">
        <v>2</v>
      </c>
      <c r="B32" s="7" t="s">
        <v>3</v>
      </c>
      <c r="C32" s="7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8" t="s">
        <v>9</v>
      </c>
      <c r="I32" s="9" t="s">
        <v>10</v>
      </c>
      <c r="J32" s="8" t="s">
        <v>11</v>
      </c>
      <c r="K32" s="10" t="s">
        <v>12</v>
      </c>
      <c r="L32" s="10" t="s">
        <v>13</v>
      </c>
      <c r="M32" s="11" t="s">
        <v>14</v>
      </c>
      <c r="N32" s="10" t="s">
        <v>691</v>
      </c>
      <c r="O32" s="10" t="s">
        <v>28</v>
      </c>
      <c r="P32" s="5"/>
      <c r="Q32" s="10" t="s">
        <v>16</v>
      </c>
      <c r="R32" s="10" t="s">
        <v>17</v>
      </c>
      <c r="S32" s="10" t="s">
        <v>18</v>
      </c>
      <c r="T32" s="10" t="s">
        <v>19</v>
      </c>
      <c r="U32" s="10" t="s">
        <v>20</v>
      </c>
      <c r="V32" s="13"/>
      <c r="W32" s="136" t="s">
        <v>688</v>
      </c>
      <c r="X32" s="14" t="s">
        <v>22</v>
      </c>
      <c r="Y32" s="15" t="s">
        <v>23</v>
      </c>
      <c r="Z32" s="5"/>
      <c r="AB32">
        <v>1</v>
      </c>
      <c r="AC32" s="16" t="s">
        <v>161</v>
      </c>
      <c r="AD32" s="58">
        <f>+AB32*10</f>
        <v>10</v>
      </c>
      <c r="AF32">
        <v>2</v>
      </c>
      <c r="AG32" s="16" t="s">
        <v>161</v>
      </c>
      <c r="AH32" s="58">
        <f>+AF32*10</f>
        <v>20</v>
      </c>
      <c r="AJ32" s="61" t="s">
        <v>173</v>
      </c>
      <c r="AK32" s="62" t="s">
        <v>174</v>
      </c>
      <c r="AM32" s="16" t="s">
        <v>161</v>
      </c>
      <c r="AN32" s="58">
        <f>+AL32*10</f>
        <v>0</v>
      </c>
    </row>
    <row r="33" spans="1:40" x14ac:dyDescent="0.25">
      <c r="A33" s="16">
        <v>1</v>
      </c>
      <c r="B33" s="92">
        <v>45202</v>
      </c>
      <c r="C33" s="31"/>
      <c r="D33" s="32"/>
      <c r="E33" s="32"/>
      <c r="F33" s="39"/>
      <c r="G33" s="39"/>
      <c r="H33" s="122"/>
      <c r="I33" s="32"/>
      <c r="J33" s="20">
        <v>10</v>
      </c>
      <c r="K33" s="21">
        <f>U33-J33-O33</f>
        <v>0</v>
      </c>
      <c r="L33" s="21">
        <f t="shared" ref="L33:L51" si="5">+I33+J33</f>
        <v>10</v>
      </c>
      <c r="M33" s="21">
        <f t="shared" ref="M33:M51" si="6">+H33-L33</f>
        <v>-10</v>
      </c>
      <c r="N33" s="21"/>
      <c r="O33" s="21"/>
      <c r="P33" s="5"/>
      <c r="Q33" s="21"/>
      <c r="R33" s="16"/>
      <c r="S33" s="21">
        <f t="shared" ref="S33:S51" si="7">+Q33+R33</f>
        <v>0</v>
      </c>
      <c r="T33" s="21">
        <v>10</v>
      </c>
      <c r="U33" s="78">
        <f>T33-S33-O33</f>
        <v>10</v>
      </c>
      <c r="V33" s="13"/>
      <c r="W33" s="147"/>
      <c r="X33" s="23"/>
      <c r="Y33" s="333"/>
      <c r="Z33" s="5"/>
      <c r="AB33">
        <v>1</v>
      </c>
      <c r="AC33" s="59" t="s">
        <v>162</v>
      </c>
      <c r="AD33" s="18">
        <f>+AB33*1</f>
        <v>1</v>
      </c>
      <c r="AF33">
        <v>34</v>
      </c>
      <c r="AG33" s="59" t="s">
        <v>162</v>
      </c>
      <c r="AH33" s="18">
        <f>+AF33*1</f>
        <v>34</v>
      </c>
      <c r="AJ33" s="16">
        <v>140</v>
      </c>
      <c r="AK33" s="16"/>
      <c r="AM33" s="59" t="s">
        <v>162</v>
      </c>
      <c r="AN33" s="18">
        <f>+AL33*1</f>
        <v>0</v>
      </c>
    </row>
    <row r="34" spans="1:40" x14ac:dyDescent="0.25">
      <c r="A34" s="26">
        <v>2</v>
      </c>
      <c r="B34" s="92">
        <v>45202</v>
      </c>
      <c r="C34" s="31" t="s">
        <v>2464</v>
      </c>
      <c r="D34" s="32"/>
      <c r="E34" s="32" t="s">
        <v>1369</v>
      </c>
      <c r="F34" s="32" t="s">
        <v>1369</v>
      </c>
      <c r="G34" s="39" t="s">
        <v>1370</v>
      </c>
      <c r="H34" s="122"/>
      <c r="I34" s="32"/>
      <c r="J34" s="20">
        <v>10</v>
      </c>
      <c r="K34" s="21">
        <f t="shared" ref="K34:K51" si="8">U34-J34-O34</f>
        <v>15</v>
      </c>
      <c r="L34" s="21">
        <f t="shared" si="5"/>
        <v>10</v>
      </c>
      <c r="M34" s="21">
        <f t="shared" si="6"/>
        <v>-10</v>
      </c>
      <c r="N34" s="21"/>
      <c r="O34" s="21"/>
      <c r="P34" s="5"/>
      <c r="Q34" s="21"/>
      <c r="R34" s="16"/>
      <c r="S34" s="21">
        <f t="shared" si="7"/>
        <v>0</v>
      </c>
      <c r="T34" s="21">
        <v>25</v>
      </c>
      <c r="U34" s="78">
        <f t="shared" ref="U34:U51" si="9">T34-S34-O34</f>
        <v>25</v>
      </c>
      <c r="V34" s="140"/>
      <c r="W34" s="147"/>
      <c r="X34" s="23"/>
      <c r="Y34" s="334"/>
      <c r="Z34" s="5"/>
      <c r="AB34">
        <v>1</v>
      </c>
      <c r="AC34" s="16" t="s">
        <v>163</v>
      </c>
      <c r="AD34" s="60">
        <f>+AB34*5</f>
        <v>5</v>
      </c>
      <c r="AF34">
        <v>8</v>
      </c>
      <c r="AG34" s="16" t="s">
        <v>163</v>
      </c>
      <c r="AH34" s="60">
        <f>+AF34*5</f>
        <v>40</v>
      </c>
      <c r="AJ34" s="16">
        <v>114</v>
      </c>
      <c r="AK34" s="16"/>
      <c r="AM34" s="16" t="s">
        <v>163</v>
      </c>
      <c r="AN34" s="60">
        <f>+AL34*5</f>
        <v>0</v>
      </c>
    </row>
    <row r="35" spans="1:40" x14ac:dyDescent="0.25">
      <c r="A35" s="143">
        <v>3</v>
      </c>
      <c r="B35" s="92">
        <v>45202</v>
      </c>
      <c r="C35" s="31" t="s">
        <v>1489</v>
      </c>
      <c r="D35" s="32">
        <v>5510466400</v>
      </c>
      <c r="E35" s="32" t="s">
        <v>1371</v>
      </c>
      <c r="F35" s="32"/>
      <c r="G35" s="39" t="s">
        <v>1372</v>
      </c>
      <c r="H35" s="122">
        <v>300</v>
      </c>
      <c r="I35" s="32">
        <v>130</v>
      </c>
      <c r="J35" s="20">
        <v>10</v>
      </c>
      <c r="K35" s="21">
        <f t="shared" si="8"/>
        <v>-538</v>
      </c>
      <c r="L35" s="21">
        <f t="shared" si="5"/>
        <v>140</v>
      </c>
      <c r="M35" s="21">
        <f t="shared" si="6"/>
        <v>160</v>
      </c>
      <c r="N35" s="21">
        <v>140</v>
      </c>
      <c r="O35" s="21">
        <v>559</v>
      </c>
      <c r="P35" s="5"/>
      <c r="Q35" s="21"/>
      <c r="R35" s="16"/>
      <c r="S35" s="21">
        <f t="shared" si="7"/>
        <v>0</v>
      </c>
      <c r="T35" s="191">
        <v>590</v>
      </c>
      <c r="U35" s="78">
        <f>T35-S35-O35</f>
        <v>31</v>
      </c>
      <c r="V35" s="140"/>
      <c r="W35" s="147"/>
      <c r="X35" s="23"/>
      <c r="Y35" s="334"/>
      <c r="Z35" s="5"/>
      <c r="AC35" s="16" t="s">
        <v>164</v>
      </c>
      <c r="AD35" s="18">
        <f>+AB35*200</f>
        <v>0</v>
      </c>
      <c r="AF35">
        <v>1</v>
      </c>
      <c r="AG35" s="16" t="s">
        <v>164</v>
      </c>
      <c r="AH35" s="18">
        <f>+AF35*200</f>
        <v>200</v>
      </c>
      <c r="AJ35" s="16">
        <v>70</v>
      </c>
      <c r="AK35" s="16"/>
      <c r="AM35" s="16" t="s">
        <v>164</v>
      </c>
      <c r="AN35" s="18">
        <f>+AL35*200</f>
        <v>0</v>
      </c>
    </row>
    <row r="36" spans="1:40" x14ac:dyDescent="0.25">
      <c r="A36" s="143">
        <v>4</v>
      </c>
      <c r="B36" s="92">
        <v>45202</v>
      </c>
      <c r="C36" s="31" t="s">
        <v>1268</v>
      </c>
      <c r="D36" s="32">
        <v>5549473476</v>
      </c>
      <c r="E36" s="32" t="s">
        <v>1375</v>
      </c>
      <c r="F36" s="32" t="s">
        <v>1376</v>
      </c>
      <c r="G36" s="39" t="s">
        <v>1377</v>
      </c>
      <c r="H36" s="122">
        <v>140</v>
      </c>
      <c r="I36" s="32">
        <v>52</v>
      </c>
      <c r="J36" s="20">
        <v>10</v>
      </c>
      <c r="K36" s="21">
        <f t="shared" si="8"/>
        <v>0</v>
      </c>
      <c r="L36" s="21">
        <f t="shared" si="5"/>
        <v>62</v>
      </c>
      <c r="M36" s="21">
        <f t="shared" si="6"/>
        <v>78</v>
      </c>
      <c r="N36" s="21"/>
      <c r="O36" s="21"/>
      <c r="P36" s="5"/>
      <c r="Q36" s="21">
        <v>400</v>
      </c>
      <c r="R36" s="16"/>
      <c r="S36" s="21">
        <f t="shared" si="7"/>
        <v>400</v>
      </c>
      <c r="T36" s="192">
        <v>410</v>
      </c>
      <c r="U36" s="78">
        <f t="shared" si="9"/>
        <v>10</v>
      </c>
      <c r="V36" s="140"/>
      <c r="W36" s="147"/>
      <c r="X36" s="23"/>
      <c r="Y36" s="334"/>
      <c r="Z36" s="5"/>
      <c r="AB36">
        <v>2</v>
      </c>
      <c r="AC36" s="16" t="s">
        <v>165</v>
      </c>
      <c r="AD36" s="18">
        <f>+AB36*100</f>
        <v>200</v>
      </c>
      <c r="AF36">
        <v>1</v>
      </c>
      <c r="AG36" s="16" t="s">
        <v>165</v>
      </c>
      <c r="AH36" s="18">
        <f>+AF36*100</f>
        <v>100</v>
      </c>
      <c r="AJ36" s="16"/>
      <c r="AK36" s="16"/>
      <c r="AM36" s="16" t="s">
        <v>165</v>
      </c>
      <c r="AN36" s="18">
        <f>+AL36*100</f>
        <v>0</v>
      </c>
    </row>
    <row r="37" spans="1:40" x14ac:dyDescent="0.25">
      <c r="A37" s="143">
        <v>5</v>
      </c>
      <c r="B37" s="92">
        <v>45202</v>
      </c>
      <c r="C37" s="31" t="s">
        <v>1500</v>
      </c>
      <c r="D37" s="32">
        <v>5639611669</v>
      </c>
      <c r="E37" s="32" t="s">
        <v>76</v>
      </c>
      <c r="F37" s="32" t="s">
        <v>1379</v>
      </c>
      <c r="G37" s="32" t="s">
        <v>1378</v>
      </c>
      <c r="H37" s="122">
        <v>132</v>
      </c>
      <c r="I37" s="32">
        <v>122</v>
      </c>
      <c r="J37" s="20">
        <v>10</v>
      </c>
      <c r="K37" s="21">
        <f t="shared" si="8"/>
        <v>0</v>
      </c>
      <c r="L37" s="21">
        <f t="shared" si="5"/>
        <v>132</v>
      </c>
      <c r="M37" s="21">
        <f t="shared" si="6"/>
        <v>0</v>
      </c>
      <c r="N37" s="21"/>
      <c r="O37" s="21"/>
      <c r="P37" s="5"/>
      <c r="Q37" s="16">
        <v>400</v>
      </c>
      <c r="R37" s="16"/>
      <c r="S37" s="21">
        <f t="shared" si="7"/>
        <v>400</v>
      </c>
      <c r="T37" s="21">
        <v>410</v>
      </c>
      <c r="U37" s="78">
        <f t="shared" si="9"/>
        <v>10</v>
      </c>
      <c r="V37" s="140"/>
      <c r="W37" s="147"/>
      <c r="X37" s="23"/>
      <c r="Y37" s="334"/>
      <c r="Z37" s="5"/>
      <c r="AB37">
        <v>4</v>
      </c>
      <c r="AC37" s="16" t="s">
        <v>166</v>
      </c>
      <c r="AD37" s="18">
        <f>+AB37*50</f>
        <v>200</v>
      </c>
      <c r="AF37">
        <v>2</v>
      </c>
      <c r="AG37" s="16" t="s">
        <v>166</v>
      </c>
      <c r="AH37" s="18">
        <f>+AF37*50</f>
        <v>100</v>
      </c>
      <c r="AJ37" s="16"/>
      <c r="AK37" s="16"/>
      <c r="AM37" s="16" t="s">
        <v>166</v>
      </c>
      <c r="AN37" s="18">
        <f>+AL37*50</f>
        <v>0</v>
      </c>
    </row>
    <row r="38" spans="1:40" x14ac:dyDescent="0.25">
      <c r="A38" s="143">
        <v>6</v>
      </c>
      <c r="B38" s="92">
        <v>45202</v>
      </c>
      <c r="C38" s="31" t="s">
        <v>3387</v>
      </c>
      <c r="D38" s="32">
        <v>5611752017</v>
      </c>
      <c r="E38" s="32" t="s">
        <v>689</v>
      </c>
      <c r="F38" s="32" t="s">
        <v>1380</v>
      </c>
      <c r="G38" s="39" t="s">
        <v>1381</v>
      </c>
      <c r="H38" s="39">
        <v>162</v>
      </c>
      <c r="I38" s="42">
        <v>152</v>
      </c>
      <c r="J38" s="20">
        <v>10</v>
      </c>
      <c r="K38" s="21">
        <f t="shared" si="8"/>
        <v>0</v>
      </c>
      <c r="L38" s="21">
        <f t="shared" si="5"/>
        <v>162</v>
      </c>
      <c r="M38" s="21">
        <f t="shared" si="6"/>
        <v>0</v>
      </c>
      <c r="N38" s="21"/>
      <c r="O38" s="21"/>
      <c r="P38" s="5"/>
      <c r="Q38" s="16"/>
      <c r="R38" s="16"/>
      <c r="S38" s="21">
        <f t="shared" si="7"/>
        <v>0</v>
      </c>
      <c r="T38" s="16">
        <v>10</v>
      </c>
      <c r="U38" s="78">
        <f t="shared" si="9"/>
        <v>10</v>
      </c>
      <c r="V38" s="140"/>
      <c r="W38" s="147"/>
      <c r="X38" s="23"/>
      <c r="Y38" s="334"/>
      <c r="Z38" s="5"/>
      <c r="AB38">
        <v>2</v>
      </c>
      <c r="AC38" s="16" t="s">
        <v>167</v>
      </c>
      <c r="AD38" s="18">
        <f>+AB38*20</f>
        <v>40</v>
      </c>
      <c r="AF38">
        <v>2</v>
      </c>
      <c r="AG38" s="16" t="s">
        <v>167</v>
      </c>
      <c r="AH38" s="18">
        <f>+AF38*20</f>
        <v>40</v>
      </c>
      <c r="AJ38" s="16"/>
      <c r="AK38" s="16"/>
      <c r="AM38" s="16" t="s">
        <v>167</v>
      </c>
      <c r="AN38" s="18">
        <f>+AL38*20</f>
        <v>0</v>
      </c>
    </row>
    <row r="39" spans="1:40" x14ac:dyDescent="0.25">
      <c r="A39" s="143">
        <v>7</v>
      </c>
      <c r="B39" s="92">
        <v>45202</v>
      </c>
      <c r="C39" s="31" t="s">
        <v>245</v>
      </c>
      <c r="D39" s="32">
        <v>5530508709</v>
      </c>
      <c r="E39" s="32" t="s">
        <v>76</v>
      </c>
      <c r="F39" s="32" t="s">
        <v>1383</v>
      </c>
      <c r="G39" s="39" t="s">
        <v>1382</v>
      </c>
      <c r="H39" s="122">
        <v>104</v>
      </c>
      <c r="I39" s="42">
        <v>94</v>
      </c>
      <c r="J39" s="20">
        <v>10</v>
      </c>
      <c r="K39" s="21">
        <f t="shared" si="8"/>
        <v>18</v>
      </c>
      <c r="L39" s="21">
        <f t="shared" si="5"/>
        <v>104</v>
      </c>
      <c r="M39" s="21">
        <f t="shared" si="6"/>
        <v>0</v>
      </c>
      <c r="N39" s="21">
        <v>114</v>
      </c>
      <c r="O39" s="21"/>
      <c r="P39" s="5"/>
      <c r="Q39" s="16"/>
      <c r="R39" s="16"/>
      <c r="S39" s="21">
        <f t="shared" si="7"/>
        <v>0</v>
      </c>
      <c r="T39" s="16">
        <v>28</v>
      </c>
      <c r="U39" s="78">
        <f t="shared" si="9"/>
        <v>28</v>
      </c>
      <c r="V39" s="140"/>
      <c r="W39" s="147"/>
      <c r="X39" s="23"/>
      <c r="Y39" s="334"/>
      <c r="Z39" s="5"/>
      <c r="AC39" s="16" t="s">
        <v>171</v>
      </c>
      <c r="AD39" s="18">
        <f>+AB39*500</f>
        <v>0</v>
      </c>
      <c r="AG39" s="16" t="s">
        <v>171</v>
      </c>
      <c r="AH39" s="18">
        <f>+AF39*500</f>
        <v>0</v>
      </c>
      <c r="AJ39" s="16"/>
      <c r="AK39" s="16"/>
      <c r="AM39" s="16" t="s">
        <v>171</v>
      </c>
      <c r="AN39" s="18">
        <f>+AL39*500</f>
        <v>0</v>
      </c>
    </row>
    <row r="40" spans="1:40" x14ac:dyDescent="0.25">
      <c r="A40" s="143">
        <v>8</v>
      </c>
      <c r="B40" s="92">
        <v>45202</v>
      </c>
      <c r="C40" s="31" t="s">
        <v>24</v>
      </c>
      <c r="D40" s="123">
        <v>5562236073</v>
      </c>
      <c r="E40" s="123" t="s">
        <v>1384</v>
      </c>
      <c r="F40" s="123" t="s">
        <v>1385</v>
      </c>
      <c r="G40" s="39" t="s">
        <v>1386</v>
      </c>
      <c r="H40" s="122">
        <v>200</v>
      </c>
      <c r="I40" s="32">
        <v>190</v>
      </c>
      <c r="J40" s="20">
        <v>10</v>
      </c>
      <c r="K40" s="21">
        <f t="shared" si="8"/>
        <v>10</v>
      </c>
      <c r="L40" s="21">
        <f t="shared" si="5"/>
        <v>200</v>
      </c>
      <c r="M40" s="21">
        <f t="shared" si="6"/>
        <v>0</v>
      </c>
      <c r="N40" s="21"/>
      <c r="O40" s="21"/>
      <c r="P40" s="5"/>
      <c r="Q40" s="16"/>
      <c r="R40" s="16"/>
      <c r="S40" s="21">
        <f t="shared" si="7"/>
        <v>0</v>
      </c>
      <c r="T40" s="16">
        <v>20</v>
      </c>
      <c r="U40" s="78">
        <f t="shared" si="9"/>
        <v>20</v>
      </c>
      <c r="V40" s="140"/>
      <c r="W40" s="147"/>
      <c r="X40" s="23"/>
      <c r="Y40" s="334"/>
      <c r="Z40" s="5"/>
      <c r="AC40" s="16" t="s">
        <v>168</v>
      </c>
      <c r="AD40" s="18">
        <f>+AB40*1000</f>
        <v>0</v>
      </c>
      <c r="AG40" s="16" t="s">
        <v>168</v>
      </c>
      <c r="AH40" s="18">
        <f>+AF40*1000</f>
        <v>0</v>
      </c>
      <c r="AJ40" s="16"/>
      <c r="AK40" s="16"/>
      <c r="AM40" s="16" t="s">
        <v>168</v>
      </c>
      <c r="AN40" s="18">
        <f>+AL40*1000</f>
        <v>0</v>
      </c>
    </row>
    <row r="41" spans="1:40" x14ac:dyDescent="0.25">
      <c r="A41" s="41">
        <v>9</v>
      </c>
      <c r="B41" s="92">
        <v>45202</v>
      </c>
      <c r="C41" s="31" t="s">
        <v>2578</v>
      </c>
      <c r="D41" s="32">
        <v>5585652455</v>
      </c>
      <c r="E41" s="32" t="s">
        <v>106</v>
      </c>
      <c r="F41" s="32" t="s">
        <v>1388</v>
      </c>
      <c r="G41" s="39" t="s">
        <v>1389</v>
      </c>
      <c r="H41" s="39">
        <v>150</v>
      </c>
      <c r="I41" s="40">
        <v>107</v>
      </c>
      <c r="J41" s="20">
        <v>10</v>
      </c>
      <c r="K41" s="21">
        <f t="shared" si="8"/>
        <v>10</v>
      </c>
      <c r="L41" s="21">
        <f t="shared" si="5"/>
        <v>117</v>
      </c>
      <c r="M41" s="21">
        <f t="shared" si="6"/>
        <v>33</v>
      </c>
      <c r="N41" s="21"/>
      <c r="O41" s="21"/>
      <c r="P41" s="5"/>
      <c r="Q41" s="16"/>
      <c r="R41" s="16"/>
      <c r="S41" s="21">
        <f t="shared" si="7"/>
        <v>0</v>
      </c>
      <c r="T41" s="16">
        <v>20</v>
      </c>
      <c r="U41" s="78">
        <f t="shared" si="9"/>
        <v>20</v>
      </c>
      <c r="V41" s="140"/>
      <c r="W41" s="147"/>
      <c r="X41" s="23"/>
      <c r="Y41" s="334"/>
      <c r="Z41" s="5"/>
      <c r="AC41" s="26"/>
      <c r="AD41" s="58"/>
      <c r="AG41" s="26"/>
      <c r="AH41" s="58"/>
      <c r="AJ41" s="16"/>
      <c r="AK41" s="16"/>
      <c r="AM41" s="26"/>
      <c r="AN41" s="58"/>
    </row>
    <row r="42" spans="1:40" x14ac:dyDescent="0.25">
      <c r="A42" s="143">
        <v>10</v>
      </c>
      <c r="B42" s="92">
        <v>45202</v>
      </c>
      <c r="C42" s="31" t="s">
        <v>483</v>
      </c>
      <c r="D42" s="32">
        <v>5559971116</v>
      </c>
      <c r="E42" s="32" t="s">
        <v>1393</v>
      </c>
      <c r="F42" s="32" t="s">
        <v>220</v>
      </c>
      <c r="G42" s="39" t="s">
        <v>1392</v>
      </c>
      <c r="H42" s="122">
        <v>80</v>
      </c>
      <c r="I42" s="42">
        <v>65</v>
      </c>
      <c r="J42" s="20">
        <v>10</v>
      </c>
      <c r="K42" s="21">
        <f t="shared" si="8"/>
        <v>0</v>
      </c>
      <c r="L42" s="21">
        <f t="shared" si="5"/>
        <v>75</v>
      </c>
      <c r="M42" s="21">
        <f t="shared" si="6"/>
        <v>5</v>
      </c>
      <c r="N42" s="21"/>
      <c r="O42" s="21"/>
      <c r="P42" s="5"/>
      <c r="Q42" s="16"/>
      <c r="R42" s="16"/>
      <c r="S42" s="21">
        <f t="shared" si="7"/>
        <v>0</v>
      </c>
      <c r="T42" s="16">
        <v>150</v>
      </c>
      <c r="U42" s="78">
        <v>10</v>
      </c>
      <c r="V42" s="140"/>
      <c r="W42" s="147"/>
      <c r="X42" s="23"/>
      <c r="Y42" s="334"/>
      <c r="Z42" s="5"/>
      <c r="AC42" s="16" t="s">
        <v>169</v>
      </c>
      <c r="AD42" s="18">
        <f>SUM(AD32:AD41)</f>
        <v>456</v>
      </c>
      <c r="AG42" s="16" t="s">
        <v>169</v>
      </c>
      <c r="AH42" s="18">
        <f>SUM(AH32:AH41)</f>
        <v>534</v>
      </c>
      <c r="AJ42" s="16"/>
      <c r="AK42" s="16"/>
      <c r="AM42" s="16" t="s">
        <v>169</v>
      </c>
      <c r="AN42" s="18"/>
    </row>
    <row r="43" spans="1:40" x14ac:dyDescent="0.25">
      <c r="A43" s="143">
        <v>11</v>
      </c>
      <c r="B43" s="92">
        <v>45202</v>
      </c>
      <c r="C43" s="31" t="s">
        <v>37</v>
      </c>
      <c r="D43" s="124">
        <v>5554180418</v>
      </c>
      <c r="E43" s="123" t="s">
        <v>1390</v>
      </c>
      <c r="F43" s="123" t="s">
        <v>1391</v>
      </c>
      <c r="G43" s="39" t="s">
        <v>1395</v>
      </c>
      <c r="H43" s="122">
        <v>220</v>
      </c>
      <c r="I43" s="42">
        <v>140</v>
      </c>
      <c r="J43" s="20">
        <v>10</v>
      </c>
      <c r="K43" s="21">
        <f t="shared" si="8"/>
        <v>0</v>
      </c>
      <c r="L43" s="21">
        <f t="shared" si="5"/>
        <v>150</v>
      </c>
      <c r="M43" s="21">
        <f t="shared" si="6"/>
        <v>70</v>
      </c>
      <c r="N43" s="21"/>
      <c r="O43" s="21"/>
      <c r="P43" s="5"/>
      <c r="Q43" s="16"/>
      <c r="R43" s="16"/>
      <c r="S43" s="21">
        <f t="shared" si="7"/>
        <v>0</v>
      </c>
      <c r="T43" s="16">
        <v>150</v>
      </c>
      <c r="U43" s="78">
        <v>10</v>
      </c>
      <c r="V43" s="140"/>
      <c r="W43" s="147"/>
      <c r="X43" s="23"/>
      <c r="Y43" s="334"/>
      <c r="Z43" s="5"/>
      <c r="AJ43" s="16"/>
      <c r="AK43" s="16"/>
      <c r="AM43" s="16"/>
      <c r="AN43" s="16"/>
    </row>
    <row r="44" spans="1:40" x14ac:dyDescent="0.25">
      <c r="A44" s="143">
        <v>12</v>
      </c>
      <c r="B44" s="92">
        <v>45202</v>
      </c>
      <c r="C44" s="32" t="s">
        <v>3948</v>
      </c>
      <c r="D44" s="32">
        <v>5527301716</v>
      </c>
      <c r="E44" s="124" t="s">
        <v>1396</v>
      </c>
      <c r="F44" s="123" t="s">
        <v>760</v>
      </c>
      <c r="G44" s="39" t="s">
        <v>1394</v>
      </c>
      <c r="H44" s="39">
        <v>80</v>
      </c>
      <c r="I44" s="42">
        <v>70</v>
      </c>
      <c r="J44" s="20">
        <v>10</v>
      </c>
      <c r="K44" s="21">
        <f t="shared" si="8"/>
        <v>0</v>
      </c>
      <c r="L44" s="21">
        <f t="shared" si="5"/>
        <v>80</v>
      </c>
      <c r="M44" s="21">
        <f t="shared" si="6"/>
        <v>0</v>
      </c>
      <c r="N44" s="21">
        <v>70</v>
      </c>
      <c r="O44" s="21"/>
      <c r="P44" s="5"/>
      <c r="Q44" s="45"/>
      <c r="R44" s="44"/>
      <c r="S44" s="21">
        <f t="shared" si="7"/>
        <v>0</v>
      </c>
      <c r="T44" s="45">
        <v>80</v>
      </c>
      <c r="U44" s="78">
        <v>10</v>
      </c>
      <c r="V44" s="140"/>
      <c r="W44" s="147"/>
      <c r="X44" s="23"/>
      <c r="Y44" s="334"/>
      <c r="Z44" s="5"/>
      <c r="AJ44" s="63" t="s">
        <v>169</v>
      </c>
      <c r="AK44" s="63">
        <f>+SUM(AJ33:AJ43)-SUM(AK33:AK43)</f>
        <v>324</v>
      </c>
      <c r="AM44" s="63" t="s">
        <v>169</v>
      </c>
      <c r="AN44" s="85">
        <f>+SUM(AM32:AM43)-SUM(AN33:AN43)</f>
        <v>0</v>
      </c>
    </row>
    <row r="45" spans="1:40" x14ac:dyDescent="0.25">
      <c r="A45" s="143">
        <v>13</v>
      </c>
      <c r="B45" s="92">
        <v>45202</v>
      </c>
      <c r="C45" s="31"/>
      <c r="D45" s="32"/>
      <c r="E45" s="32"/>
      <c r="F45" s="32"/>
      <c r="G45" s="39"/>
      <c r="H45" s="39"/>
      <c r="I45" s="42"/>
      <c r="J45" s="108">
        <v>10</v>
      </c>
      <c r="K45" s="21">
        <f t="shared" si="8"/>
        <v>-10</v>
      </c>
      <c r="L45" s="21">
        <f t="shared" si="5"/>
        <v>10</v>
      </c>
      <c r="M45" s="21">
        <f t="shared" si="6"/>
        <v>-10</v>
      </c>
      <c r="N45" s="21"/>
      <c r="O45" s="21"/>
      <c r="P45" s="5"/>
      <c r="Q45" s="43"/>
      <c r="R45" s="32"/>
      <c r="S45" s="21">
        <f t="shared" si="7"/>
        <v>0</v>
      </c>
      <c r="T45" s="43"/>
      <c r="U45" s="78">
        <f t="shared" si="9"/>
        <v>0</v>
      </c>
      <c r="V45" s="140"/>
      <c r="W45" s="147"/>
      <c r="X45" s="23"/>
      <c r="Y45" s="334"/>
      <c r="Z45" s="5"/>
      <c r="AH45" s="83"/>
    </row>
    <row r="46" spans="1:40" x14ac:dyDescent="0.25">
      <c r="A46" s="143">
        <v>14</v>
      </c>
      <c r="B46" s="92">
        <v>45202</v>
      </c>
      <c r="C46" s="31"/>
      <c r="D46" s="32"/>
      <c r="E46" s="32"/>
      <c r="F46" s="32"/>
      <c r="G46" s="39"/>
      <c r="H46" s="39"/>
      <c r="I46" s="42"/>
      <c r="J46" s="108">
        <v>10</v>
      </c>
      <c r="K46" s="21">
        <f t="shared" si="8"/>
        <v>-10</v>
      </c>
      <c r="L46" s="21">
        <f t="shared" si="5"/>
        <v>10</v>
      </c>
      <c r="M46" s="21">
        <f t="shared" si="6"/>
        <v>-10</v>
      </c>
      <c r="N46" s="21"/>
      <c r="O46" s="21"/>
      <c r="P46" s="5"/>
      <c r="Q46" s="43"/>
      <c r="R46" s="43"/>
      <c r="S46" s="21">
        <f t="shared" si="7"/>
        <v>0</v>
      </c>
      <c r="T46" s="43"/>
      <c r="U46" s="78">
        <f t="shared" si="9"/>
        <v>0</v>
      </c>
      <c r="V46" s="140"/>
      <c r="W46" s="147"/>
      <c r="X46" s="23"/>
      <c r="Y46" s="334"/>
      <c r="Z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40" x14ac:dyDescent="0.25">
      <c r="A47" s="143">
        <v>15</v>
      </c>
      <c r="B47" s="92">
        <v>45202</v>
      </c>
      <c r="C47" s="127"/>
      <c r="D47" s="32"/>
      <c r="E47" s="32"/>
      <c r="F47" s="128"/>
      <c r="G47" s="129"/>
      <c r="H47" s="39"/>
      <c r="I47" s="42"/>
      <c r="J47" s="108">
        <v>10</v>
      </c>
      <c r="K47" s="21">
        <f t="shared" si="8"/>
        <v>-10</v>
      </c>
      <c r="L47" s="21">
        <f t="shared" si="5"/>
        <v>10</v>
      </c>
      <c r="M47" s="21">
        <f t="shared" si="6"/>
        <v>-10</v>
      </c>
      <c r="N47" s="21"/>
      <c r="O47" s="21"/>
      <c r="P47" s="5"/>
      <c r="Q47" s="43"/>
      <c r="R47" s="43"/>
      <c r="S47" s="21">
        <f t="shared" si="7"/>
        <v>0</v>
      </c>
      <c r="T47" s="43"/>
      <c r="U47" s="78">
        <f t="shared" si="9"/>
        <v>0</v>
      </c>
      <c r="V47" s="140"/>
      <c r="W47" s="147"/>
      <c r="X47" s="23"/>
      <c r="Y47" s="334"/>
      <c r="Z47" s="5"/>
      <c r="AC47" s="5"/>
      <c r="AD47" s="134" t="s">
        <v>20</v>
      </c>
      <c r="AE47" s="338"/>
      <c r="AF47" s="341" t="s">
        <v>686</v>
      </c>
      <c r="AG47" s="134" t="s">
        <v>20</v>
      </c>
      <c r="AH47" s="338">
        <v>131</v>
      </c>
      <c r="AI47" s="341" t="s">
        <v>687</v>
      </c>
      <c r="AJ47" s="134" t="s">
        <v>20</v>
      </c>
      <c r="AK47" s="338"/>
      <c r="AL47" s="5"/>
    </row>
    <row r="48" spans="1:40" x14ac:dyDescent="0.25">
      <c r="A48" s="143">
        <v>16</v>
      </c>
      <c r="B48" s="92">
        <v>45202</v>
      </c>
      <c r="C48" s="31"/>
      <c r="D48" s="32"/>
      <c r="E48" s="32"/>
      <c r="F48" s="32"/>
      <c r="G48" s="39"/>
      <c r="H48" s="39"/>
      <c r="I48" s="42"/>
      <c r="J48" s="43">
        <v>10</v>
      </c>
      <c r="K48" s="21">
        <f t="shared" si="8"/>
        <v>-10</v>
      </c>
      <c r="L48" s="21">
        <f t="shared" si="5"/>
        <v>10</v>
      </c>
      <c r="M48" s="21">
        <f t="shared" si="6"/>
        <v>-10</v>
      </c>
      <c r="N48" s="21"/>
      <c r="O48" s="21"/>
      <c r="P48" s="5"/>
      <c r="Q48" s="43"/>
      <c r="R48" s="32"/>
      <c r="S48" s="21">
        <f t="shared" si="7"/>
        <v>0</v>
      </c>
      <c r="T48" s="131"/>
      <c r="U48" s="78">
        <f t="shared" si="9"/>
        <v>0</v>
      </c>
      <c r="V48" s="140"/>
      <c r="W48" s="147"/>
      <c r="X48" s="23"/>
      <c r="Y48" s="334"/>
      <c r="Z48" s="5"/>
      <c r="AC48" s="5" t="s">
        <v>685</v>
      </c>
      <c r="AD48" s="115" t="s">
        <v>684</v>
      </c>
      <c r="AE48" s="339"/>
      <c r="AF48" s="341"/>
      <c r="AG48" s="115" t="s">
        <v>684</v>
      </c>
      <c r="AH48" s="339"/>
      <c r="AI48" s="341"/>
      <c r="AJ48" s="115" t="s">
        <v>684</v>
      </c>
      <c r="AK48" s="339"/>
      <c r="AL48" s="5"/>
    </row>
    <row r="49" spans="1:40" x14ac:dyDescent="0.25">
      <c r="A49" s="143">
        <v>17</v>
      </c>
      <c r="B49" s="92">
        <v>45202</v>
      </c>
      <c r="C49" s="31"/>
      <c r="D49" s="32"/>
      <c r="E49" s="32"/>
      <c r="F49" s="32"/>
      <c r="G49" s="39"/>
      <c r="H49" s="39"/>
      <c r="I49" s="42"/>
      <c r="J49" s="43">
        <v>10</v>
      </c>
      <c r="K49" s="21">
        <f t="shared" si="8"/>
        <v>-10</v>
      </c>
      <c r="L49" s="21">
        <f t="shared" si="5"/>
        <v>10</v>
      </c>
      <c r="M49" s="21">
        <f t="shared" si="6"/>
        <v>-10</v>
      </c>
      <c r="N49" s="21"/>
      <c r="O49" s="21"/>
      <c r="P49" s="5"/>
      <c r="Q49" s="43"/>
      <c r="R49" s="32"/>
      <c r="S49" s="21">
        <f t="shared" si="7"/>
        <v>0</v>
      </c>
      <c r="T49" s="132"/>
      <c r="U49" s="78">
        <f t="shared" si="9"/>
        <v>0</v>
      </c>
      <c r="V49" s="140"/>
      <c r="W49" s="147"/>
      <c r="X49" s="23"/>
      <c r="Y49" s="340"/>
      <c r="Z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40" x14ac:dyDescent="0.25">
      <c r="A50" s="143">
        <v>18</v>
      </c>
      <c r="B50" s="92">
        <v>45202</v>
      </c>
      <c r="C50" s="31"/>
      <c r="D50" s="32"/>
      <c r="E50" s="32"/>
      <c r="F50" s="32"/>
      <c r="G50" s="39"/>
      <c r="H50" s="39"/>
      <c r="I50" s="42"/>
      <c r="J50" s="43">
        <v>10</v>
      </c>
      <c r="K50" s="21">
        <f t="shared" si="8"/>
        <v>-10</v>
      </c>
      <c r="L50" s="21">
        <f t="shared" si="5"/>
        <v>10</v>
      </c>
      <c r="M50" s="21">
        <f t="shared" si="6"/>
        <v>-10</v>
      </c>
      <c r="N50" s="21"/>
      <c r="O50" s="21"/>
      <c r="P50" s="5"/>
      <c r="Q50" s="135"/>
      <c r="R50" s="104"/>
      <c r="S50" s="21">
        <f t="shared" si="7"/>
        <v>0</v>
      </c>
      <c r="T50" s="131"/>
      <c r="U50" s="78">
        <f t="shared" si="9"/>
        <v>0</v>
      </c>
      <c r="V50" s="140"/>
      <c r="W50" s="138"/>
      <c r="X50" s="32"/>
      <c r="Z50" s="5"/>
    </row>
    <row r="51" spans="1:40" x14ac:dyDescent="0.25">
      <c r="A51" s="143">
        <v>19</v>
      </c>
      <c r="B51" s="92">
        <v>45202</v>
      </c>
      <c r="C51" s="31"/>
      <c r="D51" s="32"/>
      <c r="E51" s="32"/>
      <c r="F51" s="32"/>
      <c r="G51" s="39"/>
      <c r="H51" s="39"/>
      <c r="I51" s="42"/>
      <c r="J51" s="43">
        <v>10</v>
      </c>
      <c r="K51" s="21">
        <f t="shared" si="8"/>
        <v>-10</v>
      </c>
      <c r="L51" s="21">
        <f t="shared" si="5"/>
        <v>10</v>
      </c>
      <c r="M51" s="21">
        <f t="shared" si="6"/>
        <v>-10</v>
      </c>
      <c r="N51" s="21"/>
      <c r="O51" s="21"/>
      <c r="P51" s="5"/>
      <c r="Q51" s="32"/>
      <c r="R51" s="32"/>
      <c r="S51" s="21">
        <f t="shared" si="7"/>
        <v>0</v>
      </c>
      <c r="T51" s="32"/>
      <c r="U51" s="78">
        <f t="shared" si="9"/>
        <v>0</v>
      </c>
      <c r="V51" s="140"/>
      <c r="W51" s="138"/>
      <c r="X51" s="32"/>
      <c r="Z51" s="5"/>
    </row>
    <row r="52" spans="1:40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141"/>
      <c r="W52" s="5"/>
      <c r="X52" s="5"/>
      <c r="Y52" s="5"/>
      <c r="Z52" s="5"/>
    </row>
    <row r="57" spans="1:40" x14ac:dyDescent="0.25">
      <c r="A57" s="1" t="s">
        <v>0</v>
      </c>
      <c r="B57" s="1"/>
      <c r="C57" s="1"/>
      <c r="D57" s="1"/>
      <c r="E57" s="1"/>
      <c r="F57" s="1"/>
      <c r="G57" s="1"/>
      <c r="H57" s="1"/>
      <c r="I57" s="1" t="s">
        <v>148</v>
      </c>
      <c r="J57" s="1"/>
      <c r="K57" s="1"/>
      <c r="L57" s="1"/>
      <c r="M57" s="1"/>
      <c r="N57" s="1"/>
      <c r="O57" s="1"/>
      <c r="P57" s="1"/>
      <c r="Q57" s="1"/>
      <c r="R57" s="1"/>
      <c r="S57" s="342" t="s">
        <v>1</v>
      </c>
      <c r="T57" s="342"/>
      <c r="U57" s="5"/>
      <c r="V57" s="139"/>
      <c r="W57" s="1"/>
      <c r="X57" s="1"/>
      <c r="Y57" s="1"/>
      <c r="Z57" s="5"/>
      <c r="AC57" s="335" t="s">
        <v>160</v>
      </c>
      <c r="AD57" s="336"/>
      <c r="AG57" s="335" t="s">
        <v>170</v>
      </c>
      <c r="AH57" s="336"/>
      <c r="AJ57" s="337" t="s">
        <v>172</v>
      </c>
      <c r="AK57" s="337"/>
      <c r="AM57" s="337" t="s">
        <v>681</v>
      </c>
      <c r="AN57" s="337"/>
    </row>
    <row r="58" spans="1:40" ht="90" x14ac:dyDescent="0.25">
      <c r="A58" s="6" t="s">
        <v>2</v>
      </c>
      <c r="B58" s="7" t="s">
        <v>3</v>
      </c>
      <c r="C58" s="7" t="s">
        <v>4</v>
      </c>
      <c r="D58" s="6" t="s">
        <v>5</v>
      </c>
      <c r="E58" s="6" t="s">
        <v>6</v>
      </c>
      <c r="F58" s="6" t="s">
        <v>7</v>
      </c>
      <c r="G58" s="6" t="s">
        <v>8</v>
      </c>
      <c r="H58" s="8" t="s">
        <v>9</v>
      </c>
      <c r="I58" s="9" t="s">
        <v>10</v>
      </c>
      <c r="J58" s="8" t="s">
        <v>11</v>
      </c>
      <c r="K58" s="10" t="s">
        <v>12</v>
      </c>
      <c r="L58" s="10" t="s">
        <v>13</v>
      </c>
      <c r="M58" s="11" t="s">
        <v>14</v>
      </c>
      <c r="N58" s="10" t="s">
        <v>691</v>
      </c>
      <c r="O58" s="10" t="s">
        <v>28</v>
      </c>
      <c r="P58" s="5"/>
      <c r="Q58" s="10" t="s">
        <v>16</v>
      </c>
      <c r="R58" s="10" t="s">
        <v>17</v>
      </c>
      <c r="S58" s="10" t="s">
        <v>18</v>
      </c>
      <c r="T58" s="10" t="s">
        <v>19</v>
      </c>
      <c r="U58" s="10" t="s">
        <v>20</v>
      </c>
      <c r="V58" s="13"/>
      <c r="W58" s="136" t="s">
        <v>688</v>
      </c>
      <c r="X58" s="14" t="s">
        <v>22</v>
      </c>
      <c r="Y58" s="15" t="s">
        <v>23</v>
      </c>
      <c r="Z58" s="5"/>
      <c r="AB58">
        <v>6</v>
      </c>
      <c r="AC58" s="16" t="s">
        <v>161</v>
      </c>
      <c r="AD58" s="58">
        <f>+AB58*10</f>
        <v>60</v>
      </c>
      <c r="AF58">
        <v>11</v>
      </c>
      <c r="AG58" s="16" t="s">
        <v>161</v>
      </c>
      <c r="AH58" s="58">
        <f>+AF58*10</f>
        <v>110</v>
      </c>
      <c r="AJ58" s="61" t="s">
        <v>173</v>
      </c>
      <c r="AK58" s="62" t="s">
        <v>174</v>
      </c>
      <c r="AM58" s="16" t="s">
        <v>161</v>
      </c>
      <c r="AN58" s="58">
        <f>+AL58*10</f>
        <v>0</v>
      </c>
    </row>
    <row r="59" spans="1:40" x14ac:dyDescent="0.25">
      <c r="A59" s="16">
        <v>1</v>
      </c>
      <c r="B59" s="92">
        <v>45203</v>
      </c>
      <c r="C59" s="31"/>
      <c r="D59" s="32"/>
      <c r="E59" s="32" t="s">
        <v>1399</v>
      </c>
      <c r="F59" s="39" t="s">
        <v>1397</v>
      </c>
      <c r="G59" s="39" t="s">
        <v>1398</v>
      </c>
      <c r="H59" s="122"/>
      <c r="I59" s="32"/>
      <c r="J59" s="20">
        <v>10</v>
      </c>
      <c r="K59" s="21">
        <f>U59-J59-O59</f>
        <v>5</v>
      </c>
      <c r="L59" s="21">
        <f t="shared" ref="L59:L77" si="10">+I59+J59</f>
        <v>10</v>
      </c>
      <c r="M59" s="21">
        <f t="shared" ref="M59:M77" si="11">+H59-L59</f>
        <v>-10</v>
      </c>
      <c r="N59" s="21"/>
      <c r="O59" s="21"/>
      <c r="P59" s="5"/>
      <c r="Q59" s="21">
        <v>200</v>
      </c>
      <c r="R59" s="16"/>
      <c r="S59" s="21">
        <f t="shared" ref="S59:S77" si="12">+Q59+R59</f>
        <v>200</v>
      </c>
      <c r="T59" s="21">
        <v>215</v>
      </c>
      <c r="U59" s="78">
        <f>T59-S59-O59</f>
        <v>15</v>
      </c>
      <c r="V59" s="13"/>
      <c r="W59" s="147"/>
      <c r="X59" s="23"/>
      <c r="Y59" s="333"/>
      <c r="Z59" s="5"/>
      <c r="AB59">
        <v>33</v>
      </c>
      <c r="AC59" s="59" t="s">
        <v>162</v>
      </c>
      <c r="AD59" s="18">
        <f>+AB59*1</f>
        <v>33</v>
      </c>
      <c r="AF59">
        <v>63</v>
      </c>
      <c r="AG59" s="59" t="s">
        <v>162</v>
      </c>
      <c r="AH59" s="18">
        <f>+AF59*1</f>
        <v>63</v>
      </c>
      <c r="AJ59" s="63">
        <f>+SUM(AI48:AI58)-SUM(AJ48:AJ58)</f>
        <v>0</v>
      </c>
      <c r="AK59" s="16"/>
      <c r="AM59" s="59" t="s">
        <v>162</v>
      </c>
      <c r="AN59" s="18">
        <f>+AL59*1</f>
        <v>0</v>
      </c>
    </row>
    <row r="60" spans="1:40" x14ac:dyDescent="0.25">
      <c r="A60" s="26">
        <v>2</v>
      </c>
      <c r="B60" s="92">
        <v>45203</v>
      </c>
      <c r="C60" s="31" t="s">
        <v>634</v>
      </c>
      <c r="D60" s="32">
        <v>5614683694</v>
      </c>
      <c r="E60" s="32" t="s">
        <v>394</v>
      </c>
      <c r="F60" s="32"/>
      <c r="G60" s="39" t="s">
        <v>1400</v>
      </c>
      <c r="H60" s="122">
        <v>200</v>
      </c>
      <c r="I60" s="32"/>
      <c r="J60" s="20">
        <v>10</v>
      </c>
      <c r="K60" s="21">
        <f t="shared" ref="K60:K77" si="13">U60-J60-O60</f>
        <v>0</v>
      </c>
      <c r="L60" s="21">
        <f t="shared" si="10"/>
        <v>10</v>
      </c>
      <c r="M60" s="21">
        <f t="shared" si="11"/>
        <v>190</v>
      </c>
      <c r="N60" s="21"/>
      <c r="O60" s="21"/>
      <c r="P60" s="5"/>
      <c r="Q60" s="21">
        <v>200</v>
      </c>
      <c r="R60" s="16"/>
      <c r="S60" s="21">
        <f t="shared" si="12"/>
        <v>200</v>
      </c>
      <c r="T60" s="21"/>
      <c r="U60" s="78">
        <v>10</v>
      </c>
      <c r="V60" s="140"/>
      <c r="W60" s="147"/>
      <c r="X60" s="23"/>
      <c r="Y60" s="334"/>
      <c r="Z60" s="5"/>
      <c r="AB60">
        <v>12</v>
      </c>
      <c r="AC60" s="16" t="s">
        <v>163</v>
      </c>
      <c r="AD60" s="60">
        <f>+AB60*5</f>
        <v>60</v>
      </c>
      <c r="AF60">
        <v>21</v>
      </c>
      <c r="AG60" s="16" t="s">
        <v>163</v>
      </c>
      <c r="AH60" s="60">
        <f>+AF60*5</f>
        <v>105</v>
      </c>
      <c r="AJ60" s="16">
        <v>324</v>
      </c>
      <c r="AK60" s="16"/>
      <c r="AM60" s="16" t="s">
        <v>163</v>
      </c>
      <c r="AN60" s="60">
        <f>+AL60*5</f>
        <v>0</v>
      </c>
    </row>
    <row r="61" spans="1:40" x14ac:dyDescent="0.25">
      <c r="A61" s="143">
        <v>3</v>
      </c>
      <c r="B61" s="92">
        <v>45203</v>
      </c>
      <c r="C61" s="31" t="s">
        <v>3947</v>
      </c>
      <c r="D61" s="32">
        <v>5615417890</v>
      </c>
      <c r="E61" s="32" t="s">
        <v>28</v>
      </c>
      <c r="F61" s="32" t="s">
        <v>1351</v>
      </c>
      <c r="G61" s="39" t="s">
        <v>1401</v>
      </c>
      <c r="H61" s="122">
        <v>100</v>
      </c>
      <c r="I61" s="32">
        <v>31</v>
      </c>
      <c r="J61" s="20">
        <v>10</v>
      </c>
      <c r="K61" s="21">
        <f t="shared" si="13"/>
        <v>1</v>
      </c>
      <c r="L61" s="21">
        <f t="shared" si="10"/>
        <v>41</v>
      </c>
      <c r="M61" s="21">
        <f t="shared" si="11"/>
        <v>59</v>
      </c>
      <c r="N61" s="21"/>
      <c r="O61" s="21"/>
      <c r="P61" s="5"/>
      <c r="Q61" s="21">
        <v>200</v>
      </c>
      <c r="R61" s="16"/>
      <c r="S61" s="21">
        <f t="shared" si="12"/>
        <v>200</v>
      </c>
      <c r="T61" s="21">
        <v>211</v>
      </c>
      <c r="U61" s="78">
        <f t="shared" ref="U61:U77" si="14">T61-S61-O61</f>
        <v>11</v>
      </c>
      <c r="V61" s="140"/>
      <c r="W61" s="147"/>
      <c r="X61" s="23"/>
      <c r="Y61" s="334"/>
      <c r="Z61" s="5"/>
      <c r="AC61" s="16" t="s">
        <v>164</v>
      </c>
      <c r="AD61" s="18">
        <f>+AB61*200</f>
        <v>0</v>
      </c>
      <c r="AG61" s="16" t="s">
        <v>164</v>
      </c>
      <c r="AH61" s="18">
        <f>+AF61*200</f>
        <v>0</v>
      </c>
      <c r="AJ61" s="16"/>
      <c r="AK61" s="16"/>
      <c r="AM61" s="16" t="s">
        <v>164</v>
      </c>
      <c r="AN61" s="18">
        <f>+AL61*200</f>
        <v>0</v>
      </c>
    </row>
    <row r="62" spans="1:40" x14ac:dyDescent="0.25">
      <c r="A62" s="143">
        <v>4</v>
      </c>
      <c r="B62" s="92">
        <v>45203</v>
      </c>
      <c r="C62" s="31" t="s">
        <v>3193</v>
      </c>
      <c r="D62" s="32"/>
      <c r="E62" s="32"/>
      <c r="F62" s="32" t="s">
        <v>1404</v>
      </c>
      <c r="G62" s="39" t="s">
        <v>1403</v>
      </c>
      <c r="H62" s="122">
        <v>62</v>
      </c>
      <c r="I62" s="32">
        <v>20</v>
      </c>
      <c r="J62" s="20">
        <v>10</v>
      </c>
      <c r="K62" s="21">
        <f t="shared" si="13"/>
        <v>2</v>
      </c>
      <c r="L62" s="21">
        <f t="shared" si="10"/>
        <v>30</v>
      </c>
      <c r="M62" s="21">
        <f t="shared" si="11"/>
        <v>32</v>
      </c>
      <c r="N62" s="21"/>
      <c r="O62" s="21"/>
      <c r="P62" s="5"/>
      <c r="Q62" s="21">
        <v>50</v>
      </c>
      <c r="R62" s="16"/>
      <c r="S62" s="21">
        <f t="shared" si="12"/>
        <v>50</v>
      </c>
      <c r="T62" s="21">
        <v>62</v>
      </c>
      <c r="U62" s="78">
        <f t="shared" si="14"/>
        <v>12</v>
      </c>
      <c r="V62" s="140"/>
      <c r="W62" s="147"/>
      <c r="X62" s="23"/>
      <c r="Y62" s="334"/>
      <c r="Z62" s="5"/>
      <c r="AB62">
        <v>1</v>
      </c>
      <c r="AC62" s="16" t="s">
        <v>165</v>
      </c>
      <c r="AD62" s="18">
        <f>+AB62*100</f>
        <v>100</v>
      </c>
      <c r="AG62" s="16" t="s">
        <v>165</v>
      </c>
      <c r="AH62" s="18">
        <f>+AF62*100</f>
        <v>0</v>
      </c>
      <c r="AJ62" s="16"/>
      <c r="AK62" s="16"/>
      <c r="AM62" s="16" t="s">
        <v>165</v>
      </c>
      <c r="AN62" s="18">
        <f>+AL62*100</f>
        <v>0</v>
      </c>
    </row>
    <row r="63" spans="1:40" x14ac:dyDescent="0.25">
      <c r="A63" s="143">
        <v>5</v>
      </c>
      <c r="B63" s="92">
        <v>45203</v>
      </c>
      <c r="C63" s="31" t="s">
        <v>1194</v>
      </c>
      <c r="D63" s="32">
        <v>5516609716</v>
      </c>
      <c r="E63" s="32" t="s">
        <v>106</v>
      </c>
      <c r="F63" s="32" t="s">
        <v>918</v>
      </c>
      <c r="G63" s="32" t="s">
        <v>1405</v>
      </c>
      <c r="H63" s="122">
        <v>115</v>
      </c>
      <c r="I63" s="32">
        <v>46</v>
      </c>
      <c r="J63" s="20">
        <v>10</v>
      </c>
      <c r="K63" s="21">
        <f t="shared" si="13"/>
        <v>5</v>
      </c>
      <c r="L63" s="21">
        <f t="shared" si="10"/>
        <v>56</v>
      </c>
      <c r="M63" s="21">
        <f t="shared" si="11"/>
        <v>59</v>
      </c>
      <c r="N63" s="21"/>
      <c r="O63" s="21"/>
      <c r="P63" s="5"/>
      <c r="Q63" s="16">
        <v>100</v>
      </c>
      <c r="R63" s="16"/>
      <c r="S63" s="21">
        <f t="shared" si="12"/>
        <v>100</v>
      </c>
      <c r="T63" s="21">
        <v>115</v>
      </c>
      <c r="U63" s="78">
        <f t="shared" si="14"/>
        <v>15</v>
      </c>
      <c r="V63" s="140"/>
      <c r="W63" s="147"/>
      <c r="X63" s="23"/>
      <c r="Y63" s="334"/>
      <c r="Z63" s="5"/>
      <c r="AB63">
        <v>3</v>
      </c>
      <c r="AC63" s="16" t="s">
        <v>166</v>
      </c>
      <c r="AD63" s="18">
        <f>+AB63*50</f>
        <v>150</v>
      </c>
      <c r="AG63" s="16" t="s">
        <v>166</v>
      </c>
      <c r="AH63" s="18">
        <f>+AF63*50</f>
        <v>0</v>
      </c>
      <c r="AJ63" s="16"/>
      <c r="AK63" s="16"/>
      <c r="AM63" s="16" t="s">
        <v>166</v>
      </c>
      <c r="AN63" s="18">
        <f>+AL63*50</f>
        <v>0</v>
      </c>
    </row>
    <row r="64" spans="1:40" x14ac:dyDescent="0.25">
      <c r="A64" s="143">
        <v>6</v>
      </c>
      <c r="B64" s="92">
        <v>45203</v>
      </c>
      <c r="C64" s="31" t="s">
        <v>2637</v>
      </c>
      <c r="D64" s="32"/>
      <c r="E64" s="32"/>
      <c r="F64" s="32"/>
      <c r="G64" s="39" t="s">
        <v>1408</v>
      </c>
      <c r="H64" s="39">
        <v>200</v>
      </c>
      <c r="I64" s="42">
        <v>35</v>
      </c>
      <c r="J64" s="20">
        <v>10</v>
      </c>
      <c r="K64" s="21">
        <f t="shared" si="13"/>
        <v>0</v>
      </c>
      <c r="L64" s="21">
        <f t="shared" si="10"/>
        <v>45</v>
      </c>
      <c r="M64" s="21">
        <f t="shared" si="11"/>
        <v>155</v>
      </c>
      <c r="N64" s="21"/>
      <c r="O64" s="21"/>
      <c r="P64" s="5"/>
      <c r="Q64" s="16">
        <v>200</v>
      </c>
      <c r="R64" s="16"/>
      <c r="S64" s="21">
        <f t="shared" si="12"/>
        <v>200</v>
      </c>
      <c r="T64" s="16">
        <v>210</v>
      </c>
      <c r="U64" s="78">
        <f t="shared" si="14"/>
        <v>10</v>
      </c>
      <c r="V64" s="140"/>
      <c r="W64" s="147"/>
      <c r="X64" s="23"/>
      <c r="Y64" s="334"/>
      <c r="Z64" s="5"/>
      <c r="AB64">
        <v>7</v>
      </c>
      <c r="AC64" s="16" t="s">
        <v>167</v>
      </c>
      <c r="AD64" s="18">
        <f>+AB64*20</f>
        <v>140</v>
      </c>
      <c r="AG64" s="16" t="s">
        <v>167</v>
      </c>
      <c r="AH64" s="18">
        <f>+AF64*20</f>
        <v>0</v>
      </c>
      <c r="AJ64" s="16"/>
      <c r="AK64" s="16"/>
      <c r="AM64" s="16" t="s">
        <v>167</v>
      </c>
      <c r="AN64" s="18">
        <f>+AL64*20</f>
        <v>0</v>
      </c>
    </row>
    <row r="65" spans="1:40" x14ac:dyDescent="0.25">
      <c r="A65" s="143">
        <v>7</v>
      </c>
      <c r="B65" s="92">
        <v>45203</v>
      </c>
      <c r="C65" s="31" t="s">
        <v>860</v>
      </c>
      <c r="D65" s="32"/>
      <c r="E65" s="32"/>
      <c r="F65" s="32" t="s">
        <v>1407</v>
      </c>
      <c r="G65" s="39" t="s">
        <v>1406</v>
      </c>
      <c r="H65" s="122">
        <v>100</v>
      </c>
      <c r="I65" s="42">
        <v>38</v>
      </c>
      <c r="J65" s="20">
        <v>10</v>
      </c>
      <c r="K65" s="21">
        <f t="shared" si="13"/>
        <v>0</v>
      </c>
      <c r="L65" s="21">
        <f t="shared" si="10"/>
        <v>48</v>
      </c>
      <c r="M65" s="21">
        <f t="shared" si="11"/>
        <v>52</v>
      </c>
      <c r="N65" s="21"/>
      <c r="O65" s="21"/>
      <c r="P65" s="5"/>
      <c r="Q65" s="16">
        <v>100</v>
      </c>
      <c r="R65" s="16"/>
      <c r="S65" s="21">
        <f t="shared" si="12"/>
        <v>100</v>
      </c>
      <c r="T65" s="16">
        <v>110</v>
      </c>
      <c r="U65" s="78">
        <f t="shared" si="14"/>
        <v>10</v>
      </c>
      <c r="V65" s="140"/>
      <c r="W65" s="147"/>
      <c r="X65" s="23"/>
      <c r="Y65" s="334"/>
      <c r="Z65" s="5"/>
      <c r="AC65" s="16" t="s">
        <v>171</v>
      </c>
      <c r="AD65" s="18">
        <f>+AB65*500</f>
        <v>0</v>
      </c>
      <c r="AF65">
        <v>1</v>
      </c>
      <c r="AG65" s="16" t="s">
        <v>171</v>
      </c>
      <c r="AH65" s="18">
        <f>+AF65*500</f>
        <v>500</v>
      </c>
      <c r="AJ65" s="16"/>
      <c r="AK65" s="16"/>
      <c r="AM65" s="16" t="s">
        <v>171</v>
      </c>
      <c r="AN65" s="18">
        <f>+AL65*500</f>
        <v>0</v>
      </c>
    </row>
    <row r="66" spans="1:40" x14ac:dyDescent="0.25">
      <c r="A66" s="41">
        <v>8</v>
      </c>
      <c r="B66" s="92">
        <v>45203</v>
      </c>
      <c r="C66" s="31" t="s">
        <v>3946</v>
      </c>
      <c r="D66" s="123"/>
      <c r="E66" s="123"/>
      <c r="F66" s="123" t="s">
        <v>1148</v>
      </c>
      <c r="G66" s="39" t="s">
        <v>1409</v>
      </c>
      <c r="H66" s="122">
        <v>50</v>
      </c>
      <c r="I66" s="32">
        <v>40</v>
      </c>
      <c r="J66" s="20">
        <v>10</v>
      </c>
      <c r="K66" s="21">
        <f t="shared" si="13"/>
        <v>10</v>
      </c>
      <c r="L66" s="21">
        <f t="shared" si="10"/>
        <v>50</v>
      </c>
      <c r="M66" s="21">
        <f t="shared" si="11"/>
        <v>0</v>
      </c>
      <c r="N66" s="21"/>
      <c r="O66" s="21"/>
      <c r="P66" s="5"/>
      <c r="Q66" s="16"/>
      <c r="R66" s="16"/>
      <c r="S66" s="21">
        <f t="shared" si="12"/>
        <v>0</v>
      </c>
      <c r="T66" s="16">
        <v>20</v>
      </c>
      <c r="U66" s="78">
        <f t="shared" si="14"/>
        <v>20</v>
      </c>
      <c r="V66" s="140"/>
      <c r="W66" s="147"/>
      <c r="X66" s="23"/>
      <c r="Y66" s="334"/>
      <c r="Z66" s="5"/>
      <c r="AC66" s="16" t="s">
        <v>168</v>
      </c>
      <c r="AD66" s="18">
        <f>+AB66*1000</f>
        <v>0</v>
      </c>
      <c r="AG66" s="16" t="s">
        <v>168</v>
      </c>
      <c r="AH66" s="18">
        <f>+AF66*1000</f>
        <v>0</v>
      </c>
      <c r="AJ66" s="16"/>
      <c r="AK66" s="16"/>
      <c r="AM66" s="16" t="s">
        <v>168</v>
      </c>
      <c r="AN66" s="18">
        <f>+AL66*1000</f>
        <v>0</v>
      </c>
    </row>
    <row r="67" spans="1:40" x14ac:dyDescent="0.25">
      <c r="A67" s="143">
        <v>9</v>
      </c>
      <c r="B67" s="92">
        <v>45203</v>
      </c>
      <c r="C67" s="31" t="s">
        <v>2637</v>
      </c>
      <c r="D67" s="32"/>
      <c r="E67" s="32" t="s">
        <v>52</v>
      </c>
      <c r="F67" s="32" t="s">
        <v>999</v>
      </c>
      <c r="G67" s="39" t="s">
        <v>1410</v>
      </c>
      <c r="H67" s="39">
        <v>220</v>
      </c>
      <c r="I67" s="40">
        <v>114</v>
      </c>
      <c r="J67" s="20">
        <v>10</v>
      </c>
      <c r="K67" s="21"/>
      <c r="L67" s="21">
        <f t="shared" si="10"/>
        <v>124</v>
      </c>
      <c r="M67" s="21">
        <f t="shared" si="11"/>
        <v>96</v>
      </c>
      <c r="N67" s="21"/>
      <c r="O67" s="21"/>
      <c r="P67" s="5"/>
      <c r="Q67" s="16"/>
      <c r="R67" s="16"/>
      <c r="S67" s="21">
        <f t="shared" si="12"/>
        <v>0</v>
      </c>
      <c r="T67" s="16">
        <v>200</v>
      </c>
      <c r="U67" s="78">
        <v>10</v>
      </c>
      <c r="V67" s="140"/>
      <c r="W67" s="147"/>
      <c r="X67" s="23"/>
      <c r="Y67" s="334"/>
      <c r="Z67" s="5"/>
      <c r="AC67" s="26"/>
      <c r="AD67" s="58"/>
      <c r="AG67" s="26"/>
      <c r="AH67" s="58"/>
      <c r="AJ67" s="16"/>
      <c r="AK67" s="16"/>
      <c r="AM67" s="26"/>
      <c r="AN67" s="58"/>
    </row>
    <row r="68" spans="1:40" x14ac:dyDescent="0.25">
      <c r="A68" s="143">
        <v>10</v>
      </c>
      <c r="B68" s="92">
        <v>45203</v>
      </c>
      <c r="C68" s="31" t="s">
        <v>2639</v>
      </c>
      <c r="D68" s="32"/>
      <c r="E68" s="32" t="s">
        <v>52</v>
      </c>
      <c r="F68" s="32" t="s">
        <v>482</v>
      </c>
      <c r="G68" s="39" t="s">
        <v>1411</v>
      </c>
      <c r="H68" s="122">
        <v>170</v>
      </c>
      <c r="I68" s="42">
        <v>59</v>
      </c>
      <c r="J68" s="20">
        <v>10</v>
      </c>
      <c r="K68" s="21">
        <v>10</v>
      </c>
      <c r="L68" s="21">
        <f t="shared" si="10"/>
        <v>69</v>
      </c>
      <c r="M68" s="21">
        <f t="shared" si="11"/>
        <v>101</v>
      </c>
      <c r="N68" s="21"/>
      <c r="O68" s="21"/>
      <c r="P68" s="5"/>
      <c r="Q68" s="16"/>
      <c r="R68" s="16"/>
      <c r="S68" s="21">
        <f t="shared" si="12"/>
        <v>0</v>
      </c>
      <c r="T68" s="16">
        <v>170</v>
      </c>
      <c r="U68" s="78">
        <v>20</v>
      </c>
      <c r="V68" s="140"/>
      <c r="W68" s="147"/>
      <c r="X68" s="23"/>
      <c r="Y68" s="334"/>
      <c r="Z68" s="5"/>
      <c r="AC68" s="16" t="s">
        <v>169</v>
      </c>
      <c r="AD68" s="18">
        <f>SUM(AD58:AD67)</f>
        <v>543</v>
      </c>
      <c r="AG68" s="16" t="s">
        <v>169</v>
      </c>
      <c r="AH68" s="18">
        <f>SUM(AH58:AH67)</f>
        <v>778</v>
      </c>
      <c r="AJ68" s="16"/>
      <c r="AK68" s="16"/>
      <c r="AM68" s="16" t="s">
        <v>169</v>
      </c>
      <c r="AN68" s="18"/>
    </row>
    <row r="69" spans="1:40" x14ac:dyDescent="0.25">
      <c r="A69" s="143">
        <v>11</v>
      </c>
      <c r="B69" s="92">
        <v>45203</v>
      </c>
      <c r="C69" s="31" t="s">
        <v>1412</v>
      </c>
      <c r="D69" s="124"/>
      <c r="E69" s="123" t="s">
        <v>52</v>
      </c>
      <c r="F69" s="123" t="s">
        <v>1413</v>
      </c>
      <c r="G69" s="39" t="s">
        <v>1414</v>
      </c>
      <c r="H69" s="122">
        <v>138</v>
      </c>
      <c r="I69" s="42">
        <v>72</v>
      </c>
      <c r="J69" s="20">
        <v>10</v>
      </c>
      <c r="K69" s="21">
        <v>8</v>
      </c>
      <c r="L69" s="21">
        <f t="shared" si="10"/>
        <v>82</v>
      </c>
      <c r="M69" s="21">
        <f t="shared" si="11"/>
        <v>56</v>
      </c>
      <c r="N69" s="21"/>
      <c r="O69" s="21"/>
      <c r="P69" s="5"/>
      <c r="Q69" s="16"/>
      <c r="R69" s="16"/>
      <c r="S69" s="21">
        <f t="shared" si="12"/>
        <v>0</v>
      </c>
      <c r="T69" s="16">
        <v>138</v>
      </c>
      <c r="U69" s="78">
        <v>18</v>
      </c>
      <c r="V69" s="140"/>
      <c r="W69" s="147"/>
      <c r="X69" s="23"/>
      <c r="Y69" s="334"/>
      <c r="Z69" s="5"/>
      <c r="AD69">
        <v>534</v>
      </c>
      <c r="AJ69" s="16"/>
      <c r="AK69" s="16"/>
      <c r="AM69" s="16"/>
      <c r="AN69" s="16"/>
    </row>
    <row r="70" spans="1:40" x14ac:dyDescent="0.25">
      <c r="A70" s="143">
        <v>12</v>
      </c>
      <c r="B70" s="92">
        <v>45203</v>
      </c>
      <c r="C70" s="32" t="s">
        <v>3100</v>
      </c>
      <c r="D70" s="32"/>
      <c r="E70" s="124" t="s">
        <v>52</v>
      </c>
      <c r="F70" s="123" t="s">
        <v>994</v>
      </c>
      <c r="G70" s="39" t="s">
        <v>1415</v>
      </c>
      <c r="H70" s="39">
        <v>500</v>
      </c>
      <c r="I70" s="42">
        <v>267</v>
      </c>
      <c r="J70" s="20">
        <v>10</v>
      </c>
      <c r="K70" s="21"/>
      <c r="L70" s="21">
        <f t="shared" si="10"/>
        <v>277</v>
      </c>
      <c r="M70" s="21">
        <f t="shared" si="11"/>
        <v>223</v>
      </c>
      <c r="N70" s="21"/>
      <c r="O70" s="21"/>
      <c r="P70" s="5"/>
      <c r="Q70" s="45"/>
      <c r="R70" s="44"/>
      <c r="S70" s="21">
        <f t="shared" si="12"/>
        <v>0</v>
      </c>
      <c r="T70" s="45">
        <v>500</v>
      </c>
      <c r="U70" s="78">
        <v>10</v>
      </c>
      <c r="V70" s="140"/>
      <c r="W70" s="147"/>
      <c r="X70" s="23"/>
      <c r="Y70" s="334"/>
      <c r="Z70" s="5"/>
      <c r="AE70" s="83"/>
      <c r="AJ70" s="63" t="s">
        <v>169</v>
      </c>
      <c r="AK70" s="63">
        <f>+SUM(AJ59:AJ69)-SUM(AK59:AK69)</f>
        <v>324</v>
      </c>
      <c r="AM70" s="63" t="s">
        <v>169</v>
      </c>
      <c r="AN70" s="85">
        <f>+SUM(AM58:AM69)-SUM(AN59:AN69)</f>
        <v>0</v>
      </c>
    </row>
    <row r="71" spans="1:40" x14ac:dyDescent="0.25">
      <c r="A71" s="143">
        <v>13</v>
      </c>
      <c r="B71" s="92">
        <v>45203</v>
      </c>
      <c r="C71" s="31" t="s">
        <v>3945</v>
      </c>
      <c r="D71" s="32"/>
      <c r="E71" s="32"/>
      <c r="F71" s="32" t="s">
        <v>1417</v>
      </c>
      <c r="G71" s="39" t="s">
        <v>1416</v>
      </c>
      <c r="H71" s="39">
        <v>200</v>
      </c>
      <c r="I71" s="42">
        <v>138</v>
      </c>
      <c r="J71" s="108">
        <v>10</v>
      </c>
      <c r="K71" s="21">
        <v>10</v>
      </c>
      <c r="L71" s="21">
        <f t="shared" si="10"/>
        <v>148</v>
      </c>
      <c r="M71" s="21">
        <f t="shared" si="11"/>
        <v>52</v>
      </c>
      <c r="N71" s="21"/>
      <c r="O71" s="21"/>
      <c r="P71" s="5"/>
      <c r="Q71" s="43"/>
      <c r="R71" s="32"/>
      <c r="S71" s="21">
        <f t="shared" si="12"/>
        <v>0</v>
      </c>
      <c r="T71" s="43">
        <v>200</v>
      </c>
      <c r="U71" s="78">
        <v>20</v>
      </c>
      <c r="V71" s="140"/>
      <c r="W71" s="147"/>
      <c r="X71" s="23"/>
      <c r="Y71" s="334"/>
      <c r="Z71" s="5"/>
      <c r="AE71" s="83"/>
      <c r="AH71" s="83"/>
    </row>
    <row r="72" spans="1:40" x14ac:dyDescent="0.25">
      <c r="A72" s="143">
        <v>14</v>
      </c>
      <c r="B72" s="92">
        <v>45203</v>
      </c>
      <c r="C72" s="31" t="s">
        <v>1065</v>
      </c>
      <c r="D72" s="32"/>
      <c r="E72" s="32"/>
      <c r="F72" s="32" t="s">
        <v>1419</v>
      </c>
      <c r="G72" s="39" t="s">
        <v>1418</v>
      </c>
      <c r="H72" s="39">
        <v>100</v>
      </c>
      <c r="I72" s="42">
        <v>48</v>
      </c>
      <c r="J72" s="108">
        <v>10</v>
      </c>
      <c r="K72" s="21">
        <v>4</v>
      </c>
      <c r="L72" s="21">
        <f t="shared" si="10"/>
        <v>58</v>
      </c>
      <c r="M72" s="21">
        <f t="shared" si="11"/>
        <v>42</v>
      </c>
      <c r="N72" s="21"/>
      <c r="O72" s="21"/>
      <c r="P72" s="5"/>
      <c r="Q72" s="43"/>
      <c r="R72" s="43"/>
      <c r="S72" s="21">
        <f t="shared" si="12"/>
        <v>0</v>
      </c>
      <c r="T72" s="43">
        <v>100</v>
      </c>
      <c r="U72" s="78">
        <v>14</v>
      </c>
      <c r="V72" s="140"/>
      <c r="W72" s="147"/>
      <c r="X72" s="23"/>
      <c r="Y72" s="334"/>
      <c r="Z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40" x14ac:dyDescent="0.25">
      <c r="A73" s="143">
        <v>15</v>
      </c>
      <c r="B73" s="92">
        <v>45203</v>
      </c>
      <c r="C73" s="127" t="s">
        <v>447</v>
      </c>
      <c r="D73" s="32"/>
      <c r="E73" s="32" t="s">
        <v>38</v>
      </c>
      <c r="F73" s="128" t="s">
        <v>98</v>
      </c>
      <c r="G73" s="129" t="s">
        <v>1420</v>
      </c>
      <c r="H73" s="39">
        <v>500</v>
      </c>
      <c r="I73" s="42">
        <v>117</v>
      </c>
      <c r="J73" s="108">
        <v>10</v>
      </c>
      <c r="K73" s="21"/>
      <c r="L73" s="21">
        <f t="shared" si="10"/>
        <v>127</v>
      </c>
      <c r="M73" s="21">
        <f t="shared" si="11"/>
        <v>373</v>
      </c>
      <c r="N73" s="21"/>
      <c r="O73" s="21"/>
      <c r="P73" s="5"/>
      <c r="Q73" s="43"/>
      <c r="R73" s="43"/>
      <c r="S73" s="21">
        <f t="shared" si="12"/>
        <v>0</v>
      </c>
      <c r="T73" s="43">
        <v>500</v>
      </c>
      <c r="U73" s="78">
        <v>10</v>
      </c>
      <c r="V73" s="140"/>
      <c r="W73" s="147"/>
      <c r="X73" s="23"/>
      <c r="Y73" s="334"/>
      <c r="Z73" s="5"/>
      <c r="AC73" s="5"/>
      <c r="AD73" s="134" t="s">
        <v>20</v>
      </c>
      <c r="AE73" s="338"/>
      <c r="AF73" s="341" t="s">
        <v>686</v>
      </c>
      <c r="AG73" s="134" t="s">
        <v>20</v>
      </c>
      <c r="AH73" s="338">
        <v>88</v>
      </c>
      <c r="AI73" s="341" t="s">
        <v>687</v>
      </c>
      <c r="AJ73" s="134" t="s">
        <v>20</v>
      </c>
      <c r="AK73" s="338"/>
      <c r="AL73" s="5"/>
    </row>
    <row r="74" spans="1:40" x14ac:dyDescent="0.25">
      <c r="A74" s="143">
        <v>16</v>
      </c>
      <c r="B74" s="92">
        <v>45203</v>
      </c>
      <c r="C74" s="31"/>
      <c r="D74" s="32"/>
      <c r="E74" s="32"/>
      <c r="F74" s="32"/>
      <c r="G74" s="39"/>
      <c r="H74" s="39"/>
      <c r="I74" s="42"/>
      <c r="J74" s="43">
        <v>10</v>
      </c>
      <c r="K74" s="21">
        <f t="shared" si="13"/>
        <v>-10</v>
      </c>
      <c r="L74" s="21">
        <f t="shared" si="10"/>
        <v>10</v>
      </c>
      <c r="M74" s="21">
        <f t="shared" si="11"/>
        <v>-10</v>
      </c>
      <c r="N74" s="21"/>
      <c r="O74" s="21"/>
      <c r="P74" s="5"/>
      <c r="Q74" s="43"/>
      <c r="R74" s="32"/>
      <c r="S74" s="21">
        <f t="shared" si="12"/>
        <v>0</v>
      </c>
      <c r="T74" s="131"/>
      <c r="U74" s="78">
        <f t="shared" si="14"/>
        <v>0</v>
      </c>
      <c r="V74" s="140"/>
      <c r="W74" s="147"/>
      <c r="X74" s="23"/>
      <c r="Y74" s="334"/>
      <c r="Z74" s="5"/>
      <c r="AC74" s="5" t="s">
        <v>685</v>
      </c>
      <c r="AD74" s="115" t="s">
        <v>684</v>
      </c>
      <c r="AE74" s="339"/>
      <c r="AF74" s="341"/>
      <c r="AG74" s="115" t="s">
        <v>684</v>
      </c>
      <c r="AH74" s="339"/>
      <c r="AI74" s="341"/>
      <c r="AJ74" s="115" t="s">
        <v>684</v>
      </c>
      <c r="AK74" s="339"/>
      <c r="AL74" s="5"/>
    </row>
    <row r="75" spans="1:40" x14ac:dyDescent="0.25">
      <c r="A75" s="143">
        <v>17</v>
      </c>
      <c r="B75" s="92">
        <v>45203</v>
      </c>
      <c r="C75" s="31"/>
      <c r="D75" s="32"/>
      <c r="E75" s="32"/>
      <c r="F75" s="32"/>
      <c r="G75" s="39"/>
      <c r="H75" s="39"/>
      <c r="I75" s="42"/>
      <c r="J75" s="43">
        <v>10</v>
      </c>
      <c r="K75" s="21">
        <f t="shared" si="13"/>
        <v>-10</v>
      </c>
      <c r="L75" s="21">
        <f t="shared" si="10"/>
        <v>10</v>
      </c>
      <c r="M75" s="21">
        <f t="shared" si="11"/>
        <v>-10</v>
      </c>
      <c r="N75" s="21"/>
      <c r="O75" s="21"/>
      <c r="P75" s="5"/>
      <c r="Q75" s="43"/>
      <c r="R75" s="32"/>
      <c r="S75" s="21">
        <f t="shared" si="12"/>
        <v>0</v>
      </c>
      <c r="T75" s="132"/>
      <c r="U75" s="78">
        <f t="shared" si="14"/>
        <v>0</v>
      </c>
      <c r="V75" s="140"/>
      <c r="W75" s="147"/>
      <c r="X75" s="23"/>
      <c r="Y75" s="340"/>
      <c r="Z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40" x14ac:dyDescent="0.25">
      <c r="A76" s="143">
        <v>18</v>
      </c>
      <c r="B76" s="92">
        <v>45203</v>
      </c>
      <c r="C76" s="31"/>
      <c r="D76" s="32"/>
      <c r="E76" s="32"/>
      <c r="F76" s="32"/>
      <c r="G76" s="39"/>
      <c r="H76" s="39"/>
      <c r="I76" s="42"/>
      <c r="J76" s="43">
        <v>10</v>
      </c>
      <c r="K76" s="21">
        <f t="shared" si="13"/>
        <v>-10</v>
      </c>
      <c r="L76" s="21">
        <f t="shared" si="10"/>
        <v>10</v>
      </c>
      <c r="M76" s="21">
        <f t="shared" si="11"/>
        <v>-10</v>
      </c>
      <c r="N76" s="21"/>
      <c r="O76" s="21"/>
      <c r="P76" s="5"/>
      <c r="Q76" s="135"/>
      <c r="R76" s="104"/>
      <c r="S76" s="21">
        <f t="shared" si="12"/>
        <v>0</v>
      </c>
      <c r="T76" s="131"/>
      <c r="U76" s="78">
        <f t="shared" si="14"/>
        <v>0</v>
      </c>
      <c r="V76" s="140"/>
      <c r="W76" s="138"/>
      <c r="X76" s="32"/>
      <c r="Z76" s="5"/>
    </row>
    <row r="77" spans="1:40" x14ac:dyDescent="0.25">
      <c r="A77" s="143">
        <v>19</v>
      </c>
      <c r="B77" s="92">
        <v>45203</v>
      </c>
      <c r="C77" s="31"/>
      <c r="D77" s="32"/>
      <c r="E77" s="32"/>
      <c r="F77" s="32"/>
      <c r="G77" s="39"/>
      <c r="H77" s="39"/>
      <c r="I77" s="42"/>
      <c r="J77" s="43">
        <v>10</v>
      </c>
      <c r="K77" s="21">
        <f t="shared" si="13"/>
        <v>-10</v>
      </c>
      <c r="L77" s="21">
        <f t="shared" si="10"/>
        <v>10</v>
      </c>
      <c r="M77" s="21">
        <f t="shared" si="11"/>
        <v>-10</v>
      </c>
      <c r="N77" s="21"/>
      <c r="O77" s="21"/>
      <c r="P77" s="5"/>
      <c r="Q77" s="32"/>
      <c r="R77" s="32"/>
      <c r="S77" s="21">
        <f t="shared" si="12"/>
        <v>0</v>
      </c>
      <c r="T77" s="32"/>
      <c r="U77" s="78">
        <f t="shared" si="14"/>
        <v>0</v>
      </c>
      <c r="V77" s="140"/>
      <c r="W77" s="138"/>
      <c r="X77" s="32"/>
      <c r="Z77" s="5"/>
    </row>
    <row r="78" spans="1:40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22">
        <f>SUM(U59:U77)</f>
        <v>205</v>
      </c>
      <c r="V78" s="141"/>
      <c r="W78" s="5"/>
      <c r="X78" s="5"/>
      <c r="Y78" s="5"/>
      <c r="Z78" s="5"/>
    </row>
    <row r="84" spans="1:40" x14ac:dyDescent="0.25">
      <c r="F84" t="s">
        <v>1429</v>
      </c>
    </row>
    <row r="86" spans="1:40" x14ac:dyDescent="0.25">
      <c r="A86" s="1" t="s">
        <v>0</v>
      </c>
      <c r="B86" s="1"/>
      <c r="C86" s="1"/>
      <c r="D86" s="1"/>
      <c r="E86" s="1"/>
      <c r="F86" s="1"/>
      <c r="G86" s="1"/>
      <c r="H86" s="1"/>
      <c r="I86" s="1" t="s">
        <v>148</v>
      </c>
      <c r="J86" s="1"/>
      <c r="K86" s="1"/>
      <c r="L86" s="1"/>
      <c r="M86" s="1"/>
      <c r="N86" s="1"/>
      <c r="O86" s="1"/>
      <c r="P86" s="1"/>
      <c r="Q86" s="1"/>
      <c r="R86" s="1"/>
      <c r="S86" s="342" t="s">
        <v>1</v>
      </c>
      <c r="T86" s="342"/>
      <c r="U86" s="5"/>
      <c r="V86" s="139"/>
      <c r="W86" s="1"/>
      <c r="X86" s="1"/>
      <c r="Y86" s="1"/>
      <c r="Z86" s="5"/>
      <c r="AC86" s="335" t="s">
        <v>160</v>
      </c>
      <c r="AD86" s="336"/>
      <c r="AG86" s="335" t="s">
        <v>170</v>
      </c>
      <c r="AH86" s="336"/>
      <c r="AJ86" s="337" t="s">
        <v>172</v>
      </c>
      <c r="AK86" s="337"/>
      <c r="AM86" s="337" t="s">
        <v>681</v>
      </c>
      <c r="AN86" s="337"/>
    </row>
    <row r="87" spans="1:40" ht="90" x14ac:dyDescent="0.25">
      <c r="A87" s="6" t="s">
        <v>2</v>
      </c>
      <c r="B87" s="7" t="s">
        <v>3</v>
      </c>
      <c r="C87" s="7" t="s">
        <v>4</v>
      </c>
      <c r="D87" s="6" t="s">
        <v>5</v>
      </c>
      <c r="E87" s="6" t="s">
        <v>6</v>
      </c>
      <c r="F87" s="6" t="s">
        <v>7</v>
      </c>
      <c r="G87" s="6" t="s">
        <v>8</v>
      </c>
      <c r="H87" s="8" t="s">
        <v>9</v>
      </c>
      <c r="I87" s="9" t="s">
        <v>10</v>
      </c>
      <c r="J87" s="8" t="s">
        <v>11</v>
      </c>
      <c r="K87" s="10" t="s">
        <v>12</v>
      </c>
      <c r="L87" s="10" t="s">
        <v>13</v>
      </c>
      <c r="M87" s="11" t="s">
        <v>14</v>
      </c>
      <c r="N87" s="10" t="s">
        <v>691</v>
      </c>
      <c r="O87" s="10" t="s">
        <v>28</v>
      </c>
      <c r="P87" s="5"/>
      <c r="Q87" s="10" t="s">
        <v>16</v>
      </c>
      <c r="R87" s="10" t="s">
        <v>17</v>
      </c>
      <c r="S87" s="10" t="s">
        <v>18</v>
      </c>
      <c r="T87" s="10" t="s">
        <v>19</v>
      </c>
      <c r="U87" s="10" t="s">
        <v>20</v>
      </c>
      <c r="V87" s="13"/>
      <c r="W87" s="136" t="s">
        <v>688</v>
      </c>
      <c r="X87" s="14" t="s">
        <v>22</v>
      </c>
      <c r="Y87" s="15" t="s">
        <v>23</v>
      </c>
      <c r="Z87" s="5"/>
      <c r="AB87">
        <v>2</v>
      </c>
      <c r="AC87" s="16" t="s">
        <v>161</v>
      </c>
      <c r="AD87" s="58">
        <f>+AB87*10</f>
        <v>20</v>
      </c>
      <c r="AF87">
        <v>6</v>
      </c>
      <c r="AG87" s="16" t="s">
        <v>161</v>
      </c>
      <c r="AH87" s="58">
        <f>+AF87*10</f>
        <v>60</v>
      </c>
      <c r="AJ87" s="61" t="s">
        <v>173</v>
      </c>
      <c r="AK87" s="62" t="s">
        <v>174</v>
      </c>
      <c r="AM87" s="16" t="s">
        <v>161</v>
      </c>
      <c r="AN87" s="58">
        <f>+AL87*10</f>
        <v>0</v>
      </c>
    </row>
    <row r="88" spans="1:40" x14ac:dyDescent="0.25">
      <c r="A88" s="16">
        <v>1</v>
      </c>
      <c r="B88" s="92">
        <v>45204</v>
      </c>
      <c r="C88" s="31" t="s">
        <v>1194</v>
      </c>
      <c r="D88" s="32">
        <v>5516609716</v>
      </c>
      <c r="E88" s="32" t="s">
        <v>408</v>
      </c>
      <c r="F88" s="39" t="s">
        <v>918</v>
      </c>
      <c r="G88" s="39" t="s">
        <v>1421</v>
      </c>
      <c r="H88" s="122">
        <v>100</v>
      </c>
      <c r="I88" s="32">
        <v>85</v>
      </c>
      <c r="J88" s="20">
        <v>10</v>
      </c>
      <c r="K88" s="21">
        <f>U88-J88-O88</f>
        <v>30</v>
      </c>
      <c r="L88" s="21">
        <f t="shared" ref="L88:L106" si="15">+I88+J88</f>
        <v>95</v>
      </c>
      <c r="M88" s="21">
        <f t="shared" ref="M88:M106" si="16">+H88-L88</f>
        <v>5</v>
      </c>
      <c r="N88" s="21"/>
      <c r="O88" s="21"/>
      <c r="P88" s="5"/>
      <c r="Q88" s="21">
        <v>120</v>
      </c>
      <c r="R88" s="16"/>
      <c r="S88" s="21">
        <f t="shared" ref="S88:S106" si="17">+Q88+R88</f>
        <v>120</v>
      </c>
      <c r="T88" s="21">
        <v>160</v>
      </c>
      <c r="U88" s="78">
        <f>T88-S88-O88</f>
        <v>40</v>
      </c>
      <c r="V88" s="13"/>
      <c r="W88" s="147"/>
      <c r="X88" s="23"/>
      <c r="Y88" s="333"/>
      <c r="Z88" s="5"/>
      <c r="AB88">
        <v>17</v>
      </c>
      <c r="AC88" s="59" t="s">
        <v>162</v>
      </c>
      <c r="AD88" s="18">
        <f>+AB88*1</f>
        <v>17</v>
      </c>
      <c r="AF88">
        <v>30</v>
      </c>
      <c r="AG88" s="59" t="s">
        <v>162</v>
      </c>
      <c r="AH88" s="18">
        <f>+AF88*1</f>
        <v>30</v>
      </c>
      <c r="AJ88" s="16">
        <v>504</v>
      </c>
      <c r="AK88" s="16"/>
      <c r="AM88" s="59" t="s">
        <v>162</v>
      </c>
      <c r="AN88" s="18">
        <f>+AL88*1</f>
        <v>0</v>
      </c>
    </row>
    <row r="89" spans="1:40" x14ac:dyDescent="0.25">
      <c r="A89" s="26">
        <v>2</v>
      </c>
      <c r="B89" s="92">
        <v>45204</v>
      </c>
      <c r="C89" s="31" t="s">
        <v>37</v>
      </c>
      <c r="D89" s="32"/>
      <c r="E89" s="32" t="s">
        <v>1424</v>
      </c>
      <c r="F89" s="32" t="s">
        <v>1423</v>
      </c>
      <c r="G89" s="39" t="s">
        <v>1422</v>
      </c>
      <c r="H89" s="122">
        <v>230</v>
      </c>
      <c r="I89" s="32">
        <v>215</v>
      </c>
      <c r="J89" s="20">
        <v>20</v>
      </c>
      <c r="K89" s="21">
        <f t="shared" ref="K89:K106" si="18">U89-J89-O89</f>
        <v>8</v>
      </c>
      <c r="L89" s="21">
        <f t="shared" si="15"/>
        <v>235</v>
      </c>
      <c r="M89" s="21">
        <f t="shared" si="16"/>
        <v>-5</v>
      </c>
      <c r="N89" s="21"/>
      <c r="O89" s="21"/>
      <c r="P89" s="5"/>
      <c r="Q89" s="21">
        <v>200</v>
      </c>
      <c r="R89" s="16"/>
      <c r="S89" s="21">
        <f t="shared" si="17"/>
        <v>200</v>
      </c>
      <c r="T89" s="21">
        <v>228</v>
      </c>
      <c r="U89" s="78">
        <f>T89-S89-O89</f>
        <v>28</v>
      </c>
      <c r="V89" s="140"/>
      <c r="W89" s="147"/>
      <c r="X89" s="23"/>
      <c r="Y89" s="334"/>
      <c r="Z89" s="5"/>
      <c r="AB89">
        <v>5</v>
      </c>
      <c r="AC89" s="16" t="s">
        <v>163</v>
      </c>
      <c r="AD89" s="60">
        <f>+AB89*5</f>
        <v>25</v>
      </c>
      <c r="AF89">
        <v>15</v>
      </c>
      <c r="AG89" s="16" t="s">
        <v>163</v>
      </c>
      <c r="AH89" s="60">
        <f>+AF89*5</f>
        <v>75</v>
      </c>
      <c r="AJ89" s="16">
        <v>125</v>
      </c>
      <c r="AK89" s="16"/>
      <c r="AM89" s="16" t="s">
        <v>163</v>
      </c>
      <c r="AN89" s="60">
        <f>+AL89*5</f>
        <v>0</v>
      </c>
    </row>
    <row r="90" spans="1:40" x14ac:dyDescent="0.25">
      <c r="A90" s="143">
        <v>3</v>
      </c>
      <c r="B90" s="92">
        <v>45204</v>
      </c>
      <c r="C90" s="31" t="s">
        <v>1806</v>
      </c>
      <c r="D90" s="32"/>
      <c r="E90" s="32"/>
      <c r="F90" s="32" t="s">
        <v>1426</v>
      </c>
      <c r="G90" s="39" t="s">
        <v>1425</v>
      </c>
      <c r="H90" s="122"/>
      <c r="I90" s="32">
        <v>430</v>
      </c>
      <c r="J90" s="20">
        <v>30</v>
      </c>
      <c r="K90" s="21">
        <f t="shared" si="18"/>
        <v>0</v>
      </c>
      <c r="L90" s="21">
        <f t="shared" si="15"/>
        <v>460</v>
      </c>
      <c r="M90" s="21">
        <f t="shared" si="16"/>
        <v>-460</v>
      </c>
      <c r="N90" s="21"/>
      <c r="O90" s="21"/>
      <c r="P90" s="5"/>
      <c r="Q90" s="21"/>
      <c r="R90" s="16"/>
      <c r="S90" s="21">
        <f t="shared" si="17"/>
        <v>0</v>
      </c>
      <c r="T90" s="21">
        <v>30</v>
      </c>
      <c r="U90" s="78">
        <f>T90-S90-O90</f>
        <v>30</v>
      </c>
      <c r="V90" s="140"/>
      <c r="W90" s="147"/>
      <c r="X90" s="23"/>
      <c r="Y90" s="334"/>
      <c r="Z90" s="5"/>
      <c r="AB90">
        <v>1</v>
      </c>
      <c r="AC90" s="16" t="s">
        <v>164</v>
      </c>
      <c r="AD90" s="18">
        <f>+AB90*200</f>
        <v>200</v>
      </c>
      <c r="AG90" s="16" t="s">
        <v>164</v>
      </c>
      <c r="AH90" s="18">
        <f>+AF90*200</f>
        <v>0</v>
      </c>
      <c r="AJ90" s="16"/>
      <c r="AK90" s="16"/>
      <c r="AM90" s="16" t="s">
        <v>164</v>
      </c>
      <c r="AN90" s="18">
        <f>+AL90*200</f>
        <v>0</v>
      </c>
    </row>
    <row r="91" spans="1:40" x14ac:dyDescent="0.25">
      <c r="A91" s="143">
        <v>4</v>
      </c>
      <c r="B91" s="92">
        <v>45204</v>
      </c>
      <c r="C91" s="31" t="s">
        <v>1500</v>
      </c>
      <c r="D91" s="32">
        <v>5639611669</v>
      </c>
      <c r="E91" s="32" t="s">
        <v>1427</v>
      </c>
      <c r="F91" s="32" t="s">
        <v>1379</v>
      </c>
      <c r="G91" s="39" t="s">
        <v>1428</v>
      </c>
      <c r="H91" s="122"/>
      <c r="I91" s="32">
        <v>173</v>
      </c>
      <c r="J91" s="20">
        <v>10</v>
      </c>
      <c r="K91" s="21">
        <f t="shared" si="18"/>
        <v>6.5</v>
      </c>
      <c r="L91" s="21">
        <f t="shared" si="15"/>
        <v>183</v>
      </c>
      <c r="M91" s="21">
        <f t="shared" si="16"/>
        <v>-183</v>
      </c>
      <c r="N91" s="21"/>
      <c r="O91" s="21"/>
      <c r="P91" s="5"/>
      <c r="Q91" s="21"/>
      <c r="R91" s="16"/>
      <c r="S91" s="21">
        <f t="shared" si="17"/>
        <v>0</v>
      </c>
      <c r="T91" s="21">
        <v>16.5</v>
      </c>
      <c r="U91" s="78">
        <f>T91-S91-O91</f>
        <v>16.5</v>
      </c>
      <c r="V91" s="140"/>
      <c r="W91" s="147"/>
      <c r="X91" s="23"/>
      <c r="Y91" s="334"/>
      <c r="Z91" s="5"/>
      <c r="AC91" s="16" t="s">
        <v>165</v>
      </c>
      <c r="AD91" s="18">
        <f>+AB91*100</f>
        <v>0</v>
      </c>
      <c r="AF91">
        <v>2</v>
      </c>
      <c r="AG91" s="16" t="s">
        <v>165</v>
      </c>
      <c r="AH91" s="18">
        <f>+AF91*100</f>
        <v>200</v>
      </c>
      <c r="AJ91" s="16"/>
      <c r="AK91" s="16"/>
      <c r="AM91" s="16" t="s">
        <v>165</v>
      </c>
      <c r="AN91" s="18">
        <f>+AL91*100</f>
        <v>0</v>
      </c>
    </row>
    <row r="92" spans="1:40" x14ac:dyDescent="0.25">
      <c r="A92" s="143">
        <v>5</v>
      </c>
      <c r="B92" s="92">
        <v>45204</v>
      </c>
      <c r="C92" s="31" t="s">
        <v>2116</v>
      </c>
      <c r="D92" s="32"/>
      <c r="E92" s="32" t="s">
        <v>451</v>
      </c>
      <c r="F92" s="32" t="s">
        <v>1430</v>
      </c>
      <c r="G92" s="32" t="s">
        <v>1431</v>
      </c>
      <c r="H92" s="122">
        <v>100</v>
      </c>
      <c r="I92" s="32">
        <v>38</v>
      </c>
      <c r="J92" s="20">
        <v>10</v>
      </c>
      <c r="K92" s="21">
        <f>U92-J92-O92</f>
        <v>0</v>
      </c>
      <c r="L92" s="21">
        <f t="shared" si="15"/>
        <v>48</v>
      </c>
      <c r="M92" s="21">
        <f t="shared" si="16"/>
        <v>52</v>
      </c>
      <c r="N92" s="21"/>
      <c r="O92" s="21"/>
      <c r="P92" s="5"/>
      <c r="Q92" s="16">
        <v>100</v>
      </c>
      <c r="R92" s="16"/>
      <c r="S92" s="21">
        <f t="shared" si="17"/>
        <v>100</v>
      </c>
      <c r="T92" s="21">
        <v>110</v>
      </c>
      <c r="U92" s="78">
        <f>T92-S92-O92</f>
        <v>10</v>
      </c>
      <c r="V92" s="140"/>
      <c r="W92" s="147"/>
      <c r="X92" s="23"/>
      <c r="Y92" s="334"/>
      <c r="Z92" s="5"/>
      <c r="AC92" s="16" t="s">
        <v>166</v>
      </c>
      <c r="AD92" s="18">
        <f>+AB92*50</f>
        <v>0</v>
      </c>
      <c r="AF92">
        <v>6</v>
      </c>
      <c r="AG92" s="16" t="s">
        <v>166</v>
      </c>
      <c r="AH92" s="18">
        <f>+AF92*50</f>
        <v>300</v>
      </c>
      <c r="AJ92" s="16"/>
      <c r="AK92" s="16"/>
      <c r="AM92" s="16" t="s">
        <v>166</v>
      </c>
      <c r="AN92" s="18">
        <f>+AL92*50</f>
        <v>0</v>
      </c>
    </row>
    <row r="93" spans="1:40" x14ac:dyDescent="0.25">
      <c r="A93" s="143">
        <v>6</v>
      </c>
      <c r="B93" s="92">
        <v>45204</v>
      </c>
      <c r="C93" s="31" t="s">
        <v>114</v>
      </c>
      <c r="D93" s="32"/>
      <c r="E93" s="32" t="s">
        <v>1432</v>
      </c>
      <c r="F93" s="32" t="s">
        <v>631</v>
      </c>
      <c r="G93" s="39" t="s">
        <v>1433</v>
      </c>
      <c r="H93" s="39">
        <v>500</v>
      </c>
      <c r="I93" s="42">
        <v>73</v>
      </c>
      <c r="J93" s="20"/>
      <c r="K93" s="21">
        <f t="shared" si="18"/>
        <v>10</v>
      </c>
      <c r="L93" s="21">
        <f t="shared" si="15"/>
        <v>73</v>
      </c>
      <c r="M93" s="21">
        <f t="shared" si="16"/>
        <v>427</v>
      </c>
      <c r="N93" s="21"/>
      <c r="O93" s="21"/>
      <c r="P93" s="5"/>
      <c r="Q93" s="16"/>
      <c r="R93" s="16"/>
      <c r="S93" s="21">
        <f t="shared" si="17"/>
        <v>0</v>
      </c>
      <c r="T93" s="16">
        <v>500</v>
      </c>
      <c r="U93" s="78">
        <v>10</v>
      </c>
      <c r="V93" s="140"/>
      <c r="W93" s="147"/>
      <c r="X93" s="23"/>
      <c r="Y93" s="334"/>
      <c r="Z93" s="5"/>
      <c r="AC93" s="16" t="s">
        <v>167</v>
      </c>
      <c r="AD93" s="18">
        <f>+AB93*20</f>
        <v>0</v>
      </c>
      <c r="AF93">
        <v>2</v>
      </c>
      <c r="AG93" s="16" t="s">
        <v>167</v>
      </c>
      <c r="AH93" s="18">
        <f>+AF93*20</f>
        <v>40</v>
      </c>
      <c r="AJ93" s="16"/>
      <c r="AK93" s="16"/>
      <c r="AM93" s="16" t="s">
        <v>167</v>
      </c>
      <c r="AN93" s="18">
        <f>+AL93*20</f>
        <v>0</v>
      </c>
    </row>
    <row r="94" spans="1:40" x14ac:dyDescent="0.25">
      <c r="A94" s="143">
        <v>7</v>
      </c>
      <c r="B94" s="92">
        <v>45204</v>
      </c>
      <c r="C94" s="31" t="s">
        <v>1434</v>
      </c>
      <c r="D94" s="32"/>
      <c r="E94" s="32" t="s">
        <v>1435</v>
      </c>
      <c r="F94" s="32" t="s">
        <v>992</v>
      </c>
      <c r="G94" s="39" t="s">
        <v>1436</v>
      </c>
      <c r="H94" s="122">
        <v>250</v>
      </c>
      <c r="I94" s="42">
        <v>78</v>
      </c>
      <c r="J94" s="20">
        <v>20</v>
      </c>
      <c r="K94" s="21">
        <v>2</v>
      </c>
      <c r="L94" s="21">
        <f t="shared" si="15"/>
        <v>98</v>
      </c>
      <c r="M94" s="21">
        <f t="shared" si="16"/>
        <v>152</v>
      </c>
      <c r="N94" s="21"/>
      <c r="O94" s="21"/>
      <c r="P94" s="5"/>
      <c r="Q94" s="16"/>
      <c r="R94" s="16"/>
      <c r="S94" s="21">
        <f t="shared" si="17"/>
        <v>0</v>
      </c>
      <c r="T94" s="16">
        <v>250</v>
      </c>
      <c r="U94" s="78">
        <v>22</v>
      </c>
      <c r="V94" s="140"/>
      <c r="W94" s="147"/>
      <c r="X94" s="23"/>
      <c r="Y94" s="334"/>
      <c r="Z94" s="5"/>
      <c r="AC94" s="16" t="s">
        <v>171</v>
      </c>
      <c r="AD94" s="18">
        <f>+AB94*500</f>
        <v>0</v>
      </c>
      <c r="AG94" s="16" t="s">
        <v>171</v>
      </c>
      <c r="AH94" s="18">
        <f>+AF94*500</f>
        <v>0</v>
      </c>
      <c r="AJ94" s="16"/>
      <c r="AK94" s="16"/>
      <c r="AM94" s="16" t="s">
        <v>171</v>
      </c>
      <c r="AN94" s="18">
        <f>+AL94*500</f>
        <v>0</v>
      </c>
    </row>
    <row r="95" spans="1:40" x14ac:dyDescent="0.25">
      <c r="A95" s="143">
        <v>8</v>
      </c>
      <c r="B95" s="92">
        <v>45204</v>
      </c>
      <c r="C95" s="31" t="s">
        <v>3745</v>
      </c>
      <c r="D95" s="123"/>
      <c r="E95" s="123" t="s">
        <v>1437</v>
      </c>
      <c r="F95" s="123" t="s">
        <v>195</v>
      </c>
      <c r="G95" s="39" t="s">
        <v>1438</v>
      </c>
      <c r="H95" s="122">
        <v>110</v>
      </c>
      <c r="I95" s="32">
        <v>100</v>
      </c>
      <c r="J95" s="20">
        <v>10</v>
      </c>
      <c r="K95" s="21">
        <f t="shared" si="18"/>
        <v>0</v>
      </c>
      <c r="L95" s="21">
        <f t="shared" si="15"/>
        <v>110</v>
      </c>
      <c r="M95" s="21">
        <f t="shared" si="16"/>
        <v>0</v>
      </c>
      <c r="N95" s="21"/>
      <c r="O95" s="21"/>
      <c r="P95" s="5"/>
      <c r="Q95" s="16"/>
      <c r="R95" s="16"/>
      <c r="S95" s="21">
        <f t="shared" si="17"/>
        <v>0</v>
      </c>
      <c r="T95" s="16">
        <v>110</v>
      </c>
      <c r="U95" s="78">
        <v>10</v>
      </c>
      <c r="V95" s="140"/>
      <c r="W95" s="147"/>
      <c r="X95" s="23"/>
      <c r="Y95" s="334"/>
      <c r="Z95" s="5"/>
      <c r="AC95" s="16" t="s">
        <v>168</v>
      </c>
      <c r="AD95" s="18">
        <f>+AB95*1000</f>
        <v>0</v>
      </c>
      <c r="AG95" s="16" t="s">
        <v>168</v>
      </c>
      <c r="AH95" s="18">
        <f>+AF95*1000</f>
        <v>0</v>
      </c>
      <c r="AJ95" s="16"/>
      <c r="AK95" s="16"/>
      <c r="AM95" s="16" t="s">
        <v>168</v>
      </c>
      <c r="AN95" s="18">
        <f>+AL95*1000</f>
        <v>0</v>
      </c>
    </row>
    <row r="96" spans="1:40" x14ac:dyDescent="0.25">
      <c r="A96" s="143">
        <v>9</v>
      </c>
      <c r="B96" s="92">
        <v>45204</v>
      </c>
      <c r="C96" s="31" t="s">
        <v>1439</v>
      </c>
      <c r="D96" s="32"/>
      <c r="E96" s="32" t="s">
        <v>41</v>
      </c>
      <c r="F96" s="39" t="s">
        <v>1440</v>
      </c>
      <c r="G96" s="39" t="s">
        <v>1441</v>
      </c>
      <c r="H96" s="39">
        <v>200</v>
      </c>
      <c r="I96" s="40">
        <v>88</v>
      </c>
      <c r="J96" s="20">
        <v>10</v>
      </c>
      <c r="K96" s="21">
        <v>16</v>
      </c>
      <c r="L96" s="21">
        <f t="shared" si="15"/>
        <v>98</v>
      </c>
      <c r="M96" s="21">
        <f t="shared" si="16"/>
        <v>102</v>
      </c>
      <c r="N96" s="21"/>
      <c r="O96" s="21"/>
      <c r="P96" s="5"/>
      <c r="Q96" s="16"/>
      <c r="R96" s="16"/>
      <c r="S96" s="21">
        <f t="shared" si="17"/>
        <v>0</v>
      </c>
      <c r="T96" s="16">
        <v>200</v>
      </c>
      <c r="U96" s="78">
        <v>26</v>
      </c>
      <c r="V96" s="140"/>
      <c r="W96" s="147"/>
      <c r="X96" s="23"/>
      <c r="Y96" s="334"/>
      <c r="Z96" s="5"/>
      <c r="AC96" s="26"/>
      <c r="AD96" s="58"/>
      <c r="AG96" s="26"/>
      <c r="AH96" s="58"/>
      <c r="AJ96" s="16"/>
      <c r="AK96" s="16"/>
      <c r="AM96" s="26"/>
      <c r="AN96" s="58"/>
    </row>
    <row r="97" spans="1:40" x14ac:dyDescent="0.25">
      <c r="A97" s="143">
        <v>10</v>
      </c>
      <c r="B97" s="92">
        <v>45204</v>
      </c>
      <c r="C97" s="31" t="s">
        <v>44</v>
      </c>
      <c r="D97" s="32"/>
      <c r="E97" s="32" t="s">
        <v>52</v>
      </c>
      <c r="F97" s="32" t="s">
        <v>1440</v>
      </c>
      <c r="G97" s="39" t="s">
        <v>1447</v>
      </c>
      <c r="H97" s="122">
        <v>67</v>
      </c>
      <c r="I97" s="42">
        <v>67</v>
      </c>
      <c r="J97" s="20"/>
      <c r="K97" s="21"/>
      <c r="L97" s="21">
        <f t="shared" si="15"/>
        <v>67</v>
      </c>
      <c r="M97" s="21">
        <f t="shared" si="16"/>
        <v>0</v>
      </c>
      <c r="N97" s="21"/>
      <c r="O97" s="21"/>
      <c r="P97" s="5"/>
      <c r="Q97" s="16"/>
      <c r="R97" s="16"/>
      <c r="S97" s="21">
        <f t="shared" si="17"/>
        <v>0</v>
      </c>
      <c r="T97" s="16">
        <v>67</v>
      </c>
      <c r="U97" s="78">
        <v>0</v>
      </c>
      <c r="V97" s="140"/>
      <c r="W97" s="147"/>
      <c r="X97" s="23"/>
      <c r="Y97" s="334"/>
      <c r="Z97" s="5"/>
      <c r="AC97" s="16" t="s">
        <v>169</v>
      </c>
      <c r="AD97" s="18">
        <f>SUM(AD87:AD96)</f>
        <v>262</v>
      </c>
      <c r="AG97" s="16" t="s">
        <v>169</v>
      </c>
      <c r="AH97" s="18">
        <f>SUM(AH87:AH96)</f>
        <v>705</v>
      </c>
      <c r="AJ97" s="16"/>
      <c r="AK97" s="16"/>
      <c r="AM97" s="16" t="s">
        <v>169</v>
      </c>
      <c r="AN97" s="18"/>
    </row>
    <row r="98" spans="1:40" x14ac:dyDescent="0.25">
      <c r="A98" s="143">
        <v>11</v>
      </c>
      <c r="B98" s="92">
        <v>45204</v>
      </c>
      <c r="C98" s="31" t="s">
        <v>3944</v>
      </c>
      <c r="D98" s="124"/>
      <c r="E98" s="123" t="s">
        <v>1442</v>
      </c>
      <c r="F98" s="123" t="s">
        <v>628</v>
      </c>
      <c r="G98" s="39" t="s">
        <v>1443</v>
      </c>
      <c r="H98" s="122">
        <v>400</v>
      </c>
      <c r="I98" s="42">
        <v>192</v>
      </c>
      <c r="J98" s="20">
        <v>10</v>
      </c>
      <c r="K98" s="21"/>
      <c r="L98" s="21">
        <f t="shared" si="15"/>
        <v>202</v>
      </c>
      <c r="M98" s="21">
        <f t="shared" si="16"/>
        <v>198</v>
      </c>
      <c r="N98" s="21"/>
      <c r="O98" s="21"/>
      <c r="P98" s="5"/>
      <c r="Q98" s="16"/>
      <c r="R98" s="16"/>
      <c r="S98" s="21">
        <f t="shared" si="17"/>
        <v>0</v>
      </c>
      <c r="T98" s="16">
        <v>400</v>
      </c>
      <c r="U98" s="78">
        <v>10</v>
      </c>
      <c r="V98" s="140"/>
      <c r="W98" s="147"/>
      <c r="X98" s="23"/>
      <c r="Y98" s="334"/>
      <c r="Z98" s="5"/>
      <c r="AD98">
        <v>151</v>
      </c>
      <c r="AJ98" s="16"/>
      <c r="AK98" s="16"/>
      <c r="AM98" s="16"/>
      <c r="AN98" s="16"/>
    </row>
    <row r="99" spans="1:40" x14ac:dyDescent="0.25">
      <c r="A99" s="143">
        <v>12</v>
      </c>
      <c r="B99" s="92">
        <v>45204</v>
      </c>
      <c r="C99" s="32" t="s">
        <v>3943</v>
      </c>
      <c r="D99" s="32"/>
      <c r="E99" s="124" t="s">
        <v>52</v>
      </c>
      <c r="F99" s="123" t="s">
        <v>1444</v>
      </c>
      <c r="G99" s="39" t="s">
        <v>1445</v>
      </c>
      <c r="H99" s="39">
        <v>200</v>
      </c>
      <c r="I99" s="42">
        <v>70</v>
      </c>
      <c r="J99" s="20">
        <v>10</v>
      </c>
      <c r="K99" s="21"/>
      <c r="L99" s="21">
        <f t="shared" si="15"/>
        <v>80</v>
      </c>
      <c r="M99" s="21">
        <f t="shared" si="16"/>
        <v>120</v>
      </c>
      <c r="N99" s="21"/>
      <c r="O99" s="21"/>
      <c r="P99" s="5"/>
      <c r="Q99" s="45"/>
      <c r="R99" s="44"/>
      <c r="S99" s="21">
        <f t="shared" si="17"/>
        <v>0</v>
      </c>
      <c r="T99" s="45">
        <v>200</v>
      </c>
      <c r="U99" s="78">
        <v>10</v>
      </c>
      <c r="V99" s="140"/>
      <c r="W99" s="147"/>
      <c r="X99" s="23"/>
      <c r="Y99" s="334"/>
      <c r="Z99" s="5"/>
      <c r="AJ99" s="63" t="s">
        <v>169</v>
      </c>
      <c r="AK99" s="63">
        <f>+SUM(AJ88:AJ98)-SUM(AK88:AK98)</f>
        <v>629</v>
      </c>
      <c r="AM99" s="63" t="s">
        <v>169</v>
      </c>
      <c r="AN99" s="85">
        <f>+SUM(AM87:AM98)-SUM(AN88:AN98)</f>
        <v>0</v>
      </c>
    </row>
    <row r="100" spans="1:40" x14ac:dyDescent="0.25">
      <c r="A100" s="143">
        <v>13</v>
      </c>
      <c r="B100" s="92">
        <v>45204</v>
      </c>
      <c r="C100" s="31" t="s">
        <v>1065</v>
      </c>
      <c r="D100" s="32"/>
      <c r="E100" s="32" t="s">
        <v>52</v>
      </c>
      <c r="F100" s="32" t="s">
        <v>996</v>
      </c>
      <c r="G100" s="39" t="s">
        <v>1446</v>
      </c>
      <c r="H100" s="39">
        <v>100</v>
      </c>
      <c r="I100" s="42">
        <v>38</v>
      </c>
      <c r="J100" s="108">
        <v>10</v>
      </c>
      <c r="K100" s="21"/>
      <c r="L100" s="21">
        <f t="shared" si="15"/>
        <v>48</v>
      </c>
      <c r="M100" s="21">
        <f t="shared" si="16"/>
        <v>52</v>
      </c>
      <c r="N100" s="21"/>
      <c r="O100" s="21"/>
      <c r="P100" s="5"/>
      <c r="Q100" s="43"/>
      <c r="R100" s="32"/>
      <c r="S100" s="21">
        <f t="shared" si="17"/>
        <v>0</v>
      </c>
      <c r="T100" s="43">
        <v>100</v>
      </c>
      <c r="U100" s="78">
        <v>10</v>
      </c>
      <c r="V100" s="140"/>
      <c r="W100" s="147"/>
      <c r="X100" s="23"/>
      <c r="Y100" s="334"/>
      <c r="Z100" s="5"/>
      <c r="AH100" s="83"/>
    </row>
    <row r="101" spans="1:40" x14ac:dyDescent="0.25">
      <c r="A101" s="64">
        <v>14</v>
      </c>
      <c r="B101" s="92">
        <v>45204</v>
      </c>
      <c r="C101" s="31" t="s">
        <v>3942</v>
      </c>
      <c r="D101" s="32"/>
      <c r="E101" s="32" t="s">
        <v>52</v>
      </c>
      <c r="F101" s="32" t="s">
        <v>142</v>
      </c>
      <c r="G101" s="39" t="s">
        <v>1453</v>
      </c>
      <c r="H101" s="39">
        <v>210</v>
      </c>
      <c r="I101" s="42">
        <v>210</v>
      </c>
      <c r="J101" s="108"/>
      <c r="K101" s="21"/>
      <c r="L101" s="21">
        <f t="shared" si="15"/>
        <v>210</v>
      </c>
      <c r="M101" s="21">
        <f t="shared" si="16"/>
        <v>0</v>
      </c>
      <c r="N101" s="21"/>
      <c r="O101" s="21"/>
      <c r="P101" s="5"/>
      <c r="Q101" s="43"/>
      <c r="R101" s="43"/>
      <c r="S101" s="21">
        <f t="shared" si="17"/>
        <v>0</v>
      </c>
      <c r="T101" s="43">
        <v>210</v>
      </c>
      <c r="U101" s="78">
        <v>0</v>
      </c>
      <c r="V101" s="140"/>
      <c r="W101" s="147"/>
      <c r="X101" s="23"/>
      <c r="Y101" s="334"/>
      <c r="Z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40" x14ac:dyDescent="0.25">
      <c r="A102" s="143">
        <v>15</v>
      </c>
      <c r="B102" s="92">
        <v>45204</v>
      </c>
      <c r="C102" s="127" t="s">
        <v>48</v>
      </c>
      <c r="D102" s="32"/>
      <c r="E102" s="32" t="s">
        <v>1448</v>
      </c>
      <c r="F102" s="128">
        <v>844</v>
      </c>
      <c r="G102" s="129" t="s">
        <v>1449</v>
      </c>
      <c r="H102" s="39">
        <v>200</v>
      </c>
      <c r="I102" s="42">
        <v>115</v>
      </c>
      <c r="J102" s="108">
        <v>20</v>
      </c>
      <c r="K102" s="21">
        <v>10</v>
      </c>
      <c r="L102" s="21">
        <f t="shared" si="15"/>
        <v>135</v>
      </c>
      <c r="M102" s="21">
        <f t="shared" si="16"/>
        <v>65</v>
      </c>
      <c r="N102" s="21">
        <v>125</v>
      </c>
      <c r="O102" s="21"/>
      <c r="P102" s="5"/>
      <c r="Q102" s="43"/>
      <c r="R102" s="43"/>
      <c r="S102" s="21">
        <f t="shared" si="17"/>
        <v>0</v>
      </c>
      <c r="T102" s="43">
        <v>200</v>
      </c>
      <c r="U102" s="78">
        <v>20</v>
      </c>
      <c r="V102" s="140"/>
      <c r="W102" s="147"/>
      <c r="X102" s="23"/>
      <c r="Y102" s="334"/>
      <c r="Z102" s="5"/>
      <c r="AC102" s="5"/>
      <c r="AD102" s="134" t="s">
        <v>20</v>
      </c>
      <c r="AE102" s="338">
        <v>151</v>
      </c>
      <c r="AF102" s="341" t="s">
        <v>686</v>
      </c>
      <c r="AG102" s="134" t="s">
        <v>20</v>
      </c>
      <c r="AH102" s="338">
        <v>117.5</v>
      </c>
      <c r="AI102" s="341" t="s">
        <v>687</v>
      </c>
      <c r="AJ102" s="134" t="s">
        <v>20</v>
      </c>
      <c r="AK102" s="338">
        <v>145</v>
      </c>
      <c r="AL102" s="5"/>
    </row>
    <row r="103" spans="1:40" x14ac:dyDescent="0.25">
      <c r="A103" s="143">
        <v>16</v>
      </c>
      <c r="B103" s="92">
        <v>45204</v>
      </c>
      <c r="C103" s="31" t="s">
        <v>24</v>
      </c>
      <c r="D103" s="32"/>
      <c r="E103" s="32" t="s">
        <v>1451</v>
      </c>
      <c r="F103" s="32" t="s">
        <v>625</v>
      </c>
      <c r="G103" s="39" t="s">
        <v>1452</v>
      </c>
      <c r="H103" s="39">
        <v>400</v>
      </c>
      <c r="I103" s="42">
        <v>280</v>
      </c>
      <c r="J103" s="43">
        <v>10</v>
      </c>
      <c r="K103" s="21">
        <f t="shared" si="18"/>
        <v>10</v>
      </c>
      <c r="L103" s="21">
        <f t="shared" si="15"/>
        <v>290</v>
      </c>
      <c r="M103" s="21">
        <f t="shared" si="16"/>
        <v>110</v>
      </c>
      <c r="N103" s="21"/>
      <c r="O103" s="21"/>
      <c r="P103" s="5"/>
      <c r="Q103" s="43"/>
      <c r="R103" s="32"/>
      <c r="S103" s="21">
        <f t="shared" si="17"/>
        <v>0</v>
      </c>
      <c r="T103" s="131">
        <v>420</v>
      </c>
      <c r="U103" s="78">
        <v>20</v>
      </c>
      <c r="V103" s="140"/>
      <c r="W103" s="147"/>
      <c r="X103" s="23"/>
      <c r="Y103" s="334"/>
      <c r="Z103" s="5"/>
      <c r="AC103" s="5" t="s">
        <v>685</v>
      </c>
      <c r="AD103" s="115" t="s">
        <v>684</v>
      </c>
      <c r="AE103" s="339"/>
      <c r="AF103" s="341"/>
      <c r="AG103" s="115" t="s">
        <v>684</v>
      </c>
      <c r="AH103" s="339"/>
      <c r="AI103" s="341"/>
      <c r="AJ103" s="115" t="s">
        <v>684</v>
      </c>
      <c r="AK103" s="339"/>
      <c r="AL103" s="5"/>
    </row>
    <row r="104" spans="1:40" x14ac:dyDescent="0.25">
      <c r="A104" s="143">
        <v>17</v>
      </c>
      <c r="B104" s="92">
        <v>45204</v>
      </c>
      <c r="C104" s="31"/>
      <c r="D104" s="32"/>
      <c r="E104" s="32"/>
      <c r="F104" s="32"/>
      <c r="G104" s="39"/>
      <c r="H104" s="39"/>
      <c r="I104" s="42"/>
      <c r="J104" s="43">
        <v>10</v>
      </c>
      <c r="K104" s="21">
        <f t="shared" si="18"/>
        <v>-10</v>
      </c>
      <c r="L104" s="21">
        <f t="shared" si="15"/>
        <v>10</v>
      </c>
      <c r="M104" s="21">
        <f t="shared" si="16"/>
        <v>-10</v>
      </c>
      <c r="N104" s="21"/>
      <c r="O104" s="21"/>
      <c r="P104" s="5"/>
      <c r="Q104" s="43"/>
      <c r="R104" s="32"/>
      <c r="S104" s="21">
        <f t="shared" si="17"/>
        <v>0</v>
      </c>
      <c r="T104" s="132"/>
      <c r="U104" s="78">
        <f>T104-S104-O104</f>
        <v>0</v>
      </c>
      <c r="V104" s="140"/>
      <c r="W104" s="147"/>
      <c r="X104" s="23"/>
      <c r="Y104" s="340"/>
      <c r="Z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40" x14ac:dyDescent="0.25">
      <c r="A105" s="143">
        <v>18</v>
      </c>
      <c r="B105" s="92">
        <v>45204</v>
      </c>
      <c r="C105" s="31"/>
      <c r="D105" s="32"/>
      <c r="E105" s="32"/>
      <c r="F105" s="32"/>
      <c r="G105" s="39"/>
      <c r="H105" s="39"/>
      <c r="I105" s="42"/>
      <c r="J105" s="43">
        <v>10</v>
      </c>
      <c r="K105" s="21">
        <f t="shared" si="18"/>
        <v>-10</v>
      </c>
      <c r="L105" s="21">
        <f t="shared" si="15"/>
        <v>10</v>
      </c>
      <c r="M105" s="21">
        <f t="shared" si="16"/>
        <v>-10</v>
      </c>
      <c r="N105" s="21"/>
      <c r="O105" s="21"/>
      <c r="P105" s="5"/>
      <c r="Q105" s="135"/>
      <c r="R105" s="104"/>
      <c r="S105" s="21">
        <f t="shared" si="17"/>
        <v>0</v>
      </c>
      <c r="T105" s="131"/>
      <c r="U105" s="78">
        <f>T105-S105-O105</f>
        <v>0</v>
      </c>
      <c r="V105" s="140"/>
      <c r="W105" s="138"/>
      <c r="X105" s="32"/>
      <c r="Z105" s="5"/>
    </row>
    <row r="106" spans="1:40" x14ac:dyDescent="0.25">
      <c r="A106" s="143">
        <v>19</v>
      </c>
      <c r="B106" s="92">
        <v>45204</v>
      </c>
      <c r="C106" s="31"/>
      <c r="D106" s="32"/>
      <c r="E106" s="32"/>
      <c r="F106" s="32"/>
      <c r="G106" s="39"/>
      <c r="H106" s="39"/>
      <c r="I106" s="42"/>
      <c r="J106" s="43">
        <v>10</v>
      </c>
      <c r="K106" s="21">
        <f t="shared" si="18"/>
        <v>-10</v>
      </c>
      <c r="L106" s="21">
        <f t="shared" si="15"/>
        <v>10</v>
      </c>
      <c r="M106" s="21">
        <f t="shared" si="16"/>
        <v>-10</v>
      </c>
      <c r="N106" s="21"/>
      <c r="O106" s="21"/>
      <c r="P106" s="5"/>
      <c r="Q106" s="32"/>
      <c r="R106" s="32"/>
      <c r="S106" s="21">
        <f t="shared" si="17"/>
        <v>0</v>
      </c>
      <c r="T106" s="32"/>
      <c r="U106" s="78">
        <f>T106-S106-O106</f>
        <v>0</v>
      </c>
      <c r="V106" s="140"/>
      <c r="W106" s="138"/>
      <c r="X106" s="32"/>
      <c r="Z106" s="5"/>
    </row>
    <row r="107" spans="1:40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>
        <f>SUM(U88:U106)</f>
        <v>262.5</v>
      </c>
      <c r="V107" s="141"/>
      <c r="W107" s="5"/>
      <c r="X107" s="5"/>
      <c r="Y107" s="5"/>
      <c r="Z107" s="5"/>
    </row>
    <row r="110" spans="1:40" x14ac:dyDescent="0.25">
      <c r="B110" s="150" t="s">
        <v>1454</v>
      </c>
    </row>
    <row r="111" spans="1:40" x14ac:dyDescent="0.25">
      <c r="B111" t="s">
        <v>1458</v>
      </c>
    </row>
    <row r="112" spans="1:40" x14ac:dyDescent="0.25">
      <c r="B112">
        <v>104</v>
      </c>
    </row>
    <row r="113" spans="1:40" x14ac:dyDescent="0.25">
      <c r="A113" s="1" t="s">
        <v>0</v>
      </c>
      <c r="B113" s="1"/>
      <c r="C113" s="1"/>
      <c r="D113" s="1"/>
      <c r="E113" s="1"/>
      <c r="F113" s="1"/>
      <c r="G113" s="1"/>
      <c r="H113" s="1"/>
      <c r="I113" s="1" t="s">
        <v>148</v>
      </c>
      <c r="J113" s="1"/>
      <c r="K113" s="1"/>
      <c r="L113" s="1"/>
      <c r="M113" s="1"/>
      <c r="N113" s="1"/>
      <c r="O113" s="1"/>
      <c r="P113" s="1"/>
      <c r="Q113" s="1"/>
      <c r="R113" s="1"/>
      <c r="S113" s="342" t="s">
        <v>1</v>
      </c>
      <c r="T113" s="342"/>
      <c r="U113" s="5"/>
      <c r="V113" s="139"/>
      <c r="W113" s="1"/>
      <c r="X113" s="1"/>
      <c r="Y113" s="1"/>
      <c r="Z113" s="5"/>
      <c r="AC113" s="335" t="s">
        <v>160</v>
      </c>
      <c r="AD113" s="336"/>
      <c r="AG113" s="335" t="s">
        <v>170</v>
      </c>
      <c r="AH113" s="336"/>
      <c r="AJ113" s="337" t="s">
        <v>172</v>
      </c>
      <c r="AK113" s="337"/>
      <c r="AM113" s="337" t="s">
        <v>681</v>
      </c>
      <c r="AN113" s="337"/>
    </row>
    <row r="114" spans="1:40" ht="90" x14ac:dyDescent="0.25">
      <c r="A114" s="6" t="s">
        <v>2</v>
      </c>
      <c r="B114" s="7" t="s">
        <v>3</v>
      </c>
      <c r="C114" s="7" t="s">
        <v>4</v>
      </c>
      <c r="D114" s="6" t="s">
        <v>5</v>
      </c>
      <c r="E114" s="6" t="s">
        <v>6</v>
      </c>
      <c r="F114" s="6" t="s">
        <v>7</v>
      </c>
      <c r="G114" s="6" t="s">
        <v>8</v>
      </c>
      <c r="H114" s="8" t="s">
        <v>9</v>
      </c>
      <c r="I114" s="9" t="s">
        <v>10</v>
      </c>
      <c r="J114" s="8" t="s">
        <v>11</v>
      </c>
      <c r="K114" s="10" t="s">
        <v>12</v>
      </c>
      <c r="L114" s="10" t="s">
        <v>13</v>
      </c>
      <c r="M114" s="11" t="s">
        <v>14</v>
      </c>
      <c r="N114" s="10" t="s">
        <v>691</v>
      </c>
      <c r="O114" s="10" t="s">
        <v>28</v>
      </c>
      <c r="P114" s="5"/>
      <c r="Q114" s="10" t="s">
        <v>16</v>
      </c>
      <c r="R114" s="10" t="s">
        <v>17</v>
      </c>
      <c r="S114" s="10" t="s">
        <v>18</v>
      </c>
      <c r="T114" s="10" t="s">
        <v>19</v>
      </c>
      <c r="U114" s="10" t="s">
        <v>20</v>
      </c>
      <c r="V114" s="13"/>
      <c r="W114" s="136" t="s">
        <v>688</v>
      </c>
      <c r="X114" s="14" t="s">
        <v>22</v>
      </c>
      <c r="Y114" s="15" t="s">
        <v>23</v>
      </c>
      <c r="Z114" s="5"/>
      <c r="AB114">
        <v>9</v>
      </c>
      <c r="AC114" s="16" t="s">
        <v>161</v>
      </c>
      <c r="AD114" s="58">
        <f>+AB114*10</f>
        <v>90</v>
      </c>
      <c r="AF114">
        <v>2</v>
      </c>
      <c r="AG114" s="16" t="s">
        <v>161</v>
      </c>
      <c r="AH114" s="58">
        <f>+AF114*10</f>
        <v>20</v>
      </c>
      <c r="AJ114" s="61" t="s">
        <v>173</v>
      </c>
      <c r="AK114" s="62" t="s">
        <v>174</v>
      </c>
      <c r="AM114" s="16" t="s">
        <v>161</v>
      </c>
      <c r="AN114" s="58">
        <f>+AL114*10</f>
        <v>0</v>
      </c>
    </row>
    <row r="115" spans="1:40" x14ac:dyDescent="0.25">
      <c r="A115" s="16">
        <v>1</v>
      </c>
      <c r="B115" s="92">
        <v>45205</v>
      </c>
      <c r="C115" s="31" t="s">
        <v>3104</v>
      </c>
      <c r="D115" s="32">
        <v>5565395702</v>
      </c>
      <c r="E115" s="32" t="s">
        <v>1455</v>
      </c>
      <c r="F115" s="39" t="s">
        <v>1456</v>
      </c>
      <c r="G115" s="39" t="s">
        <v>1457</v>
      </c>
      <c r="H115" s="122">
        <v>230</v>
      </c>
      <c r="I115" s="32">
        <v>103</v>
      </c>
      <c r="J115" s="20">
        <v>20</v>
      </c>
      <c r="K115" s="21">
        <f>U115-J115-O115</f>
        <v>10</v>
      </c>
      <c r="L115" s="21">
        <f t="shared" ref="L115:L133" si="19">+I115+J115</f>
        <v>123</v>
      </c>
      <c r="M115" s="21">
        <f t="shared" ref="M115:M133" si="20">+H115-L115</f>
        <v>107</v>
      </c>
      <c r="N115" s="21"/>
      <c r="O115" s="21"/>
      <c r="P115" s="5"/>
      <c r="Q115" s="21">
        <v>200</v>
      </c>
      <c r="R115" s="16"/>
      <c r="S115" s="21">
        <f t="shared" ref="S115:S133" si="21">+Q115+R115</f>
        <v>200</v>
      </c>
      <c r="T115" s="21">
        <v>230</v>
      </c>
      <c r="U115" s="78">
        <f>T115-S115-O115</f>
        <v>30</v>
      </c>
      <c r="V115" s="13"/>
      <c r="W115" s="147"/>
      <c r="X115" s="23"/>
      <c r="Y115" s="333"/>
      <c r="Z115" s="5"/>
      <c r="AB115">
        <v>42.5</v>
      </c>
      <c r="AC115" s="59" t="s">
        <v>162</v>
      </c>
      <c r="AD115" s="18">
        <f>+AB115*1</f>
        <v>42.5</v>
      </c>
      <c r="AF115">
        <v>61</v>
      </c>
      <c r="AG115" s="59" t="s">
        <v>162</v>
      </c>
      <c r="AH115" s="18">
        <f>+AF115*1</f>
        <v>61</v>
      </c>
      <c r="AJ115" s="16">
        <v>104</v>
      </c>
      <c r="AK115" s="16"/>
      <c r="AM115" s="59" t="s">
        <v>162</v>
      </c>
      <c r="AN115" s="18">
        <f>+AL115*1</f>
        <v>0</v>
      </c>
    </row>
    <row r="116" spans="1:40" x14ac:dyDescent="0.25">
      <c r="A116" s="26">
        <v>2</v>
      </c>
      <c r="B116" s="92">
        <v>45205</v>
      </c>
      <c r="C116" s="31" t="s">
        <v>48</v>
      </c>
      <c r="D116" s="32">
        <v>5530181574</v>
      </c>
      <c r="E116" s="32" t="s">
        <v>394</v>
      </c>
      <c r="F116" s="32"/>
      <c r="G116" s="39" t="s">
        <v>632</v>
      </c>
      <c r="H116" s="122">
        <v>124</v>
      </c>
      <c r="I116" s="32">
        <v>114</v>
      </c>
      <c r="J116" s="20">
        <v>10</v>
      </c>
      <c r="K116" s="21">
        <f t="shared" ref="K116:K133" si="22">U116-J116-O116</f>
        <v>10</v>
      </c>
      <c r="L116" s="21">
        <f t="shared" si="19"/>
        <v>124</v>
      </c>
      <c r="M116" s="21">
        <f t="shared" si="20"/>
        <v>0</v>
      </c>
      <c r="N116" s="21">
        <v>134</v>
      </c>
      <c r="O116" s="21"/>
      <c r="P116" s="5"/>
      <c r="Q116" s="21">
        <v>200</v>
      </c>
      <c r="R116" s="16"/>
      <c r="S116" s="21">
        <f t="shared" si="21"/>
        <v>200</v>
      </c>
      <c r="T116" s="21">
        <f>86+N116</f>
        <v>220</v>
      </c>
      <c r="U116" s="78">
        <f t="shared" ref="U116:U133" si="23">T116-S116-O116</f>
        <v>20</v>
      </c>
      <c r="V116" s="140"/>
      <c r="W116" s="147"/>
      <c r="X116" s="23"/>
      <c r="Y116" s="334"/>
      <c r="Z116" s="5"/>
      <c r="AB116">
        <v>14</v>
      </c>
      <c r="AC116" s="16" t="s">
        <v>163</v>
      </c>
      <c r="AD116" s="60">
        <f>+AB116*5</f>
        <v>70</v>
      </c>
      <c r="AF116">
        <v>22</v>
      </c>
      <c r="AG116" s="16" t="s">
        <v>163</v>
      </c>
      <c r="AH116" s="60">
        <f>+AF116*5</f>
        <v>110</v>
      </c>
      <c r="AJ116" s="16">
        <v>134</v>
      </c>
      <c r="AK116" s="16"/>
      <c r="AM116" s="16" t="s">
        <v>163</v>
      </c>
      <c r="AN116" s="60">
        <f>+AL116*5</f>
        <v>0</v>
      </c>
    </row>
    <row r="117" spans="1:40" x14ac:dyDescent="0.25">
      <c r="A117" s="143">
        <v>3</v>
      </c>
      <c r="B117" s="92">
        <v>45205</v>
      </c>
      <c r="C117" s="31" t="s">
        <v>2625</v>
      </c>
      <c r="D117" s="32"/>
      <c r="E117" s="32"/>
      <c r="F117" s="39" t="s">
        <v>1459</v>
      </c>
      <c r="G117" s="39" t="s">
        <v>1461</v>
      </c>
      <c r="H117" s="39">
        <v>50</v>
      </c>
      <c r="I117" s="32">
        <v>30</v>
      </c>
      <c r="J117" s="20">
        <v>10</v>
      </c>
      <c r="K117" s="21">
        <f t="shared" si="22"/>
        <v>0</v>
      </c>
      <c r="L117" s="21">
        <f t="shared" si="19"/>
        <v>40</v>
      </c>
      <c r="M117" s="21">
        <f t="shared" si="20"/>
        <v>10</v>
      </c>
      <c r="N117" s="21"/>
      <c r="O117" s="21"/>
      <c r="P117" s="5"/>
      <c r="Q117" s="21">
        <v>50</v>
      </c>
      <c r="R117" s="16"/>
      <c r="S117" s="21">
        <f t="shared" si="21"/>
        <v>50</v>
      </c>
      <c r="T117" s="21">
        <v>60</v>
      </c>
      <c r="U117" s="78">
        <f t="shared" si="23"/>
        <v>10</v>
      </c>
      <c r="V117" s="140"/>
      <c r="W117" s="147"/>
      <c r="X117" s="23"/>
      <c r="Y117" s="334"/>
      <c r="Z117" s="5"/>
      <c r="AC117" s="16" t="s">
        <v>164</v>
      </c>
      <c r="AD117" s="18">
        <f>+AB117*200</f>
        <v>0</v>
      </c>
      <c r="AF117">
        <v>1</v>
      </c>
      <c r="AG117" s="16" t="s">
        <v>164</v>
      </c>
      <c r="AH117" s="18">
        <f>+AF117*200</f>
        <v>200</v>
      </c>
      <c r="AJ117" s="16"/>
      <c r="AK117" s="16"/>
      <c r="AM117" s="16" t="s">
        <v>164</v>
      </c>
      <c r="AN117" s="18">
        <f>+AL117*200</f>
        <v>0</v>
      </c>
    </row>
    <row r="118" spans="1:40" x14ac:dyDescent="0.25">
      <c r="A118" s="143">
        <v>4</v>
      </c>
      <c r="B118" s="92">
        <v>45205</v>
      </c>
      <c r="C118" s="31" t="s">
        <v>933</v>
      </c>
      <c r="D118" s="32"/>
      <c r="E118" s="32"/>
      <c r="F118" s="32" t="s">
        <v>1053</v>
      </c>
      <c r="G118" s="39" t="s">
        <v>1460</v>
      </c>
      <c r="H118" s="122">
        <v>200</v>
      </c>
      <c r="I118" s="32">
        <v>131</v>
      </c>
      <c r="J118" s="20">
        <v>10</v>
      </c>
      <c r="K118" s="21">
        <f t="shared" si="22"/>
        <v>5</v>
      </c>
      <c r="L118" s="21">
        <f t="shared" si="19"/>
        <v>141</v>
      </c>
      <c r="M118" s="21">
        <f t="shared" si="20"/>
        <v>59</v>
      </c>
      <c r="N118" s="21"/>
      <c r="O118" s="21"/>
      <c r="P118" s="5"/>
      <c r="Q118" s="21">
        <v>200</v>
      </c>
      <c r="R118" s="16"/>
      <c r="S118" s="21">
        <f t="shared" si="21"/>
        <v>200</v>
      </c>
      <c r="T118" s="21">
        <v>215</v>
      </c>
      <c r="U118" s="78">
        <f t="shared" si="23"/>
        <v>15</v>
      </c>
      <c r="V118" s="140"/>
      <c r="W118" s="147"/>
      <c r="X118" s="23"/>
      <c r="Y118" s="334"/>
      <c r="Z118" s="5"/>
      <c r="AC118" s="16" t="s">
        <v>165</v>
      </c>
      <c r="AD118" s="18">
        <f>+AB118*100</f>
        <v>0</v>
      </c>
      <c r="AG118" s="16" t="s">
        <v>165</v>
      </c>
      <c r="AH118" s="18">
        <f>+AF118*100</f>
        <v>0</v>
      </c>
      <c r="AJ118" s="16"/>
      <c r="AK118" s="16"/>
      <c r="AM118" s="16" t="s">
        <v>165</v>
      </c>
      <c r="AN118" s="18">
        <f>+AL118*100</f>
        <v>0</v>
      </c>
    </row>
    <row r="119" spans="1:40" x14ac:dyDescent="0.25">
      <c r="A119" s="143">
        <v>5</v>
      </c>
      <c r="B119" s="92">
        <v>45205</v>
      </c>
      <c r="C119" s="31" t="s">
        <v>3530</v>
      </c>
      <c r="D119" s="32">
        <v>9531286830</v>
      </c>
      <c r="E119" s="32" t="s">
        <v>1462</v>
      </c>
      <c r="F119" s="32" t="s">
        <v>740</v>
      </c>
      <c r="G119" s="32" t="s">
        <v>1463</v>
      </c>
      <c r="H119" s="122">
        <v>115</v>
      </c>
      <c r="I119" s="32">
        <v>71</v>
      </c>
      <c r="J119" s="20">
        <v>10</v>
      </c>
      <c r="K119" s="21">
        <f t="shared" si="22"/>
        <v>0</v>
      </c>
      <c r="L119" s="21">
        <f t="shared" si="19"/>
        <v>81</v>
      </c>
      <c r="M119" s="21">
        <f t="shared" si="20"/>
        <v>34</v>
      </c>
      <c r="N119" s="21"/>
      <c r="O119" s="21"/>
      <c r="P119" s="5"/>
      <c r="Q119" s="16">
        <v>100</v>
      </c>
      <c r="R119" s="16"/>
      <c r="S119" s="21">
        <f t="shared" si="21"/>
        <v>100</v>
      </c>
      <c r="T119" s="21">
        <v>110</v>
      </c>
      <c r="U119" s="78">
        <f t="shared" si="23"/>
        <v>10</v>
      </c>
      <c r="V119" s="140"/>
      <c r="W119" s="147"/>
      <c r="X119" s="23"/>
      <c r="Y119" s="334"/>
      <c r="Z119" s="5"/>
      <c r="AB119">
        <v>1</v>
      </c>
      <c r="AC119" s="16" t="s">
        <v>166</v>
      </c>
      <c r="AD119" s="18">
        <f>+AB119*50</f>
        <v>50</v>
      </c>
      <c r="AG119" s="16" t="s">
        <v>166</v>
      </c>
      <c r="AH119" s="18">
        <f>+AF119*50</f>
        <v>0</v>
      </c>
      <c r="AJ119" s="16"/>
      <c r="AK119" s="16"/>
      <c r="AM119" s="16" t="s">
        <v>166</v>
      </c>
      <c r="AN119" s="18">
        <f>+AL119*50</f>
        <v>0</v>
      </c>
    </row>
    <row r="120" spans="1:40" x14ac:dyDescent="0.25">
      <c r="A120" s="143">
        <v>6</v>
      </c>
      <c r="B120" s="92">
        <v>45205</v>
      </c>
      <c r="C120" s="31" t="s">
        <v>3941</v>
      </c>
      <c r="D120" s="32">
        <v>5615589545</v>
      </c>
      <c r="E120" s="32" t="s">
        <v>1466</v>
      </c>
      <c r="F120" s="32"/>
      <c r="G120" s="39" t="s">
        <v>1464</v>
      </c>
      <c r="H120" s="39"/>
      <c r="I120" s="42"/>
      <c r="J120" s="20">
        <v>10</v>
      </c>
      <c r="K120" s="21">
        <f t="shared" si="22"/>
        <v>0</v>
      </c>
      <c r="L120" s="21">
        <f t="shared" si="19"/>
        <v>10</v>
      </c>
      <c r="M120" s="21">
        <f t="shared" si="20"/>
        <v>-10</v>
      </c>
      <c r="N120" s="21"/>
      <c r="O120" s="21"/>
      <c r="P120" s="5"/>
      <c r="Q120" s="16">
        <v>200</v>
      </c>
      <c r="R120" s="16"/>
      <c r="S120" s="21">
        <f t="shared" si="21"/>
        <v>200</v>
      </c>
      <c r="T120" s="16">
        <v>210</v>
      </c>
      <c r="U120" s="78">
        <f t="shared" si="23"/>
        <v>10</v>
      </c>
      <c r="V120" s="140"/>
      <c r="W120" s="147"/>
      <c r="X120" s="23"/>
      <c r="Y120" s="334"/>
      <c r="Z120" s="5"/>
      <c r="AB120">
        <v>7</v>
      </c>
      <c r="AC120" s="16" t="s">
        <v>167</v>
      </c>
      <c r="AD120" s="18">
        <f>+AB120*20</f>
        <v>140</v>
      </c>
      <c r="AF120">
        <v>6</v>
      </c>
      <c r="AG120" s="16" t="s">
        <v>167</v>
      </c>
      <c r="AH120" s="18">
        <f>+AF120*20</f>
        <v>120</v>
      </c>
      <c r="AJ120" s="16"/>
      <c r="AK120" s="16"/>
      <c r="AM120" s="16" t="s">
        <v>167</v>
      </c>
      <c r="AN120" s="18">
        <f>+AL120*20</f>
        <v>0</v>
      </c>
    </row>
    <row r="121" spans="1:40" x14ac:dyDescent="0.25">
      <c r="A121" s="143">
        <v>7</v>
      </c>
      <c r="B121" s="92">
        <v>45205</v>
      </c>
      <c r="C121" s="31" t="s">
        <v>933</v>
      </c>
      <c r="D121" s="32"/>
      <c r="E121" s="32"/>
      <c r="F121" s="32" t="s">
        <v>524</v>
      </c>
      <c r="G121" s="39" t="s">
        <v>1465</v>
      </c>
      <c r="H121" s="122">
        <v>200</v>
      </c>
      <c r="I121" s="42">
        <v>138</v>
      </c>
      <c r="J121" s="20">
        <v>10</v>
      </c>
      <c r="K121" s="21">
        <f t="shared" si="22"/>
        <v>0</v>
      </c>
      <c r="L121" s="21">
        <f t="shared" si="19"/>
        <v>148</v>
      </c>
      <c r="M121" s="21">
        <f t="shared" si="20"/>
        <v>52</v>
      </c>
      <c r="N121" s="21"/>
      <c r="O121" s="21"/>
      <c r="P121" s="5"/>
      <c r="Q121" s="16">
        <v>200</v>
      </c>
      <c r="R121" s="16"/>
      <c r="S121" s="21">
        <f t="shared" si="21"/>
        <v>200</v>
      </c>
      <c r="T121" s="16">
        <v>210</v>
      </c>
      <c r="U121" s="78">
        <f t="shared" si="23"/>
        <v>10</v>
      </c>
      <c r="V121" s="140"/>
      <c r="W121" s="147"/>
      <c r="X121" s="23"/>
      <c r="Y121" s="334"/>
      <c r="Z121" s="5"/>
      <c r="AC121" s="16" t="s">
        <v>171</v>
      </c>
      <c r="AD121" s="18">
        <f>+AB121*500</f>
        <v>0</v>
      </c>
      <c r="AG121" s="16" t="s">
        <v>171</v>
      </c>
      <c r="AH121" s="18">
        <f>+AF121*500</f>
        <v>0</v>
      </c>
      <c r="AJ121" s="16"/>
      <c r="AK121" s="16"/>
      <c r="AM121" s="16" t="s">
        <v>171</v>
      </c>
      <c r="AN121" s="18">
        <f>+AL121*500</f>
        <v>0</v>
      </c>
    </row>
    <row r="122" spans="1:40" x14ac:dyDescent="0.25">
      <c r="A122" s="41">
        <v>8</v>
      </c>
      <c r="B122" s="92">
        <v>45205</v>
      </c>
      <c r="C122" s="31" t="s">
        <v>921</v>
      </c>
      <c r="D122" s="123"/>
      <c r="E122" s="123" t="s">
        <v>1272</v>
      </c>
      <c r="F122" s="123"/>
      <c r="G122" s="39" t="s">
        <v>1467</v>
      </c>
      <c r="H122" s="122">
        <v>200</v>
      </c>
      <c r="I122" s="32"/>
      <c r="J122" s="20">
        <v>10</v>
      </c>
      <c r="K122" s="21">
        <f t="shared" si="22"/>
        <v>25</v>
      </c>
      <c r="L122" s="21">
        <f t="shared" si="19"/>
        <v>10</v>
      </c>
      <c r="M122" s="21">
        <f t="shared" si="20"/>
        <v>190</v>
      </c>
      <c r="N122" s="21"/>
      <c r="O122" s="21"/>
      <c r="P122" s="5"/>
      <c r="Q122" s="16">
        <v>200</v>
      </c>
      <c r="R122" s="16"/>
      <c r="S122" s="21">
        <f t="shared" si="21"/>
        <v>200</v>
      </c>
      <c r="T122" s="16">
        <v>235</v>
      </c>
      <c r="U122" s="78">
        <f t="shared" si="23"/>
        <v>35</v>
      </c>
      <c r="V122" s="140"/>
      <c r="W122" s="147"/>
      <c r="X122" s="23"/>
      <c r="Y122" s="334"/>
      <c r="Z122" s="5"/>
      <c r="AC122" s="16" t="s">
        <v>168</v>
      </c>
      <c r="AD122" s="18">
        <f>+AB122*1000</f>
        <v>0</v>
      </c>
      <c r="AG122" s="16" t="s">
        <v>168</v>
      </c>
      <c r="AH122" s="18">
        <f>+AF122*1000</f>
        <v>0</v>
      </c>
      <c r="AJ122" s="16"/>
      <c r="AK122" s="16"/>
      <c r="AM122" s="16" t="s">
        <v>168</v>
      </c>
      <c r="AN122" s="18">
        <f>+AL122*1000</f>
        <v>0</v>
      </c>
    </row>
    <row r="123" spans="1:40" x14ac:dyDescent="0.25">
      <c r="A123" s="143">
        <v>9</v>
      </c>
      <c r="B123" s="92">
        <v>45205</v>
      </c>
      <c r="C123" s="31" t="s">
        <v>230</v>
      </c>
      <c r="D123" s="32"/>
      <c r="E123" s="32" t="s">
        <v>992</v>
      </c>
      <c r="F123" s="32" t="s">
        <v>231</v>
      </c>
      <c r="G123" s="39" t="s">
        <v>1468</v>
      </c>
      <c r="H123" s="39">
        <v>120</v>
      </c>
      <c r="I123" s="40">
        <v>100</v>
      </c>
      <c r="J123" s="20">
        <v>10</v>
      </c>
      <c r="K123" s="21">
        <f t="shared" si="22"/>
        <v>0</v>
      </c>
      <c r="L123" s="21">
        <f t="shared" si="19"/>
        <v>110</v>
      </c>
      <c r="M123" s="21">
        <f t="shared" si="20"/>
        <v>10</v>
      </c>
      <c r="N123" s="21"/>
      <c r="O123" s="21"/>
      <c r="P123" s="5"/>
      <c r="Q123" s="16">
        <v>100</v>
      </c>
      <c r="R123" s="16"/>
      <c r="S123" s="21">
        <f t="shared" si="21"/>
        <v>100</v>
      </c>
      <c r="T123" s="16">
        <v>110</v>
      </c>
      <c r="U123" s="78">
        <f t="shared" si="23"/>
        <v>10</v>
      </c>
      <c r="V123" s="140"/>
      <c r="W123" s="147"/>
      <c r="X123" s="23"/>
      <c r="Y123" s="334"/>
      <c r="Z123" s="5"/>
      <c r="AC123" s="26"/>
      <c r="AD123" s="58"/>
      <c r="AG123" s="26"/>
      <c r="AH123" s="58"/>
      <c r="AJ123" s="16"/>
      <c r="AK123" s="16"/>
      <c r="AM123" s="26"/>
      <c r="AN123" s="58"/>
    </row>
    <row r="124" spans="1:40" x14ac:dyDescent="0.25">
      <c r="A124" s="143">
        <v>10</v>
      </c>
      <c r="B124" s="92">
        <v>45205</v>
      </c>
      <c r="C124" s="31" t="s">
        <v>82</v>
      </c>
      <c r="D124" s="32"/>
      <c r="E124" s="32" t="s">
        <v>893</v>
      </c>
      <c r="F124" s="32" t="s">
        <v>539</v>
      </c>
      <c r="G124" s="39" t="s">
        <v>667</v>
      </c>
      <c r="H124" s="122">
        <v>32</v>
      </c>
      <c r="I124" s="42">
        <v>22</v>
      </c>
      <c r="J124" s="20">
        <v>10</v>
      </c>
      <c r="K124" s="21"/>
      <c r="L124" s="21">
        <f t="shared" si="19"/>
        <v>32</v>
      </c>
      <c r="M124" s="21">
        <f t="shared" si="20"/>
        <v>0</v>
      </c>
      <c r="N124" s="21">
        <v>32</v>
      </c>
      <c r="O124" s="21"/>
      <c r="P124" s="5"/>
      <c r="Q124" s="16">
        <v>22</v>
      </c>
      <c r="R124" s="16"/>
      <c r="S124" s="21">
        <f t="shared" si="21"/>
        <v>22</v>
      </c>
      <c r="T124" s="16">
        <v>32</v>
      </c>
      <c r="U124" s="78">
        <f t="shared" si="23"/>
        <v>10</v>
      </c>
      <c r="V124" s="140"/>
      <c r="W124" s="147"/>
      <c r="X124" s="23"/>
      <c r="Y124" s="334"/>
      <c r="Z124" s="5"/>
      <c r="AC124" s="16" t="s">
        <v>169</v>
      </c>
      <c r="AD124" s="18">
        <f>SUM(AD114:AD123)</f>
        <v>392.5</v>
      </c>
      <c r="AG124" s="16" t="s">
        <v>169</v>
      </c>
      <c r="AH124" s="18">
        <f>SUM(AH114:AH123)</f>
        <v>511</v>
      </c>
      <c r="AJ124" s="16"/>
      <c r="AK124" s="16"/>
      <c r="AM124" s="16" t="s">
        <v>169</v>
      </c>
      <c r="AN124" s="18"/>
    </row>
    <row r="125" spans="1:40" x14ac:dyDescent="0.25">
      <c r="A125" s="143">
        <v>11</v>
      </c>
      <c r="B125" s="92">
        <v>45205</v>
      </c>
      <c r="C125" s="31" t="s">
        <v>3745</v>
      </c>
      <c r="D125" s="124"/>
      <c r="E125" s="123" t="s">
        <v>38</v>
      </c>
      <c r="F125" s="123" t="s">
        <v>1469</v>
      </c>
      <c r="G125" s="39" t="s">
        <v>1470</v>
      </c>
      <c r="H125" s="122">
        <v>255</v>
      </c>
      <c r="I125" s="42"/>
      <c r="J125" s="20">
        <v>10</v>
      </c>
      <c r="K125" s="21">
        <f t="shared" si="22"/>
        <v>-10</v>
      </c>
      <c r="L125" s="21">
        <f t="shared" si="19"/>
        <v>10</v>
      </c>
      <c r="M125" s="21" t="s">
        <v>148</v>
      </c>
      <c r="N125" s="21">
        <v>255</v>
      </c>
      <c r="O125" s="21"/>
      <c r="P125" s="5"/>
      <c r="Q125" s="16"/>
      <c r="R125" s="16"/>
      <c r="S125" s="21">
        <f t="shared" si="21"/>
        <v>0</v>
      </c>
      <c r="T125" s="16"/>
      <c r="U125" s="78">
        <f t="shared" si="23"/>
        <v>0</v>
      </c>
      <c r="V125" s="140"/>
      <c r="W125" s="147"/>
      <c r="X125" s="23"/>
      <c r="Y125" s="334"/>
      <c r="Z125" s="5"/>
      <c r="AJ125" s="16"/>
      <c r="AK125" s="16"/>
      <c r="AM125" s="16"/>
      <c r="AN125" s="16"/>
    </row>
    <row r="126" spans="1:40" x14ac:dyDescent="0.25">
      <c r="A126" s="143">
        <v>12</v>
      </c>
      <c r="B126" s="92">
        <v>45205</v>
      </c>
      <c r="C126" s="32" t="s">
        <v>3100</v>
      </c>
      <c r="D126" s="32"/>
      <c r="E126" s="124" t="s">
        <v>672</v>
      </c>
      <c r="F126" s="123" t="s">
        <v>220</v>
      </c>
      <c r="G126" s="39" t="s">
        <v>1471</v>
      </c>
      <c r="H126" s="39">
        <v>270</v>
      </c>
      <c r="I126" s="42">
        <v>245</v>
      </c>
      <c r="J126" s="20">
        <v>20</v>
      </c>
      <c r="K126" s="21">
        <v>10</v>
      </c>
      <c r="L126" s="21">
        <f t="shared" si="19"/>
        <v>265</v>
      </c>
      <c r="M126" s="21">
        <f t="shared" si="20"/>
        <v>5</v>
      </c>
      <c r="N126" s="21"/>
      <c r="O126" s="21"/>
      <c r="P126" s="5"/>
      <c r="Q126" s="45"/>
      <c r="R126" s="44"/>
      <c r="S126" s="21">
        <f t="shared" si="21"/>
        <v>0</v>
      </c>
      <c r="T126" s="45"/>
      <c r="U126" s="78">
        <f t="shared" si="23"/>
        <v>0</v>
      </c>
      <c r="V126" s="140"/>
      <c r="W126" s="147"/>
      <c r="X126" s="23"/>
      <c r="Y126" s="334"/>
      <c r="Z126" s="5"/>
      <c r="AJ126" s="63" t="s">
        <v>169</v>
      </c>
      <c r="AK126" s="63">
        <f>+SUM(AJ115:AJ125)-SUM(AK115:AK125)</f>
        <v>238</v>
      </c>
      <c r="AM126" s="63" t="s">
        <v>169</v>
      </c>
      <c r="AN126" s="85">
        <f>+SUM(AM114:AM125)-SUM(AN115:AN125)</f>
        <v>0</v>
      </c>
    </row>
    <row r="127" spans="1:40" x14ac:dyDescent="0.25">
      <c r="A127" s="143">
        <v>13</v>
      </c>
      <c r="B127" s="92">
        <v>45205</v>
      </c>
      <c r="C127" s="31" t="s">
        <v>990</v>
      </c>
      <c r="D127" s="32"/>
      <c r="E127" s="32" t="s">
        <v>195</v>
      </c>
      <c r="F127" s="32" t="s">
        <v>729</v>
      </c>
      <c r="G127" s="39" t="s">
        <v>1476</v>
      </c>
      <c r="H127" s="39">
        <v>300</v>
      </c>
      <c r="I127" s="42">
        <v>259</v>
      </c>
      <c r="J127" s="108">
        <v>20</v>
      </c>
      <c r="K127" s="21"/>
      <c r="L127" s="21">
        <f t="shared" si="19"/>
        <v>279</v>
      </c>
      <c r="M127" s="21">
        <f t="shared" si="20"/>
        <v>21</v>
      </c>
      <c r="N127" s="21">
        <v>300</v>
      </c>
      <c r="O127" s="21"/>
      <c r="P127" s="5"/>
      <c r="Q127" s="43"/>
      <c r="R127" s="32"/>
      <c r="S127" s="21">
        <f t="shared" si="21"/>
        <v>0</v>
      </c>
      <c r="T127" s="43"/>
      <c r="U127" s="78">
        <f t="shared" si="23"/>
        <v>0</v>
      </c>
      <c r="V127" s="140"/>
      <c r="W127" s="147"/>
      <c r="X127" s="23"/>
      <c r="Y127" s="334"/>
      <c r="Z127" s="5"/>
      <c r="AH127" s="83"/>
    </row>
    <row r="128" spans="1:40" x14ac:dyDescent="0.25">
      <c r="A128" s="143">
        <v>14</v>
      </c>
      <c r="B128" s="92">
        <v>45205</v>
      </c>
      <c r="C128" s="31" t="s">
        <v>3940</v>
      </c>
      <c r="D128" s="32"/>
      <c r="E128" s="32" t="s">
        <v>52</v>
      </c>
      <c r="F128" s="32" t="s">
        <v>42</v>
      </c>
      <c r="G128" s="39" t="s">
        <v>1472</v>
      </c>
      <c r="H128" s="39">
        <v>40</v>
      </c>
      <c r="I128" s="42">
        <v>30</v>
      </c>
      <c r="J128" s="108">
        <v>10</v>
      </c>
      <c r="K128" s="21"/>
      <c r="L128" s="21">
        <f t="shared" si="19"/>
        <v>40</v>
      </c>
      <c r="M128" s="21">
        <f t="shared" si="20"/>
        <v>0</v>
      </c>
      <c r="N128" s="21"/>
      <c r="O128" s="21"/>
      <c r="P128" s="5"/>
      <c r="Q128" s="43"/>
      <c r="R128" s="43"/>
      <c r="S128" s="21">
        <f t="shared" si="21"/>
        <v>0</v>
      </c>
      <c r="T128" s="43"/>
      <c r="U128" s="78">
        <f t="shared" si="23"/>
        <v>0</v>
      </c>
      <c r="V128" s="140"/>
      <c r="W128" s="147"/>
      <c r="X128" s="23"/>
      <c r="Y128" s="334"/>
      <c r="Z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40" x14ac:dyDescent="0.25">
      <c r="A129" s="143">
        <v>15</v>
      </c>
      <c r="B129" s="92">
        <v>45205</v>
      </c>
      <c r="C129" s="127" t="s">
        <v>1473</v>
      </c>
      <c r="D129" s="32" t="s">
        <v>1474</v>
      </c>
      <c r="E129" s="32" t="s">
        <v>52</v>
      </c>
      <c r="F129" s="128" t="s">
        <v>928</v>
      </c>
      <c r="G129" s="129" t="s">
        <v>1477</v>
      </c>
      <c r="H129" s="39">
        <v>180</v>
      </c>
      <c r="I129" s="42">
        <v>142</v>
      </c>
      <c r="J129" s="108">
        <v>10</v>
      </c>
      <c r="K129" s="21">
        <f t="shared" si="22"/>
        <v>0</v>
      </c>
      <c r="L129" s="21">
        <f>+I129+J129</f>
        <v>152</v>
      </c>
      <c r="M129" s="21">
        <f>+H129-L129</f>
        <v>28</v>
      </c>
      <c r="N129" s="21"/>
      <c r="O129" s="21"/>
      <c r="P129" s="5"/>
      <c r="Q129" s="43"/>
      <c r="R129" s="43"/>
      <c r="S129" s="21">
        <f t="shared" si="21"/>
        <v>0</v>
      </c>
      <c r="T129" s="43">
        <v>180</v>
      </c>
      <c r="U129" s="78">
        <v>10</v>
      </c>
      <c r="V129" s="140"/>
      <c r="W129" s="147"/>
      <c r="X129" s="23"/>
      <c r="Y129" s="334"/>
      <c r="Z129" s="5"/>
      <c r="AC129" s="5"/>
      <c r="AD129" s="134" t="s">
        <v>20</v>
      </c>
      <c r="AE129" s="338">
        <v>727</v>
      </c>
      <c r="AF129" s="341" t="s">
        <v>686</v>
      </c>
      <c r="AG129" s="134" t="s">
        <v>20</v>
      </c>
      <c r="AH129" s="338">
        <v>105</v>
      </c>
      <c r="AI129" s="341" t="s">
        <v>687</v>
      </c>
      <c r="AJ129" s="134" t="s">
        <v>20</v>
      </c>
      <c r="AK129" s="338"/>
      <c r="AL129" s="5"/>
    </row>
    <row r="130" spans="1:40" x14ac:dyDescent="0.25">
      <c r="A130" s="143">
        <v>16</v>
      </c>
      <c r="B130" s="92">
        <v>45205</v>
      </c>
      <c r="C130" s="31" t="s">
        <v>483</v>
      </c>
      <c r="D130" s="32" t="s">
        <v>1475</v>
      </c>
      <c r="E130" s="32" t="s">
        <v>52</v>
      </c>
      <c r="F130" s="32" t="s">
        <v>220</v>
      </c>
      <c r="G130" s="39" t="s">
        <v>1475</v>
      </c>
      <c r="H130" s="39">
        <v>100</v>
      </c>
      <c r="I130" s="42">
        <v>90</v>
      </c>
      <c r="J130" s="43">
        <v>10</v>
      </c>
      <c r="K130" s="21">
        <f t="shared" si="22"/>
        <v>0</v>
      </c>
      <c r="L130" s="21">
        <f>+I130+J130</f>
        <v>100</v>
      </c>
      <c r="M130" s="21">
        <f>+H130-L130</f>
        <v>0</v>
      </c>
      <c r="N130" s="21"/>
      <c r="O130" s="21"/>
      <c r="P130" s="5"/>
      <c r="Q130" s="43"/>
      <c r="R130" s="32"/>
      <c r="S130" s="21">
        <f t="shared" si="21"/>
        <v>0</v>
      </c>
      <c r="T130" s="131">
        <v>100</v>
      </c>
      <c r="U130" s="78">
        <v>10</v>
      </c>
      <c r="V130" s="140"/>
      <c r="W130" s="147"/>
      <c r="X130" s="23"/>
      <c r="Y130" s="334"/>
      <c r="Z130" s="5"/>
      <c r="AC130" s="5" t="s">
        <v>685</v>
      </c>
      <c r="AD130" s="115" t="s">
        <v>684</v>
      </c>
      <c r="AE130" s="339"/>
      <c r="AF130" s="341"/>
      <c r="AG130" s="115" t="s">
        <v>684</v>
      </c>
      <c r="AH130" s="339"/>
      <c r="AI130" s="341"/>
      <c r="AJ130" s="115" t="s">
        <v>684</v>
      </c>
      <c r="AK130" s="339"/>
      <c r="AL130" s="5"/>
    </row>
    <row r="131" spans="1:40" x14ac:dyDescent="0.25">
      <c r="A131" s="143">
        <v>17</v>
      </c>
      <c r="B131" s="92">
        <v>45205</v>
      </c>
      <c r="C131" s="31"/>
      <c r="D131" s="32"/>
      <c r="E131" s="32"/>
      <c r="F131" s="32"/>
      <c r="G131" s="39"/>
      <c r="H131" s="39"/>
      <c r="I131" s="42"/>
      <c r="J131" s="43">
        <v>10</v>
      </c>
      <c r="K131" s="21">
        <f t="shared" si="22"/>
        <v>-10</v>
      </c>
      <c r="L131" s="21">
        <f t="shared" si="19"/>
        <v>10</v>
      </c>
      <c r="M131" s="21">
        <f t="shared" si="20"/>
        <v>-10</v>
      </c>
      <c r="N131" s="21"/>
      <c r="O131" s="21"/>
      <c r="P131" s="5"/>
      <c r="Q131" s="43"/>
      <c r="R131" s="32"/>
      <c r="S131" s="21">
        <f t="shared" si="21"/>
        <v>0</v>
      </c>
      <c r="T131" s="132"/>
      <c r="U131" s="78">
        <f t="shared" si="23"/>
        <v>0</v>
      </c>
      <c r="V131" s="140"/>
      <c r="W131" s="147"/>
      <c r="X131" s="23"/>
      <c r="Y131" s="340"/>
      <c r="Z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40" x14ac:dyDescent="0.25">
      <c r="A132" s="143">
        <v>18</v>
      </c>
      <c r="B132" s="92">
        <v>45205</v>
      </c>
      <c r="C132" s="31"/>
      <c r="D132" s="32"/>
      <c r="E132" s="32"/>
      <c r="F132" s="32"/>
      <c r="G132" s="39"/>
      <c r="H132" s="39"/>
      <c r="I132" s="42"/>
      <c r="J132" s="43">
        <v>10</v>
      </c>
      <c r="K132" s="21">
        <f t="shared" si="22"/>
        <v>-10</v>
      </c>
      <c r="L132" s="21">
        <f t="shared" si="19"/>
        <v>10</v>
      </c>
      <c r="M132" s="21">
        <f t="shared" si="20"/>
        <v>-10</v>
      </c>
      <c r="N132" s="21"/>
      <c r="O132" s="21"/>
      <c r="P132" s="5"/>
      <c r="Q132" s="135"/>
      <c r="R132" s="104"/>
      <c r="S132" s="21">
        <f t="shared" si="21"/>
        <v>0</v>
      </c>
      <c r="T132" s="131"/>
      <c r="U132" s="78">
        <f t="shared" si="23"/>
        <v>0</v>
      </c>
      <c r="V132" s="140"/>
      <c r="W132" s="138"/>
      <c r="X132" s="32"/>
      <c r="Z132" s="5"/>
    </row>
    <row r="133" spans="1:40" x14ac:dyDescent="0.25">
      <c r="A133" s="143">
        <v>19</v>
      </c>
      <c r="B133" s="92">
        <v>45205</v>
      </c>
      <c r="C133" s="31"/>
      <c r="D133" s="32"/>
      <c r="E133" s="32"/>
      <c r="F133" s="32"/>
      <c r="G133" s="39"/>
      <c r="H133" s="39"/>
      <c r="I133" s="42"/>
      <c r="J133" s="43">
        <v>10</v>
      </c>
      <c r="K133" s="21">
        <f t="shared" si="22"/>
        <v>-10</v>
      </c>
      <c r="L133" s="21">
        <f t="shared" si="19"/>
        <v>10</v>
      </c>
      <c r="M133" s="21">
        <f t="shared" si="20"/>
        <v>-10</v>
      </c>
      <c r="N133" s="21"/>
      <c r="O133" s="21"/>
      <c r="P133" s="5"/>
      <c r="Q133" s="32"/>
      <c r="R133" s="32"/>
      <c r="S133" s="21">
        <f t="shared" si="21"/>
        <v>0</v>
      </c>
      <c r="T133" s="32"/>
      <c r="U133" s="78">
        <f t="shared" si="23"/>
        <v>0</v>
      </c>
      <c r="V133" s="140"/>
      <c r="W133" s="138"/>
      <c r="X133" s="32"/>
      <c r="Z133" s="5"/>
    </row>
    <row r="134" spans="1:40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141"/>
      <c r="W134" s="5"/>
      <c r="X134" s="5"/>
      <c r="Y134" s="5"/>
      <c r="Z134" s="5"/>
    </row>
    <row r="137" spans="1:40" x14ac:dyDescent="0.25">
      <c r="E137" t="s">
        <v>1485</v>
      </c>
    </row>
    <row r="139" spans="1:40" x14ac:dyDescent="0.25">
      <c r="I139" t="s">
        <v>1479</v>
      </c>
    </row>
    <row r="140" spans="1:40" x14ac:dyDescent="0.25">
      <c r="A140" s="1" t="s">
        <v>0</v>
      </c>
      <c r="B140" s="1"/>
      <c r="C140" s="1"/>
      <c r="D140" s="1"/>
      <c r="E140" s="1"/>
      <c r="F140" s="1"/>
      <c r="G140" s="1"/>
      <c r="H140" s="1"/>
      <c r="I140" s="1" t="s">
        <v>148</v>
      </c>
      <c r="J140" s="1"/>
      <c r="K140" s="1"/>
      <c r="L140" s="1"/>
      <c r="M140" s="1"/>
      <c r="N140" s="1"/>
      <c r="O140" s="1"/>
      <c r="P140" s="1"/>
      <c r="Q140" s="1"/>
      <c r="R140" s="1"/>
      <c r="S140" s="342" t="s">
        <v>1</v>
      </c>
      <c r="T140" s="342"/>
      <c r="U140" s="5"/>
      <c r="V140" s="139"/>
      <c r="W140" s="1"/>
      <c r="X140" s="1"/>
      <c r="Y140" s="1"/>
      <c r="Z140" s="5"/>
      <c r="AC140" s="335" t="s">
        <v>160</v>
      </c>
      <c r="AD140" s="336"/>
      <c r="AG140" s="335" t="s">
        <v>170</v>
      </c>
      <c r="AH140" s="336"/>
      <c r="AJ140" s="337" t="s">
        <v>172</v>
      </c>
      <c r="AK140" s="337"/>
      <c r="AM140" s="337" t="s">
        <v>681</v>
      </c>
      <c r="AN140" s="337"/>
    </row>
    <row r="141" spans="1:40" ht="90" x14ac:dyDescent="0.25">
      <c r="A141" s="6" t="s">
        <v>2</v>
      </c>
      <c r="B141" s="7" t="s">
        <v>3</v>
      </c>
      <c r="C141" s="7" t="s">
        <v>4</v>
      </c>
      <c r="D141" s="6" t="s">
        <v>5</v>
      </c>
      <c r="E141" s="6" t="s">
        <v>6</v>
      </c>
      <c r="F141" s="6" t="s">
        <v>7</v>
      </c>
      <c r="G141" s="6" t="s">
        <v>8</v>
      </c>
      <c r="H141" s="8" t="s">
        <v>9</v>
      </c>
      <c r="I141" s="9" t="s">
        <v>10</v>
      </c>
      <c r="J141" s="8" t="s">
        <v>11</v>
      </c>
      <c r="K141" s="10" t="s">
        <v>12</v>
      </c>
      <c r="L141" s="10" t="s">
        <v>13</v>
      </c>
      <c r="M141" s="11" t="s">
        <v>14</v>
      </c>
      <c r="N141" s="10" t="s">
        <v>691</v>
      </c>
      <c r="O141" s="10" t="s">
        <v>28</v>
      </c>
      <c r="P141" s="5"/>
      <c r="Q141" s="10" t="s">
        <v>16</v>
      </c>
      <c r="R141" s="10" t="s">
        <v>17</v>
      </c>
      <c r="S141" s="10" t="s">
        <v>18</v>
      </c>
      <c r="T141" s="10" t="s">
        <v>19</v>
      </c>
      <c r="U141" s="10" t="s">
        <v>20</v>
      </c>
      <c r="V141" s="13"/>
      <c r="W141" s="136" t="s">
        <v>688</v>
      </c>
      <c r="X141" s="14" t="s">
        <v>22</v>
      </c>
      <c r="Y141" s="15" t="s">
        <v>23</v>
      </c>
      <c r="Z141" s="5"/>
      <c r="AB141">
        <v>2</v>
      </c>
      <c r="AC141" s="16" t="s">
        <v>161</v>
      </c>
      <c r="AD141" s="58">
        <f>+AB141*10</f>
        <v>20</v>
      </c>
      <c r="AF141">
        <v>13</v>
      </c>
      <c r="AG141" s="16" t="s">
        <v>161</v>
      </c>
      <c r="AH141" s="58">
        <f>+AF141*10</f>
        <v>130</v>
      </c>
      <c r="AJ141" s="61" t="s">
        <v>173</v>
      </c>
      <c r="AK141" s="62" t="s">
        <v>174</v>
      </c>
      <c r="AM141" s="16" t="s">
        <v>161</v>
      </c>
      <c r="AN141" s="58">
        <f>+AL141*10</f>
        <v>0</v>
      </c>
    </row>
    <row r="142" spans="1:40" x14ac:dyDescent="0.25">
      <c r="A142" s="16">
        <v>1</v>
      </c>
      <c r="B142" s="92">
        <v>45206</v>
      </c>
      <c r="C142" s="31" t="s">
        <v>3855</v>
      </c>
      <c r="D142" s="32">
        <v>5582392110</v>
      </c>
      <c r="E142" s="32" t="s">
        <v>394</v>
      </c>
      <c r="F142" s="39" t="s">
        <v>1480</v>
      </c>
      <c r="G142" s="39" t="s">
        <v>1481</v>
      </c>
      <c r="H142" s="122"/>
      <c r="I142" s="32">
        <v>87</v>
      </c>
      <c r="J142" s="20">
        <v>10</v>
      </c>
      <c r="K142" s="21">
        <v>0</v>
      </c>
      <c r="L142" s="21">
        <f t="shared" ref="L142:L159" si="24">+I142+J142</f>
        <v>97</v>
      </c>
      <c r="M142" s="21">
        <f t="shared" ref="M142:M159" si="25">+H142-L142</f>
        <v>-97</v>
      </c>
      <c r="N142" s="21"/>
      <c r="O142" s="21"/>
      <c r="P142" s="5"/>
      <c r="Q142" s="21"/>
      <c r="R142" s="16"/>
      <c r="S142" s="21">
        <f t="shared" ref="S142:S165" si="26">+Q142+R142</f>
        <v>0</v>
      </c>
      <c r="T142" s="21"/>
      <c r="U142" s="78">
        <f>T142-S142-O142</f>
        <v>0</v>
      </c>
      <c r="V142" s="13"/>
      <c r="W142" s="147"/>
      <c r="X142" s="23"/>
      <c r="Y142" s="333"/>
      <c r="Z142" s="5"/>
      <c r="AB142">
        <v>62.5</v>
      </c>
      <c r="AC142" s="59" t="s">
        <v>162</v>
      </c>
      <c r="AD142" s="18">
        <f>+AB142*1</f>
        <v>62.5</v>
      </c>
      <c r="AF142">
        <v>44</v>
      </c>
      <c r="AG142" s="59" t="s">
        <v>162</v>
      </c>
      <c r="AH142" s="18">
        <f>+AF142*1</f>
        <v>44</v>
      </c>
      <c r="AJ142" s="16"/>
      <c r="AK142" s="16"/>
      <c r="AM142" s="59" t="s">
        <v>162</v>
      </c>
      <c r="AN142" s="18">
        <f>+AL142*1</f>
        <v>0</v>
      </c>
    </row>
    <row r="143" spans="1:40" x14ac:dyDescent="0.25">
      <c r="A143" s="26">
        <v>2</v>
      </c>
      <c r="B143" s="92">
        <v>45206</v>
      </c>
      <c r="C143" s="31" t="s">
        <v>1806</v>
      </c>
      <c r="D143" s="32">
        <v>5589529270</v>
      </c>
      <c r="E143" s="32" t="s">
        <v>1484</v>
      </c>
      <c r="F143" s="32" t="s">
        <v>1483</v>
      </c>
      <c r="G143" s="39" t="s">
        <v>1482</v>
      </c>
      <c r="H143" s="122"/>
      <c r="I143" s="32"/>
      <c r="J143" s="20">
        <v>30</v>
      </c>
      <c r="K143" s="21">
        <v>0</v>
      </c>
      <c r="L143" s="21">
        <f t="shared" si="24"/>
        <v>30</v>
      </c>
      <c r="M143" s="21">
        <f t="shared" si="25"/>
        <v>-30</v>
      </c>
      <c r="N143" s="21"/>
      <c r="O143" s="21"/>
      <c r="P143" s="5"/>
      <c r="Q143" s="21">
        <v>300</v>
      </c>
      <c r="R143" s="16"/>
      <c r="S143" s="21">
        <f t="shared" si="26"/>
        <v>300</v>
      </c>
      <c r="T143" s="21"/>
      <c r="U143" s="78">
        <f t="shared" ref="U143:U165" si="27">T143-S143-O143</f>
        <v>-300</v>
      </c>
      <c r="V143" s="140"/>
      <c r="W143" s="147"/>
      <c r="X143" s="23"/>
      <c r="Y143" s="334"/>
      <c r="Z143" s="5"/>
      <c r="AB143">
        <v>22</v>
      </c>
      <c r="AC143" s="16" t="s">
        <v>163</v>
      </c>
      <c r="AD143" s="60">
        <f>+AB143*5</f>
        <v>110</v>
      </c>
      <c r="AF143">
        <v>16</v>
      </c>
      <c r="AG143" s="16" t="s">
        <v>163</v>
      </c>
      <c r="AH143" s="60">
        <f>+AF143*5</f>
        <v>80</v>
      </c>
      <c r="AJ143" s="16"/>
      <c r="AK143" s="16"/>
      <c r="AM143" s="16" t="s">
        <v>163</v>
      </c>
      <c r="AN143" s="60">
        <f>+AL143*5</f>
        <v>0</v>
      </c>
    </row>
    <row r="144" spans="1:40" x14ac:dyDescent="0.25">
      <c r="A144" s="143">
        <v>3</v>
      </c>
      <c r="B144" s="92">
        <v>45206</v>
      </c>
      <c r="C144" s="31" t="s">
        <v>350</v>
      </c>
      <c r="D144" s="32">
        <v>5543</v>
      </c>
      <c r="E144" s="32"/>
      <c r="F144" s="32"/>
      <c r="G144" s="39" t="s">
        <v>1486</v>
      </c>
      <c r="H144" s="122"/>
      <c r="I144" s="32">
        <v>263</v>
      </c>
      <c r="J144" s="20">
        <v>10</v>
      </c>
      <c r="K144" s="21">
        <v>0</v>
      </c>
      <c r="L144" s="21">
        <f t="shared" si="24"/>
        <v>273</v>
      </c>
      <c r="M144" s="21">
        <f t="shared" si="25"/>
        <v>-273</v>
      </c>
      <c r="N144" s="21"/>
      <c r="O144" s="21"/>
      <c r="P144" s="5"/>
      <c r="Q144" s="21"/>
      <c r="R144" s="16"/>
      <c r="S144" s="21">
        <f t="shared" si="26"/>
        <v>0</v>
      </c>
      <c r="T144" s="21"/>
      <c r="U144" s="78">
        <f t="shared" si="27"/>
        <v>0</v>
      </c>
      <c r="V144" s="140"/>
      <c r="W144" s="147"/>
      <c r="X144" s="23"/>
      <c r="Y144" s="334"/>
      <c r="Z144" s="5"/>
      <c r="AB144">
        <v>2</v>
      </c>
      <c r="AC144" s="16" t="s">
        <v>164</v>
      </c>
      <c r="AD144" s="18">
        <f>+AB144*200</f>
        <v>400</v>
      </c>
      <c r="AG144" s="16" t="s">
        <v>164</v>
      </c>
      <c r="AH144" s="18">
        <f>+AF144*200</f>
        <v>0</v>
      </c>
      <c r="AJ144" s="16"/>
      <c r="AK144" s="16"/>
      <c r="AM144" s="16" t="s">
        <v>164</v>
      </c>
      <c r="AN144" s="18">
        <f>+AL144*200</f>
        <v>0</v>
      </c>
    </row>
    <row r="145" spans="1:40" x14ac:dyDescent="0.25">
      <c r="A145" s="143">
        <v>4</v>
      </c>
      <c r="B145" s="92">
        <v>45206</v>
      </c>
      <c r="C145" s="31" t="s">
        <v>1487</v>
      </c>
      <c r="D145" s="32"/>
      <c r="E145" s="32" t="s">
        <v>1490</v>
      </c>
      <c r="F145" s="32" t="s">
        <v>1491</v>
      </c>
      <c r="G145" s="39" t="s">
        <v>1492</v>
      </c>
      <c r="H145" s="122">
        <v>320</v>
      </c>
      <c r="I145" s="32">
        <v>302</v>
      </c>
      <c r="J145" s="20">
        <v>10</v>
      </c>
      <c r="K145" s="21">
        <v>18</v>
      </c>
      <c r="L145" s="21">
        <f t="shared" si="24"/>
        <v>312</v>
      </c>
      <c r="M145" s="21">
        <v>0</v>
      </c>
      <c r="N145" s="21"/>
      <c r="O145" s="21">
        <v>234</v>
      </c>
      <c r="P145" s="5"/>
      <c r="Q145" s="21"/>
      <c r="R145" s="16"/>
      <c r="S145" s="21">
        <f t="shared" si="26"/>
        <v>0</v>
      </c>
      <c r="T145" s="21"/>
      <c r="U145" s="78">
        <f t="shared" si="27"/>
        <v>-234</v>
      </c>
      <c r="V145" s="140"/>
      <c r="W145" s="147"/>
      <c r="X145" s="23"/>
      <c r="Y145" s="334"/>
      <c r="Z145" s="5"/>
      <c r="AC145" s="16" t="s">
        <v>165</v>
      </c>
      <c r="AD145" s="18">
        <f>+AB145*100</f>
        <v>0</v>
      </c>
      <c r="AG145" s="16" t="s">
        <v>165</v>
      </c>
      <c r="AH145" s="18">
        <f>+AF145*100</f>
        <v>0</v>
      </c>
      <c r="AJ145" s="16"/>
      <c r="AK145" s="16"/>
      <c r="AM145" s="16" t="s">
        <v>165</v>
      </c>
      <c r="AN145" s="18">
        <f>+AL145*100</f>
        <v>0</v>
      </c>
    </row>
    <row r="146" spans="1:40" x14ac:dyDescent="0.25">
      <c r="A146" s="143">
        <v>5</v>
      </c>
      <c r="B146" s="92">
        <v>45206</v>
      </c>
      <c r="C146" s="31" t="s">
        <v>3101</v>
      </c>
      <c r="D146" s="32"/>
      <c r="E146" s="32"/>
      <c r="F146" s="32" t="s">
        <v>1493</v>
      </c>
      <c r="G146" s="32" t="s">
        <v>1494</v>
      </c>
      <c r="H146" s="122">
        <v>100</v>
      </c>
      <c r="I146" s="32">
        <v>88</v>
      </c>
      <c r="J146" s="20">
        <v>10</v>
      </c>
      <c r="K146" s="21">
        <v>2</v>
      </c>
      <c r="L146" s="21">
        <f t="shared" si="24"/>
        <v>98</v>
      </c>
      <c r="M146" s="21">
        <v>0</v>
      </c>
      <c r="N146" s="21"/>
      <c r="O146" s="21">
        <v>88</v>
      </c>
      <c r="P146" s="5"/>
      <c r="Q146" s="16"/>
      <c r="R146" s="16"/>
      <c r="S146" s="21">
        <f t="shared" si="26"/>
        <v>0</v>
      </c>
      <c r="T146" s="21"/>
      <c r="U146" s="78">
        <f t="shared" si="27"/>
        <v>-88</v>
      </c>
      <c r="V146" s="140"/>
      <c r="W146" s="147"/>
      <c r="X146" s="23"/>
      <c r="Y146" s="334"/>
      <c r="Z146" s="5"/>
      <c r="AC146" s="16" t="s">
        <v>166</v>
      </c>
      <c r="AD146" s="18">
        <f>+AB146*50</f>
        <v>0</v>
      </c>
      <c r="AF146">
        <v>2</v>
      </c>
      <c r="AG146" s="16" t="s">
        <v>166</v>
      </c>
      <c r="AH146" s="18">
        <f>+AF146*50</f>
        <v>100</v>
      </c>
      <c r="AJ146" s="16"/>
      <c r="AK146" s="16"/>
      <c r="AM146" s="16" t="s">
        <v>166</v>
      </c>
      <c r="AN146" s="18">
        <f>+AL146*50</f>
        <v>0</v>
      </c>
    </row>
    <row r="147" spans="1:40" x14ac:dyDescent="0.25">
      <c r="A147" s="143">
        <v>6</v>
      </c>
      <c r="B147" s="92">
        <v>45206</v>
      </c>
      <c r="C147" s="31" t="s">
        <v>1488</v>
      </c>
      <c r="D147" s="32"/>
      <c r="E147" s="32" t="s">
        <v>1497</v>
      </c>
      <c r="F147" s="32" t="s">
        <v>1496</v>
      </c>
      <c r="G147" s="39" t="s">
        <v>1495</v>
      </c>
      <c r="H147" s="39"/>
      <c r="I147" s="42"/>
      <c r="J147" s="20">
        <v>10</v>
      </c>
      <c r="K147" s="21">
        <v>20</v>
      </c>
      <c r="L147" s="21">
        <f t="shared" si="24"/>
        <v>10</v>
      </c>
      <c r="M147" s="21">
        <f t="shared" si="25"/>
        <v>-10</v>
      </c>
      <c r="N147" s="21"/>
      <c r="O147" s="21"/>
      <c r="P147" s="5"/>
      <c r="Q147" s="16"/>
      <c r="R147" s="16"/>
      <c r="S147" s="21">
        <f t="shared" si="26"/>
        <v>0</v>
      </c>
      <c r="T147" s="16"/>
      <c r="U147" s="78">
        <f t="shared" si="27"/>
        <v>0</v>
      </c>
      <c r="V147" s="140"/>
      <c r="W147" s="147"/>
      <c r="X147" s="23"/>
      <c r="Y147" s="334"/>
      <c r="Z147" s="5"/>
      <c r="AB147">
        <v>6</v>
      </c>
      <c r="AC147" s="16" t="s">
        <v>167</v>
      </c>
      <c r="AD147" s="18">
        <f>+AB147*20</f>
        <v>120</v>
      </c>
      <c r="AF147">
        <v>3</v>
      </c>
      <c r="AG147" s="16" t="s">
        <v>167</v>
      </c>
      <c r="AH147" s="18">
        <f>+AF147*20</f>
        <v>60</v>
      </c>
      <c r="AJ147" s="16"/>
      <c r="AK147" s="16"/>
      <c r="AM147" s="16" t="s">
        <v>167</v>
      </c>
      <c r="AN147" s="18">
        <f>+AL147*20</f>
        <v>0</v>
      </c>
    </row>
    <row r="148" spans="1:40" x14ac:dyDescent="0.25">
      <c r="A148" s="143">
        <v>7</v>
      </c>
      <c r="B148" s="92">
        <v>45206</v>
      </c>
      <c r="C148" s="31" t="s">
        <v>3866</v>
      </c>
      <c r="D148" s="32"/>
      <c r="E148" s="32"/>
      <c r="F148" s="32" t="s">
        <v>1505</v>
      </c>
      <c r="G148" s="39" t="s">
        <v>1498</v>
      </c>
      <c r="H148" s="122"/>
      <c r="I148" s="42"/>
      <c r="J148" s="20">
        <v>10</v>
      </c>
      <c r="K148" s="21">
        <v>0</v>
      </c>
      <c r="L148" s="21">
        <f t="shared" si="24"/>
        <v>10</v>
      </c>
      <c r="M148" s="21">
        <f t="shared" si="25"/>
        <v>-10</v>
      </c>
      <c r="N148" s="21">
        <v>140</v>
      </c>
      <c r="O148" s="21"/>
      <c r="P148" s="5"/>
      <c r="Q148" s="16"/>
      <c r="R148" s="16"/>
      <c r="S148" s="21">
        <f t="shared" si="26"/>
        <v>0</v>
      </c>
      <c r="T148" s="16"/>
      <c r="U148" s="78">
        <f t="shared" si="27"/>
        <v>0</v>
      </c>
      <c r="V148" s="140"/>
      <c r="W148" s="147"/>
      <c r="X148" s="23"/>
      <c r="Y148" s="334"/>
      <c r="Z148" s="5"/>
      <c r="AC148" s="16" t="s">
        <v>171</v>
      </c>
      <c r="AD148" s="18">
        <f>+AB148*500</f>
        <v>0</v>
      </c>
      <c r="AG148" s="16" t="s">
        <v>171</v>
      </c>
      <c r="AH148" s="18">
        <f>+AF148*500</f>
        <v>0</v>
      </c>
      <c r="AJ148" s="16"/>
      <c r="AK148" s="16"/>
      <c r="AM148" s="16" t="s">
        <v>171</v>
      </c>
      <c r="AN148" s="18">
        <f>+AL148*500</f>
        <v>0</v>
      </c>
    </row>
    <row r="149" spans="1:40" x14ac:dyDescent="0.25">
      <c r="A149" s="143">
        <v>8</v>
      </c>
      <c r="B149" s="92">
        <v>45206</v>
      </c>
      <c r="C149" s="31" t="s">
        <v>456</v>
      </c>
      <c r="D149" s="123"/>
      <c r="E149" s="123"/>
      <c r="F149" s="123" t="s">
        <v>1504</v>
      </c>
      <c r="G149" s="39" t="s">
        <v>1499</v>
      </c>
      <c r="H149" s="122">
        <v>32</v>
      </c>
      <c r="I149" s="32">
        <v>22</v>
      </c>
      <c r="J149" s="20">
        <v>10</v>
      </c>
      <c r="K149" s="21">
        <v>0</v>
      </c>
      <c r="L149" s="21">
        <f t="shared" si="24"/>
        <v>32</v>
      </c>
      <c r="M149" s="21">
        <f t="shared" si="25"/>
        <v>0</v>
      </c>
      <c r="N149" s="21"/>
      <c r="O149" s="21"/>
      <c r="P149" s="5"/>
      <c r="Q149" s="16"/>
      <c r="R149" s="16"/>
      <c r="S149" s="21">
        <f t="shared" si="26"/>
        <v>0</v>
      </c>
      <c r="T149" s="16"/>
      <c r="U149" s="78">
        <f t="shared" si="27"/>
        <v>0</v>
      </c>
      <c r="V149" s="140"/>
      <c r="W149" s="147"/>
      <c r="X149" s="23"/>
      <c r="Y149" s="334"/>
      <c r="Z149" s="5"/>
      <c r="AC149" s="16" t="s">
        <v>168</v>
      </c>
      <c r="AD149" s="18">
        <f>+AB149*1000</f>
        <v>0</v>
      </c>
      <c r="AG149" s="16" t="s">
        <v>168</v>
      </c>
      <c r="AH149" s="18">
        <f>+AF149*1000</f>
        <v>0</v>
      </c>
      <c r="AJ149" s="16"/>
      <c r="AK149" s="16"/>
      <c r="AM149" s="16" t="s">
        <v>168</v>
      </c>
      <c r="AN149" s="18">
        <f>+AL149*1000</f>
        <v>0</v>
      </c>
    </row>
    <row r="150" spans="1:40" x14ac:dyDescent="0.25">
      <c r="A150" s="143">
        <v>9</v>
      </c>
      <c r="B150" s="92">
        <v>45206</v>
      </c>
      <c r="C150" s="31" t="s">
        <v>48</v>
      </c>
      <c r="D150" s="32"/>
      <c r="E150" s="32"/>
      <c r="F150" s="32" t="s">
        <v>1503</v>
      </c>
      <c r="G150" s="39" t="s">
        <v>1501</v>
      </c>
      <c r="H150" s="39">
        <v>320</v>
      </c>
      <c r="I150" s="40">
        <v>86</v>
      </c>
      <c r="J150" s="20">
        <v>10</v>
      </c>
      <c r="K150" s="21">
        <v>10</v>
      </c>
      <c r="L150" s="21">
        <f t="shared" si="24"/>
        <v>96</v>
      </c>
      <c r="M150" s="21">
        <f t="shared" si="25"/>
        <v>224</v>
      </c>
      <c r="N150" s="21">
        <v>106</v>
      </c>
      <c r="O150" s="21"/>
      <c r="P150" s="5"/>
      <c r="Q150" s="16"/>
      <c r="R150" s="16"/>
      <c r="S150" s="21">
        <f t="shared" si="26"/>
        <v>0</v>
      </c>
      <c r="T150" s="16"/>
      <c r="U150" s="78">
        <f t="shared" si="27"/>
        <v>0</v>
      </c>
      <c r="V150" s="140"/>
      <c r="W150" s="147"/>
      <c r="X150" s="23"/>
      <c r="Y150" s="334"/>
      <c r="Z150" s="5"/>
      <c r="AC150" s="26"/>
      <c r="AD150" s="58"/>
      <c r="AG150" s="26"/>
      <c r="AH150" s="58"/>
      <c r="AJ150" s="16"/>
      <c r="AK150" s="16"/>
      <c r="AM150" s="26"/>
      <c r="AN150" s="58"/>
    </row>
    <row r="151" spans="1:40" x14ac:dyDescent="0.25">
      <c r="A151" s="143">
        <v>10</v>
      </c>
      <c r="B151" s="92">
        <v>45206</v>
      </c>
      <c r="C151" s="31" t="s">
        <v>1500</v>
      </c>
      <c r="D151" s="32"/>
      <c r="E151" s="32"/>
      <c r="F151" s="32" t="s">
        <v>1491</v>
      </c>
      <c r="G151" s="39" t="s">
        <v>1502</v>
      </c>
      <c r="H151" s="122">
        <v>100</v>
      </c>
      <c r="I151" s="42">
        <v>50</v>
      </c>
      <c r="J151" s="20">
        <v>10</v>
      </c>
      <c r="K151" s="21">
        <v>0</v>
      </c>
      <c r="L151" s="21">
        <f t="shared" si="24"/>
        <v>60</v>
      </c>
      <c r="M151" s="21">
        <f t="shared" si="25"/>
        <v>40</v>
      </c>
      <c r="N151" s="21"/>
      <c r="O151" s="21"/>
      <c r="P151" s="5"/>
      <c r="Q151" s="16"/>
      <c r="R151" s="16"/>
      <c r="S151" s="21">
        <f t="shared" si="26"/>
        <v>0</v>
      </c>
      <c r="T151" s="16"/>
      <c r="U151" s="78">
        <f t="shared" si="27"/>
        <v>0</v>
      </c>
      <c r="V151" s="140"/>
      <c r="W151" s="147"/>
      <c r="X151" s="23"/>
      <c r="Y151" s="334"/>
      <c r="Z151" s="5"/>
      <c r="AC151" s="16" t="s">
        <v>169</v>
      </c>
      <c r="AD151" s="18">
        <f>SUM(AD141:AD150)</f>
        <v>712.5</v>
      </c>
      <c r="AG151" s="16" t="s">
        <v>169</v>
      </c>
      <c r="AH151" s="18">
        <f>SUM(AH141:AH150)</f>
        <v>414</v>
      </c>
      <c r="AJ151" s="16"/>
      <c r="AK151" s="16"/>
      <c r="AM151" s="16" t="s">
        <v>169</v>
      </c>
      <c r="AN151" s="18"/>
    </row>
    <row r="152" spans="1:40" x14ac:dyDescent="0.25">
      <c r="A152" s="143">
        <v>11</v>
      </c>
      <c r="B152" s="92">
        <v>45206</v>
      </c>
      <c r="C152" s="31" t="s">
        <v>3865</v>
      </c>
      <c r="D152" s="124"/>
      <c r="E152" s="123" t="s">
        <v>372</v>
      </c>
      <c r="F152" s="123" t="s">
        <v>1506</v>
      </c>
      <c r="G152" s="39" t="s">
        <v>1507</v>
      </c>
      <c r="H152" s="122">
        <v>160</v>
      </c>
      <c r="I152" s="42">
        <v>128</v>
      </c>
      <c r="J152" s="20">
        <v>10</v>
      </c>
      <c r="K152" s="21">
        <v>0</v>
      </c>
      <c r="L152" s="21">
        <f t="shared" si="24"/>
        <v>138</v>
      </c>
      <c r="M152" s="21">
        <f t="shared" si="25"/>
        <v>22</v>
      </c>
      <c r="N152" s="21"/>
      <c r="O152" s="21"/>
      <c r="P152" s="5"/>
      <c r="Q152" s="16"/>
      <c r="R152" s="16"/>
      <c r="S152" s="21">
        <f t="shared" si="26"/>
        <v>0</v>
      </c>
      <c r="T152" s="16"/>
      <c r="U152" s="78">
        <f t="shared" si="27"/>
        <v>0</v>
      </c>
      <c r="V152" s="140"/>
      <c r="W152" s="147"/>
      <c r="X152" s="23"/>
      <c r="Y152" s="334"/>
      <c r="Z152" s="5"/>
      <c r="AJ152" s="16"/>
      <c r="AK152" s="16"/>
      <c r="AM152" s="16"/>
      <c r="AN152" s="16"/>
    </row>
    <row r="153" spans="1:40" x14ac:dyDescent="0.25">
      <c r="A153" s="143">
        <v>12</v>
      </c>
      <c r="B153" s="92">
        <v>45206</v>
      </c>
      <c r="C153" s="32" t="s">
        <v>3100</v>
      </c>
      <c r="D153" s="32"/>
      <c r="E153" s="124" t="s">
        <v>372</v>
      </c>
      <c r="F153" s="123" t="s">
        <v>1508</v>
      </c>
      <c r="G153" s="39" t="s">
        <v>1509</v>
      </c>
      <c r="H153" s="39">
        <v>200</v>
      </c>
      <c r="I153" s="42">
        <v>34</v>
      </c>
      <c r="J153" s="20">
        <v>10</v>
      </c>
      <c r="K153" s="21">
        <v>0</v>
      </c>
      <c r="L153" s="21">
        <f t="shared" si="24"/>
        <v>44</v>
      </c>
      <c r="M153" s="21">
        <f t="shared" si="25"/>
        <v>156</v>
      </c>
      <c r="N153" s="21"/>
      <c r="O153" s="21"/>
      <c r="P153" s="5"/>
      <c r="Q153" s="45"/>
      <c r="R153" s="44"/>
      <c r="S153" s="21">
        <f t="shared" si="26"/>
        <v>0</v>
      </c>
      <c r="T153" s="45"/>
      <c r="U153" s="78">
        <f t="shared" si="27"/>
        <v>0</v>
      </c>
      <c r="V153" s="140"/>
      <c r="W153" s="147"/>
      <c r="X153" s="23"/>
      <c r="Y153" s="334"/>
      <c r="Z153" s="5"/>
      <c r="AJ153" s="63" t="s">
        <v>169</v>
      </c>
      <c r="AK153" s="63">
        <f>+SUM(AJ142:AJ152)-SUM(AK142:AK152)</f>
        <v>0</v>
      </c>
      <c r="AM153" s="63" t="s">
        <v>169</v>
      </c>
      <c r="AN153" s="85">
        <f>+SUM(AM141:AM152)-SUM(AN142:AN152)</f>
        <v>0</v>
      </c>
    </row>
    <row r="154" spans="1:40" x14ac:dyDescent="0.25">
      <c r="A154" s="143">
        <v>13</v>
      </c>
      <c r="B154" s="92">
        <v>45206</v>
      </c>
      <c r="C154" s="31" t="s">
        <v>2140</v>
      </c>
      <c r="D154" s="32"/>
      <c r="E154" s="32" t="s">
        <v>394</v>
      </c>
      <c r="F154" s="32" t="s">
        <v>220</v>
      </c>
      <c r="G154" s="39" t="s">
        <v>1510</v>
      </c>
      <c r="H154" s="39"/>
      <c r="I154" s="42">
        <v>120</v>
      </c>
      <c r="J154" s="108">
        <v>10</v>
      </c>
      <c r="K154" s="21">
        <v>0</v>
      </c>
      <c r="L154" s="21">
        <f t="shared" si="24"/>
        <v>130</v>
      </c>
      <c r="M154" s="21">
        <f t="shared" si="25"/>
        <v>-130</v>
      </c>
      <c r="N154" s="21"/>
      <c r="O154" s="21"/>
      <c r="P154" s="5"/>
      <c r="Q154" s="43"/>
      <c r="R154" s="32"/>
      <c r="S154" s="21">
        <f t="shared" si="26"/>
        <v>0</v>
      </c>
      <c r="T154" s="43"/>
      <c r="U154" s="78">
        <f t="shared" si="27"/>
        <v>0</v>
      </c>
      <c r="V154" s="140"/>
      <c r="W154" s="147"/>
      <c r="X154" s="23"/>
      <c r="Y154" s="334"/>
      <c r="Z154" s="5"/>
      <c r="AH154" s="83"/>
    </row>
    <row r="155" spans="1:40" x14ac:dyDescent="0.25">
      <c r="A155" s="143">
        <v>14</v>
      </c>
      <c r="B155" s="92">
        <v>45206</v>
      </c>
      <c r="C155" s="31"/>
      <c r="D155" s="32"/>
      <c r="E155" s="32"/>
      <c r="F155" s="32" t="s">
        <v>1511</v>
      </c>
      <c r="G155" s="39" t="s">
        <v>1512</v>
      </c>
      <c r="H155" s="39"/>
      <c r="I155" s="42">
        <v>85</v>
      </c>
      <c r="J155" s="108">
        <v>10</v>
      </c>
      <c r="K155" s="21">
        <v>0</v>
      </c>
      <c r="L155" s="21">
        <f t="shared" si="24"/>
        <v>95</v>
      </c>
      <c r="M155" s="21">
        <f t="shared" si="25"/>
        <v>-95</v>
      </c>
      <c r="N155" s="21"/>
      <c r="O155" s="21"/>
      <c r="P155" s="5"/>
      <c r="Q155" s="43">
        <v>200</v>
      </c>
      <c r="R155" s="43"/>
      <c r="S155" s="21">
        <f t="shared" si="26"/>
        <v>200</v>
      </c>
      <c r="T155" s="43">
        <v>220</v>
      </c>
      <c r="U155" s="78">
        <f t="shared" si="27"/>
        <v>20</v>
      </c>
      <c r="V155" s="140"/>
      <c r="W155" s="147"/>
      <c r="X155" s="23"/>
      <c r="Y155" s="334"/>
      <c r="Z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40" x14ac:dyDescent="0.25">
      <c r="A156" s="143">
        <v>15</v>
      </c>
      <c r="B156" s="92">
        <v>45206</v>
      </c>
      <c r="C156" s="127" t="s">
        <v>3147</v>
      </c>
      <c r="D156" s="32"/>
      <c r="E156" s="32"/>
      <c r="F156" s="128"/>
      <c r="G156" s="129" t="s">
        <v>1513</v>
      </c>
      <c r="H156" s="39"/>
      <c r="I156" s="42">
        <v>300</v>
      </c>
      <c r="J156" s="108">
        <v>10</v>
      </c>
      <c r="K156" s="21">
        <v>0</v>
      </c>
      <c r="L156" s="21">
        <f t="shared" si="24"/>
        <v>310</v>
      </c>
      <c r="M156" s="21">
        <f t="shared" si="25"/>
        <v>-310</v>
      </c>
      <c r="N156" s="21"/>
      <c r="O156" s="21"/>
      <c r="P156" s="5"/>
      <c r="Q156" s="43"/>
      <c r="R156" s="43"/>
      <c r="S156" s="21">
        <f t="shared" si="26"/>
        <v>0</v>
      </c>
      <c r="T156" s="43">
        <v>20</v>
      </c>
      <c r="U156" s="78">
        <f t="shared" si="27"/>
        <v>20</v>
      </c>
      <c r="V156" s="140"/>
      <c r="W156" s="147"/>
      <c r="X156" s="23"/>
      <c r="Y156" s="334"/>
      <c r="Z156" s="5"/>
      <c r="AC156" s="5"/>
      <c r="AD156" s="134" t="s">
        <v>20</v>
      </c>
      <c r="AE156" s="338"/>
      <c r="AF156" s="341" t="s">
        <v>686</v>
      </c>
      <c r="AG156" s="134" t="s">
        <v>20</v>
      </c>
      <c r="AH156" s="338"/>
      <c r="AI156" s="341" t="s">
        <v>687</v>
      </c>
      <c r="AJ156" s="134" t="s">
        <v>20</v>
      </c>
      <c r="AK156" s="338"/>
      <c r="AL156" s="5"/>
    </row>
    <row r="157" spans="1:40" x14ac:dyDescent="0.25">
      <c r="A157" s="143">
        <v>16</v>
      </c>
      <c r="B157" s="92">
        <v>45206</v>
      </c>
      <c r="C157" s="31" t="s">
        <v>3862</v>
      </c>
      <c r="D157" s="32"/>
      <c r="E157" s="32"/>
      <c r="F157" s="32" t="s">
        <v>1515</v>
      </c>
      <c r="G157" s="39" t="s">
        <v>1514</v>
      </c>
      <c r="H157" s="39"/>
      <c r="I157" s="42">
        <v>85</v>
      </c>
      <c r="J157" s="43">
        <v>10</v>
      </c>
      <c r="K157" s="21">
        <v>0</v>
      </c>
      <c r="L157" s="21">
        <f t="shared" si="24"/>
        <v>95</v>
      </c>
      <c r="M157" s="21">
        <f t="shared" si="25"/>
        <v>-95</v>
      </c>
      <c r="N157" s="21"/>
      <c r="O157" s="21"/>
      <c r="P157" s="5"/>
      <c r="Q157" s="43">
        <v>200</v>
      </c>
      <c r="R157" s="32"/>
      <c r="S157" s="21">
        <f t="shared" si="26"/>
        <v>200</v>
      </c>
      <c r="T157" s="131">
        <v>115</v>
      </c>
      <c r="U157" s="78">
        <f t="shared" si="27"/>
        <v>-85</v>
      </c>
      <c r="V157" s="140"/>
      <c r="W157" s="147"/>
      <c r="X157" s="23"/>
      <c r="Y157" s="334"/>
      <c r="Z157" s="5"/>
      <c r="AC157" s="5" t="s">
        <v>685</v>
      </c>
      <c r="AD157" s="115" t="s">
        <v>684</v>
      </c>
      <c r="AE157" s="339"/>
      <c r="AF157" s="341"/>
      <c r="AG157" s="115" t="s">
        <v>684</v>
      </c>
      <c r="AH157" s="339"/>
      <c r="AI157" s="341"/>
      <c r="AJ157" s="115" t="s">
        <v>684</v>
      </c>
      <c r="AK157" s="339"/>
      <c r="AL157" s="5"/>
    </row>
    <row r="158" spans="1:40" x14ac:dyDescent="0.25">
      <c r="A158" s="143">
        <v>17</v>
      </c>
      <c r="B158" s="92">
        <v>45206</v>
      </c>
      <c r="C158" s="31" t="s">
        <v>1912</v>
      </c>
      <c r="D158" s="32"/>
      <c r="E158" s="32" t="s">
        <v>394</v>
      </c>
      <c r="F158" s="32" t="s">
        <v>220</v>
      </c>
      <c r="G158" s="39" t="s">
        <v>1516</v>
      </c>
      <c r="H158" s="39">
        <v>236</v>
      </c>
      <c r="I158" s="42">
        <v>226</v>
      </c>
      <c r="J158" s="43">
        <v>10</v>
      </c>
      <c r="K158" s="21"/>
      <c r="L158" s="21">
        <f t="shared" si="24"/>
        <v>236</v>
      </c>
      <c r="M158" s="21">
        <f t="shared" si="25"/>
        <v>0</v>
      </c>
      <c r="N158" s="21">
        <v>236</v>
      </c>
      <c r="O158" s="21"/>
      <c r="P158" s="5"/>
      <c r="Q158" s="43"/>
      <c r="R158" s="32"/>
      <c r="S158" s="21">
        <f t="shared" si="26"/>
        <v>0</v>
      </c>
      <c r="T158" s="132"/>
      <c r="U158" s="78">
        <f t="shared" si="27"/>
        <v>0</v>
      </c>
      <c r="V158" s="140"/>
      <c r="W158" s="147"/>
      <c r="X158" s="23"/>
      <c r="Y158" s="340"/>
      <c r="Z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40" x14ac:dyDescent="0.25">
      <c r="A159" s="143">
        <v>18</v>
      </c>
      <c r="B159" s="92">
        <v>45206</v>
      </c>
      <c r="C159" s="31" t="s">
        <v>2625</v>
      </c>
      <c r="D159" s="32"/>
      <c r="E159" s="32" t="s">
        <v>38</v>
      </c>
      <c r="F159" s="32" t="s">
        <v>220</v>
      </c>
      <c r="G159" s="39" t="s">
        <v>1517</v>
      </c>
      <c r="H159" s="39">
        <v>250</v>
      </c>
      <c r="I159" s="42">
        <v>233</v>
      </c>
      <c r="J159" s="43">
        <v>10</v>
      </c>
      <c r="K159" s="21">
        <f t="shared" ref="K159:K165" si="28">U159-J159-O159</f>
        <v>-10</v>
      </c>
      <c r="L159" s="21">
        <f t="shared" si="24"/>
        <v>243</v>
      </c>
      <c r="M159" s="21">
        <f t="shared" si="25"/>
        <v>7</v>
      </c>
      <c r="N159" s="21"/>
      <c r="O159" s="21"/>
      <c r="P159" s="5"/>
      <c r="Q159" s="135"/>
      <c r="R159" s="104"/>
      <c r="S159" s="21">
        <f t="shared" si="26"/>
        <v>0</v>
      </c>
      <c r="T159" s="131"/>
      <c r="U159" s="78">
        <f t="shared" si="27"/>
        <v>0</v>
      </c>
      <c r="V159" s="140"/>
      <c r="W159" s="138"/>
      <c r="X159" s="32"/>
      <c r="Z159" s="5"/>
    </row>
    <row r="160" spans="1:40" x14ac:dyDescent="0.25">
      <c r="A160" s="143">
        <v>19</v>
      </c>
      <c r="B160" s="92">
        <v>45206</v>
      </c>
      <c r="C160" s="31" t="s">
        <v>2625</v>
      </c>
      <c r="D160" s="32"/>
      <c r="E160" s="32" t="s">
        <v>38</v>
      </c>
      <c r="F160" s="32" t="s">
        <v>220</v>
      </c>
      <c r="G160" s="39" t="s">
        <v>1519</v>
      </c>
      <c r="H160" s="39">
        <v>100</v>
      </c>
      <c r="I160" s="42">
        <v>65</v>
      </c>
      <c r="J160" s="43">
        <v>10</v>
      </c>
      <c r="K160" s="21">
        <f t="shared" si="28"/>
        <v>-10</v>
      </c>
      <c r="L160" s="21">
        <f t="shared" ref="L160:L165" si="29">+I160+J160</f>
        <v>75</v>
      </c>
      <c r="M160" s="21">
        <f t="shared" ref="M160:M165" si="30">+H160-L160</f>
        <v>25</v>
      </c>
      <c r="N160" s="21"/>
      <c r="O160" s="21"/>
      <c r="P160" s="5"/>
      <c r="Q160" s="135"/>
      <c r="R160" s="104"/>
      <c r="S160" s="21"/>
      <c r="T160" s="131"/>
      <c r="U160" s="78"/>
      <c r="V160" s="140"/>
      <c r="W160" s="138"/>
      <c r="X160" s="32"/>
      <c r="Z160" s="5"/>
    </row>
    <row r="161" spans="1:26" x14ac:dyDescent="0.25">
      <c r="A161" s="143">
        <v>20</v>
      </c>
      <c r="B161" s="92">
        <v>45206</v>
      </c>
      <c r="C161" s="31" t="s">
        <v>3147</v>
      </c>
      <c r="D161" s="32"/>
      <c r="E161" s="32" t="s">
        <v>394</v>
      </c>
      <c r="F161" s="32" t="s">
        <v>1521</v>
      </c>
      <c r="G161" s="39" t="s">
        <v>1520</v>
      </c>
      <c r="H161" s="39">
        <v>500</v>
      </c>
      <c r="I161" s="42"/>
      <c r="J161" s="43"/>
      <c r="K161" s="21">
        <f t="shared" si="28"/>
        <v>0</v>
      </c>
      <c r="L161" s="21">
        <f t="shared" si="29"/>
        <v>0</v>
      </c>
      <c r="M161" s="21">
        <f t="shared" si="30"/>
        <v>500</v>
      </c>
      <c r="N161" s="21"/>
      <c r="O161" s="21"/>
      <c r="P161" s="5"/>
      <c r="Q161" s="135"/>
      <c r="R161" s="104"/>
      <c r="S161" s="21"/>
      <c r="T161" s="131"/>
      <c r="U161" s="78"/>
      <c r="V161" s="140"/>
      <c r="W161" s="138"/>
      <c r="X161" s="32"/>
      <c r="Z161" s="5"/>
    </row>
    <row r="162" spans="1:26" x14ac:dyDescent="0.25">
      <c r="A162" s="143">
        <v>21</v>
      </c>
      <c r="B162" s="92">
        <v>45206</v>
      </c>
      <c r="C162" s="31" t="s">
        <v>2140</v>
      </c>
      <c r="D162" s="32"/>
      <c r="E162" s="32" t="s">
        <v>394</v>
      </c>
      <c r="F162" s="32" t="s">
        <v>220</v>
      </c>
      <c r="G162" s="39" t="s">
        <v>1523</v>
      </c>
      <c r="H162" s="39"/>
      <c r="I162" s="42">
        <v>40</v>
      </c>
      <c r="J162" s="43"/>
      <c r="K162" s="21">
        <f t="shared" si="28"/>
        <v>0</v>
      </c>
      <c r="L162" s="21">
        <f t="shared" si="29"/>
        <v>40</v>
      </c>
      <c r="M162" s="21">
        <f t="shared" si="30"/>
        <v>-40</v>
      </c>
      <c r="N162" s="21"/>
      <c r="O162" s="21"/>
      <c r="P162" s="5"/>
      <c r="Q162" s="135"/>
      <c r="R162" s="104"/>
      <c r="S162" s="21"/>
      <c r="T162" s="131"/>
      <c r="U162" s="78"/>
      <c r="V162" s="140"/>
      <c r="W162" s="138"/>
      <c r="X162" s="32"/>
      <c r="Z162" s="5"/>
    </row>
    <row r="163" spans="1:26" x14ac:dyDescent="0.25">
      <c r="A163" s="143">
        <v>22</v>
      </c>
      <c r="B163" s="92">
        <v>45206</v>
      </c>
      <c r="C163" s="31" t="s">
        <v>627</v>
      </c>
      <c r="D163" s="32"/>
      <c r="E163" s="32" t="s">
        <v>372</v>
      </c>
      <c r="F163" s="32" t="s">
        <v>837</v>
      </c>
      <c r="G163" s="39" t="s">
        <v>1522</v>
      </c>
      <c r="H163" s="39"/>
      <c r="I163" s="42">
        <v>150</v>
      </c>
      <c r="J163" s="43">
        <v>128</v>
      </c>
      <c r="K163" s="21">
        <v>0</v>
      </c>
      <c r="L163" s="21">
        <f t="shared" si="29"/>
        <v>278</v>
      </c>
      <c r="M163" s="21">
        <f t="shared" si="30"/>
        <v>-278</v>
      </c>
      <c r="N163" s="21">
        <v>138</v>
      </c>
      <c r="O163" s="21"/>
      <c r="P163" s="5"/>
      <c r="Q163" s="135"/>
      <c r="R163" s="104"/>
      <c r="S163" s="21"/>
      <c r="T163" s="131"/>
      <c r="U163" s="78"/>
      <c r="V163" s="140"/>
      <c r="W163" s="138"/>
      <c r="X163" s="32"/>
      <c r="Z163" s="5"/>
    </row>
    <row r="164" spans="1:26" x14ac:dyDescent="0.25">
      <c r="A164" s="143">
        <v>23</v>
      </c>
      <c r="B164" s="92">
        <v>45206</v>
      </c>
      <c r="C164" s="31"/>
      <c r="D164" s="32"/>
      <c r="E164" s="32"/>
      <c r="F164" s="32"/>
      <c r="G164" s="39"/>
      <c r="H164" s="39"/>
      <c r="I164" s="42"/>
      <c r="J164" s="43"/>
      <c r="K164" s="21">
        <f t="shared" si="28"/>
        <v>0</v>
      </c>
      <c r="L164" s="21">
        <f t="shared" si="29"/>
        <v>0</v>
      </c>
      <c r="M164" s="21">
        <f t="shared" si="30"/>
        <v>0</v>
      </c>
      <c r="N164" s="21"/>
      <c r="O164" s="21"/>
      <c r="P164" s="5"/>
      <c r="Q164" s="135"/>
      <c r="R164" s="104"/>
      <c r="S164" s="21"/>
      <c r="T164" s="131"/>
      <c r="U164" s="78"/>
      <c r="V164" s="140"/>
      <c r="W164" s="138"/>
      <c r="X164" s="32"/>
      <c r="Z164" s="5"/>
    </row>
    <row r="165" spans="1:26" x14ac:dyDescent="0.25">
      <c r="A165" s="143">
        <v>24</v>
      </c>
      <c r="B165" s="92">
        <v>45206</v>
      </c>
      <c r="C165" s="31"/>
      <c r="D165" s="32"/>
      <c r="E165" s="32"/>
      <c r="F165" s="32"/>
      <c r="G165" s="39"/>
      <c r="H165" s="39"/>
      <c r="I165" s="42"/>
      <c r="J165" s="43">
        <v>10</v>
      </c>
      <c r="K165" s="21">
        <f t="shared" si="28"/>
        <v>-10</v>
      </c>
      <c r="L165" s="21">
        <f t="shared" si="29"/>
        <v>10</v>
      </c>
      <c r="M165" s="21">
        <f t="shared" si="30"/>
        <v>-10</v>
      </c>
      <c r="N165" s="21"/>
      <c r="O165" s="21"/>
      <c r="P165" s="5"/>
      <c r="Q165" s="32"/>
      <c r="R165" s="32"/>
      <c r="S165" s="21">
        <f t="shared" si="26"/>
        <v>0</v>
      </c>
      <c r="T165" s="32"/>
      <c r="U165" s="78">
        <f t="shared" si="27"/>
        <v>0</v>
      </c>
      <c r="V165" s="140"/>
      <c r="W165" s="138"/>
      <c r="X165" s="32"/>
      <c r="Z165" s="5"/>
    </row>
    <row r="166" spans="1:26" x14ac:dyDescent="0.25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141"/>
      <c r="W166" s="5"/>
      <c r="X166" s="5"/>
      <c r="Y166" s="5"/>
      <c r="Z166" s="5"/>
    </row>
    <row r="187" spans="5:5" x14ac:dyDescent="0.25">
      <c r="E187">
        <v>290</v>
      </c>
    </row>
    <row r="195" spans="1:40" x14ac:dyDescent="0.25">
      <c r="A195" s="1" t="s">
        <v>0</v>
      </c>
      <c r="B195" s="1"/>
      <c r="C195" s="1"/>
      <c r="D195" s="1"/>
      <c r="E195" s="1"/>
      <c r="F195" s="1"/>
      <c r="G195" s="1"/>
      <c r="H195" s="1"/>
      <c r="I195" s="1" t="s">
        <v>148</v>
      </c>
      <c r="J195" s="1"/>
      <c r="K195" s="1"/>
      <c r="L195" s="1"/>
      <c r="M195" s="1"/>
      <c r="N195" s="1"/>
      <c r="O195" s="1"/>
      <c r="P195" s="1"/>
      <c r="Q195" s="1"/>
      <c r="R195" s="1"/>
      <c r="S195" s="342" t="s">
        <v>1</v>
      </c>
      <c r="T195" s="342"/>
      <c r="U195" s="5"/>
      <c r="V195" s="139"/>
      <c r="W195" s="1"/>
      <c r="X195" s="1"/>
      <c r="Y195" s="1"/>
      <c r="Z195" s="5"/>
      <c r="AC195" s="335" t="s">
        <v>160</v>
      </c>
      <c r="AD195" s="336"/>
      <c r="AG195" s="335" t="s">
        <v>170</v>
      </c>
      <c r="AH195" s="336"/>
      <c r="AJ195" s="337" t="s">
        <v>172</v>
      </c>
      <c r="AK195" s="337"/>
      <c r="AM195" s="337" t="s">
        <v>681</v>
      </c>
      <c r="AN195" s="337"/>
    </row>
    <row r="196" spans="1:40" ht="90" x14ac:dyDescent="0.25">
      <c r="A196" s="6" t="s">
        <v>2</v>
      </c>
      <c r="B196" s="7" t="s">
        <v>3</v>
      </c>
      <c r="C196" s="7" t="s">
        <v>4</v>
      </c>
      <c r="D196" s="6" t="s">
        <v>5</v>
      </c>
      <c r="E196" s="6" t="s">
        <v>6</v>
      </c>
      <c r="F196" s="6" t="s">
        <v>7</v>
      </c>
      <c r="G196" s="6" t="s">
        <v>8</v>
      </c>
      <c r="H196" s="8" t="s">
        <v>9</v>
      </c>
      <c r="I196" s="9" t="s">
        <v>10</v>
      </c>
      <c r="J196" s="8" t="s">
        <v>11</v>
      </c>
      <c r="K196" s="10" t="s">
        <v>12</v>
      </c>
      <c r="L196" s="10" t="s">
        <v>13</v>
      </c>
      <c r="M196" s="11" t="s">
        <v>14</v>
      </c>
      <c r="N196" s="10" t="s">
        <v>691</v>
      </c>
      <c r="O196" s="10" t="s">
        <v>28</v>
      </c>
      <c r="P196" s="5"/>
      <c r="Q196" s="10" t="s">
        <v>16</v>
      </c>
      <c r="R196" s="10" t="s">
        <v>17</v>
      </c>
      <c r="S196" s="10" t="s">
        <v>18</v>
      </c>
      <c r="T196" s="10" t="s">
        <v>19</v>
      </c>
      <c r="U196" s="10" t="s">
        <v>20</v>
      </c>
      <c r="V196" s="13"/>
      <c r="W196" s="136" t="s">
        <v>688</v>
      </c>
      <c r="X196" s="14" t="s">
        <v>22</v>
      </c>
      <c r="Y196" s="15" t="s">
        <v>23</v>
      </c>
      <c r="Z196" s="5"/>
      <c r="AB196">
        <v>6</v>
      </c>
      <c r="AC196" s="16" t="s">
        <v>161</v>
      </c>
      <c r="AD196" s="58">
        <f>+AB196*10</f>
        <v>60</v>
      </c>
      <c r="AG196" s="16" t="s">
        <v>161</v>
      </c>
      <c r="AH196" s="58">
        <f>+AF196*10</f>
        <v>0</v>
      </c>
      <c r="AJ196" s="61" t="s">
        <v>173</v>
      </c>
      <c r="AK196" s="62" t="s">
        <v>174</v>
      </c>
      <c r="AM196" s="16" t="s">
        <v>161</v>
      </c>
      <c r="AN196" s="58">
        <f>+AL196*10</f>
        <v>0</v>
      </c>
    </row>
    <row r="197" spans="1:40" x14ac:dyDescent="0.25">
      <c r="A197" s="16">
        <v>1</v>
      </c>
      <c r="B197" s="92">
        <v>45207</v>
      </c>
      <c r="C197" s="31" t="s">
        <v>1912</v>
      </c>
      <c r="D197" s="32"/>
      <c r="E197" s="32" t="s">
        <v>1526</v>
      </c>
      <c r="F197" s="39" t="s">
        <v>220</v>
      </c>
      <c r="G197" s="39" t="s">
        <v>1524</v>
      </c>
      <c r="H197" s="122">
        <v>315</v>
      </c>
      <c r="I197" s="32">
        <v>275</v>
      </c>
      <c r="J197" s="20">
        <v>10</v>
      </c>
      <c r="K197" s="21">
        <f>U197-J197-O197</f>
        <v>35</v>
      </c>
      <c r="L197" s="21">
        <f t="shared" ref="L197:L215" si="31">+I197+J197</f>
        <v>285</v>
      </c>
      <c r="M197" s="21">
        <f t="shared" ref="M197:M215" si="32">+H197-L197</f>
        <v>30</v>
      </c>
      <c r="N197" s="21"/>
      <c r="O197" s="21"/>
      <c r="P197" s="5"/>
      <c r="Q197" s="21"/>
      <c r="R197" s="16"/>
      <c r="S197" s="21">
        <f t="shared" ref="S197:S215" si="33">+Q197+R197</f>
        <v>0</v>
      </c>
      <c r="T197" s="21">
        <v>45</v>
      </c>
      <c r="U197" s="78">
        <f>T197-S197-O197</f>
        <v>45</v>
      </c>
      <c r="V197" s="13"/>
      <c r="W197" s="147"/>
      <c r="X197" s="23"/>
      <c r="Y197" s="333"/>
      <c r="Z197" s="5"/>
      <c r="AB197">
        <v>68</v>
      </c>
      <c r="AC197" s="59" t="s">
        <v>162</v>
      </c>
      <c r="AD197" s="18">
        <f>+AB197*1</f>
        <v>68</v>
      </c>
      <c r="AG197" s="59" t="s">
        <v>162</v>
      </c>
      <c r="AH197" s="18">
        <f>+AF197*1</f>
        <v>0</v>
      </c>
      <c r="AJ197" s="16"/>
      <c r="AK197" s="16"/>
      <c r="AM197" s="59" t="s">
        <v>162</v>
      </c>
      <c r="AN197" s="18">
        <f>+AL197*1</f>
        <v>0</v>
      </c>
    </row>
    <row r="198" spans="1:40" x14ac:dyDescent="0.25">
      <c r="A198" s="26">
        <v>2</v>
      </c>
      <c r="B198" s="92">
        <v>45207</v>
      </c>
      <c r="C198" s="31" t="s">
        <v>2815</v>
      </c>
      <c r="D198" s="32"/>
      <c r="E198" s="32" t="s">
        <v>38</v>
      </c>
      <c r="F198" s="32" t="s">
        <v>1527</v>
      </c>
      <c r="G198" s="39" t="s">
        <v>1525</v>
      </c>
      <c r="H198" s="122">
        <v>248</v>
      </c>
      <c r="I198" s="32">
        <v>238</v>
      </c>
      <c r="J198" s="20">
        <v>10</v>
      </c>
      <c r="K198" s="21">
        <v>13</v>
      </c>
      <c r="L198" s="21">
        <f t="shared" si="31"/>
        <v>248</v>
      </c>
      <c r="M198" s="21">
        <f t="shared" si="32"/>
        <v>0</v>
      </c>
      <c r="N198" s="21"/>
      <c r="O198" s="21"/>
      <c r="P198" s="5"/>
      <c r="Q198" s="21"/>
      <c r="R198" s="16"/>
      <c r="S198" s="21">
        <f t="shared" si="33"/>
        <v>0</v>
      </c>
      <c r="T198" s="21">
        <v>12</v>
      </c>
      <c r="U198" s="78">
        <v>25</v>
      </c>
      <c r="V198" s="140"/>
      <c r="W198" s="147"/>
      <c r="X198" s="23"/>
      <c r="Y198" s="334"/>
      <c r="Z198" s="5"/>
      <c r="AB198">
        <v>22</v>
      </c>
      <c r="AC198" s="16" t="s">
        <v>163</v>
      </c>
      <c r="AD198" s="60">
        <f>+AB198*5</f>
        <v>110</v>
      </c>
      <c r="AG198" s="16" t="s">
        <v>163</v>
      </c>
      <c r="AH198" s="60">
        <f>+AF198*5</f>
        <v>0</v>
      </c>
      <c r="AJ198" s="16"/>
      <c r="AK198" s="16"/>
      <c r="AM198" s="16" t="s">
        <v>163</v>
      </c>
      <c r="AN198" s="60">
        <f>+AL198*5</f>
        <v>0</v>
      </c>
    </row>
    <row r="199" spans="1:40" x14ac:dyDescent="0.25">
      <c r="A199" s="143">
        <v>3</v>
      </c>
      <c r="B199" s="92">
        <v>45207</v>
      </c>
      <c r="C199" s="31" t="s">
        <v>3858</v>
      </c>
      <c r="D199" s="32"/>
      <c r="E199" s="32" t="s">
        <v>52</v>
      </c>
      <c r="F199" s="32" t="s">
        <v>628</v>
      </c>
      <c r="G199" s="39" t="s">
        <v>1528</v>
      </c>
      <c r="H199" s="122">
        <v>500</v>
      </c>
      <c r="I199" s="32">
        <v>279</v>
      </c>
      <c r="J199" s="20">
        <v>10</v>
      </c>
      <c r="K199" s="21"/>
      <c r="L199" s="21">
        <f t="shared" si="31"/>
        <v>289</v>
      </c>
      <c r="M199" s="21">
        <f t="shared" si="32"/>
        <v>211</v>
      </c>
      <c r="N199" s="21"/>
      <c r="O199" s="21">
        <v>279</v>
      </c>
      <c r="P199" s="5"/>
      <c r="Q199" s="21"/>
      <c r="R199" s="16"/>
      <c r="S199" s="21">
        <f t="shared" si="33"/>
        <v>0</v>
      </c>
      <c r="T199" s="21">
        <v>500</v>
      </c>
      <c r="U199" s="78">
        <v>10</v>
      </c>
      <c r="V199" s="140"/>
      <c r="W199" s="147"/>
      <c r="X199" s="23"/>
      <c r="Y199" s="334"/>
      <c r="Z199" s="5"/>
      <c r="AC199" s="16" t="s">
        <v>164</v>
      </c>
      <c r="AD199" s="18">
        <f>+AB199*200</f>
        <v>0</v>
      </c>
      <c r="AG199" s="16" t="s">
        <v>164</v>
      </c>
      <c r="AH199" s="18">
        <f>+AF199*200</f>
        <v>0</v>
      </c>
      <c r="AJ199" s="16"/>
      <c r="AK199" s="16"/>
      <c r="AM199" s="16" t="s">
        <v>164</v>
      </c>
      <c r="AN199" s="18">
        <f>+AL199*200</f>
        <v>0</v>
      </c>
    </row>
    <row r="200" spans="1:40" x14ac:dyDescent="0.25">
      <c r="A200" s="143">
        <v>4</v>
      </c>
      <c r="B200" s="92">
        <v>45207</v>
      </c>
      <c r="C200" s="31" t="s">
        <v>3857</v>
      </c>
      <c r="D200" s="32"/>
      <c r="E200" s="32" t="s">
        <v>52</v>
      </c>
      <c r="F200" s="32" t="s">
        <v>1530</v>
      </c>
      <c r="G200" s="39" t="s">
        <v>1529</v>
      </c>
      <c r="H200" s="122">
        <v>500</v>
      </c>
      <c r="I200" s="32">
        <v>88</v>
      </c>
      <c r="J200" s="20">
        <v>10</v>
      </c>
      <c r="K200" s="21">
        <f t="shared" ref="K200:K215" si="34">U200-J200-O200</f>
        <v>0</v>
      </c>
      <c r="L200" s="21">
        <f t="shared" si="31"/>
        <v>98</v>
      </c>
      <c r="M200" s="21">
        <f t="shared" si="32"/>
        <v>402</v>
      </c>
      <c r="N200" s="21"/>
      <c r="O200" s="21"/>
      <c r="P200" s="5"/>
      <c r="Q200" s="21"/>
      <c r="R200" s="16"/>
      <c r="S200" s="21">
        <f t="shared" si="33"/>
        <v>0</v>
      </c>
      <c r="T200" s="21">
        <v>100</v>
      </c>
      <c r="U200" s="78">
        <v>10</v>
      </c>
      <c r="V200" s="140"/>
      <c r="W200" s="147"/>
      <c r="X200" s="23"/>
      <c r="Y200" s="334"/>
      <c r="Z200" s="5"/>
      <c r="AC200" s="16" t="s">
        <v>165</v>
      </c>
      <c r="AD200" s="18">
        <f>+AB200*100</f>
        <v>0</v>
      </c>
      <c r="AG200" s="16" t="s">
        <v>165</v>
      </c>
      <c r="AH200" s="18">
        <f>+AF200*100</f>
        <v>0</v>
      </c>
      <c r="AJ200" s="16"/>
      <c r="AK200" s="16"/>
      <c r="AM200" s="16" t="s">
        <v>165</v>
      </c>
      <c r="AN200" s="18">
        <f>+AL200*100</f>
        <v>0</v>
      </c>
    </row>
    <row r="201" spans="1:40" x14ac:dyDescent="0.25">
      <c r="A201" s="143">
        <v>5</v>
      </c>
      <c r="B201" s="92">
        <v>45207</v>
      </c>
      <c r="C201" s="31" t="s">
        <v>1912</v>
      </c>
      <c r="D201" s="32"/>
      <c r="E201" s="32" t="s">
        <v>52</v>
      </c>
      <c r="F201" s="32" t="s">
        <v>220</v>
      </c>
      <c r="G201" s="32" t="s">
        <v>529</v>
      </c>
      <c r="H201" s="122">
        <v>150</v>
      </c>
      <c r="I201" s="32">
        <v>132</v>
      </c>
      <c r="J201" s="20">
        <v>10</v>
      </c>
      <c r="K201" s="21">
        <v>8</v>
      </c>
      <c r="L201" s="21">
        <f t="shared" si="31"/>
        <v>142</v>
      </c>
      <c r="M201" s="21"/>
      <c r="N201" s="21"/>
      <c r="O201" s="21"/>
      <c r="P201" s="5"/>
      <c r="Q201" s="16"/>
      <c r="R201" s="16"/>
      <c r="S201" s="21">
        <f t="shared" si="33"/>
        <v>0</v>
      </c>
      <c r="T201" s="21">
        <v>150</v>
      </c>
      <c r="U201" s="78">
        <v>18</v>
      </c>
      <c r="V201" s="140"/>
      <c r="W201" s="147"/>
      <c r="X201" s="23"/>
      <c r="Y201" s="334"/>
      <c r="Z201" s="5"/>
      <c r="AB201">
        <v>1</v>
      </c>
      <c r="AC201" s="16" t="s">
        <v>166</v>
      </c>
      <c r="AD201" s="18">
        <f>+AB201*50</f>
        <v>50</v>
      </c>
      <c r="AG201" s="16" t="s">
        <v>166</v>
      </c>
      <c r="AH201" s="18">
        <f>+AF201*50</f>
        <v>0</v>
      </c>
      <c r="AJ201" s="16"/>
      <c r="AK201" s="16"/>
      <c r="AM201" s="16" t="s">
        <v>166</v>
      </c>
      <c r="AN201" s="18">
        <f>+AL201*50</f>
        <v>0</v>
      </c>
    </row>
    <row r="202" spans="1:40" x14ac:dyDescent="0.25">
      <c r="A202" s="143">
        <v>6</v>
      </c>
      <c r="B202" s="92">
        <v>45207</v>
      </c>
      <c r="C202" s="31" t="s">
        <v>3856</v>
      </c>
      <c r="D202" s="32">
        <v>5572135350</v>
      </c>
      <c r="E202" s="32"/>
      <c r="F202" s="32" t="s">
        <v>1531</v>
      </c>
      <c r="G202" s="39" t="s">
        <v>1532</v>
      </c>
      <c r="H202" s="39"/>
      <c r="I202" s="42">
        <v>92</v>
      </c>
      <c r="J202" s="20">
        <v>10</v>
      </c>
      <c r="K202" s="21">
        <f t="shared" si="34"/>
        <v>-210</v>
      </c>
      <c r="L202" s="21">
        <f t="shared" si="31"/>
        <v>102</v>
      </c>
      <c r="M202" s="21">
        <f t="shared" si="32"/>
        <v>-102</v>
      </c>
      <c r="N202" s="21"/>
      <c r="O202" s="21"/>
      <c r="P202" s="5"/>
      <c r="Q202" s="16">
        <v>200</v>
      </c>
      <c r="R202" s="16"/>
      <c r="S202" s="21">
        <f t="shared" si="33"/>
        <v>200</v>
      </c>
      <c r="T202" s="16"/>
      <c r="U202" s="78">
        <f t="shared" ref="U202:U215" si="35">T202-S202-O202</f>
        <v>-200</v>
      </c>
      <c r="V202" s="140"/>
      <c r="W202" s="147"/>
      <c r="X202" s="23"/>
      <c r="Y202" s="334"/>
      <c r="Z202" s="5"/>
      <c r="AB202">
        <v>2</v>
      </c>
      <c r="AC202" s="16" t="s">
        <v>167</v>
      </c>
      <c r="AD202" s="18">
        <f>+AB202*20</f>
        <v>40</v>
      </c>
      <c r="AG202" s="16" t="s">
        <v>167</v>
      </c>
      <c r="AH202" s="18">
        <f>+AF202*20</f>
        <v>0</v>
      </c>
      <c r="AJ202" s="16"/>
      <c r="AK202" s="16"/>
      <c r="AM202" s="16" t="s">
        <v>167</v>
      </c>
      <c r="AN202" s="18">
        <f>+AL202*20</f>
        <v>0</v>
      </c>
    </row>
    <row r="203" spans="1:40" x14ac:dyDescent="0.25">
      <c r="A203" s="143">
        <v>7</v>
      </c>
      <c r="B203" s="92">
        <v>45207</v>
      </c>
      <c r="C203" s="31" t="s">
        <v>2639</v>
      </c>
      <c r="D203" s="32"/>
      <c r="E203" s="32" t="s">
        <v>52</v>
      </c>
      <c r="F203" s="32" t="s">
        <v>1533</v>
      </c>
      <c r="G203" s="39" t="s">
        <v>1534</v>
      </c>
      <c r="H203" s="122">
        <v>130</v>
      </c>
      <c r="I203" s="42">
        <v>114</v>
      </c>
      <c r="J203" s="20">
        <v>10</v>
      </c>
      <c r="K203" s="21">
        <f t="shared" si="34"/>
        <v>-10</v>
      </c>
      <c r="L203" s="21">
        <f t="shared" si="31"/>
        <v>124</v>
      </c>
      <c r="M203" s="21">
        <f t="shared" si="32"/>
        <v>6</v>
      </c>
      <c r="N203" s="21"/>
      <c r="O203" s="21"/>
      <c r="P203" s="5"/>
      <c r="Q203" s="16"/>
      <c r="R203" s="16"/>
      <c r="S203" s="21">
        <f t="shared" si="33"/>
        <v>0</v>
      </c>
      <c r="T203" s="16"/>
      <c r="U203" s="78">
        <f t="shared" si="35"/>
        <v>0</v>
      </c>
      <c r="V203" s="140"/>
      <c r="W203" s="147"/>
      <c r="X203" s="23"/>
      <c r="Y203" s="334"/>
      <c r="Z203" s="5"/>
      <c r="AC203" s="16" t="s">
        <v>171</v>
      </c>
      <c r="AD203" s="18">
        <f>+AB203*500</f>
        <v>0</v>
      </c>
      <c r="AG203" s="16" t="s">
        <v>171</v>
      </c>
      <c r="AH203" s="18">
        <f>+AF203*500</f>
        <v>0</v>
      </c>
      <c r="AJ203" s="16"/>
      <c r="AK203" s="16"/>
      <c r="AM203" s="16" t="s">
        <v>171</v>
      </c>
      <c r="AN203" s="18">
        <f>+AL203*500</f>
        <v>0</v>
      </c>
    </row>
    <row r="204" spans="1:40" x14ac:dyDescent="0.25">
      <c r="A204" s="143">
        <v>8</v>
      </c>
      <c r="B204" s="92">
        <v>45207</v>
      </c>
      <c r="C204" s="31" t="s">
        <v>933</v>
      </c>
      <c r="D204" s="123"/>
      <c r="E204" s="123" t="s">
        <v>106</v>
      </c>
      <c r="F204" s="123" t="s">
        <v>524</v>
      </c>
      <c r="G204" s="39" t="s">
        <v>1535</v>
      </c>
      <c r="H204" s="122"/>
      <c r="I204" s="32">
        <v>150</v>
      </c>
      <c r="J204" s="20">
        <v>10</v>
      </c>
      <c r="K204" s="21">
        <f t="shared" si="34"/>
        <v>-210</v>
      </c>
      <c r="L204" s="21">
        <f t="shared" si="31"/>
        <v>160</v>
      </c>
      <c r="M204" s="21">
        <f t="shared" si="32"/>
        <v>-160</v>
      </c>
      <c r="N204" s="21"/>
      <c r="O204" s="21"/>
      <c r="P204" s="5"/>
      <c r="Q204" s="16">
        <v>200</v>
      </c>
      <c r="R204" s="16"/>
      <c r="S204" s="21">
        <f t="shared" si="33"/>
        <v>200</v>
      </c>
      <c r="T204" s="16"/>
      <c r="U204" s="78">
        <f t="shared" si="35"/>
        <v>-200</v>
      </c>
      <c r="V204" s="140"/>
      <c r="W204" s="147"/>
      <c r="X204" s="23"/>
      <c r="Y204" s="334"/>
      <c r="Z204" s="5"/>
      <c r="AC204" s="16" t="s">
        <v>168</v>
      </c>
      <c r="AD204" s="18">
        <f>+AB204*1000</f>
        <v>0</v>
      </c>
      <c r="AG204" s="16" t="s">
        <v>168</v>
      </c>
      <c r="AH204" s="18">
        <f>+AF204*1000</f>
        <v>0</v>
      </c>
      <c r="AJ204" s="16"/>
      <c r="AK204" s="16"/>
      <c r="AM204" s="16" t="s">
        <v>168</v>
      </c>
      <c r="AN204" s="18">
        <f>+AL204*1000</f>
        <v>0</v>
      </c>
    </row>
    <row r="205" spans="1:40" x14ac:dyDescent="0.25">
      <c r="A205" s="143">
        <v>9</v>
      </c>
      <c r="B205" s="92">
        <v>45207</v>
      </c>
      <c r="C205" s="31" t="s">
        <v>3100</v>
      </c>
      <c r="D205" s="32"/>
      <c r="E205" s="32"/>
      <c r="F205" s="32" t="s">
        <v>269</v>
      </c>
      <c r="G205" s="39" t="s">
        <v>1536</v>
      </c>
      <c r="H205" s="39">
        <v>50</v>
      </c>
      <c r="I205" s="40"/>
      <c r="J205" s="20">
        <v>10</v>
      </c>
      <c r="K205" s="21">
        <f t="shared" si="34"/>
        <v>-10</v>
      </c>
      <c r="L205" s="21">
        <f t="shared" si="31"/>
        <v>10</v>
      </c>
      <c r="M205" s="21">
        <f t="shared" si="32"/>
        <v>40</v>
      </c>
      <c r="N205" s="21"/>
      <c r="O205" s="21"/>
      <c r="P205" s="5"/>
      <c r="Q205" s="16"/>
      <c r="R205" s="16"/>
      <c r="S205" s="21">
        <f t="shared" si="33"/>
        <v>0</v>
      </c>
      <c r="T205" s="16"/>
      <c r="U205" s="78">
        <f t="shared" si="35"/>
        <v>0</v>
      </c>
      <c r="V205" s="140"/>
      <c r="W205" s="147"/>
      <c r="X205" s="23"/>
      <c r="Y205" s="334"/>
      <c r="Z205" s="5"/>
      <c r="AC205" s="26"/>
      <c r="AD205" s="58"/>
      <c r="AG205" s="26"/>
      <c r="AH205" s="58"/>
      <c r="AJ205" s="16"/>
      <c r="AK205" s="16"/>
      <c r="AM205" s="26"/>
      <c r="AN205" s="58"/>
    </row>
    <row r="206" spans="1:40" x14ac:dyDescent="0.25">
      <c r="A206" s="143">
        <v>10</v>
      </c>
      <c r="B206" s="92">
        <v>45207</v>
      </c>
      <c r="C206" s="31" t="s">
        <v>3855</v>
      </c>
      <c r="D206" s="32"/>
      <c r="E206" s="32"/>
      <c r="F206" s="32" t="s">
        <v>1541</v>
      </c>
      <c r="G206" s="39" t="s">
        <v>1537</v>
      </c>
      <c r="H206" s="122"/>
      <c r="I206" s="42"/>
      <c r="J206" s="20">
        <v>10</v>
      </c>
      <c r="K206" s="21">
        <f t="shared" si="34"/>
        <v>-10</v>
      </c>
      <c r="L206" s="21">
        <f t="shared" si="31"/>
        <v>10</v>
      </c>
      <c r="M206" s="21">
        <f t="shared" si="32"/>
        <v>-10</v>
      </c>
      <c r="N206" s="21"/>
      <c r="O206" s="21"/>
      <c r="P206" s="5"/>
      <c r="Q206" s="16"/>
      <c r="R206" s="16"/>
      <c r="S206" s="21">
        <f t="shared" si="33"/>
        <v>0</v>
      </c>
      <c r="T206" s="16"/>
      <c r="U206" s="78">
        <f t="shared" si="35"/>
        <v>0</v>
      </c>
      <c r="V206" s="140"/>
      <c r="W206" s="147"/>
      <c r="X206" s="23"/>
      <c r="Y206" s="334"/>
      <c r="Z206" s="5"/>
      <c r="AC206" s="16" t="s">
        <v>169</v>
      </c>
      <c r="AD206" s="18">
        <f>SUM(AD196:AD205)</f>
        <v>328</v>
      </c>
      <c r="AG206" s="16" t="s">
        <v>169</v>
      </c>
      <c r="AH206" s="18">
        <f>SUM(AH196:AH205)</f>
        <v>0</v>
      </c>
      <c r="AJ206" s="16"/>
      <c r="AK206" s="16"/>
      <c r="AM206" s="16" t="s">
        <v>169</v>
      </c>
      <c r="AN206" s="18"/>
    </row>
    <row r="207" spans="1:40" x14ac:dyDescent="0.25">
      <c r="A207" s="143">
        <v>11</v>
      </c>
      <c r="B207" s="92">
        <v>45207</v>
      </c>
      <c r="C207" s="31"/>
      <c r="D207" s="124"/>
      <c r="E207" s="123"/>
      <c r="F207" s="123"/>
      <c r="G207" s="39"/>
      <c r="H207" s="122"/>
      <c r="I207" s="42"/>
      <c r="J207" s="20">
        <v>10</v>
      </c>
      <c r="K207" s="21">
        <f t="shared" si="34"/>
        <v>-10</v>
      </c>
      <c r="L207" s="21">
        <f t="shared" si="31"/>
        <v>10</v>
      </c>
      <c r="M207" s="21">
        <f t="shared" si="32"/>
        <v>-10</v>
      </c>
      <c r="N207" s="21"/>
      <c r="O207" s="21"/>
      <c r="P207" s="5"/>
      <c r="Q207" s="16"/>
      <c r="R207" s="16"/>
      <c r="S207" s="21">
        <f t="shared" si="33"/>
        <v>0</v>
      </c>
      <c r="T207" s="16"/>
      <c r="U207" s="78">
        <f t="shared" si="35"/>
        <v>0</v>
      </c>
      <c r="V207" s="140"/>
      <c r="W207" s="147"/>
      <c r="X207" s="23"/>
      <c r="Y207" s="334"/>
      <c r="Z207" s="5"/>
      <c r="AJ207" s="16"/>
      <c r="AK207" s="16"/>
      <c r="AM207" s="16"/>
      <c r="AN207" s="16"/>
    </row>
    <row r="208" spans="1:40" x14ac:dyDescent="0.25">
      <c r="A208" s="143">
        <v>12</v>
      </c>
      <c r="B208" s="92">
        <v>45207</v>
      </c>
      <c r="C208" s="32"/>
      <c r="D208" s="32"/>
      <c r="E208" s="124"/>
      <c r="F208" s="123"/>
      <c r="G208" s="39"/>
      <c r="H208" s="39"/>
      <c r="I208" s="42"/>
      <c r="J208" s="20">
        <v>10</v>
      </c>
      <c r="K208" s="21">
        <f t="shared" si="34"/>
        <v>-10</v>
      </c>
      <c r="L208" s="21">
        <f t="shared" si="31"/>
        <v>10</v>
      </c>
      <c r="M208" s="21">
        <f t="shared" si="32"/>
        <v>-10</v>
      </c>
      <c r="N208" s="21"/>
      <c r="O208" s="21"/>
      <c r="P208" s="5"/>
      <c r="Q208" s="45"/>
      <c r="R208" s="44"/>
      <c r="S208" s="21">
        <f t="shared" si="33"/>
        <v>0</v>
      </c>
      <c r="T208" s="45"/>
      <c r="U208" s="78">
        <f t="shared" si="35"/>
        <v>0</v>
      </c>
      <c r="V208" s="140"/>
      <c r="W208" s="147"/>
      <c r="X208" s="23"/>
      <c r="Y208" s="334"/>
      <c r="Z208" s="5"/>
      <c r="AC208" t="s">
        <v>1538</v>
      </c>
      <c r="AJ208" s="63" t="s">
        <v>169</v>
      </c>
      <c r="AK208" s="63" t="s">
        <v>1540</v>
      </c>
      <c r="AM208" s="63" t="s">
        <v>169</v>
      </c>
      <c r="AN208" s="85">
        <f>+SUM(AM196:AM207)-SUM(AN197:AN207)</f>
        <v>0</v>
      </c>
    </row>
    <row r="209" spans="1:38" x14ac:dyDescent="0.25">
      <c r="A209" s="143">
        <v>13</v>
      </c>
      <c r="B209" s="92">
        <v>45207</v>
      </c>
      <c r="C209" s="31"/>
      <c r="D209" s="32"/>
      <c r="E209" s="32"/>
      <c r="F209" s="32"/>
      <c r="G209" s="39"/>
      <c r="H209" s="39"/>
      <c r="I209" s="42"/>
      <c r="J209" s="108">
        <v>10</v>
      </c>
      <c r="K209" s="21">
        <f t="shared" si="34"/>
        <v>-10</v>
      </c>
      <c r="L209" s="21">
        <f t="shared" si="31"/>
        <v>10</v>
      </c>
      <c r="M209" s="21">
        <f t="shared" si="32"/>
        <v>-10</v>
      </c>
      <c r="N209" s="21"/>
      <c r="O209" s="21"/>
      <c r="P209" s="5"/>
      <c r="Q209" s="43"/>
      <c r="R209" s="32"/>
      <c r="S209" s="21">
        <f t="shared" si="33"/>
        <v>0</v>
      </c>
      <c r="T209" s="43"/>
      <c r="U209" s="78">
        <f t="shared" si="35"/>
        <v>0</v>
      </c>
      <c r="V209" s="140"/>
      <c r="W209" s="147"/>
      <c r="X209" s="23"/>
      <c r="Y209" s="334"/>
      <c r="Z209" s="5"/>
      <c r="AC209" t="s">
        <v>1539</v>
      </c>
      <c r="AH209" s="83"/>
    </row>
    <row r="210" spans="1:38" x14ac:dyDescent="0.25">
      <c r="A210" s="143">
        <v>14</v>
      </c>
      <c r="B210" s="92">
        <v>45207</v>
      </c>
      <c r="C210" s="31"/>
      <c r="D210" s="32"/>
      <c r="E210" s="32"/>
      <c r="F210" s="32"/>
      <c r="G210" s="39"/>
      <c r="H210" s="39"/>
      <c r="I210" s="42"/>
      <c r="J210" s="108">
        <v>10</v>
      </c>
      <c r="K210" s="21">
        <f t="shared" si="34"/>
        <v>-10</v>
      </c>
      <c r="L210" s="21">
        <f t="shared" si="31"/>
        <v>10</v>
      </c>
      <c r="M210" s="21">
        <f t="shared" si="32"/>
        <v>-10</v>
      </c>
      <c r="N210" s="21"/>
      <c r="O210" s="21"/>
      <c r="P210" s="5"/>
      <c r="Q210" s="43"/>
      <c r="R210" s="43"/>
      <c r="S210" s="21">
        <f t="shared" si="33"/>
        <v>0</v>
      </c>
      <c r="T210" s="43"/>
      <c r="U210" s="78">
        <f t="shared" si="35"/>
        <v>0</v>
      </c>
      <c r="V210" s="140"/>
      <c r="W210" s="147"/>
      <c r="X210" s="23"/>
      <c r="Y210" s="334"/>
      <c r="Z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x14ac:dyDescent="0.25">
      <c r="A211" s="143">
        <v>15</v>
      </c>
      <c r="B211" s="92">
        <v>45207</v>
      </c>
      <c r="C211" s="127"/>
      <c r="D211" s="32"/>
      <c r="E211" s="32"/>
      <c r="F211" s="128"/>
      <c r="G211" s="129"/>
      <c r="H211" s="39"/>
      <c r="I211" s="42"/>
      <c r="J211" s="108">
        <v>10</v>
      </c>
      <c r="K211" s="21">
        <f t="shared" si="34"/>
        <v>-10</v>
      </c>
      <c r="L211" s="21">
        <f t="shared" si="31"/>
        <v>10</v>
      </c>
      <c r="M211" s="21">
        <f t="shared" si="32"/>
        <v>-10</v>
      </c>
      <c r="N211" s="21"/>
      <c r="O211" s="21"/>
      <c r="P211" s="5"/>
      <c r="Q211" s="43"/>
      <c r="R211" s="43"/>
      <c r="S211" s="21">
        <f t="shared" si="33"/>
        <v>0</v>
      </c>
      <c r="T211" s="43"/>
      <c r="U211" s="78">
        <f t="shared" si="35"/>
        <v>0</v>
      </c>
      <c r="V211" s="140"/>
      <c r="W211" s="147"/>
      <c r="X211" s="23"/>
      <c r="Y211" s="334"/>
      <c r="Z211" s="5"/>
      <c r="AC211" s="5"/>
      <c r="AD211" s="134" t="s">
        <v>20</v>
      </c>
      <c r="AE211" s="338"/>
      <c r="AF211" s="341" t="s">
        <v>686</v>
      </c>
      <c r="AG211" s="134" t="s">
        <v>20</v>
      </c>
      <c r="AH211" s="338"/>
      <c r="AI211" s="341" t="s">
        <v>687</v>
      </c>
      <c r="AJ211" s="134" t="s">
        <v>20</v>
      </c>
      <c r="AK211" s="338"/>
      <c r="AL211" s="5"/>
    </row>
    <row r="212" spans="1:38" x14ac:dyDescent="0.25">
      <c r="A212" s="143">
        <v>16</v>
      </c>
      <c r="B212" s="92">
        <v>45207</v>
      </c>
      <c r="C212" s="31"/>
      <c r="D212" s="32"/>
      <c r="E212" s="32"/>
      <c r="F212" s="32"/>
      <c r="G212" s="39"/>
      <c r="H212" s="39"/>
      <c r="I212" s="42"/>
      <c r="J212" s="43">
        <v>10</v>
      </c>
      <c r="K212" s="21">
        <f t="shared" si="34"/>
        <v>-10</v>
      </c>
      <c r="L212" s="21">
        <f t="shared" si="31"/>
        <v>10</v>
      </c>
      <c r="M212" s="21">
        <f t="shared" si="32"/>
        <v>-10</v>
      </c>
      <c r="N212" s="21"/>
      <c r="O212" s="21"/>
      <c r="P212" s="5"/>
      <c r="Q212" s="43"/>
      <c r="R212" s="32"/>
      <c r="S212" s="21">
        <f t="shared" si="33"/>
        <v>0</v>
      </c>
      <c r="T212" s="131"/>
      <c r="U212" s="78">
        <f t="shared" si="35"/>
        <v>0</v>
      </c>
      <c r="V212" s="140"/>
      <c r="W212" s="147"/>
      <c r="X212" s="23"/>
      <c r="Y212" s="334"/>
      <c r="Z212" s="5"/>
      <c r="AC212" s="5" t="s">
        <v>685</v>
      </c>
      <c r="AD212" s="115" t="s">
        <v>684</v>
      </c>
      <c r="AE212" s="339"/>
      <c r="AF212" s="341"/>
      <c r="AG212" s="115" t="s">
        <v>684</v>
      </c>
      <c r="AH212" s="339"/>
      <c r="AI212" s="341"/>
      <c r="AJ212" s="115" t="s">
        <v>684</v>
      </c>
      <c r="AK212" s="339"/>
      <c r="AL212" s="5"/>
    </row>
    <row r="213" spans="1:38" x14ac:dyDescent="0.25">
      <c r="A213" s="143">
        <v>17</v>
      </c>
      <c r="B213" s="92">
        <v>45207</v>
      </c>
      <c r="C213" s="31"/>
      <c r="D213" s="32"/>
      <c r="E213" s="32"/>
      <c r="F213" s="32"/>
      <c r="G213" s="39"/>
      <c r="H213" s="39"/>
      <c r="I213" s="42"/>
      <c r="J213" s="43">
        <v>10</v>
      </c>
      <c r="K213" s="21">
        <f t="shared" si="34"/>
        <v>-10</v>
      </c>
      <c r="L213" s="21">
        <f t="shared" si="31"/>
        <v>10</v>
      </c>
      <c r="M213" s="21">
        <f t="shared" si="32"/>
        <v>-10</v>
      </c>
      <c r="N213" s="21"/>
      <c r="O213" s="21"/>
      <c r="P213" s="5"/>
      <c r="Q213" s="43"/>
      <c r="R213" s="32"/>
      <c r="S213" s="21">
        <f t="shared" si="33"/>
        <v>0</v>
      </c>
      <c r="T213" s="132"/>
      <c r="U213" s="78">
        <f t="shared" si="35"/>
        <v>0</v>
      </c>
      <c r="V213" s="140"/>
      <c r="W213" s="147"/>
      <c r="X213" s="23"/>
      <c r="Y213" s="340"/>
      <c r="Z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x14ac:dyDescent="0.25">
      <c r="A214" s="143">
        <v>18</v>
      </c>
      <c r="B214" s="92">
        <v>45207</v>
      </c>
      <c r="C214" s="31"/>
      <c r="D214" s="32"/>
      <c r="E214" s="32"/>
      <c r="F214" s="32"/>
      <c r="G214" s="39"/>
      <c r="H214" s="39"/>
      <c r="I214" s="42"/>
      <c r="J214" s="43">
        <v>10</v>
      </c>
      <c r="K214" s="21">
        <f t="shared" si="34"/>
        <v>-10</v>
      </c>
      <c r="L214" s="21">
        <f t="shared" si="31"/>
        <v>10</v>
      </c>
      <c r="M214" s="21">
        <f t="shared" si="32"/>
        <v>-10</v>
      </c>
      <c r="N214" s="21"/>
      <c r="O214" s="21"/>
      <c r="P214" s="5"/>
      <c r="Q214" s="135"/>
      <c r="R214" s="104"/>
      <c r="S214" s="21">
        <f t="shared" si="33"/>
        <v>0</v>
      </c>
      <c r="T214" s="131"/>
      <c r="U214" s="78">
        <f t="shared" si="35"/>
        <v>0</v>
      </c>
      <c r="V214" s="140"/>
      <c r="W214" s="138"/>
      <c r="X214" s="32"/>
      <c r="Z214" s="5"/>
    </row>
    <row r="215" spans="1:38" x14ac:dyDescent="0.25">
      <c r="A215" s="143">
        <v>19</v>
      </c>
      <c r="B215" s="92">
        <v>45207</v>
      </c>
      <c r="C215" s="31"/>
      <c r="D215" s="32"/>
      <c r="E215" s="32"/>
      <c r="F215" s="32"/>
      <c r="G215" s="39"/>
      <c r="H215" s="39"/>
      <c r="I215" s="42"/>
      <c r="J215" s="43">
        <v>10</v>
      </c>
      <c r="K215" s="21">
        <f t="shared" si="34"/>
        <v>-10</v>
      </c>
      <c r="L215" s="21">
        <f t="shared" si="31"/>
        <v>10</v>
      </c>
      <c r="M215" s="21">
        <f t="shared" si="32"/>
        <v>-10</v>
      </c>
      <c r="N215" s="21"/>
      <c r="O215" s="21"/>
      <c r="P215" s="5"/>
      <c r="Q215" s="32"/>
      <c r="R215" s="32"/>
      <c r="S215" s="21">
        <f t="shared" si="33"/>
        <v>0</v>
      </c>
      <c r="T215" s="32"/>
      <c r="U215" s="78">
        <f t="shared" si="35"/>
        <v>0</v>
      </c>
      <c r="V215" s="140"/>
      <c r="W215" s="138"/>
      <c r="X215" s="32"/>
      <c r="Z215" s="5"/>
    </row>
    <row r="216" spans="1:38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141"/>
      <c r="W216" s="5"/>
      <c r="X216" s="5"/>
      <c r="Y216" s="5"/>
      <c r="Z216" s="5"/>
    </row>
  </sheetData>
  <mergeCells count="77">
    <mergeCell ref="AK211:AK212"/>
    <mergeCell ref="Y197:Y213"/>
    <mergeCell ref="AE211:AE212"/>
    <mergeCell ref="AF211:AF212"/>
    <mergeCell ref="AH211:AH212"/>
    <mergeCell ref="AI211:AI212"/>
    <mergeCell ref="S195:T195"/>
    <mergeCell ref="AC195:AD195"/>
    <mergeCell ref="AG195:AH195"/>
    <mergeCell ref="AJ195:AK195"/>
    <mergeCell ref="AM195:AN195"/>
    <mergeCell ref="AK156:AK157"/>
    <mergeCell ref="Y142:Y158"/>
    <mergeCell ref="AE156:AE157"/>
    <mergeCell ref="AF156:AF157"/>
    <mergeCell ref="AH156:AH157"/>
    <mergeCell ref="AI156:AI157"/>
    <mergeCell ref="S140:T140"/>
    <mergeCell ref="AC140:AD140"/>
    <mergeCell ref="AG140:AH140"/>
    <mergeCell ref="AJ140:AK140"/>
    <mergeCell ref="AM140:AN140"/>
    <mergeCell ref="AK102:AK103"/>
    <mergeCell ref="Y88:Y104"/>
    <mergeCell ref="AE102:AE103"/>
    <mergeCell ref="AF102:AF103"/>
    <mergeCell ref="AH102:AH103"/>
    <mergeCell ref="AI102:AI103"/>
    <mergeCell ref="S86:T86"/>
    <mergeCell ref="AC86:AD86"/>
    <mergeCell ref="AG86:AH86"/>
    <mergeCell ref="AJ86:AK86"/>
    <mergeCell ref="AM86:AN86"/>
    <mergeCell ref="AM31:AN31"/>
    <mergeCell ref="AK47:AK48"/>
    <mergeCell ref="Y33:Y49"/>
    <mergeCell ref="AE47:AE48"/>
    <mergeCell ref="AF47:AF48"/>
    <mergeCell ref="AH47:AH48"/>
    <mergeCell ref="AI47:AI48"/>
    <mergeCell ref="AM2:AN2"/>
    <mergeCell ref="Y4:Y20"/>
    <mergeCell ref="AE18:AE19"/>
    <mergeCell ref="AF18:AF19"/>
    <mergeCell ref="AH18:AH19"/>
    <mergeCell ref="AI18:AI19"/>
    <mergeCell ref="AK18:AK19"/>
    <mergeCell ref="S2:T2"/>
    <mergeCell ref="AC2:AD2"/>
    <mergeCell ref="AG2:AH2"/>
    <mergeCell ref="AJ2:AK2"/>
    <mergeCell ref="S57:T57"/>
    <mergeCell ref="AC57:AD57"/>
    <mergeCell ref="AG57:AH57"/>
    <mergeCell ref="AJ57:AK57"/>
    <mergeCell ref="S31:T31"/>
    <mergeCell ref="AC31:AD31"/>
    <mergeCell ref="AG31:AH31"/>
    <mergeCell ref="AJ31:AK31"/>
    <mergeCell ref="AM57:AN57"/>
    <mergeCell ref="Y59:Y75"/>
    <mergeCell ref="AE73:AE74"/>
    <mergeCell ref="AF73:AF74"/>
    <mergeCell ref="AH73:AH74"/>
    <mergeCell ref="AI73:AI74"/>
    <mergeCell ref="AK73:AK74"/>
    <mergeCell ref="S113:T113"/>
    <mergeCell ref="AC113:AD113"/>
    <mergeCell ref="AG113:AH113"/>
    <mergeCell ref="AJ113:AK113"/>
    <mergeCell ref="AM113:AN113"/>
    <mergeCell ref="AK129:AK130"/>
    <mergeCell ref="Y115:Y131"/>
    <mergeCell ref="AE129:AE130"/>
    <mergeCell ref="AF129:AF130"/>
    <mergeCell ref="AH129:AH130"/>
    <mergeCell ref="AI129:AI1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6"/>
  <sheetViews>
    <sheetView topLeftCell="A136" zoomScale="110" zoomScaleNormal="110" workbookViewId="0">
      <selection activeCell="D156" sqref="D156"/>
    </sheetView>
  </sheetViews>
  <sheetFormatPr baseColWidth="10" defaultRowHeight="15" x14ac:dyDescent="0.25"/>
  <cols>
    <col min="1" max="1" width="20.140625" customWidth="1"/>
  </cols>
  <sheetData>
    <row r="1" spans="1:21" x14ac:dyDescent="0.25">
      <c r="A1" s="355" t="s">
        <v>2296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</row>
    <row r="2" spans="1:21" ht="15.75" thickBot="1" x14ac:dyDescent="0.3">
      <c r="A2" s="356"/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357"/>
      <c r="U2" s="357"/>
    </row>
    <row r="3" spans="1:21" ht="15.75" thickBot="1" x14ac:dyDescent="0.3">
      <c r="A3" s="233" t="s">
        <v>4</v>
      </c>
      <c r="B3" s="230" t="s">
        <v>2452</v>
      </c>
      <c r="C3" s="229" t="s">
        <v>2453</v>
      </c>
      <c r="D3" s="228" t="s">
        <v>2454</v>
      </c>
      <c r="E3" s="228" t="s">
        <v>2455</v>
      </c>
      <c r="F3" s="229" t="s">
        <v>2456</v>
      </c>
      <c r="G3" s="228" t="s">
        <v>2457</v>
      </c>
      <c r="H3" s="228" t="s">
        <v>2458</v>
      </c>
      <c r="I3" s="229" t="s">
        <v>2459</v>
      </c>
      <c r="J3" s="228" t="s">
        <v>2460</v>
      </c>
      <c r="K3" s="228" t="s">
        <v>2461</v>
      </c>
      <c r="L3" s="229" t="s">
        <v>2462</v>
      </c>
      <c r="M3" s="228" t="s">
        <v>2463</v>
      </c>
      <c r="N3" s="229" t="s">
        <v>3783</v>
      </c>
      <c r="O3" s="229" t="s">
        <v>3784</v>
      </c>
      <c r="P3" s="301" t="s">
        <v>3785</v>
      </c>
      <c r="Q3" s="304" t="s">
        <v>3786</v>
      </c>
      <c r="R3" s="305" t="s">
        <v>3787</v>
      </c>
      <c r="S3" s="306" t="s">
        <v>3788</v>
      </c>
      <c r="T3" s="306" t="s">
        <v>3789</v>
      </c>
      <c r="U3" s="307" t="s">
        <v>3790</v>
      </c>
    </row>
    <row r="4" spans="1:21" x14ac:dyDescent="0.25">
      <c r="A4" s="237" t="s">
        <v>2481</v>
      </c>
      <c r="B4" s="238">
        <f t="shared" ref="B4:M4" si="0">+SUM(B6:B1048576)</f>
        <v>60</v>
      </c>
      <c r="C4" s="238">
        <f t="shared" si="0"/>
        <v>74</v>
      </c>
      <c r="D4" s="238">
        <f t="shared" si="0"/>
        <v>70</v>
      </c>
      <c r="E4" s="238">
        <f t="shared" si="0"/>
        <v>117</v>
      </c>
      <c r="F4" s="238">
        <f t="shared" si="0"/>
        <v>87</v>
      </c>
      <c r="G4" s="238">
        <f t="shared" si="0"/>
        <v>104</v>
      </c>
      <c r="H4" s="238">
        <f t="shared" si="0"/>
        <v>38</v>
      </c>
      <c r="I4" s="238">
        <f t="shared" si="0"/>
        <v>0</v>
      </c>
      <c r="J4" s="238">
        <f t="shared" si="0"/>
        <v>0</v>
      </c>
      <c r="K4" s="238">
        <f t="shared" si="0"/>
        <v>0</v>
      </c>
      <c r="L4" s="238">
        <f t="shared" si="0"/>
        <v>0</v>
      </c>
      <c r="M4" s="238">
        <f t="shared" si="0"/>
        <v>0</v>
      </c>
      <c r="N4" s="239"/>
      <c r="O4" s="239"/>
      <c r="P4" s="302"/>
      <c r="Q4" s="275"/>
      <c r="R4" s="275"/>
      <c r="S4" s="275"/>
      <c r="T4" s="275"/>
      <c r="U4" s="275"/>
    </row>
    <row r="5" spans="1:21" ht="15.75" thickBot="1" x14ac:dyDescent="0.3">
      <c r="A5" s="240" t="s">
        <v>2480</v>
      </c>
      <c r="B5" s="241"/>
      <c r="C5" s="242"/>
      <c r="D5" s="242"/>
      <c r="E5" s="242">
        <f>+SUM(B4:E4)</f>
        <v>321</v>
      </c>
      <c r="F5" s="242"/>
      <c r="G5" s="242"/>
      <c r="H5" s="242"/>
      <c r="I5" s="242">
        <f>+SUM(F4:I4)</f>
        <v>229</v>
      </c>
      <c r="J5" s="242"/>
      <c r="K5" s="242"/>
      <c r="L5" s="242"/>
      <c r="M5" s="242">
        <f>+SUM(J4:M4)</f>
        <v>0</v>
      </c>
      <c r="N5" s="242"/>
      <c r="O5" s="242"/>
      <c r="P5" s="303"/>
      <c r="Q5" s="308"/>
      <c r="R5" s="275"/>
      <c r="S5" s="275"/>
      <c r="T5" s="275"/>
      <c r="U5" s="275"/>
    </row>
    <row r="6" spans="1:21" x14ac:dyDescent="0.25">
      <c r="A6" s="235" t="s">
        <v>921</v>
      </c>
      <c r="B6" s="236">
        <f>+COUNTIF('Semana 1 del 21 al 27 de agost'!$C$2:$C$72,'Clientes y sus pedidos'!A6)</f>
        <v>2</v>
      </c>
      <c r="C6" s="236">
        <f>+COUNTIF('Semana 2 del 28 al 3 de sep'!$C$1:$C$119,"Braulio")</f>
        <v>4</v>
      </c>
      <c r="D6" s="227">
        <f>+COUNTIF('Semana 3 del 4 - 10 sep'!$C$1:$C$124,'Clientes y sus pedidos'!A6)</f>
        <v>0</v>
      </c>
      <c r="E6" s="253">
        <f>+COUNTIF('Semana 4 del 11 al 18'!$C$3:$C$205,'Clientes y sus pedidos'!A6)</f>
        <v>2</v>
      </c>
      <c r="F6" s="253">
        <f>+COUNTIF('Semana 5 del 18 al 24'!$C$1:$C$224,'Clientes y sus pedidos'!A6)</f>
        <v>3</v>
      </c>
      <c r="G6" s="253">
        <f>+COUNTIF('Semana 6 del 25 al 1 '!$C$4:$C$198,'Clientes y sus pedidos'!A6)</f>
        <v>8</v>
      </c>
      <c r="H6" s="253">
        <f>+COUNTIF('Semana 7 del 02 al 9  '!C1:C215,'Clientes y sus pedidos'!A6)</f>
        <v>1</v>
      </c>
      <c r="I6" s="227"/>
      <c r="J6" s="227"/>
      <c r="K6" s="227"/>
      <c r="L6" s="227"/>
      <c r="M6" s="227"/>
      <c r="N6" s="44"/>
      <c r="O6" s="44"/>
      <c r="P6" s="44"/>
      <c r="Q6" s="32"/>
      <c r="R6" s="32"/>
      <c r="S6" s="32"/>
      <c r="T6" s="32"/>
      <c r="U6" s="32"/>
    </row>
    <row r="7" spans="1:21" x14ac:dyDescent="0.25">
      <c r="A7" s="234" t="s">
        <v>1610</v>
      </c>
      <c r="B7" s="232">
        <f>+COUNTIF('Semana 1 del 21 al 27 de agost'!$C$2:$C$72,'Clientes y sus pedidos'!A7)</f>
        <v>0</v>
      </c>
      <c r="C7" s="246">
        <f>+COUNTIF('Semana 2 del 28 al 3 de sep'!$C$1:$C$119,'Clientes y sus pedidos'!A7)</f>
        <v>0</v>
      </c>
      <c r="D7" s="227">
        <f>+COUNTIF('Semana 3 del 4 - 10 sep'!$C$1:$C$124,'Clientes y sus pedidos'!A7)</f>
        <v>0</v>
      </c>
      <c r="E7" s="227">
        <f>+COUNTIF('Semana 4 del 11 al 18'!$C$3:$C$205,'Clientes y sus pedidos'!A7)</f>
        <v>0</v>
      </c>
      <c r="F7" s="227">
        <f>+COUNTIF('Semana 5 del 18 al 24'!$C$1:$C$224,'Clientes y sus pedidos'!A7)</f>
        <v>0</v>
      </c>
      <c r="G7" s="227">
        <f>+COUNTIF('Semana 6 del 25 al 1 '!$C$4:$C$198,'Clientes y sus pedidos'!A7)</f>
        <v>0</v>
      </c>
      <c r="H7" s="227">
        <f>+COUNTIF('Semana 7 del 02 al 9  '!C2:C216,'Clientes y sus pedidos'!A7)</f>
        <v>0</v>
      </c>
      <c r="I7" s="143"/>
      <c r="J7" s="354"/>
      <c r="K7" s="354"/>
      <c r="L7" s="143"/>
      <c r="M7" s="143"/>
      <c r="N7" s="32"/>
      <c r="O7" s="32"/>
      <c r="P7" s="32"/>
      <c r="Q7" s="32"/>
      <c r="R7" s="32"/>
      <c r="S7" s="32"/>
      <c r="T7" s="32"/>
      <c r="U7" s="32"/>
    </row>
    <row r="8" spans="1:21" x14ac:dyDescent="0.25">
      <c r="A8" s="234" t="s">
        <v>3379</v>
      </c>
      <c r="B8" s="232"/>
      <c r="C8" s="246"/>
      <c r="D8" s="227"/>
      <c r="E8" s="253">
        <f>+COUNTIF('Semana 4 del 11 al 18'!$C$3:$C$205,'Clientes y sus pedidos'!A8)</f>
        <v>1</v>
      </c>
      <c r="F8" s="227">
        <f>+COUNTIF('Semana 5 del 18 al 24'!$C$1:$C$224,'Clientes y sus pedidos'!A8)</f>
        <v>0</v>
      </c>
      <c r="G8" s="253">
        <f>+COUNTIF('Semana 6 del 25 al 1 '!$C$4:$C$198,'Clientes y sus pedidos'!A8)</f>
        <v>3</v>
      </c>
      <c r="H8" s="227">
        <f>+COUNTIF('Semana 7 del 02 al 9  '!C3:C217,'Clientes y sus pedidos'!A8)</f>
        <v>0</v>
      </c>
      <c r="I8" s="143"/>
      <c r="J8" s="274"/>
      <c r="K8" s="274"/>
      <c r="L8" s="143"/>
      <c r="M8" s="143"/>
      <c r="N8" s="32"/>
      <c r="O8" s="32"/>
      <c r="P8" s="32"/>
      <c r="Q8" s="32"/>
      <c r="R8" s="32"/>
      <c r="S8" s="32"/>
      <c r="T8" s="32"/>
      <c r="U8" s="32"/>
    </row>
    <row r="9" spans="1:21" x14ac:dyDescent="0.25">
      <c r="A9" s="234" t="s">
        <v>1268</v>
      </c>
      <c r="B9" s="232">
        <f>+COUNTIF('Semana 1 del 21 al 27 de agost'!$C$2:$C$72,'Clientes y sus pedidos'!A9)</f>
        <v>0</v>
      </c>
      <c r="C9" s="246">
        <f>+COUNTIF('Semana 2 del 28 al 3 de sep'!$C$1:$C$119,'Clientes y sus pedidos'!A9)</f>
        <v>0</v>
      </c>
      <c r="D9" s="227">
        <f>+COUNTIF('Semana 3 del 4 - 10 sep'!$C$1:$C$124,'Clientes y sus pedidos'!A9)</f>
        <v>0</v>
      </c>
      <c r="E9" s="227">
        <f>+COUNTIF('Semana 4 del 11 al 18'!$C$3:$C$205,'Clientes y sus pedidos'!A9)</f>
        <v>0</v>
      </c>
      <c r="F9" s="227">
        <f>+COUNTIF('Semana 5 del 18 al 24'!$C$1:$C$224,'Clientes y sus pedidos'!A9)</f>
        <v>0</v>
      </c>
      <c r="G9" s="253">
        <f>+COUNTIF('Semana 6 del 25 al 1 '!$C$4:$C$198,'Clientes y sus pedidos'!A9)</f>
        <v>1</v>
      </c>
      <c r="H9" s="253">
        <f>+COUNTIF('Semana 7 del 02 al 9  '!C4:C218,'Clientes y sus pedidos'!A9)</f>
        <v>1</v>
      </c>
      <c r="I9" s="143"/>
      <c r="J9" s="143"/>
      <c r="K9" s="143"/>
      <c r="L9" s="143"/>
      <c r="M9" s="143"/>
      <c r="N9" s="32"/>
      <c r="O9" s="32"/>
      <c r="P9" s="32"/>
      <c r="Q9" s="32"/>
      <c r="R9" s="32"/>
      <c r="S9" s="32"/>
      <c r="T9" s="32"/>
      <c r="U9" s="32"/>
    </row>
    <row r="10" spans="1:21" x14ac:dyDescent="0.25">
      <c r="A10" s="234" t="s">
        <v>481</v>
      </c>
      <c r="B10" s="232">
        <f>+COUNTIF('Semana 1 del 21 al 27 de agost'!$C$2:$C$72,'Clientes y sus pedidos'!A10)</f>
        <v>0</v>
      </c>
      <c r="C10" s="236">
        <f>+COUNTIF('Semana 2 del 28 al 3 de sep'!$C$1:$C$119,'Clientes y sus pedidos'!A10)</f>
        <v>1</v>
      </c>
      <c r="D10" s="227">
        <f>+COUNTIF('Semana 3 del 4 - 10 sep'!$C$1:$C$124,'Clientes y sus pedidos'!A10)</f>
        <v>0</v>
      </c>
      <c r="E10" s="227">
        <f>+COUNTIF('Semana 4 del 11 al 18'!$C$3:$C$205,'Clientes y sus pedidos'!A10)</f>
        <v>0</v>
      </c>
      <c r="F10" s="227">
        <f>+COUNTIF('Semana 5 del 18 al 24'!$C$1:$C$224,'Clientes y sus pedidos'!A10)</f>
        <v>0</v>
      </c>
      <c r="G10" s="227">
        <f>+COUNTIF('Semana 6 del 25 al 1 '!$C$4:$C$198,'Clientes y sus pedidos'!A10)</f>
        <v>0</v>
      </c>
      <c r="H10" s="227">
        <f>+COUNTIF('Semana 7 del 02 al 9  '!C5:C219,'Clientes y sus pedidos'!A10)</f>
        <v>0</v>
      </c>
      <c r="I10" s="143"/>
      <c r="J10" s="143"/>
      <c r="K10" s="143"/>
      <c r="L10" s="143"/>
      <c r="M10" s="143"/>
      <c r="N10" s="32"/>
      <c r="O10" s="32"/>
      <c r="P10" s="32"/>
      <c r="Q10" s="32"/>
      <c r="R10" s="32"/>
      <c r="S10" s="32"/>
      <c r="T10" s="32"/>
      <c r="U10" s="32"/>
    </row>
    <row r="11" spans="1:21" x14ac:dyDescent="0.25">
      <c r="A11" s="234" t="s">
        <v>2479</v>
      </c>
      <c r="B11" s="231">
        <f>+COUNTIF('Semana 1 del 21 al 27 de agost'!$C$2:$C$72,'Clientes y sus pedidos'!A11)</f>
        <v>1</v>
      </c>
      <c r="C11" s="246">
        <f>+COUNTIF('Semana 2 del 28 al 3 de sep'!$C$1:$C$119,'Clientes y sus pedidos'!A11)</f>
        <v>0</v>
      </c>
      <c r="D11" s="227">
        <f>+COUNTIF('Semana 3 del 4 - 10 sep'!$C$1:$C$124,'Clientes y sus pedidos'!A11)</f>
        <v>0</v>
      </c>
      <c r="E11" s="227">
        <f>+COUNTIF('Semana 4 del 11 al 18'!$C$3:$C$205,'Clientes y sus pedidos'!A11)</f>
        <v>0</v>
      </c>
      <c r="F11" s="227">
        <f>+COUNTIF('Semana 5 del 18 al 24'!$C$1:$C$224,'Clientes y sus pedidos'!A11)</f>
        <v>0</v>
      </c>
      <c r="G11" s="227">
        <f>+COUNTIF('Semana 6 del 25 al 1 '!$C$4:$C$198,'Clientes y sus pedidos'!A11)</f>
        <v>0</v>
      </c>
      <c r="H11" s="227">
        <f>+COUNTIF('Semana 7 del 02 al 9  '!C6:C220,'Clientes y sus pedidos'!A11)</f>
        <v>0</v>
      </c>
      <c r="I11" s="143"/>
      <c r="J11" s="143"/>
      <c r="K11" s="143"/>
      <c r="L11" s="143"/>
      <c r="M11" s="143"/>
      <c r="N11" s="32"/>
      <c r="O11" s="32"/>
      <c r="P11" s="32"/>
      <c r="Q11" s="32"/>
      <c r="R11" s="32"/>
      <c r="S11" s="32"/>
      <c r="T11" s="32"/>
      <c r="U11" s="32"/>
    </row>
    <row r="12" spans="1:21" x14ac:dyDescent="0.25">
      <c r="A12" s="234" t="s">
        <v>3111</v>
      </c>
      <c r="B12" s="231"/>
      <c r="C12" s="246"/>
      <c r="D12" s="227"/>
      <c r="E12" s="253">
        <f>+COUNTIF('Semana 4 del 11 al 18'!$C$3:$C$205,'Clientes y sus pedidos'!A12)</f>
        <v>1</v>
      </c>
      <c r="F12" s="227">
        <f>+COUNTIF('Semana 5 del 18 al 24'!$C$1:$C$224,'Clientes y sus pedidos'!A12)</f>
        <v>0</v>
      </c>
      <c r="G12" s="227">
        <f>+COUNTIF('Semana 6 del 25 al 1 '!$C$4:$C$198,'Clientes y sus pedidos'!A12)</f>
        <v>0</v>
      </c>
      <c r="H12" s="227">
        <f>+COUNTIF('Semana 7 del 02 al 9  '!C7:C221,'Clientes y sus pedidos'!A12)</f>
        <v>0</v>
      </c>
      <c r="I12" s="143"/>
      <c r="J12" s="143"/>
      <c r="K12" s="143"/>
      <c r="L12" s="143"/>
      <c r="M12" s="143"/>
      <c r="N12" s="32"/>
      <c r="O12" s="32"/>
      <c r="P12" s="32"/>
      <c r="Q12" s="32"/>
      <c r="R12" s="32"/>
      <c r="S12" s="32"/>
      <c r="T12" s="32"/>
      <c r="U12" s="32"/>
    </row>
    <row r="13" spans="1:21" x14ac:dyDescent="0.25">
      <c r="A13" s="234" t="s">
        <v>788</v>
      </c>
      <c r="B13" s="232">
        <f>+COUNTIF('Semana 1 del 21 al 27 de agost'!$C$2:$C$72,'Clientes y sus pedidos'!A13)</f>
        <v>0</v>
      </c>
      <c r="C13" s="246">
        <f>+COUNTIF('Semana 2 del 28 al 3 de sep'!$C$1:$C$119,'Clientes y sus pedidos'!A13)</f>
        <v>0</v>
      </c>
      <c r="D13" s="227">
        <f>+COUNTIF('Semana 3 del 4 - 10 sep'!$C$1:$C$124,'Clientes y sus pedidos'!A13)</f>
        <v>0</v>
      </c>
      <c r="E13" s="227">
        <f>+COUNTIF('Semana 4 del 11 al 18'!$C$3:$C$205,'Clientes y sus pedidos'!A13)</f>
        <v>0</v>
      </c>
      <c r="F13" s="227">
        <f>+COUNTIF('Semana 5 del 18 al 24'!$C$1:$C$224,'Clientes y sus pedidos'!A13)</f>
        <v>0</v>
      </c>
      <c r="G13" s="227">
        <f>+COUNTIF('Semana 6 del 25 al 1 '!$C$4:$C$198,'Clientes y sus pedidos'!A13)</f>
        <v>0</v>
      </c>
      <c r="H13" s="227">
        <f>+COUNTIF('Semana 7 del 02 al 9  '!C8:C222,'Clientes y sus pedidos'!A13)</f>
        <v>0</v>
      </c>
      <c r="I13" s="143"/>
      <c r="J13" s="143"/>
      <c r="K13" s="143"/>
      <c r="L13" s="143"/>
      <c r="M13" s="143"/>
      <c r="N13" s="32"/>
      <c r="O13" s="32"/>
      <c r="P13" s="32"/>
      <c r="Q13" s="32"/>
      <c r="R13" s="32"/>
      <c r="S13" s="32"/>
      <c r="T13" s="32"/>
      <c r="U13" s="32"/>
    </row>
    <row r="14" spans="1:21" x14ac:dyDescent="0.25">
      <c r="A14" s="234" t="s">
        <v>141</v>
      </c>
      <c r="B14" s="232"/>
      <c r="C14" s="246"/>
      <c r="D14" s="253">
        <f>+COUNTIF('Semana 3 del 4 - 10 sep'!$C$1:$C$124,'Clientes y sus pedidos'!A14)</f>
        <v>1</v>
      </c>
      <c r="E14" s="227">
        <f>+COUNTIF('Semana 4 del 11 al 18'!$C$3:$C$205,'Clientes y sus pedidos'!A14)</f>
        <v>0</v>
      </c>
      <c r="F14" s="253">
        <f>+COUNTIF('Semana 5 del 18 al 24'!$C$1:$C$224,'Clientes y sus pedidos'!A14)</f>
        <v>1</v>
      </c>
      <c r="G14" s="253">
        <f>+COUNTIF('Semana 6 del 25 al 1 '!$C$4:$C$198,'Clientes y sus pedidos'!A14)</f>
        <v>1</v>
      </c>
      <c r="H14" s="227">
        <f>+COUNTIF('Semana 7 del 02 al 9  '!C9:C223,'Clientes y sus pedidos'!A14)</f>
        <v>0</v>
      </c>
      <c r="I14" s="143"/>
      <c r="J14" s="143"/>
      <c r="K14" s="143"/>
      <c r="L14" s="143"/>
      <c r="M14" s="143"/>
      <c r="N14" s="32"/>
      <c r="O14" s="32"/>
      <c r="P14" s="32"/>
      <c r="Q14" s="32"/>
      <c r="R14" s="32"/>
      <c r="S14" s="32"/>
      <c r="T14" s="32"/>
      <c r="U14" s="32"/>
    </row>
    <row r="15" spans="1:21" x14ac:dyDescent="0.25">
      <c r="A15" s="234" t="s">
        <v>2472</v>
      </c>
      <c r="B15" s="231">
        <f>+COUNTIF('Semana 1 del 21 al 27 de agost'!$C$2:$C$72,"America-Bolaños")</f>
        <v>2</v>
      </c>
      <c r="C15" s="236">
        <f>+COUNTIF('Semana 2 del 28 al 3 de sep'!$C$1:$C$119,'Clientes y sus pedidos'!A15)</f>
        <v>3</v>
      </c>
      <c r="D15" s="227">
        <f>+COUNTIF('Semana 3 del 4 - 10 sep'!$C$1:$C$124,'Clientes y sus pedidos'!A15)</f>
        <v>0</v>
      </c>
      <c r="E15" s="253">
        <f>+COUNTIF('Semana 4 del 11 al 18'!$C$3:$C$205,'Clientes y sus pedidos'!A15)</f>
        <v>1</v>
      </c>
      <c r="F15" s="253">
        <f>+COUNTIF('Semana 5 del 18 al 24'!$C$1:$C$224,'Clientes y sus pedidos'!A15)</f>
        <v>2</v>
      </c>
      <c r="G15" s="253">
        <f>+COUNTIF('Semana 6 del 25 al 1 '!$C$4:$C$198,'Clientes y sus pedidos'!A15)</f>
        <v>1</v>
      </c>
      <c r="H15" s="227">
        <f>+COUNTIF('Semana 7 del 02 al 9  '!C10:C224,'Clientes y sus pedidos'!A15)</f>
        <v>0</v>
      </c>
      <c r="I15" s="143"/>
      <c r="J15" s="143"/>
      <c r="K15" s="143"/>
      <c r="L15" s="143"/>
      <c r="M15" s="143"/>
      <c r="N15" s="32"/>
      <c r="O15" s="32"/>
      <c r="P15" s="32"/>
      <c r="Q15" s="32"/>
      <c r="R15" s="32"/>
      <c r="S15" s="32"/>
      <c r="T15" s="32"/>
      <c r="U15" s="32"/>
    </row>
    <row r="16" spans="1:21" x14ac:dyDescent="0.25">
      <c r="A16" s="234" t="s">
        <v>2529</v>
      </c>
      <c r="B16" s="232">
        <f>+COUNTIF('Semana 1 del 21 al 27 de agost'!$C$2:$C$72,A16)</f>
        <v>0</v>
      </c>
      <c r="C16" s="236">
        <f>+COUNTIF('Semana 2 del 28 al 3 de sep'!$C$1:$C$119,A16)</f>
        <v>1</v>
      </c>
      <c r="D16" s="227">
        <f>+COUNTIF('Semana 3 del 4 - 10 sep'!$C$1:$C$124,'Clientes y sus pedidos'!A16)</f>
        <v>0</v>
      </c>
      <c r="E16" s="227">
        <f>+COUNTIF('Semana 4 del 11 al 18'!$C$3:$C$205,'Clientes y sus pedidos'!A16)</f>
        <v>0</v>
      </c>
      <c r="F16" s="227">
        <f>+COUNTIF('Semana 5 del 18 al 24'!$C$1:$C$224,'Clientes y sus pedidos'!A16)</f>
        <v>0</v>
      </c>
      <c r="G16" s="227">
        <f>+COUNTIF('Semana 6 del 25 al 1 '!$C$4:$C$198,'Clientes y sus pedidos'!A16)</f>
        <v>0</v>
      </c>
      <c r="H16" s="227">
        <f>+COUNTIF('Semana 7 del 02 al 9  '!C11:C225,'Clientes y sus pedidos'!A16)</f>
        <v>0</v>
      </c>
      <c r="I16" s="143"/>
      <c r="J16" s="143"/>
      <c r="K16" s="143"/>
      <c r="L16" s="143"/>
      <c r="M16" s="143"/>
      <c r="N16" s="32"/>
      <c r="O16" s="32"/>
      <c r="P16" s="32"/>
      <c r="Q16" s="32"/>
      <c r="R16" s="32"/>
      <c r="S16" s="32"/>
      <c r="T16" s="32"/>
      <c r="U16" s="32"/>
    </row>
    <row r="17" spans="1:21" x14ac:dyDescent="0.25">
      <c r="A17" s="234" t="s">
        <v>2466</v>
      </c>
      <c r="B17" s="231">
        <f>+COUNTIF('Semana 1 del 21 al 27 de agost'!$C$2:$C$72,"Jessica-Portales")</f>
        <v>3</v>
      </c>
      <c r="C17" s="236">
        <f>+COUNTIF('Semana 2 del 28 al 3 de sep'!$C$1:$C$119,"Jessica-Portales")</f>
        <v>1</v>
      </c>
      <c r="D17" s="253">
        <f>+COUNTIF('Semana 2 del 28 al 3 de sep'!$C$1:$C$119,"Jessica-Portales")</f>
        <v>1</v>
      </c>
      <c r="E17" s="227">
        <f>+COUNTIF('Semana 4 del 11 al 18'!$C$3:$C$205,'Clientes y sus pedidos'!A17)</f>
        <v>0</v>
      </c>
      <c r="F17" s="253">
        <f>+COUNTIF('Semana 5 del 18 al 24'!$C$1:$C$224,'Clientes y sus pedidos'!A17)</f>
        <v>1</v>
      </c>
      <c r="G17" s="253">
        <f>+COUNTIF('Semana 6 del 25 al 1 '!$C$4:$C$198,'Clientes y sus pedidos'!A17)</f>
        <v>1</v>
      </c>
      <c r="H17" s="227">
        <f>+COUNTIF('Semana 7 del 02 al 9  '!C12:C226,'Clientes y sus pedidos'!A17)</f>
        <v>0</v>
      </c>
      <c r="I17" s="143"/>
      <c r="J17" s="143"/>
      <c r="K17" s="143"/>
      <c r="L17" s="143"/>
      <c r="M17" s="143"/>
      <c r="N17" s="32"/>
      <c r="O17" s="32"/>
      <c r="P17" s="32"/>
      <c r="Q17" s="32"/>
      <c r="R17" s="32"/>
      <c r="S17" s="32"/>
      <c r="T17" s="32"/>
      <c r="U17" s="32"/>
    </row>
    <row r="18" spans="1:21" x14ac:dyDescent="0.25">
      <c r="A18" s="234" t="s">
        <v>2490</v>
      </c>
      <c r="B18" s="232"/>
      <c r="C18" s="236">
        <f>+COUNTIF('Semana 2 del 28 al 3 de sep'!$C$1:$C$119,'Clientes y sus pedidos'!A18)</f>
        <v>1</v>
      </c>
      <c r="D18" s="227">
        <f>+COUNTIF('Semana 3 del 4 - 10 sep'!$C$1:$C$124,'Clientes y sus pedidos'!A18)</f>
        <v>0</v>
      </c>
      <c r="E18" s="227">
        <f>+COUNTIF('Semana 4 del 11 al 18'!$C$3:$C$205,'Clientes y sus pedidos'!A18)</f>
        <v>0</v>
      </c>
      <c r="F18" s="227">
        <f>+COUNTIF('Semana 5 del 18 al 24'!$C$1:$C$224,'Clientes y sus pedidos'!A18)</f>
        <v>0</v>
      </c>
      <c r="G18" s="227">
        <f>+COUNTIF('Semana 6 del 25 al 1 '!$C$4:$C$198,'Clientes y sus pedidos'!A18)</f>
        <v>0</v>
      </c>
      <c r="H18" s="227">
        <f>+COUNTIF('Semana 7 del 02 al 9  '!C13:C227,'Clientes y sus pedidos'!A18)</f>
        <v>0</v>
      </c>
      <c r="I18" s="143"/>
      <c r="J18" s="143"/>
      <c r="K18" s="143"/>
      <c r="L18" s="143"/>
      <c r="M18" s="143"/>
      <c r="N18" s="32"/>
      <c r="O18" s="32"/>
      <c r="P18" s="32"/>
      <c r="Q18" s="32"/>
      <c r="R18" s="32"/>
      <c r="S18" s="32"/>
      <c r="T18" s="32"/>
      <c r="U18" s="32"/>
    </row>
    <row r="19" spans="1:21" x14ac:dyDescent="0.25">
      <c r="A19" s="234" t="s">
        <v>2297</v>
      </c>
      <c r="B19" s="232">
        <f>+COUNTIF('Semana 1 del 21 al 27 de agost'!$C$2:$C$72,'Clientes y sus pedidos'!A19)</f>
        <v>0</v>
      </c>
      <c r="C19" s="246">
        <f>+COUNTIF('Semana 2 del 28 al 3 de sep'!$C$1:$C$119,'Clientes y sus pedidos'!A19)</f>
        <v>0</v>
      </c>
      <c r="D19" s="227">
        <f>+COUNTIF('Semana 3 del 4 - 10 sep'!$C$1:$C$124,'Clientes y sus pedidos'!A19)</f>
        <v>0</v>
      </c>
      <c r="E19" s="227">
        <f>+COUNTIF('Semana 4 del 11 al 18'!$C$3:$C$205,'Clientes y sus pedidos'!A19)</f>
        <v>0</v>
      </c>
      <c r="F19" s="227">
        <f>+COUNTIF('Semana 5 del 18 al 24'!$C$1:$C$224,'Clientes y sus pedidos'!A19)</f>
        <v>0</v>
      </c>
      <c r="G19" s="227">
        <f>+COUNTIF('Semana 6 del 25 al 1 '!$C$4:$C$198,'Clientes y sus pedidos'!A19)</f>
        <v>0</v>
      </c>
      <c r="H19" s="227">
        <f>+COUNTIF('Semana 7 del 02 al 9  '!C14:C228,'Clientes y sus pedidos'!A19)</f>
        <v>0</v>
      </c>
      <c r="I19" s="143"/>
      <c r="J19" s="143"/>
      <c r="K19" s="143"/>
      <c r="L19" s="143"/>
      <c r="M19" s="143"/>
      <c r="N19" s="32"/>
      <c r="O19" s="32"/>
      <c r="P19" s="32"/>
      <c r="Q19" s="32"/>
      <c r="R19" s="32"/>
      <c r="S19" s="32"/>
      <c r="T19" s="32"/>
      <c r="U19" s="32"/>
    </row>
    <row r="20" spans="1:21" x14ac:dyDescent="0.25">
      <c r="A20" s="234" t="s">
        <v>252</v>
      </c>
      <c r="B20" s="231">
        <f>+COUNTIF('Semana 1 del 21 al 27 de agost'!$C$2:$C$72,'Clientes y sus pedidos'!A20)</f>
        <v>2</v>
      </c>
      <c r="C20" s="246">
        <f>+COUNTIF('Semana 2 del 28 al 3 de sep'!$C$1:$C$119,'Clientes y sus pedidos'!A20)</f>
        <v>0</v>
      </c>
      <c r="D20" s="227">
        <f>+COUNTIF('Semana 3 del 4 - 10 sep'!$C$1:$C$124,'Clientes y sus pedidos'!A20)</f>
        <v>0</v>
      </c>
      <c r="E20" s="227">
        <f>+COUNTIF('Semana 4 del 11 al 18'!$C$3:$C$205,'Clientes y sus pedidos'!A20)</f>
        <v>0</v>
      </c>
      <c r="F20" s="227">
        <f>+COUNTIF('Semana 5 del 18 al 24'!$C$1:$C$224,'Clientes y sus pedidos'!A20)</f>
        <v>0</v>
      </c>
      <c r="G20" s="227">
        <f>+COUNTIF('Semana 6 del 25 al 1 '!$C$4:$C$198,'Clientes y sus pedidos'!A20)</f>
        <v>0</v>
      </c>
      <c r="H20" s="227">
        <f>+COUNTIF('Semana 7 del 02 al 9  '!C15:C229,'Clientes y sus pedidos'!A20)</f>
        <v>0</v>
      </c>
      <c r="I20" s="143"/>
      <c r="J20" s="143"/>
      <c r="K20" s="143"/>
      <c r="L20" s="143"/>
      <c r="M20" s="143"/>
      <c r="N20" s="32"/>
      <c r="O20" s="32"/>
      <c r="P20" s="32"/>
      <c r="Q20" s="32"/>
      <c r="R20" s="32"/>
      <c r="S20" s="32"/>
      <c r="T20" s="32"/>
      <c r="U20" s="32"/>
    </row>
    <row r="21" spans="1:21" x14ac:dyDescent="0.25">
      <c r="A21" s="234" t="s">
        <v>368</v>
      </c>
      <c r="B21" s="231">
        <f>+COUNTIF('Semana 1 del 21 al 27 de agost'!$C$2:$C$72,'Clientes y sus pedidos'!A21)</f>
        <v>1</v>
      </c>
      <c r="C21" s="246">
        <f>+COUNTIF('Semana 2 del 28 al 3 de sep'!$C$1:$C$119,'Clientes y sus pedidos'!A21)</f>
        <v>0</v>
      </c>
      <c r="D21" s="227">
        <f>+COUNTIF('Semana 3 del 4 - 10 sep'!$C$1:$C$124,'Clientes y sus pedidos'!A21)</f>
        <v>0</v>
      </c>
      <c r="E21" s="253">
        <f>+COUNTIF('Semana 4 del 11 al 18'!$C$3:$C$205,'Clientes y sus pedidos'!A21)</f>
        <v>2</v>
      </c>
      <c r="F21" s="227">
        <f>+COUNTIF('Semana 5 del 18 al 24'!$C$1:$C$224,'Clientes y sus pedidos'!A21)</f>
        <v>0</v>
      </c>
      <c r="G21" s="253">
        <f>+COUNTIF('Semana 6 del 25 al 1 '!$C$4:$C$198,'Clientes y sus pedidos'!A21)</f>
        <v>1</v>
      </c>
      <c r="H21" s="227">
        <f>+COUNTIF('Semana 7 del 02 al 9  '!C16:C230,'Clientes y sus pedidos'!A21)</f>
        <v>0</v>
      </c>
      <c r="I21" s="143"/>
      <c r="J21" s="143"/>
      <c r="K21" s="143"/>
      <c r="L21" s="143"/>
      <c r="M21" s="143"/>
      <c r="N21" s="32"/>
      <c r="O21" s="32"/>
      <c r="P21" s="32"/>
      <c r="Q21" s="32"/>
      <c r="R21" s="32"/>
      <c r="S21" s="32"/>
      <c r="T21" s="32"/>
      <c r="U21" s="32"/>
    </row>
    <row r="22" spans="1:21" x14ac:dyDescent="0.25">
      <c r="A22" s="234" t="s">
        <v>3810</v>
      </c>
      <c r="B22" s="232">
        <f>+COUNTIF('Semana 1 del 21 al 27 de agost'!$C$2:$C$72,'Clientes y sus pedidos'!A22)</f>
        <v>0</v>
      </c>
      <c r="C22" s="246">
        <f>+COUNTIF('Semana 2 del 28 al 3 de sep'!$C$1:$C$119,'Clientes y sus pedidos'!A22)</f>
        <v>0</v>
      </c>
      <c r="D22" s="227">
        <f>+COUNTIF('Semana 3 del 4 - 10 sep'!$C$1:$C$124,'Clientes y sus pedidos'!A22)</f>
        <v>0</v>
      </c>
      <c r="E22" s="227">
        <f>+COUNTIF('Semana 4 del 11 al 18'!$C$3:$C$205,'Clientes y sus pedidos'!A22)</f>
        <v>0</v>
      </c>
      <c r="F22" s="227">
        <f>+COUNTIF('Semana 5 del 18 al 24'!$C$1:$C$224,'Clientes y sus pedidos'!A22)</f>
        <v>0</v>
      </c>
      <c r="G22" s="253">
        <f>+COUNTIF('Semana 6 del 25 al 1 '!$C$4:$C$198,'Clientes y sus pedidos'!A22)</f>
        <v>1</v>
      </c>
      <c r="H22" s="227">
        <f>+COUNTIF('Semana 7 del 02 al 9  '!C17:C231,'Clientes y sus pedidos'!A22)</f>
        <v>0</v>
      </c>
      <c r="I22" s="143"/>
      <c r="J22" s="143"/>
      <c r="K22" s="143"/>
      <c r="L22" s="143"/>
      <c r="M22" s="143"/>
      <c r="N22" s="32"/>
      <c r="O22" s="32"/>
      <c r="P22" s="32"/>
      <c r="Q22" s="32"/>
      <c r="R22" s="32"/>
      <c r="S22" s="32"/>
      <c r="T22" s="32"/>
      <c r="U22" s="32"/>
    </row>
    <row r="23" spans="1:21" x14ac:dyDescent="0.25">
      <c r="A23" s="234" t="s">
        <v>2478</v>
      </c>
      <c r="B23" s="231">
        <f>+COUNTIF('Semana 1 del 21 al 27 de agost'!$C$2:$C$72,"Xtrem")</f>
        <v>2</v>
      </c>
      <c r="C23" s="246">
        <f>+COUNTIF('Semana 2 del 28 al 3 de sep'!$C$1:$C$119,'Clientes y sus pedidos'!A23)</f>
        <v>0</v>
      </c>
      <c r="D23" s="227">
        <f>+COUNTIF('Semana 3 del 4 - 10 sep'!$C$1:$C$124,'Clientes y sus pedidos'!A23)</f>
        <v>0</v>
      </c>
      <c r="E23" s="253">
        <f>+COUNTIF('Semana 4 del 11 al 18'!$C$3:$C$205,'Clientes y sus pedidos'!A23)</f>
        <v>1</v>
      </c>
      <c r="F23" s="253">
        <f>+COUNTIF('Semana 5 del 18 al 24'!$C$1:$C$224,'Clientes y sus pedidos'!A23)</f>
        <v>1</v>
      </c>
      <c r="G23" s="253">
        <f>+COUNTIF('Semana 6 del 25 al 1 '!$C$4:$C$198,'Clientes y sus pedidos'!A23)</f>
        <v>1</v>
      </c>
      <c r="H23" s="227">
        <f>+COUNTIF('Semana 7 del 02 al 9  '!C18:C232,'Clientes y sus pedidos'!A23)</f>
        <v>0</v>
      </c>
      <c r="I23" s="143"/>
      <c r="J23" s="143"/>
      <c r="K23" s="143"/>
      <c r="L23" s="143"/>
      <c r="M23" s="143"/>
      <c r="N23" s="32"/>
      <c r="O23" s="32"/>
      <c r="P23" s="32"/>
      <c r="Q23" s="32"/>
      <c r="R23" s="32"/>
      <c r="S23" s="32"/>
      <c r="T23" s="32"/>
      <c r="U23" s="32"/>
    </row>
    <row r="24" spans="1:21" x14ac:dyDescent="0.25">
      <c r="A24" s="234" t="s">
        <v>2493</v>
      </c>
      <c r="B24" s="232">
        <v>0</v>
      </c>
      <c r="C24" s="236">
        <f>+COUNTIF('Semana 2 del 28 al 3 de sep'!$C$1:$C$119,'Clientes y sus pedidos'!A24)</f>
        <v>1</v>
      </c>
      <c r="D24" s="227">
        <f>+COUNTIF('Semana 3 del 4 - 10 sep'!$C$1:$C$124,'Clientes y sus pedidos'!A24)</f>
        <v>0</v>
      </c>
      <c r="E24" s="227">
        <f>+COUNTIF('Semana 4 del 11 al 18'!$C$3:$C$205,'Clientes y sus pedidos'!A24)</f>
        <v>0</v>
      </c>
      <c r="F24" s="227">
        <f>+COUNTIF('Semana 5 del 18 al 24'!$C$1:$C$224,'Clientes y sus pedidos'!A24)</f>
        <v>0</v>
      </c>
      <c r="G24" s="227">
        <f>+COUNTIF('Semana 6 del 25 al 1 '!$C$4:$C$198,'Clientes y sus pedidos'!A24)</f>
        <v>0</v>
      </c>
      <c r="H24" s="227">
        <f>+COUNTIF('Semana 7 del 02 al 9  '!C19:C233,'Clientes y sus pedidos'!A24)</f>
        <v>0</v>
      </c>
      <c r="I24" s="143"/>
      <c r="J24" s="143"/>
      <c r="K24" s="143"/>
      <c r="L24" s="143"/>
      <c r="M24" s="143"/>
      <c r="N24" s="32"/>
      <c r="O24" s="32"/>
      <c r="P24" s="32"/>
      <c r="Q24" s="32"/>
      <c r="R24" s="32"/>
      <c r="S24" s="32"/>
      <c r="T24" s="32"/>
      <c r="U24" s="32"/>
    </row>
    <row r="25" spans="1:21" x14ac:dyDescent="0.25">
      <c r="A25" s="234" t="s">
        <v>2492</v>
      </c>
      <c r="B25" s="232"/>
      <c r="C25" s="236">
        <f>+COUNTIF('Semana 2 del 28 al 3 de sep'!$C$1:$C$119,'Clientes y sus pedidos'!A25)</f>
        <v>1</v>
      </c>
      <c r="D25" s="227">
        <f>+COUNTIF('Semana 3 del 4 - 10 sep'!$C$1:$C$124,'Clientes y sus pedidos'!A25)</f>
        <v>1</v>
      </c>
      <c r="E25" s="227">
        <f>+COUNTIF('Semana 4 del 11 al 18'!$C$3:$C$205,'Clientes y sus pedidos'!A25)</f>
        <v>0</v>
      </c>
      <c r="F25" s="227">
        <f>+COUNTIF('Semana 5 del 18 al 24'!$C$1:$C$224,'Clientes y sus pedidos'!A25)</f>
        <v>0</v>
      </c>
      <c r="G25" s="227">
        <f>+COUNTIF('Semana 6 del 25 al 1 '!$C$4:$C$198,'Clientes y sus pedidos'!A25)</f>
        <v>0</v>
      </c>
      <c r="H25" s="227">
        <f>+COUNTIF('Semana 7 del 02 al 9  '!C20:C234,'Clientes y sus pedidos'!A25)</f>
        <v>0</v>
      </c>
      <c r="I25" s="143"/>
      <c r="J25" s="143"/>
      <c r="K25" s="143"/>
      <c r="L25" s="143"/>
      <c r="M25" s="143"/>
      <c r="N25" s="32"/>
      <c r="O25" s="32"/>
      <c r="P25" s="32"/>
      <c r="Q25" s="32"/>
      <c r="R25" s="32"/>
      <c r="S25" s="32"/>
      <c r="T25" s="32"/>
      <c r="U25" s="32"/>
    </row>
    <row r="26" spans="1:21" x14ac:dyDescent="0.25">
      <c r="A26" s="234" t="s">
        <v>2267</v>
      </c>
      <c r="B26" s="232">
        <f>+COUNTIF('Semana 1 del 21 al 27 de agost'!$C$2:$C$72,'Clientes y sus pedidos'!A26)</f>
        <v>0</v>
      </c>
      <c r="C26" s="246">
        <f>+COUNTIF('Semana 2 del 28 al 3 de sep'!$C$1:$C$119,'Clientes y sus pedidos'!A26)</f>
        <v>0</v>
      </c>
      <c r="D26" s="227">
        <f>+COUNTIF('Semana 3 del 4 - 10 sep'!$C$1:$C$124,'Clientes y sus pedidos'!A26)</f>
        <v>0</v>
      </c>
      <c r="E26" s="227">
        <f>+COUNTIF('Semana 4 del 11 al 18'!$C$3:$C$205,'Clientes y sus pedidos'!A26)</f>
        <v>0</v>
      </c>
      <c r="F26" s="227">
        <f>+COUNTIF('Semana 5 del 18 al 24'!$C$1:$C$224,'Clientes y sus pedidos'!A26)</f>
        <v>0</v>
      </c>
      <c r="G26" s="227">
        <f>+COUNTIF('Semana 6 del 25 al 1 '!$C$4:$C$198,'Clientes y sus pedidos'!A26)</f>
        <v>0</v>
      </c>
      <c r="H26" s="227">
        <f>+COUNTIF('Semana 7 del 02 al 9  '!C21:C235,'Clientes y sus pedidos'!A26)</f>
        <v>0</v>
      </c>
      <c r="I26" s="143"/>
      <c r="J26" s="143"/>
      <c r="K26" s="143"/>
      <c r="L26" s="143"/>
      <c r="M26" s="143"/>
      <c r="N26" s="32"/>
      <c r="O26" s="32"/>
      <c r="P26" s="32"/>
      <c r="Q26" s="32"/>
      <c r="R26" s="32"/>
      <c r="S26" s="32"/>
      <c r="T26" s="32"/>
      <c r="U26" s="32"/>
    </row>
    <row r="27" spans="1:21" x14ac:dyDescent="0.25">
      <c r="A27" s="234" t="s">
        <v>3099</v>
      </c>
      <c r="B27" s="232"/>
      <c r="C27" s="246"/>
      <c r="D27" s="227"/>
      <c r="E27" s="253">
        <f>+COUNTIF('Semana 4 del 11 al 18'!$C$3:$C$205,'Clientes y sus pedidos'!A27)</f>
        <v>1</v>
      </c>
      <c r="F27" s="227">
        <f>+COUNTIF('Semana 5 del 18 al 24'!$C$1:$C$224,'Clientes y sus pedidos'!A27)</f>
        <v>0</v>
      </c>
      <c r="G27" s="227">
        <f>+COUNTIF('Semana 6 del 25 al 1 '!$C$4:$C$198,'Clientes y sus pedidos'!A27)</f>
        <v>0</v>
      </c>
      <c r="H27" s="227">
        <f>+COUNTIF('Semana 7 del 02 al 9  '!C22:C236,'Clientes y sus pedidos'!A27)</f>
        <v>0</v>
      </c>
      <c r="I27" s="143"/>
      <c r="J27" s="143"/>
      <c r="K27" s="143"/>
      <c r="L27" s="143"/>
      <c r="M27" s="143"/>
      <c r="N27" s="32"/>
      <c r="O27" s="32"/>
      <c r="P27" s="32"/>
      <c r="Q27" s="32"/>
      <c r="R27" s="32"/>
      <c r="S27" s="32"/>
      <c r="T27" s="32"/>
      <c r="U27" s="32"/>
    </row>
    <row r="28" spans="1:21" x14ac:dyDescent="0.25">
      <c r="A28" s="234" t="s">
        <v>910</v>
      </c>
      <c r="B28" s="232">
        <f>+COUNTIF('Semana 1 del 21 al 27 de agost'!$C$2:$C$72,'Clientes y sus pedidos'!A28)</f>
        <v>0</v>
      </c>
      <c r="C28" s="246">
        <f>+COUNTIF('Semana 2 del 28 al 3 de sep'!$C$1:$C$119,'Clientes y sus pedidos'!A28)</f>
        <v>0</v>
      </c>
      <c r="D28" s="227">
        <f>+COUNTIF('Semana 3 del 4 - 10 sep'!$C$1:$C$124,'Clientes y sus pedidos'!A28)</f>
        <v>0</v>
      </c>
      <c r="E28" s="253">
        <f>+COUNTIF('Semana 4 del 11 al 18'!$C$3:$C$205,'Clientes y sus pedidos'!A28)</f>
        <v>1</v>
      </c>
      <c r="F28" s="227">
        <f>+COUNTIF('Semana 5 del 18 al 24'!$C$1:$C$224,'Clientes y sus pedidos'!A28)</f>
        <v>0</v>
      </c>
      <c r="G28" s="253">
        <f>+COUNTIF('Semana 6 del 25 al 1 '!$C$4:$C$198,'Clientes y sus pedidos'!A28)</f>
        <v>1</v>
      </c>
      <c r="H28" s="227">
        <f>+COUNTIF('Semana 7 del 02 al 9  '!C23:C237,'Clientes y sus pedidos'!A28)</f>
        <v>0</v>
      </c>
      <c r="I28" s="143"/>
      <c r="J28" s="143"/>
      <c r="K28" s="143"/>
      <c r="L28" s="143"/>
      <c r="M28" s="143"/>
      <c r="N28" s="32"/>
      <c r="O28" s="32"/>
      <c r="P28" s="32"/>
      <c r="Q28" s="32"/>
      <c r="R28" s="32"/>
      <c r="S28" s="32"/>
      <c r="T28" s="32"/>
      <c r="U28" s="32"/>
    </row>
    <row r="29" spans="1:21" x14ac:dyDescent="0.25">
      <c r="A29" s="234" t="s">
        <v>2298</v>
      </c>
      <c r="B29" s="232">
        <f>+COUNTIF('Semana 1 del 21 al 27 de agost'!$C$2:$C$72,'Clientes y sus pedidos'!A29)</f>
        <v>0</v>
      </c>
      <c r="C29" s="246">
        <f>+COUNTIF('Semana 2 del 28 al 3 de sep'!$C$1:$C$119,'Clientes y sus pedidos'!A29)</f>
        <v>0</v>
      </c>
      <c r="D29" s="227">
        <f>+COUNTIF('Semana 3 del 4 - 10 sep'!$C$1:$C$124,'Clientes y sus pedidos'!A29)</f>
        <v>0</v>
      </c>
      <c r="E29" s="227">
        <f>+COUNTIF('Semana 4 del 11 al 18'!$C$3:$C$205,'Clientes y sus pedidos'!A29)</f>
        <v>0</v>
      </c>
      <c r="F29" s="227">
        <f>+COUNTIF('Semana 5 del 18 al 24'!$C$1:$C$224,'Clientes y sus pedidos'!A29)</f>
        <v>0</v>
      </c>
      <c r="G29" s="227">
        <f>+COUNTIF('Semana 6 del 25 al 1 '!$C$4:$C$198,'Clientes y sus pedidos'!A29)</f>
        <v>0</v>
      </c>
      <c r="H29" s="227">
        <f>+COUNTIF('Semana 7 del 02 al 9  '!C24:C238,'Clientes y sus pedidos'!A29)</f>
        <v>0</v>
      </c>
      <c r="I29" s="143"/>
      <c r="J29" s="143"/>
      <c r="K29" s="143"/>
      <c r="L29" s="143"/>
      <c r="M29" s="143"/>
      <c r="N29" s="32"/>
      <c r="O29" s="32"/>
      <c r="P29" s="32"/>
      <c r="Q29" s="32"/>
      <c r="R29" s="32"/>
      <c r="S29" s="32"/>
      <c r="T29" s="32"/>
      <c r="U29" s="32"/>
    </row>
    <row r="30" spans="1:21" x14ac:dyDescent="0.25">
      <c r="A30" s="234" t="s">
        <v>2467</v>
      </c>
      <c r="B30" s="231">
        <f>+COUNTIF('Semana 1 del 21 al 27 de agost'!$C$2:$C$72,"Alejandra-Portales7")</f>
        <v>3</v>
      </c>
      <c r="C30" s="246">
        <f>+COUNTIF('Semana 2 del 28 al 3 de sep'!$C$1:$C$119,'Clientes y sus pedidos'!A30)</f>
        <v>0</v>
      </c>
      <c r="D30" s="227">
        <f>+COUNTIF('Semana 3 del 4 - 10 sep'!$C$1:$C$124,'Clientes y sus pedidos'!A30)</f>
        <v>0</v>
      </c>
      <c r="E30" s="253">
        <f>+COUNTIF('Semana 4 del 11 al 18'!$C$3:$C$205,'Clientes y sus pedidos'!A30)</f>
        <v>2</v>
      </c>
      <c r="F30" s="227">
        <f>+COUNTIF('Semana 5 del 18 al 24'!$C$1:$C$224,'Clientes y sus pedidos'!A30)</f>
        <v>0</v>
      </c>
      <c r="G30" s="253">
        <f>+COUNTIF('Semana 6 del 25 al 1 '!$C$4:$C$198,'Clientes y sus pedidos'!A30)</f>
        <v>2</v>
      </c>
      <c r="H30" s="227">
        <f>+COUNTIF('Semana 7 del 02 al 9  '!C25:C239,'Clientes y sus pedidos'!A30)</f>
        <v>0</v>
      </c>
      <c r="I30" s="143"/>
      <c r="J30" s="143"/>
      <c r="K30" s="143"/>
      <c r="L30" s="143"/>
      <c r="M30" s="143"/>
      <c r="N30" s="32"/>
      <c r="O30" s="32"/>
      <c r="P30" s="32"/>
      <c r="Q30" s="32"/>
      <c r="R30" s="32"/>
      <c r="S30" s="32"/>
      <c r="T30" s="32"/>
      <c r="U30" s="32"/>
    </row>
    <row r="31" spans="1:21" x14ac:dyDescent="0.25">
      <c r="A31" s="234" t="s">
        <v>2475</v>
      </c>
      <c r="B31" s="231">
        <f>+COUNTIF('Semana 1 del 21 al 27 de agost'!$C$2:$C$72,"Arely")</f>
        <v>1</v>
      </c>
      <c r="C31" s="246">
        <f>+COUNTIF('Semana 2 del 28 al 3 de sep'!$C$1:$C$119,'Clientes y sus pedidos'!A31)</f>
        <v>0</v>
      </c>
      <c r="D31" s="227">
        <f>+COUNTIF('Semana 3 del 4 - 10 sep'!$C$1:$C$124,'Clientes y sus pedidos'!A31)</f>
        <v>0</v>
      </c>
      <c r="E31" s="227">
        <f>+COUNTIF('Semana 4 del 11 al 18'!$C$3:$C$205,'Clientes y sus pedidos'!A31)</f>
        <v>0</v>
      </c>
      <c r="F31" s="227">
        <f>+COUNTIF('Semana 5 del 18 al 24'!$C$1:$C$224,'Clientes y sus pedidos'!A31)</f>
        <v>0</v>
      </c>
      <c r="G31" s="227">
        <f>+COUNTIF('Semana 6 del 25 al 1 '!$C$4:$C$198,'Clientes y sus pedidos'!A31)</f>
        <v>0</v>
      </c>
      <c r="H31" s="227">
        <f>+COUNTIF('Semana 7 del 02 al 9  '!C26:C240,'Clientes y sus pedidos'!A31)</f>
        <v>0</v>
      </c>
      <c r="I31" s="143"/>
      <c r="J31" s="143"/>
      <c r="K31" s="143"/>
      <c r="L31" s="143"/>
      <c r="M31" s="143"/>
      <c r="N31" s="32"/>
      <c r="O31" s="32"/>
      <c r="P31" s="32"/>
      <c r="Q31" s="32"/>
      <c r="R31" s="32"/>
      <c r="S31" s="32"/>
      <c r="T31" s="32"/>
      <c r="U31" s="32"/>
    </row>
    <row r="32" spans="1:21" x14ac:dyDescent="0.25">
      <c r="A32" s="234" t="s">
        <v>2299</v>
      </c>
      <c r="B32" s="232">
        <f>+COUNTIF('Semana 1 del 21 al 27 de agost'!$C$2:$C$72,'Clientes y sus pedidos'!A32)</f>
        <v>0</v>
      </c>
      <c r="C32" s="246">
        <f>+COUNTIF('Semana 2 del 28 al 3 de sep'!$C$1:$C$119,'Clientes y sus pedidos'!A32)</f>
        <v>0</v>
      </c>
      <c r="D32" s="227">
        <f>+COUNTIF('Semana 3 del 4 - 10 sep'!$C$1:$C$124,'Clientes y sus pedidos'!A32)</f>
        <v>0</v>
      </c>
      <c r="E32" s="227">
        <f>+COUNTIF('Semana 4 del 11 al 18'!$C$3:$C$205,'Clientes y sus pedidos'!A32)</f>
        <v>0</v>
      </c>
      <c r="F32" s="227">
        <f>+COUNTIF('Semana 5 del 18 al 24'!$C$1:$C$224,'Clientes y sus pedidos'!A32)</f>
        <v>0</v>
      </c>
      <c r="G32" s="227">
        <f>+COUNTIF('Semana 6 del 25 al 1 '!$C$4:$C$198,'Clientes y sus pedidos'!A32)</f>
        <v>0</v>
      </c>
      <c r="H32" s="227">
        <f>+COUNTIF('Semana 7 del 02 al 9  '!C27:C241,'Clientes y sus pedidos'!A32)</f>
        <v>0</v>
      </c>
      <c r="I32" s="143"/>
      <c r="J32" s="143"/>
      <c r="K32" s="143"/>
      <c r="L32" s="143"/>
      <c r="M32" s="143"/>
      <c r="N32" s="32"/>
      <c r="O32" s="32"/>
      <c r="P32" s="32"/>
      <c r="Q32" s="32"/>
      <c r="R32" s="32"/>
      <c r="S32" s="32"/>
      <c r="T32" s="32"/>
      <c r="U32" s="32"/>
    </row>
    <row r="33" spans="1:21" x14ac:dyDescent="0.25">
      <c r="A33" s="234" t="s">
        <v>1755</v>
      </c>
      <c r="B33" s="232">
        <f>+COUNTIF('Semana 1 del 21 al 27 de agost'!$C$2:$C$72,'Clientes y sus pedidos'!A33)</f>
        <v>0</v>
      </c>
      <c r="C33" s="246">
        <f>+COUNTIF('Semana 2 del 28 al 3 de sep'!$C$1:$C$119,'Clientes y sus pedidos'!A33)</f>
        <v>0</v>
      </c>
      <c r="D33" s="227">
        <f>+COUNTIF('Semana 3 del 4 - 10 sep'!$C$1:$C$124,'Clientes y sus pedidos'!A33)</f>
        <v>0</v>
      </c>
      <c r="E33" s="227">
        <f>+COUNTIF('Semana 4 del 11 al 18'!$C$3:$C$205,'Clientes y sus pedidos'!A33)</f>
        <v>0</v>
      </c>
      <c r="F33" s="227">
        <f>+COUNTIF('Semana 5 del 18 al 24'!$C$1:$C$224,'Clientes y sus pedidos'!A33)</f>
        <v>0</v>
      </c>
      <c r="G33" s="227">
        <f>+COUNTIF('Semana 6 del 25 al 1 '!$C$4:$C$198,'Clientes y sus pedidos'!A33)</f>
        <v>0</v>
      </c>
      <c r="H33" s="227">
        <f>+COUNTIF('Semana 7 del 02 al 9  '!C28:C242,'Clientes y sus pedidos'!A33)</f>
        <v>0</v>
      </c>
      <c r="I33" s="143"/>
      <c r="J33" s="143"/>
      <c r="K33" s="143"/>
      <c r="L33" s="143"/>
      <c r="M33" s="143"/>
      <c r="N33" s="32"/>
      <c r="O33" s="32"/>
      <c r="P33" s="32"/>
      <c r="Q33" s="32"/>
      <c r="R33" s="32"/>
      <c r="S33" s="32"/>
      <c r="T33" s="32"/>
      <c r="U33" s="32"/>
    </row>
    <row r="34" spans="1:21" x14ac:dyDescent="0.25">
      <c r="A34" s="234" t="s">
        <v>3843</v>
      </c>
      <c r="B34" s="232"/>
      <c r="C34" s="246"/>
      <c r="D34" s="227"/>
      <c r="E34" s="227"/>
      <c r="F34" s="227"/>
      <c r="G34" s="253">
        <f>+COUNTIF('Semana 6 del 25 al 1 '!$C$4:$C$198,'Clientes y sus pedidos'!A34)</f>
        <v>1</v>
      </c>
      <c r="H34" s="227">
        <f>+COUNTIF('Semana 7 del 02 al 9  '!C29:C243,'Clientes y sus pedidos'!A34)</f>
        <v>0</v>
      </c>
      <c r="I34" s="143"/>
      <c r="J34" s="143"/>
      <c r="K34" s="143"/>
      <c r="L34" s="143"/>
      <c r="M34" s="143"/>
      <c r="N34" s="32"/>
      <c r="O34" s="32"/>
      <c r="P34" s="32"/>
      <c r="Q34" s="32"/>
      <c r="R34" s="32"/>
      <c r="S34" s="32"/>
      <c r="T34" s="32"/>
      <c r="U34" s="32"/>
    </row>
    <row r="35" spans="1:21" x14ac:dyDescent="0.25">
      <c r="A35" s="234" t="s">
        <v>2300</v>
      </c>
      <c r="B35" s="232">
        <f>+COUNTIF('Semana 1 del 21 al 27 de agost'!$C$2:$C$72,'Clientes y sus pedidos'!A35)</f>
        <v>0</v>
      </c>
      <c r="C35" s="246">
        <f>+COUNTIF('Semana 2 del 28 al 3 de sep'!$C$1:$C$119,'Clientes y sus pedidos'!A35)</f>
        <v>0</v>
      </c>
      <c r="D35" s="227">
        <f>+COUNTIF('Semana 3 del 4 - 10 sep'!$C$1:$C$124,'Clientes y sus pedidos'!A35)</f>
        <v>0</v>
      </c>
      <c r="E35" s="227">
        <f>+COUNTIF('Semana 4 del 11 al 18'!$C$3:$C$205,'Clientes y sus pedidos'!A35)</f>
        <v>0</v>
      </c>
      <c r="F35" s="227">
        <f>+COUNTIF('Semana 5 del 18 al 24'!$C$1:$C$224,'Clientes y sus pedidos'!A35)</f>
        <v>0</v>
      </c>
      <c r="G35" s="227">
        <f>+COUNTIF('Semana 6 del 25 al 1 '!$C$4:$C$198,'Clientes y sus pedidos'!A35)</f>
        <v>0</v>
      </c>
      <c r="H35" s="227">
        <f>+COUNTIF('Semana 7 del 02 al 9  '!C30:C244,'Clientes y sus pedidos'!A35)</f>
        <v>0</v>
      </c>
      <c r="I35" s="143"/>
      <c r="J35" s="143"/>
      <c r="K35" s="143"/>
      <c r="L35" s="143"/>
      <c r="M35" s="143"/>
      <c r="N35" s="32"/>
      <c r="O35" s="32"/>
      <c r="P35" s="32"/>
      <c r="Q35" s="32"/>
      <c r="R35" s="32"/>
      <c r="S35" s="32"/>
      <c r="T35" s="32"/>
      <c r="U35" s="32"/>
    </row>
    <row r="36" spans="1:21" x14ac:dyDescent="0.25">
      <c r="A36" s="234" t="s">
        <v>3386</v>
      </c>
      <c r="B36" s="232">
        <f>+COUNTIF('Semana 1 del 21 al 27 de agost'!$C$2:$C$72,'Clientes y sus pedidos'!A36)</f>
        <v>0</v>
      </c>
      <c r="C36" s="246">
        <f>+COUNTIF('Semana 2 del 28 al 3 de sep'!$C$1:$C$119,'Clientes y sus pedidos'!A36)</f>
        <v>0</v>
      </c>
      <c r="D36" s="227">
        <f>+COUNTIF('Semana 3 del 4 - 10 sep'!$C$1:$C$124,'Clientes y sus pedidos'!A36)</f>
        <v>0</v>
      </c>
      <c r="E36" s="227">
        <f>+COUNTIF('Semana 4 del 11 al 18'!$C$3:$C$205,'Clientes y sus pedidos'!A36)</f>
        <v>0</v>
      </c>
      <c r="F36" s="253">
        <f>+COUNTIF('Semana 5 del 18 al 24'!$C$1:$C$224,'Clientes y sus pedidos'!A36)</f>
        <v>1</v>
      </c>
      <c r="G36" s="227">
        <f>+COUNTIF('Semana 6 del 25 al 1 '!$C$4:$C$198,'Clientes y sus pedidos'!A36)</f>
        <v>0</v>
      </c>
      <c r="H36" s="227">
        <f>+COUNTIF('Semana 7 del 02 al 9  '!C31:C245,'Clientes y sus pedidos'!A36)</f>
        <v>0</v>
      </c>
      <c r="I36" s="143"/>
      <c r="J36" s="143"/>
      <c r="K36" s="143"/>
      <c r="L36" s="143"/>
      <c r="M36" s="143"/>
      <c r="N36" s="32"/>
      <c r="O36" s="32"/>
      <c r="P36" s="32"/>
      <c r="Q36" s="32"/>
      <c r="R36" s="32"/>
      <c r="S36" s="32"/>
      <c r="T36" s="32"/>
      <c r="U36" s="32"/>
    </row>
    <row r="37" spans="1:21" x14ac:dyDescent="0.25">
      <c r="A37" s="234" t="s">
        <v>2526</v>
      </c>
      <c r="B37" s="232">
        <f>+COUNTIF('Semana 1 del 21 al 27 de agost'!$C$2:$C$72,'Clientes y sus pedidos'!A37)</f>
        <v>0</v>
      </c>
      <c r="C37" s="236">
        <f>+COUNTIF('Semana 2 del 28 al 3 de sep'!$C$1:$C$119,'Clientes y sus pedidos'!A37)</f>
        <v>1</v>
      </c>
      <c r="D37" s="227">
        <f>+COUNTIF('Semana 3 del 4 - 10 sep'!$C$1:$C$124,'Clientes y sus pedidos'!A37)</f>
        <v>0</v>
      </c>
      <c r="E37" s="227">
        <f>+COUNTIF('Semana 4 del 11 al 18'!$C$3:$C$205,'Clientes y sus pedidos'!A37)</f>
        <v>0</v>
      </c>
      <c r="F37" s="227">
        <f>+COUNTIF('Semana 5 del 18 al 24'!$C$1:$C$224,'Clientes y sus pedidos'!A37)</f>
        <v>0</v>
      </c>
      <c r="G37" s="227">
        <f>+COUNTIF('Semana 6 del 25 al 1 '!$C$4:$C$198,'Clientes y sus pedidos'!A37)</f>
        <v>0</v>
      </c>
      <c r="H37" s="227">
        <f>+COUNTIF('Semana 7 del 02 al 9  '!C32:C246,'Clientes y sus pedidos'!A37)</f>
        <v>0</v>
      </c>
      <c r="I37" s="143"/>
      <c r="J37" s="143"/>
      <c r="K37" s="143"/>
      <c r="L37" s="143"/>
      <c r="M37" s="143"/>
      <c r="N37" s="32"/>
      <c r="O37" s="32"/>
      <c r="P37" s="32"/>
      <c r="Q37" s="32"/>
      <c r="R37" s="32"/>
      <c r="S37" s="32"/>
      <c r="T37" s="32"/>
      <c r="U37" s="32"/>
    </row>
    <row r="38" spans="1:21" x14ac:dyDescent="0.25">
      <c r="A38" s="234" t="s">
        <v>24</v>
      </c>
      <c r="B38" s="232">
        <f>+COUNTIF('Semana 1 del 21 al 27 de agost'!$C$2:$C$72,'Clientes y sus pedidos'!A38)</f>
        <v>0</v>
      </c>
      <c r="C38" s="236">
        <f>+COUNTIF('Semana 2 del 28 al 3 de sep'!$C$1:$C$119,'Clientes y sus pedidos'!A38)</f>
        <v>3</v>
      </c>
      <c r="D38" s="253">
        <f>+COUNTIF('Semana 3 del 4 - 10 sep'!$C$1:$C$124,'Clientes y sus pedidos'!A38)</f>
        <v>6</v>
      </c>
      <c r="E38" s="253">
        <f>+COUNTIF('Semana 4 del 11 al 18'!$C$3:$C$205,'Clientes y sus pedidos'!A38)</f>
        <v>5</v>
      </c>
      <c r="F38" s="253">
        <f>+COUNTIF('Semana 5 del 18 al 24'!$C$1:$C$224,'Clientes y sus pedidos'!A38)</f>
        <v>3</v>
      </c>
      <c r="G38" s="253">
        <f>+COUNTIF('Semana 6 del 25 al 1 '!$C$4:$C$198,'Clientes y sus pedidos'!A38)</f>
        <v>3</v>
      </c>
      <c r="H38" s="253">
        <v>3</v>
      </c>
      <c r="I38" s="143"/>
      <c r="J38" s="143"/>
      <c r="K38" s="143"/>
      <c r="L38" s="143"/>
      <c r="M38" s="143"/>
      <c r="N38" s="32"/>
      <c r="O38" s="32"/>
      <c r="P38" s="32"/>
      <c r="Q38" s="32"/>
      <c r="R38" s="32"/>
      <c r="S38" s="32"/>
      <c r="T38" s="32"/>
      <c r="U38" s="32"/>
    </row>
    <row r="39" spans="1:21" x14ac:dyDescent="0.25">
      <c r="A39" s="234" t="s">
        <v>287</v>
      </c>
      <c r="B39" s="231">
        <f>+COUNTIF('Semana 1 del 21 al 27 de agost'!$C$2:$C$72,'Clientes y sus pedidos'!A39)</f>
        <v>2</v>
      </c>
      <c r="C39" s="246">
        <f>+COUNTIF('Semana 2 del 28 al 3 de sep'!$C$1:$C$119,'Clientes y sus pedidos'!A39)</f>
        <v>0</v>
      </c>
      <c r="D39" s="227">
        <f>+COUNTIF('Semana 3 del 4 - 10 sep'!$C$1:$C$124,'Clientes y sus pedidos'!A39)</f>
        <v>0</v>
      </c>
      <c r="E39" s="227">
        <f>+COUNTIF('Semana 4 del 11 al 18'!$C$3:$C$205,'Clientes y sus pedidos'!A39)</f>
        <v>0</v>
      </c>
      <c r="F39" s="227">
        <f>+COUNTIF('Semana 5 del 18 al 24'!$C$1:$C$224,'Clientes y sus pedidos'!A39)</f>
        <v>0</v>
      </c>
      <c r="G39" s="227">
        <f>+COUNTIF('Semana 6 del 25 al 1 '!$C$4:$C$198,'Clientes y sus pedidos'!A39)</f>
        <v>0</v>
      </c>
      <c r="H39" s="227">
        <f>+COUNTIF('Semana 7 del 02 al 9  '!C34:C248,'Clientes y sus pedidos'!A39)</f>
        <v>0</v>
      </c>
      <c r="I39" s="143"/>
      <c r="J39" s="143"/>
      <c r="K39" s="143"/>
      <c r="L39" s="143"/>
      <c r="M39" s="143"/>
      <c r="N39" s="32"/>
      <c r="O39" s="32"/>
      <c r="P39" s="32"/>
      <c r="Q39" s="32"/>
      <c r="R39" s="32"/>
      <c r="S39" s="32"/>
      <c r="T39" s="32"/>
      <c r="U39" s="32"/>
    </row>
    <row r="40" spans="1:21" x14ac:dyDescent="0.25">
      <c r="A40" s="234" t="s">
        <v>2492</v>
      </c>
      <c r="B40" s="232"/>
      <c r="C40" s="236">
        <f>+COUNTIF('Semana 2 del 28 al 3 de sep'!$C$1:$C$119,'Clientes y sus pedidos'!A40)</f>
        <v>1</v>
      </c>
      <c r="D40" s="253">
        <f>+COUNTIF('Semana 3 del 4 - 10 sep'!$C$1:$C$124,'Clientes y sus pedidos'!A40)</f>
        <v>1</v>
      </c>
      <c r="E40" s="227">
        <f>+COUNTIF('Semana 4 del 11 al 18'!$C$3:$C$205,'Clientes y sus pedidos'!A40)</f>
        <v>0</v>
      </c>
      <c r="F40" s="227">
        <f>+COUNTIF('Semana 5 del 18 al 24'!$C$1:$C$224,'Clientes y sus pedidos'!A40)</f>
        <v>0</v>
      </c>
      <c r="G40" s="227">
        <f>+COUNTIF('Semana 6 del 25 al 1 '!$C$4:$C$198,'Clientes y sus pedidos'!A40)</f>
        <v>0</v>
      </c>
      <c r="H40" s="227">
        <f>+COUNTIF('Semana 7 del 02 al 9  '!C35:C249,'Clientes y sus pedidos'!A40)</f>
        <v>0</v>
      </c>
      <c r="I40" s="143"/>
      <c r="J40" s="143"/>
      <c r="K40" s="143"/>
      <c r="L40" s="143"/>
      <c r="M40" s="143"/>
      <c r="N40" s="32"/>
      <c r="O40" s="32"/>
      <c r="P40" s="32"/>
      <c r="Q40" s="32"/>
      <c r="R40" s="32"/>
      <c r="S40" s="32"/>
      <c r="T40" s="32"/>
      <c r="U40" s="32"/>
    </row>
    <row r="41" spans="1:21" x14ac:dyDescent="0.25">
      <c r="A41" s="234" t="s">
        <v>1194</v>
      </c>
      <c r="B41" s="232">
        <f>+COUNTIF('Semana 1 del 21 al 27 de agost'!$C$2:$C$72,'Clientes y sus pedidos'!A41)</f>
        <v>0</v>
      </c>
      <c r="C41" s="246">
        <f>+COUNTIF('Semana 2 del 28 al 3 de sep'!$C$1:$C$119,'Clientes y sus pedidos'!A41)</f>
        <v>0</v>
      </c>
      <c r="D41" s="227">
        <f>+COUNTIF('Semana 3 del 4 - 10 sep'!$C$1:$C$124,'Clientes y sus pedidos'!A41)</f>
        <v>0</v>
      </c>
      <c r="E41" s="227">
        <f>+COUNTIF('Semana 4 del 11 al 18'!$C$3:$C$205,'Clientes y sus pedidos'!A41)</f>
        <v>0</v>
      </c>
      <c r="F41" s="253">
        <f>+COUNTIF('Semana 5 del 18 al 24'!$C$1:$C$224,'Clientes y sus pedidos'!A41)</f>
        <v>4</v>
      </c>
      <c r="G41" s="253">
        <f>+COUNTIF('Semana 6 del 25 al 1 '!$C$4:$C$198,'Clientes y sus pedidos'!A41)</f>
        <v>1</v>
      </c>
      <c r="H41" s="253">
        <f>+COUNTIF('Semana 7 del 02 al 9  '!C36:C250,'Clientes y sus pedidos'!A41)</f>
        <v>2</v>
      </c>
      <c r="I41" s="143"/>
      <c r="J41" s="143"/>
      <c r="K41" s="143"/>
      <c r="L41" s="143"/>
      <c r="M41" s="143"/>
      <c r="N41" s="32"/>
      <c r="O41" s="32"/>
      <c r="P41" s="32"/>
      <c r="Q41" s="32"/>
      <c r="R41" s="32"/>
      <c r="S41" s="32"/>
      <c r="T41" s="32"/>
      <c r="U41" s="32"/>
    </row>
    <row r="42" spans="1:21" x14ac:dyDescent="0.25">
      <c r="A42" s="234" t="s">
        <v>2672</v>
      </c>
      <c r="B42" s="232">
        <f>+COUNTIF('Semana 1 del 21 al 27 de agost'!$C$2:$C$72,'Clientes y sus pedidos'!A42)</f>
        <v>0</v>
      </c>
      <c r="C42" s="246">
        <f>+COUNTIF('Semana 2 del 28 al 3 de sep'!$C$1:$C$119,'Clientes y sus pedidos'!A42)</f>
        <v>0</v>
      </c>
      <c r="D42" s="253">
        <f>+COUNTIF('Semana 3 del 4 - 10 sep'!$C$1:$C$124,'Clientes y sus pedidos'!A42)</f>
        <v>2</v>
      </c>
      <c r="E42" s="227">
        <f>+COUNTIF('Semana 4 del 11 al 18'!$C$3:$C$205,'Clientes y sus pedidos'!A42)</f>
        <v>0</v>
      </c>
      <c r="F42" s="253">
        <f>+COUNTIF('Semana 5 del 18 al 24'!$C$1:$C$224,'Clientes y sus pedidos'!A42)</f>
        <v>2</v>
      </c>
      <c r="G42" s="253">
        <f>+COUNTIF('Semana 6 del 25 al 1 '!$C$4:$C$198,'Clientes y sus pedidos'!A42)</f>
        <v>1</v>
      </c>
      <c r="H42" s="227">
        <f>+COUNTIF('Semana 7 del 02 al 9  '!C37:C251,'Clientes y sus pedidos'!A42)</f>
        <v>0</v>
      </c>
      <c r="I42" s="143"/>
      <c r="J42" s="143"/>
      <c r="K42" s="143"/>
      <c r="L42" s="143"/>
      <c r="M42" s="143"/>
      <c r="N42" s="32"/>
      <c r="O42" s="32"/>
      <c r="P42" s="32"/>
      <c r="Q42" s="32"/>
      <c r="R42" s="32"/>
      <c r="S42" s="32"/>
      <c r="T42" s="32"/>
      <c r="U42" s="32"/>
    </row>
    <row r="43" spans="1:21" x14ac:dyDescent="0.25">
      <c r="A43" s="234" t="s">
        <v>3112</v>
      </c>
      <c r="B43" s="232">
        <f>+COUNTIF('Semana 1 del 21 al 27 de agost'!$C$2:$C$72,'Clientes y sus pedidos'!A43)</f>
        <v>0</v>
      </c>
      <c r="C43" s="246">
        <f>+COUNTIF('Semana 2 del 28 al 3 de sep'!$C$1:$C$119,'Clientes y sus pedidos'!A43)</f>
        <v>0</v>
      </c>
      <c r="D43" s="227">
        <f>+COUNTIF('Semana 3 del 4 - 10 sep'!$C$1:$C$124,'Clientes y sus pedidos'!A43)</f>
        <v>0</v>
      </c>
      <c r="E43" s="253">
        <f>+COUNTIF('Semana 4 del 11 al 18'!$C$3:$C$205,'Clientes y sus pedidos'!A43)</f>
        <v>1</v>
      </c>
      <c r="F43" s="227">
        <f>+COUNTIF('Semana 5 del 18 al 24'!$C$1:$C$224,'Clientes y sus pedidos'!A43)</f>
        <v>0</v>
      </c>
      <c r="G43" s="227">
        <f>+COUNTIF('Semana 6 del 25 al 1 '!$C$4:$C$198,'Clientes y sus pedidos'!A43)</f>
        <v>0</v>
      </c>
      <c r="H43" s="227">
        <f>+COUNTIF('Semana 7 del 02 al 9  '!C38:C252,'Clientes y sus pedidos'!A43)</f>
        <v>0</v>
      </c>
      <c r="I43" s="143"/>
      <c r="J43" s="143"/>
      <c r="K43" s="143"/>
      <c r="L43" s="143"/>
      <c r="M43" s="143"/>
      <c r="N43" s="32"/>
      <c r="O43" s="32"/>
      <c r="P43" s="32"/>
      <c r="Q43" s="32"/>
      <c r="R43" s="32"/>
      <c r="S43" s="32"/>
      <c r="T43" s="32"/>
      <c r="U43" s="32"/>
    </row>
    <row r="44" spans="1:21" x14ac:dyDescent="0.25">
      <c r="A44" s="234" t="s">
        <v>2301</v>
      </c>
      <c r="B44" s="232">
        <f>+COUNTIF('Semana 1 del 21 al 27 de agost'!$C$2:$C$72,'Clientes y sus pedidos'!A44)</f>
        <v>0</v>
      </c>
      <c r="C44" s="246">
        <f>+COUNTIF('Semana 2 del 28 al 3 de sep'!$C$1:$C$119,'Clientes y sus pedidos'!A44)</f>
        <v>0</v>
      </c>
      <c r="D44" s="227">
        <f>+COUNTIF('Semana 3 del 4 - 10 sep'!$C$1:$C$124,'Clientes y sus pedidos'!A44)</f>
        <v>0</v>
      </c>
      <c r="E44" s="227">
        <f>+COUNTIF('Semana 4 del 11 al 18'!$C$3:$C$205,'Clientes y sus pedidos'!A44)</f>
        <v>0</v>
      </c>
      <c r="F44" s="227">
        <f>+COUNTIF('Semana 5 del 18 al 24'!$C$1:$C$224,'Clientes y sus pedidos'!A44)</f>
        <v>0</v>
      </c>
      <c r="G44" s="227">
        <f>+COUNTIF('Semana 6 del 25 al 1 '!$C$4:$C$198,'Clientes y sus pedidos'!A44)</f>
        <v>0</v>
      </c>
      <c r="H44" s="227">
        <f>+COUNTIF('Semana 7 del 02 al 9  '!C39:C253,'Clientes y sus pedidos'!A44)</f>
        <v>0</v>
      </c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</row>
    <row r="45" spans="1:21" x14ac:dyDescent="0.25">
      <c r="A45" s="234" t="s">
        <v>2639</v>
      </c>
      <c r="B45" s="231">
        <f>+COUNTIF('Semana 1 del 21 al 27 de agost'!$C$2:$C$72,'Clientes y sus pedidos'!A45)</f>
        <v>2</v>
      </c>
      <c r="C45" s="246">
        <f>+COUNTIF('Semana 2 del 28 al 3 de sep'!$C$1:$C$119,'Clientes y sus pedidos'!A45)</f>
        <v>0</v>
      </c>
      <c r="D45" s="253">
        <f>+COUNTIF('Semana 3 del 4 - 10 sep'!$C$1:$C$124,'Clientes y sus pedidos'!A45)</f>
        <v>3</v>
      </c>
      <c r="E45" s="253">
        <f>+COUNTIF('Semana 4 del 11 al 18'!$C$3:$C$205,'Clientes y sus pedidos'!A45)</f>
        <v>3</v>
      </c>
      <c r="F45" s="253">
        <f>+COUNTIF('Semana 5 del 18 al 24'!$C$1:$C$224,'Clientes y sus pedidos'!A45)</f>
        <v>1</v>
      </c>
      <c r="G45" s="253">
        <f>+COUNTIF('Semana 6 del 25 al 1 '!$C$4:$C$198,'Clientes y sus pedidos'!A45)</f>
        <v>3</v>
      </c>
      <c r="H45" s="253">
        <f>+COUNTIF('Semana 7 del 02 al 9  '!C40:C254,'Clientes y sus pedidos'!A45)</f>
        <v>2</v>
      </c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</row>
    <row r="46" spans="1:21" x14ac:dyDescent="0.25">
      <c r="A46" s="234" t="s">
        <v>2489</v>
      </c>
      <c r="B46" s="232">
        <f>+COUNTIF('Semana 1 del 21 al 27 de agost'!$C$2:$C$72,'Clientes y sus pedidos'!A46)</f>
        <v>0</v>
      </c>
      <c r="C46" s="236">
        <f>+COUNTIF('Semana 2 del 28 al 3 de sep'!$C$1:$C$119,'Clientes y sus pedidos'!A46)</f>
        <v>1</v>
      </c>
      <c r="D46" s="227">
        <f>+COUNTIF('Semana 3 del 4 - 10 sep'!$C$1:$C$124,'Clientes y sus pedidos'!A46)</f>
        <v>0</v>
      </c>
      <c r="E46" s="253">
        <f>+COUNTIF('Semana 4 del 11 al 18'!$C$3:$C$205,'Clientes y sus pedidos'!A46)</f>
        <v>3</v>
      </c>
      <c r="F46" s="227">
        <f>+COUNTIF('Semana 5 del 18 al 24'!$C$1:$C$224,'Clientes y sus pedidos'!A46)</f>
        <v>0</v>
      </c>
      <c r="G46" s="227">
        <f>+COUNTIF('Semana 6 del 25 al 1 '!$C$4:$C$198,'Clientes y sus pedidos'!A46)</f>
        <v>0</v>
      </c>
      <c r="H46" s="227">
        <f>+COUNTIF('Semana 7 del 02 al 9  '!C41:C255,'Clientes y sus pedidos'!A46)</f>
        <v>0</v>
      </c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</row>
    <row r="47" spans="1:21" x14ac:dyDescent="0.25">
      <c r="A47" s="234" t="s">
        <v>37</v>
      </c>
      <c r="B47" s="232">
        <f>+COUNTIF('Semana 1 del 21 al 27 de agost'!$C$2:$C$72,'Clientes y sus pedidos'!A47)</f>
        <v>0</v>
      </c>
      <c r="C47" s="236">
        <f>+COUNTIF('Semana 2 del 28 al 3 de sep'!$C$1:$C$119,'Clientes y sus pedidos'!A47)</f>
        <v>1</v>
      </c>
      <c r="D47" s="253">
        <f>+COUNTIF('Semana 3 del 4 - 10 sep'!$C$1:$C$124,'Clientes y sus pedidos'!A47)</f>
        <v>3</v>
      </c>
      <c r="E47" s="253">
        <f>+COUNTIF('Semana 4 del 11 al 18'!$C$3:$C$205,'Clientes y sus pedidos'!A47)</f>
        <v>1</v>
      </c>
      <c r="F47" s="253">
        <f>+COUNTIF('Semana 5 del 18 al 24'!$C$1:$C$224,'Clientes y sus pedidos'!A47)</f>
        <v>3</v>
      </c>
      <c r="G47" s="253">
        <f>+COUNTIF('Semana 6 del 25 al 1 '!$C$4:$C$198,'Clientes y sus pedidos'!A47)</f>
        <v>4</v>
      </c>
      <c r="H47" s="253">
        <f>+COUNTIF('Semana 7 del 02 al 9  '!C42:C256,'Clientes y sus pedidos'!A47)</f>
        <v>2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</row>
    <row r="48" spans="1:21" x14ac:dyDescent="0.25">
      <c r="A48" s="234" t="s">
        <v>2488</v>
      </c>
      <c r="B48" s="231">
        <f>+ COUNTIF('Semana 1 del 21 al 27 de agost'!C2:C1048576,"Mauricio bravo")</f>
        <v>5</v>
      </c>
      <c r="C48" s="236">
        <f>+COUNTIF('Semana 2 del 28 al 3 de sep'!$C$1:$C$119,"Mauricio-Bravo")</f>
        <v>8</v>
      </c>
      <c r="D48" s="253">
        <f>+COUNTIF('Semana 3 del 4 - 10 sep'!$C$1:$C$124,"Mauricio-Bravo")</f>
        <v>1</v>
      </c>
      <c r="E48" s="227">
        <f>+COUNTIF('Semana 4 del 11 al 18'!$C$3:$C$205,'Clientes y sus pedidos'!A48)</f>
        <v>0</v>
      </c>
      <c r="F48" s="253">
        <f>+COUNTIF('Semana 5 del 18 al 24'!$C$1:$C$224,'Clientes y sus pedidos'!A48)</f>
        <v>2</v>
      </c>
      <c r="G48" s="253">
        <f>+COUNTIF('Semana 6 del 25 al 1 '!$C$4:$C$198,"Mauricio-Bravo")</f>
        <v>1</v>
      </c>
      <c r="H48" s="253">
        <f>+COUNTIF('Semana 7 del 02 al 9  '!C43:C257,'Clientes y sus pedidos'!A48)</f>
        <v>1</v>
      </c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</row>
    <row r="49" spans="1:21" x14ac:dyDescent="0.25">
      <c r="A49" s="234" t="s">
        <v>2303</v>
      </c>
      <c r="B49" s="232">
        <f>+COUNTIF('Semana 1 del 21 al 27 de agost'!$C20:$C98,'Clientes y sus pedidos'!A49)</f>
        <v>0</v>
      </c>
      <c r="C49" s="246">
        <f>+COUNTIF('Semana 2 del 28 al 3 de sep'!$C$1:$C$119,'Clientes y sus pedidos'!A49)</f>
        <v>0</v>
      </c>
      <c r="D49" s="227">
        <f>+COUNTIF('Semana 3 del 4 - 10 sep'!$C$1:$C$124,'Clientes y sus pedidos'!A49)</f>
        <v>0</v>
      </c>
      <c r="E49" s="227">
        <f>+COUNTIF('Semana 4 del 11 al 18'!$C$3:$C$205,'Clientes y sus pedidos'!A49)</f>
        <v>0</v>
      </c>
      <c r="F49" s="227">
        <f>+COUNTIF('Semana 5 del 18 al 24'!$C$1:$C$224,'Clientes y sus pedidos'!A49)</f>
        <v>0</v>
      </c>
      <c r="G49" s="227">
        <f>+COUNTIF('Semana 6 del 25 al 1 '!$C$4:$C$198,'Clientes y sus pedidos'!A49)</f>
        <v>0</v>
      </c>
      <c r="H49" s="227">
        <f>+COUNTIF('Semana 7 del 02 al 9  '!C44:C258,'Clientes y sus pedidos'!A49)</f>
        <v>0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</row>
    <row r="50" spans="1:21" x14ac:dyDescent="0.25">
      <c r="A50" s="234" t="s">
        <v>48</v>
      </c>
      <c r="B50" s="231">
        <f>+COUNTIF('Semana 1 del 21 al 27 de agost'!C2:C1048576,"Eliseo")</f>
        <v>5</v>
      </c>
      <c r="C50" s="236">
        <f>+COUNTIF('Semana 2 del 28 al 3 de sep'!$C$1:$C$119,'Clientes y sus pedidos'!A50)</f>
        <v>3</v>
      </c>
      <c r="D50" s="253">
        <f>+COUNTIF('Semana 3 del 4 - 10 sep'!$C$1:$C$124,'Clientes y sus pedidos'!A50)</f>
        <v>4</v>
      </c>
      <c r="E50" s="253">
        <f>+COUNTIF('Semana 4 del 11 al 18'!$C$3:$C$205,'Clientes y sus pedidos'!A50)</f>
        <v>3</v>
      </c>
      <c r="F50" s="253">
        <f>+COUNTIF('Semana 5 del 18 al 24'!$C$1:$C$224,'Clientes y sus pedidos'!A50)</f>
        <v>3</v>
      </c>
      <c r="G50" s="253">
        <f>+COUNTIF('Semana 6 del 25 al 1 '!$C$4:$C$198,'Clientes y sus pedidos'!A50)</f>
        <v>3</v>
      </c>
      <c r="H50" s="227">
        <v>4</v>
      </c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</row>
    <row r="51" spans="1:21" x14ac:dyDescent="0.25">
      <c r="A51" s="234" t="s">
        <v>2650</v>
      </c>
      <c r="B51" s="232">
        <f>+COUNTIF('Semana 1 del 21 al 27 de agost'!$C$2:$C$72,'Clientes y sus pedidos'!A51)</f>
        <v>0</v>
      </c>
      <c r="C51" s="246">
        <f>+COUNTIF('Semana 2 del 28 al 3 de sep'!$C$1:$C$119,'Clientes y sus pedidos'!A51)</f>
        <v>0</v>
      </c>
      <c r="D51" s="253">
        <f>+COUNTIF('Semana 3 del 4 - 10 sep'!$C$1:$C$124,'Clientes y sus pedidos'!A51)</f>
        <v>1</v>
      </c>
      <c r="E51" s="227">
        <f>+COUNTIF('Semana 4 del 11 al 18'!$C$3:$C$205,'Clientes y sus pedidos'!A51)</f>
        <v>0</v>
      </c>
      <c r="F51" s="227">
        <f>+COUNTIF('Semana 5 del 18 al 24'!$C$1:$C$224,'Clientes y sus pedidos'!A51)</f>
        <v>0</v>
      </c>
      <c r="G51" s="227">
        <f>+COUNTIF('Semana 6 del 25 al 1 '!$C$4:$C$198,'Clientes y sus pedidos'!A51)</f>
        <v>0</v>
      </c>
      <c r="H51" s="227">
        <f>+COUNTIF('Semana 7 del 02 al 9  '!C46:C260,'Clientes y sus pedidos'!A51)</f>
        <v>0</v>
      </c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</row>
    <row r="52" spans="1:21" x14ac:dyDescent="0.25">
      <c r="A52" s="234" t="s">
        <v>3093</v>
      </c>
      <c r="B52" s="232"/>
      <c r="C52" s="246">
        <f>+COUNTIF('Semana 2 del 28 al 3 de sep'!$C$1:$C$119,'Clientes y sus pedidos'!A52)</f>
        <v>0</v>
      </c>
      <c r="D52" s="253">
        <f>+COUNTIF('Semana 3 del 4 - 10 sep'!$C$1:$C$124,'Clientes y sus pedidos'!A52)</f>
        <v>1</v>
      </c>
      <c r="E52" s="227">
        <f>+COUNTIF('Semana 4 del 11 al 18'!$C$3:$C$205,'Clientes y sus pedidos'!A52)</f>
        <v>0</v>
      </c>
      <c r="F52" s="227">
        <f>+COUNTIF('Semana 5 del 18 al 24'!$C$1:$C$224,'Clientes y sus pedidos'!A52)</f>
        <v>0</v>
      </c>
      <c r="G52" s="227">
        <f>+COUNTIF('Semana 6 del 25 al 1 '!$C$4:$C$198,'Clientes y sus pedidos'!A52)</f>
        <v>0</v>
      </c>
      <c r="H52" s="227">
        <f>+COUNTIF('Semana 7 del 02 al 9  '!C47:C261,'Clientes y sus pedidos'!A52)</f>
        <v>0</v>
      </c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</row>
    <row r="53" spans="1:21" x14ac:dyDescent="0.25">
      <c r="A53" s="234" t="s">
        <v>2638</v>
      </c>
      <c r="B53" s="232"/>
      <c r="C53" s="246"/>
      <c r="D53" s="253">
        <f>+COUNTIF('Semana 3 del 4 - 10 sep'!$C$1:$C$124,'Clientes y sus pedidos'!A53)</f>
        <v>1</v>
      </c>
      <c r="E53" s="227">
        <f>+COUNTIF('Semana 4 del 11 al 18'!$C$3:$C$205,'Clientes y sus pedidos'!A53)</f>
        <v>0</v>
      </c>
      <c r="F53" s="227">
        <f>+COUNTIF('Semana 5 del 18 al 24'!$C$1:$C$224,'Clientes y sus pedidos'!A53)</f>
        <v>0</v>
      </c>
      <c r="G53" s="227">
        <f>+COUNTIF('Semana 6 del 25 al 1 '!$C$4:$C$198,'Clientes y sus pedidos'!A53)</f>
        <v>0</v>
      </c>
      <c r="H53" s="227">
        <f>+COUNTIF('Semana 7 del 02 al 9  '!C48:C262,'Clientes y sus pedidos'!A53)</f>
        <v>0</v>
      </c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</row>
    <row r="54" spans="1:21" x14ac:dyDescent="0.25">
      <c r="A54" s="234" t="s">
        <v>3114</v>
      </c>
      <c r="B54" s="232"/>
      <c r="C54" s="246"/>
      <c r="D54" s="227"/>
      <c r="E54" s="253">
        <f>+COUNTIF('Semana 4 del 11 al 18'!$C$3:$C$205,'Clientes y sus pedidos'!A54)</f>
        <v>2</v>
      </c>
      <c r="F54" s="227">
        <f>+COUNTIF('Semana 5 del 18 al 24'!$C$1:$C$224,'Clientes y sus pedidos'!A54)</f>
        <v>0</v>
      </c>
      <c r="G54" s="227">
        <f>+COUNTIF('Semana 6 del 25 al 1 '!$C$4:$C$198,'Clientes y sus pedidos'!A54)</f>
        <v>0</v>
      </c>
      <c r="H54" s="227">
        <f>+COUNTIF('Semana 7 del 02 al 9  '!C49:C263,'Clientes y sus pedidos'!A54)</f>
        <v>0</v>
      </c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</row>
    <row r="55" spans="1:21" x14ac:dyDescent="0.25">
      <c r="A55" s="234" t="s">
        <v>3105</v>
      </c>
      <c r="B55" s="232"/>
      <c r="C55" s="246"/>
      <c r="D55" s="227"/>
      <c r="E55" s="253">
        <f>+COUNTIF('Semana 4 del 11 al 18'!$C$3:$C$205,'Clientes y sus pedidos'!A55)</f>
        <v>1</v>
      </c>
      <c r="F55" s="227">
        <f>+COUNTIF('Semana 5 del 18 al 24'!$C$1:$C$224,'Clientes y sus pedidos'!A55)</f>
        <v>0</v>
      </c>
      <c r="G55" s="227">
        <f>+COUNTIF('Semana 6 del 25 al 1 '!$C$4:$C$198,'Clientes y sus pedidos'!A55)</f>
        <v>0</v>
      </c>
      <c r="H55" s="227">
        <f>+COUNTIF('Semana 7 del 02 al 9  '!C50:C264,'Clientes y sus pedidos'!A55)</f>
        <v>0</v>
      </c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</row>
    <row r="56" spans="1:21" x14ac:dyDescent="0.25">
      <c r="A56" s="234" t="s">
        <v>1806</v>
      </c>
      <c r="B56" s="232">
        <f>+COUNTIF('Semana 1 del 21 al 27 de agost'!$C$2:$C$72,'Clientes y sus pedidos'!A56)</f>
        <v>0</v>
      </c>
      <c r="C56" s="246">
        <f>+COUNTIF('Semana 2 del 28 al 3 de sep'!$C$1:$C$119,'Clientes y sus pedidos'!A56)</f>
        <v>0</v>
      </c>
      <c r="D56" s="227">
        <f>+COUNTIF('Semana 3 del 4 - 10 sep'!$C$1:$C$124,'Clientes y sus pedidos'!A56)</f>
        <v>0</v>
      </c>
      <c r="E56" s="227">
        <f>+COUNTIF('Semana 4 del 11 al 18'!$C$3:$C$205,'Clientes y sus pedidos'!A56)</f>
        <v>0</v>
      </c>
      <c r="F56" s="227">
        <f>+COUNTIF('Semana 5 del 18 al 24'!$C$1:$C$224,'Clientes y sus pedidos'!A56)</f>
        <v>0</v>
      </c>
      <c r="G56" s="253">
        <f>+COUNTIF('Semana 6 del 25 al 1 '!$C$4:$C$198,'Clientes y sus pedidos'!A56)</f>
        <v>2</v>
      </c>
      <c r="H56" s="227">
        <f>+COUNTIF('Semana 7 del 02 al 9  '!C51:C265,'Clientes y sus pedidos'!A56)</f>
        <v>2</v>
      </c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</row>
    <row r="57" spans="1:21" x14ac:dyDescent="0.25">
      <c r="A57" s="234" t="s">
        <v>60</v>
      </c>
      <c r="B57" s="232">
        <f>+COUNTIF('Semana 1 del 21 al 27 de agost'!$C$2:$C$72,'Clientes y sus pedidos'!A57)</f>
        <v>0</v>
      </c>
      <c r="C57" s="246">
        <f>+COUNTIF('Semana 2 del 28 al 3 de sep'!$C$1:$C$119,'Clientes y sus pedidos'!A57)</f>
        <v>0</v>
      </c>
      <c r="D57" s="253">
        <f>+COUNTIF('Semana 3 del 4 - 10 sep'!$C$1:$C$124,'Clientes y sus pedidos'!A57)</f>
        <v>1</v>
      </c>
      <c r="E57" s="227">
        <f>+COUNTIF('Semana 4 del 11 al 18'!$C$3:$C$205,'Clientes y sus pedidos'!A57)</f>
        <v>0</v>
      </c>
      <c r="F57" s="227">
        <f>+COUNTIF('Semana 5 del 18 al 24'!$C$1:$C$224,'Clientes y sus pedidos'!A57)</f>
        <v>0</v>
      </c>
      <c r="G57" s="227">
        <f>+COUNTIF('Semana 6 del 25 al 1 '!$C$4:$C$198,'Clientes y sus pedidos'!A57)</f>
        <v>0</v>
      </c>
      <c r="H57" s="227">
        <f>+COUNTIF('Semana 7 del 02 al 9  '!C52:C266,'Clientes y sus pedidos'!A57)</f>
        <v>0</v>
      </c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</row>
    <row r="58" spans="1:21" x14ac:dyDescent="0.25">
      <c r="A58" s="234" t="s">
        <v>3121</v>
      </c>
      <c r="B58" s="232"/>
      <c r="C58" s="246"/>
      <c r="D58" s="227"/>
      <c r="E58" s="253">
        <f>+COUNTIF('Semana 4 del 11 al 18'!$C$3:$C$205,'Clientes y sus pedidos'!A58)</f>
        <v>1</v>
      </c>
      <c r="F58" s="227">
        <f>+COUNTIF('Semana 5 del 18 al 24'!$C$1:$C$224,'Clientes y sus pedidos'!A58)</f>
        <v>0</v>
      </c>
      <c r="G58" s="227">
        <f>+COUNTIF('Semana 6 del 25 al 1 '!$C$4:$C$198,'Clientes y sus pedidos'!A58)</f>
        <v>0</v>
      </c>
      <c r="H58" s="227">
        <f>+COUNTIF('Semana 7 del 02 al 9  '!C53:C267,'Clientes y sus pedidos'!A58)</f>
        <v>0</v>
      </c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</row>
    <row r="59" spans="1:21" x14ac:dyDescent="0.25">
      <c r="A59" s="234" t="s">
        <v>3807</v>
      </c>
      <c r="B59" s="232"/>
      <c r="C59" s="246"/>
      <c r="D59" s="227"/>
      <c r="E59" s="227"/>
      <c r="F59" s="227"/>
      <c r="G59" s="253">
        <f>+COUNTIF('Semana 6 del 25 al 1 '!$C$4:$C$198,'Clientes y sus pedidos'!A59)</f>
        <v>1</v>
      </c>
      <c r="H59" s="227">
        <f>+COUNTIF('Semana 7 del 02 al 9  '!C54:C268,'Clientes y sus pedidos'!A59)</f>
        <v>0</v>
      </c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</row>
    <row r="60" spans="1:21" x14ac:dyDescent="0.25">
      <c r="A60" s="234" t="s">
        <v>2649</v>
      </c>
      <c r="B60" s="232"/>
      <c r="C60" s="246"/>
      <c r="D60" s="253">
        <f>+COUNTIF('Semana 3 del 4 - 10 sep'!$C$1:$C$124,'Clientes y sus pedidos'!A60)</f>
        <v>1</v>
      </c>
      <c r="E60" s="227">
        <f>+COUNTIF('Semana 4 del 11 al 18'!$C$3:$C$205,'Clientes y sus pedidos'!A60)</f>
        <v>0</v>
      </c>
      <c r="F60" s="227">
        <f>+COUNTIF('Semana 5 del 18 al 24'!$C$1:$C$224,'Clientes y sus pedidos'!A60)</f>
        <v>0</v>
      </c>
      <c r="G60" s="227">
        <f>+COUNTIF('Semana 6 del 25 al 1 '!$C$4:$C$198,'Clientes y sus pedidos'!A60)</f>
        <v>0</v>
      </c>
      <c r="H60" s="227">
        <f>+COUNTIF('Semana 7 del 02 al 9  '!C55:C269,'Clientes y sus pedidos'!A60)</f>
        <v>0</v>
      </c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</row>
    <row r="61" spans="1:21" x14ac:dyDescent="0.25">
      <c r="A61" s="234" t="s">
        <v>2644</v>
      </c>
      <c r="B61" s="232">
        <f>+COUNTIF('Semana 1 del 21 al 27 de agost'!$C$2:$C$72,'Clientes y sus pedidos'!A61)</f>
        <v>0</v>
      </c>
      <c r="C61" s="246">
        <f>+COUNTIF('Semana 2 del 28 al 3 de sep'!$C$1:$C$119,'Clientes y sus pedidos'!A61)</f>
        <v>0</v>
      </c>
      <c r="D61" s="253">
        <f>+COUNTIF('Semana 3 del 4 - 10 sep'!$C$1:$C$124,'Clientes y sus pedidos'!A61)</f>
        <v>1</v>
      </c>
      <c r="E61" s="253">
        <f>+COUNTIF('Semana 4 del 11 al 18'!$C$3:$C$205,'Clientes y sus pedidos'!A61)</f>
        <v>5</v>
      </c>
      <c r="F61" s="227">
        <f>+COUNTIF('Semana 5 del 18 al 24'!$C$1:$C$224,'Clientes y sus pedidos'!A61)</f>
        <v>0</v>
      </c>
      <c r="G61" s="253">
        <f>+COUNTIF('Semana 6 del 25 al 1 '!$C$4:$C$198,'Clientes y sus pedidos'!A61)</f>
        <v>5</v>
      </c>
      <c r="H61" s="227">
        <f>+COUNTIF('Semana 7 del 02 al 9  '!C56:C270,'Clientes y sus pedidos'!A61)</f>
        <v>0</v>
      </c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</row>
    <row r="62" spans="1:21" x14ac:dyDescent="0.25">
      <c r="A62" s="234" t="s">
        <v>3101</v>
      </c>
      <c r="B62" s="232"/>
      <c r="C62" s="246"/>
      <c r="D62" s="253">
        <f>+COUNTIF('Semana 3 del 4 - 10 sep'!$C$1:$C$124,'Clientes y sus pedidos'!A62)</f>
        <v>1</v>
      </c>
      <c r="E62" s="253">
        <f>+COUNTIF('Semana 4 del 11 al 18'!$C$3:$C$205,'Clientes y sus pedidos'!A62)</f>
        <v>3</v>
      </c>
      <c r="F62" s="253">
        <f>+COUNTIF('Semana 5 del 18 al 24'!$C$1:$C$224,'Clientes y sus pedidos'!A62)</f>
        <v>1</v>
      </c>
      <c r="G62" s="253">
        <f>+COUNTIF('Semana 6 del 25 al 1 '!$C$4:$C$198,'Clientes y sus pedidos'!A62)</f>
        <v>1</v>
      </c>
      <c r="H62" s="227">
        <f>+COUNTIF('Semana 7 del 02 al 9  '!C57:C271,'Clientes y sus pedidos'!A62)</f>
        <v>1</v>
      </c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</row>
    <row r="63" spans="1:21" x14ac:dyDescent="0.25">
      <c r="A63" s="234" t="s">
        <v>2464</v>
      </c>
      <c r="B63" s="231">
        <f>+COUNTIF('Semana 1 del 21 al 27 de agost'!$C$2:$C$72,'Clientes y sus pedidos'!A63)</f>
        <v>1</v>
      </c>
      <c r="C63" s="246">
        <f>+COUNTIF('Semana 2 del 28 al 3 de sep'!$C$1:$C$119,'Clientes y sus pedidos'!A63)</f>
        <v>0</v>
      </c>
      <c r="D63" s="253">
        <f>+COUNTIF('Semana 3 del 4 - 10 sep'!$C$1:$C$124,'Clientes y sus pedidos'!A63)</f>
        <v>3</v>
      </c>
      <c r="E63" s="253">
        <f>+COUNTIF('Semana 4 del 11 al 18'!$C$3:$C$205,'Clientes y sus pedidos'!A63)</f>
        <v>4</v>
      </c>
      <c r="F63" s="253">
        <f>+COUNTIF('Semana 5 del 18 al 24'!$C$1:$C$224,'Clientes y sus pedidos'!A63)</f>
        <v>3</v>
      </c>
      <c r="G63" s="253">
        <f>+COUNTIF('Semana 6 del 25 al 1 '!$C$4:$C$198,'Clientes y sus pedidos'!A63)</f>
        <v>5</v>
      </c>
      <c r="H63" s="227">
        <f>+COUNTIF('Semana 7 del 02 al 9  '!C58:C272,'Clientes y sus pedidos'!A63)</f>
        <v>1</v>
      </c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</row>
    <row r="64" spans="1:21" x14ac:dyDescent="0.25">
      <c r="A64" s="234" t="s">
        <v>2305</v>
      </c>
      <c r="B64" s="232">
        <f>+COUNTIF('Semana 1 del 21 al 27 de agost'!$C$2:$C$72,'Clientes y sus pedidos'!A64)</f>
        <v>0</v>
      </c>
      <c r="C64" s="246">
        <f>+COUNTIF('Semana 2 del 28 al 3 de sep'!$C$1:$C$119,'Clientes y sus pedidos'!A64)</f>
        <v>0</v>
      </c>
      <c r="D64" s="227">
        <f>+COUNTIF('Semana 3 del 4 - 10 sep'!$C$1:$C$124,'Clientes y sus pedidos'!A64)</f>
        <v>0</v>
      </c>
      <c r="E64" s="227">
        <f>+COUNTIF('Semana 4 del 11 al 18'!$C$3:$C$205,'Clientes y sus pedidos'!A64)</f>
        <v>0</v>
      </c>
      <c r="F64" s="227">
        <f>+COUNTIF('Semana 5 del 18 al 24'!$C$1:$C$224,'Clientes y sus pedidos'!A64)</f>
        <v>0</v>
      </c>
      <c r="G64" s="227">
        <f>+COUNTIF('Semana 6 del 25 al 1 '!$C$4:$C$198,'Clientes y sus pedidos'!A64)</f>
        <v>0</v>
      </c>
      <c r="H64" s="227">
        <f>+COUNTIF('Semana 7 del 02 al 9  '!C59:C273,'Clientes y sus pedidos'!A64)</f>
        <v>0</v>
      </c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</row>
    <row r="65" spans="1:21" x14ac:dyDescent="0.25">
      <c r="A65" s="234" t="s">
        <v>2485</v>
      </c>
      <c r="B65" s="231">
        <f>+COUNTIF('Semana 1 del 21 al 27 de agost'!$C20:$C106,'Clientes y sus pedidos'!A65)</f>
        <v>1</v>
      </c>
      <c r="C65" s="236">
        <f>+COUNTIF('Semana 2 del 28 al 3 de sep'!$C$1:$C$119,'Clientes y sus pedidos'!A65)</f>
        <v>3</v>
      </c>
      <c r="D65" s="253">
        <f>+COUNTIF('Semana 3 del 4 - 10 sep'!$C$1:$C$124,'Clientes y sus pedidos'!A65)</f>
        <v>3</v>
      </c>
      <c r="E65" s="227">
        <f>+COUNTIF('Semana 4 del 11 al 18'!$C$3:$C$205,'Clientes y sus pedidos'!A65)</f>
        <v>0</v>
      </c>
      <c r="F65" s="227">
        <f>+COUNTIF('Semana 5 del 18 al 24'!$C$1:$C$224,'Clientes y sus pedidos'!A65)</f>
        <v>0</v>
      </c>
      <c r="G65" s="227">
        <f>+COUNTIF('Semana 6 del 25 al 1 '!$C$4:$C$198,'Clientes y sus pedidos'!A65)</f>
        <v>0</v>
      </c>
      <c r="H65" s="227">
        <f>+COUNTIF('Semana 7 del 02 al 9  '!C60:C274,'Clientes y sus pedidos'!A65)</f>
        <v>0</v>
      </c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</row>
    <row r="66" spans="1:21" x14ac:dyDescent="0.25">
      <c r="A66" s="234" t="s">
        <v>933</v>
      </c>
      <c r="B66" s="232">
        <f>+COUNTIF('Semana 1 del 21 al 27 de agost'!$C$2:$C$72,'Clientes y sus pedidos'!A66)</f>
        <v>0</v>
      </c>
      <c r="C66" s="236">
        <f>+COUNTIF('Semana 2 del 28 al 3 de sep'!$C$1:$C$119,'Clientes y sus pedidos'!A66)</f>
        <v>5</v>
      </c>
      <c r="D66" s="227">
        <f>+COUNTIF('Semana 3 del 4 - 10 sep'!$C$1:$C$124,'Clientes y sus pedidos'!A66)</f>
        <v>0</v>
      </c>
      <c r="E66" s="253">
        <f>+COUNTIF('Semana 4 del 11 al 18'!$C$3:$C$205,'Clientes y sus pedidos'!A66)</f>
        <v>5</v>
      </c>
      <c r="F66" s="253">
        <f>+COUNTIF('Semana 5 del 18 al 24'!$C$1:$C$224,'Clientes y sus pedidos'!A66)</f>
        <v>7</v>
      </c>
      <c r="G66" s="253">
        <f>+COUNTIF('Semana 6 del 25 al 1 '!$C$4:$C$198,'Clientes y sus pedidos'!A66)</f>
        <v>5</v>
      </c>
      <c r="H66" s="227">
        <f>+COUNTIF('Semana 7 del 02 al 9  '!C61:C275,'Clientes y sus pedidos'!A66)</f>
        <v>4</v>
      </c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</row>
    <row r="67" spans="1:21" x14ac:dyDescent="0.25">
      <c r="A67" s="234" t="s">
        <v>2897</v>
      </c>
      <c r="B67" s="232">
        <f>+COUNTIF('Semana 1 del 21 al 27 de agost'!$C$2:$C$72,'Clientes y sus pedidos'!A67)</f>
        <v>0</v>
      </c>
      <c r="C67" s="246">
        <f>+COUNTIF('Semana 2 del 28 al 3 de sep'!$C$1:$C$119,'Clientes y sus pedidos'!A67)</f>
        <v>0</v>
      </c>
      <c r="D67" s="227">
        <f>+COUNTIF('Semana 3 del 4 - 10 sep'!$C$1:$C$124,'Clientes y sus pedidos'!A67)</f>
        <v>0</v>
      </c>
      <c r="E67" s="253">
        <f>+COUNTIF('Semana 4 del 11 al 18'!$C$3:$C$205,'Clientes y sus pedidos'!A67)</f>
        <v>2</v>
      </c>
      <c r="F67" s="227">
        <f>+COUNTIF('Semana 5 del 18 al 24'!$C$1:$C$224,'Clientes y sus pedidos'!A67)</f>
        <v>0</v>
      </c>
      <c r="G67" s="253">
        <f>+COUNTIF('Semana 6 del 25 al 1 '!$C$4:$C$198,'Clientes y sus pedidos'!A67)</f>
        <v>1</v>
      </c>
      <c r="H67" s="227">
        <f>+COUNTIF('Semana 7 del 02 al 9  '!C62:C276,'Clientes y sus pedidos'!A67)</f>
        <v>0</v>
      </c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</row>
    <row r="68" spans="1:21" x14ac:dyDescent="0.25">
      <c r="A68" s="234" t="s">
        <v>1143</v>
      </c>
      <c r="B68" s="232"/>
      <c r="C68" s="246"/>
      <c r="D68" s="227"/>
      <c r="E68" s="253">
        <f>+COUNTIF('Semana 4 del 11 al 18'!$C$3:$C$205,'Clientes y sus pedidos'!A68)</f>
        <v>1</v>
      </c>
      <c r="F68" s="227">
        <f>+COUNTIF('Semana 5 del 18 al 24'!$C$1:$C$224,'Clientes y sus pedidos'!A68)</f>
        <v>0</v>
      </c>
      <c r="G68" s="253">
        <f>+COUNTIF('Semana 6 del 25 al 1 '!$C$4:$C$198,'Clientes y sus pedidos'!A68)</f>
        <v>1</v>
      </c>
      <c r="H68" s="227">
        <f>+COUNTIF('Semana 7 del 02 al 9  '!C63:C277,'Clientes y sus pedidos'!A68)</f>
        <v>1</v>
      </c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</row>
    <row r="69" spans="1:21" x14ac:dyDescent="0.25">
      <c r="A69" s="234" t="s">
        <v>3383</v>
      </c>
      <c r="B69" s="231">
        <f>+COUNTIF('Semana 1 del 21 al 27 de agost'!$C$2:$C$72,'Clientes y sus pedidos'!A69)</f>
        <v>1</v>
      </c>
      <c r="C69" s="246">
        <f>+COUNTIF('Semana 2 del 28 al 3 de sep'!$C$1:$C$119,'Clientes y sus pedidos'!A69)</f>
        <v>0</v>
      </c>
      <c r="D69" s="227">
        <f>+COUNTIF('Semana 3 del 4 - 10 sep'!$C$1:$C$124,'Clientes y sus pedidos'!A69)</f>
        <v>0</v>
      </c>
      <c r="E69" s="227">
        <f>+COUNTIF('Semana 4 del 11 al 18'!$C$3:$C$205,'Clientes y sus pedidos'!A69)</f>
        <v>0</v>
      </c>
      <c r="F69" s="253">
        <f>+COUNTIF('Semana 5 del 18 al 24'!$C$1:$C$224,'Clientes y sus pedidos'!A69)</f>
        <v>1</v>
      </c>
      <c r="G69" s="253">
        <f>+COUNTIF('Semana 6 del 25 al 1 '!$C$4:$C$198,'Clientes y sus pedidos'!A69)</f>
        <v>1</v>
      </c>
      <c r="H69" s="227">
        <f>+COUNTIF('Semana 7 del 02 al 9  '!C64:C278,'Clientes y sus pedidos'!A69)</f>
        <v>0</v>
      </c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</row>
    <row r="70" spans="1:21" x14ac:dyDescent="0.25">
      <c r="A70" s="234" t="s">
        <v>2306</v>
      </c>
      <c r="B70" s="232">
        <f>+COUNTIF('Semana 1 del 21 al 27 de agost'!$C$2:$C$72,'Clientes y sus pedidos'!A70)</f>
        <v>0</v>
      </c>
      <c r="C70" s="246">
        <f>+COUNTIF('Semana 2 del 28 al 3 de sep'!$C$1:$C$119,'Clientes y sus pedidos'!A70)</f>
        <v>0</v>
      </c>
      <c r="D70" s="227">
        <f>+COUNTIF('Semana 3 del 4 - 10 sep'!$C$1:$C$124,'Clientes y sus pedidos'!A70)</f>
        <v>0</v>
      </c>
      <c r="E70" s="227">
        <f>+COUNTIF('Semana 4 del 11 al 18'!$C$3:$C$205,'Clientes y sus pedidos'!A70)</f>
        <v>0</v>
      </c>
      <c r="F70" s="227">
        <f>+COUNTIF('Semana 5 del 18 al 24'!$C$1:$C$224,'Clientes y sus pedidos'!A70)</f>
        <v>0</v>
      </c>
      <c r="G70" s="227">
        <f>+COUNTIF('Semana 6 del 25 al 1 '!$C$4:$C$198,'Clientes y sus pedidos'!A70)</f>
        <v>0</v>
      </c>
      <c r="H70" s="227">
        <f>+COUNTIF('Semana 7 del 02 al 9  '!C65:C279,'Clientes y sus pedidos'!A70)</f>
        <v>0</v>
      </c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</row>
    <row r="71" spans="1:21" x14ac:dyDescent="0.25">
      <c r="A71" s="234" t="s">
        <v>3095</v>
      </c>
      <c r="B71" s="232">
        <f>+COUNTIF('Semana 1 del 21 al 27 de agost'!$C$2:$C$72,'Clientes y sus pedidos'!A71)</f>
        <v>0</v>
      </c>
      <c r="C71" s="246">
        <f>+COUNTIF('Semana 2 del 28 al 3 de sep'!$C$1:$C$119,'Clientes y sus pedidos'!A71)</f>
        <v>0</v>
      </c>
      <c r="D71" s="253">
        <f>+COUNTIF('Semana 3 del 4 - 10 sep'!$C$1:$C$124,'Clientes y sus pedidos'!A71)</f>
        <v>1</v>
      </c>
      <c r="E71" s="253">
        <f>+COUNTIF('Semana 4 del 11 al 18'!$C$3:$C$205,'Clientes y sus pedidos'!A71)</f>
        <v>1</v>
      </c>
      <c r="F71" s="253">
        <f>+COUNTIF('Semana 5 del 18 al 24'!$C$1:$C$224,'Clientes y sus pedidos'!A71)</f>
        <v>1</v>
      </c>
      <c r="G71" s="227">
        <f>+COUNTIF('Semana 6 del 25 al 1 '!$C$4:$C$198,'Clientes y sus pedidos'!A71)</f>
        <v>0</v>
      </c>
      <c r="H71" s="227">
        <f>+COUNTIF('Semana 7 del 02 al 9  '!C66:C280,'Clientes y sus pedidos'!A71)</f>
        <v>0</v>
      </c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</row>
    <row r="72" spans="1:21" x14ac:dyDescent="0.25">
      <c r="A72" s="234" t="s">
        <v>2637</v>
      </c>
      <c r="B72" s="232">
        <f>+COUNTIF('Semana 1 del 21 al 27 de agost'!$C$2:$C$72,'Clientes y sus pedidos'!A72)</f>
        <v>0</v>
      </c>
      <c r="C72" s="236">
        <f>+COUNTIF('Semana 2 del 28 al 3 de sep'!$C$1:$C$119,'Clientes y sus pedidos'!A72)</f>
        <v>0</v>
      </c>
      <c r="D72" s="253">
        <f>+COUNTIF('Semana 3 del 4 - 10 sep'!$C$1:$C$124,'Clientes y sus pedidos'!A72)</f>
        <v>9</v>
      </c>
      <c r="E72" s="253">
        <f>+COUNTIF('Semana 4 del 11 al 18'!$C$3:$C$205,'Clientes y sus pedidos'!A72)</f>
        <v>4</v>
      </c>
      <c r="F72" s="253">
        <f>+COUNTIF('Semana 5 del 18 al 24'!$C$1:$C$224,'Clientes y sus pedidos'!A72)</f>
        <v>2</v>
      </c>
      <c r="G72" s="253">
        <f>+COUNTIF('Semana 6 del 25 al 1 '!$C$4:$C$198,'Clientes y sus pedidos'!A72)</f>
        <v>1</v>
      </c>
      <c r="H72" s="227">
        <f>+COUNTIF('Semana 7 del 02 al 9  '!C67:C281,'Clientes y sus pedidos'!A72)</f>
        <v>3</v>
      </c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</row>
    <row r="73" spans="1:21" x14ac:dyDescent="0.25">
      <c r="A73" s="234" t="s">
        <v>2128</v>
      </c>
      <c r="B73" s="232">
        <f>+COUNTIF('Semana 1 del 21 al 27 de agost'!$C$2:$C$72,'Clientes y sus pedidos'!A73)</f>
        <v>0</v>
      </c>
      <c r="C73" s="246">
        <f>+COUNTIF('Semana 2 del 28 al 3 de sep'!$C$1:$C$119,'Clientes y sus pedidos'!A73)</f>
        <v>0</v>
      </c>
      <c r="D73" s="227">
        <f>+COUNTIF('Semana 3 del 4 - 10 sep'!$C$1:$C$124,'Clientes y sus pedidos'!A73)</f>
        <v>0</v>
      </c>
      <c r="E73" s="227">
        <f>+COUNTIF('Semana 4 del 11 al 18'!$C$3:$C$205,'Clientes y sus pedidos'!A73)</f>
        <v>0</v>
      </c>
      <c r="F73" s="227">
        <f>+COUNTIF('Semana 5 del 18 al 24'!$C$1:$C$224,'Clientes y sus pedidos'!A73)</f>
        <v>0</v>
      </c>
      <c r="G73" s="227">
        <f>+COUNTIF('Semana 6 del 25 al 1 '!$C$4:$C$198,'Clientes y sus pedidos'!A73)</f>
        <v>0</v>
      </c>
      <c r="H73" s="227">
        <f>+COUNTIF('Semana 7 del 02 al 9  '!C68:C282,'Clientes y sus pedidos'!A73)</f>
        <v>0</v>
      </c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</row>
    <row r="74" spans="1:21" x14ac:dyDescent="0.25">
      <c r="A74" s="234" t="s">
        <v>3680</v>
      </c>
      <c r="B74" s="232"/>
      <c r="C74" s="246"/>
      <c r="D74" s="227"/>
      <c r="E74" s="227"/>
      <c r="F74" s="227"/>
      <c r="G74" s="253">
        <f>+COUNTIF('Semana 6 del 25 al 1 '!$C$4:$C$198,'Clientes y sus pedidos'!A74)</f>
        <v>1</v>
      </c>
      <c r="H74" s="227">
        <f>+COUNTIF('Semana 7 del 02 al 9  '!C69:C283,'Clientes y sus pedidos'!A74)</f>
        <v>0</v>
      </c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</row>
    <row r="75" spans="1:21" x14ac:dyDescent="0.25">
      <c r="A75" s="234" t="s">
        <v>2486</v>
      </c>
      <c r="B75" s="231">
        <f>+COUNTIF('Semana 1 del 21 al 27 de agost'!$C$2:$C$72,'Clientes y sus pedidos'!A75)</f>
        <v>1</v>
      </c>
      <c r="C75" s="236">
        <f>+COUNTIF('Semana 2 del 28 al 3 de sep'!$C$1:$C$119,'Clientes y sus pedidos'!A75)</f>
        <v>1</v>
      </c>
      <c r="D75" s="253">
        <f>+COUNTIF('Semana 3 del 4 - 10 sep'!$C$1:$C$124,'Clientes y sus pedidos'!A75)</f>
        <v>1</v>
      </c>
      <c r="E75" s="253">
        <f>+COUNTIF('Semana 4 del 11 al 18'!$C$3:$C$205,'Clientes y sus pedidos'!A75)</f>
        <v>1</v>
      </c>
      <c r="F75" s="227">
        <f>+COUNTIF('Semana 5 del 18 al 24'!$C$1:$C$224,'Clientes y sus pedidos'!A75)</f>
        <v>0</v>
      </c>
      <c r="G75" s="227">
        <f>+COUNTIF('Semana 6 del 25 al 1 '!$C$4:$C$198,'Clientes y sus pedidos'!A75)</f>
        <v>0</v>
      </c>
      <c r="H75" s="227">
        <f>+COUNTIF('Semana 7 del 02 al 9  '!C70:C284,'Clientes y sus pedidos'!A75)</f>
        <v>0</v>
      </c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</row>
    <row r="76" spans="1:21" x14ac:dyDescent="0.25">
      <c r="A76" s="234" t="s">
        <v>2229</v>
      </c>
      <c r="B76" s="232">
        <f>+COUNTIF('Semana 1 del 21 al 27 de agost'!$C$2:$C$72,'Clientes y sus pedidos'!A76)</f>
        <v>0</v>
      </c>
      <c r="C76" s="246">
        <f>+COUNTIF('Semana 2 del 28 al 3 de sep'!$C$1:$C$119,'Clientes y sus pedidos'!A76)</f>
        <v>0</v>
      </c>
      <c r="D76" s="227">
        <f>+COUNTIF('Semana 3 del 4 - 10 sep'!$C$1:$C$124,'Clientes y sus pedidos'!A76)</f>
        <v>0</v>
      </c>
      <c r="E76" s="227">
        <f>+COUNTIF('Semana 4 del 11 al 18'!$C$3:$C$205,'Clientes y sus pedidos'!A76)</f>
        <v>0</v>
      </c>
      <c r="F76" s="227">
        <f>+COUNTIF('Semana 5 del 18 al 24'!$C$1:$C$224,'Clientes y sus pedidos'!A76)</f>
        <v>0</v>
      </c>
      <c r="G76" s="227">
        <f>+COUNTIF('Semana 6 del 25 al 1 '!$C$4:$C$198,'Clientes y sus pedidos'!A76)</f>
        <v>0</v>
      </c>
      <c r="H76" s="227">
        <f>+COUNTIF('Semana 7 del 02 al 9  '!C71:C285,'Clientes y sus pedidos'!A76)</f>
        <v>0</v>
      </c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</row>
    <row r="77" spans="1:21" x14ac:dyDescent="0.25">
      <c r="A77" s="234" t="s">
        <v>3812</v>
      </c>
      <c r="B77" s="232"/>
      <c r="C77" s="246"/>
      <c r="D77" s="227"/>
      <c r="E77" s="227"/>
      <c r="F77" s="227"/>
      <c r="G77" s="253">
        <f>+COUNTIF('Semana 6 del 25 al 1 '!$C$4:$C$198,'Clientes y sus pedidos'!A77)</f>
        <v>1</v>
      </c>
      <c r="H77" s="227">
        <f>+COUNTIF('Semana 7 del 02 al 9  '!C72:C286,'Clientes y sus pedidos'!A77)</f>
        <v>0</v>
      </c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</row>
    <row r="78" spans="1:21" x14ac:dyDescent="0.25">
      <c r="A78" s="234" t="s">
        <v>3524</v>
      </c>
      <c r="B78" s="232"/>
      <c r="C78" s="246"/>
      <c r="D78" s="227"/>
      <c r="E78" s="227"/>
      <c r="F78" s="227"/>
      <c r="G78" s="253">
        <f>+COUNTIF('Semana 6 del 25 al 1 '!$C$4:$C$198,'Clientes y sus pedidos'!A78)</f>
        <v>1</v>
      </c>
      <c r="H78" s="227">
        <f>+COUNTIF('Semana 7 del 02 al 9  '!C73:C287,'Clientes y sus pedidos'!A78)</f>
        <v>0</v>
      </c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</row>
    <row r="79" spans="1:21" x14ac:dyDescent="0.25">
      <c r="A79" s="234" t="s">
        <v>3377</v>
      </c>
      <c r="B79" s="232"/>
      <c r="C79" s="246"/>
      <c r="D79" s="227"/>
      <c r="E79" s="253">
        <f>+COUNTIF('Semana 4 del 11 al 18'!$C$3:$C$205,'Clientes y sus pedidos'!A79)</f>
        <v>1</v>
      </c>
      <c r="F79" s="227">
        <f>+COUNTIF('Semana 5 del 18 al 24'!$C$1:$C$224,'Clientes y sus pedidos'!A79)</f>
        <v>0</v>
      </c>
      <c r="G79" s="227">
        <f>+COUNTIF('Semana 6 del 25 al 1 '!$C$4:$C$198,'Clientes y sus pedidos'!A79)</f>
        <v>0</v>
      </c>
      <c r="H79" s="227">
        <f>+COUNTIF('Semana 7 del 02 al 9  '!C74:C288,'Clientes y sus pedidos'!A79)</f>
        <v>0</v>
      </c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</row>
    <row r="80" spans="1:21" x14ac:dyDescent="0.25">
      <c r="A80" s="234" t="s">
        <v>2577</v>
      </c>
      <c r="B80" s="232"/>
      <c r="C80" s="246"/>
      <c r="D80" s="227"/>
      <c r="E80" s="253">
        <f>+COUNTIF('Semana 4 del 11 al 18'!$C$3:$C$205,'Clientes y sus pedidos'!A80)</f>
        <v>1</v>
      </c>
      <c r="F80" s="253">
        <f>+COUNTIF('Semana 5 del 18 al 24'!$C$1:$C$224,'Clientes y sus pedidos'!A80)</f>
        <v>1</v>
      </c>
      <c r="G80" s="227">
        <f>+COUNTIF('Semana 6 del 25 al 1 '!$C$4:$C$198,'Clientes y sus pedidos'!A80)</f>
        <v>0</v>
      </c>
      <c r="H80" s="227">
        <f>+COUNTIF('Semana 7 del 02 al 9  '!C75:C289,'Clientes y sus pedidos'!A80)</f>
        <v>0</v>
      </c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</row>
    <row r="81" spans="1:21" x14ac:dyDescent="0.25">
      <c r="A81" s="234" t="s">
        <v>3384</v>
      </c>
      <c r="B81" s="232"/>
      <c r="C81" s="246"/>
      <c r="D81" s="227"/>
      <c r="E81" s="227"/>
      <c r="F81" s="253">
        <f>+COUNTIF('Semana 5 del 18 al 24'!$C$1:$C$224,'Clientes y sus pedidos'!A81)</f>
        <v>1</v>
      </c>
      <c r="G81" s="227">
        <f>+COUNTIF('Semana 6 del 25 al 1 '!$C$4:$C$198,'Clientes y sus pedidos'!A81)</f>
        <v>0</v>
      </c>
      <c r="H81" s="227">
        <f>+COUNTIF('Semana 7 del 02 al 9  '!C76:C290,'Clientes y sus pedidos'!A81)</f>
        <v>0</v>
      </c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</row>
    <row r="82" spans="1:21" x14ac:dyDescent="0.25">
      <c r="A82" s="234" t="s">
        <v>3380</v>
      </c>
      <c r="B82" s="232"/>
      <c r="C82" s="246"/>
      <c r="D82" s="227"/>
      <c r="E82" s="253">
        <f>+COUNTIF('Semana 4 del 11 al 18'!$C$3:$C$205,'Clientes y sus pedidos'!A82)</f>
        <v>1</v>
      </c>
      <c r="F82" s="253">
        <f>+COUNTIF('Semana 5 del 18 al 24'!$C$1:$C$224,'Clientes y sus pedidos'!A82)</f>
        <v>1</v>
      </c>
      <c r="G82" s="227">
        <f>+COUNTIF('Semana 6 del 25 al 1 '!$C$4:$C$198,'Clientes y sus pedidos'!A82)</f>
        <v>0</v>
      </c>
      <c r="H82" s="227">
        <f>+COUNTIF('Semana 7 del 02 al 9  '!C77:C291,'Clientes y sus pedidos'!A82)</f>
        <v>0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</row>
    <row r="83" spans="1:21" x14ac:dyDescent="0.25">
      <c r="A83" s="234" t="s">
        <v>3110</v>
      </c>
      <c r="B83" s="232"/>
      <c r="C83" s="246"/>
      <c r="D83" s="227"/>
      <c r="E83" s="253">
        <f>+COUNTIF('Semana 4 del 11 al 18'!$C$3:$C$205,'Clientes y sus pedidos'!A83)</f>
        <v>1</v>
      </c>
      <c r="F83" s="227">
        <f>+COUNTIF('Semana 5 del 18 al 24'!$C$1:$C$224,'Clientes y sus pedidos'!A83)</f>
        <v>0</v>
      </c>
      <c r="G83" s="227">
        <f>+COUNTIF('Semana 6 del 25 al 1 '!$C$4:$C$198,'Clientes y sus pedidos'!A83)</f>
        <v>0</v>
      </c>
      <c r="H83" s="227">
        <f>+COUNTIF('Semana 7 del 02 al 9  '!C78:C292,'Clientes y sus pedidos'!A83)</f>
        <v>0</v>
      </c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</row>
    <row r="84" spans="1:21" x14ac:dyDescent="0.25">
      <c r="A84" s="234" t="s">
        <v>2307</v>
      </c>
      <c r="B84" s="232">
        <f>+COUNTIF('Semana 1 del 21 al 27 de agost'!$C$2:$C$72,'Clientes y sus pedidos'!A84)</f>
        <v>0</v>
      </c>
      <c r="C84" s="246">
        <f>+COUNTIF('Semana 2 del 28 al 3 de sep'!$C$1:$C$119,'Clientes y sus pedidos'!A84)</f>
        <v>0</v>
      </c>
      <c r="D84" s="227">
        <f>+COUNTIF('Semana 3 del 4 - 10 sep'!$C$1:$C$124,'Clientes y sus pedidos'!A84)</f>
        <v>0</v>
      </c>
      <c r="E84" s="227">
        <f>+COUNTIF('Semana 4 del 11 al 18'!$C$3:$C$205,'Clientes y sus pedidos'!A84)</f>
        <v>0</v>
      </c>
      <c r="F84" s="227">
        <f>+COUNTIF('Semana 5 del 18 al 24'!$C$1:$C$224,'Clientes y sus pedidos'!A84)</f>
        <v>0</v>
      </c>
      <c r="G84" s="227">
        <f>+COUNTIF('Semana 6 del 25 al 1 '!$C$4:$C$198,'Clientes y sus pedidos'!A84)</f>
        <v>0</v>
      </c>
      <c r="H84" s="227">
        <f>+COUNTIF('Semana 7 del 02 al 9  '!C79:C293,'Clientes y sus pedidos'!A84)</f>
        <v>0</v>
      </c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</row>
    <row r="85" spans="1:21" x14ac:dyDescent="0.25">
      <c r="A85" s="234" t="s">
        <v>2974</v>
      </c>
      <c r="B85" s="231">
        <f>+COUNTIF('Semana 1 del 21 al 27 de agost'!$C$2:$C$72,'Clientes y sus pedidos'!A85)</f>
        <v>2</v>
      </c>
      <c r="C85" s="246">
        <f>+COUNTIF('Semana 2 del 28 al 3 de sep'!$C$1:$C$119,'Clientes y sus pedidos'!A85)</f>
        <v>0</v>
      </c>
      <c r="D85" s="227">
        <f>+COUNTIF('Semana 3 del 4 - 10 sep'!$C$1:$C$124,'Clientes y sus pedidos'!A85)</f>
        <v>0</v>
      </c>
      <c r="E85" s="253">
        <f>+COUNTIF('Semana 4 del 11 al 18'!$C$3:$C$205,'Clientes y sus pedidos'!A85)</f>
        <v>1</v>
      </c>
      <c r="F85" s="253">
        <f>+COUNTIF('Semana 5 del 18 al 24'!$C$1:$C$224,'Clientes y sus pedidos'!A85)</f>
        <v>1</v>
      </c>
      <c r="G85" s="227">
        <f>+COUNTIF('Semana 6 del 25 al 1 '!$C$4:$C$198,'Clientes y sus pedidos'!A85)</f>
        <v>0</v>
      </c>
      <c r="H85" s="227">
        <f>+COUNTIF('Semana 7 del 02 al 9  '!C80:C294,'Clientes y sus pedidos'!A85)</f>
        <v>0</v>
      </c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</row>
    <row r="86" spans="1:21" x14ac:dyDescent="0.25">
      <c r="A86" s="234" t="s">
        <v>64</v>
      </c>
      <c r="B86" s="232"/>
      <c r="C86" s="246"/>
      <c r="D86" s="253">
        <f>+COUNTIF('Semana 3 del 4 - 10 sep'!$C$1:$C$124,'Clientes y sus pedidos'!A86)</f>
        <v>1</v>
      </c>
      <c r="E86" s="227">
        <f>+COUNTIF('Semana 4 del 11 al 18'!$C$3:$C$205,'Clientes y sus pedidos'!A86)</f>
        <v>0</v>
      </c>
      <c r="F86" s="227">
        <f>+COUNTIF('Semana 5 del 18 al 24'!$C$1:$C$224,'Clientes y sus pedidos'!A86)</f>
        <v>0</v>
      </c>
      <c r="G86" s="227">
        <f>+COUNTIF('Semana 6 del 25 al 1 '!$C$4:$C$198,'Clientes y sus pedidos'!A86)</f>
        <v>0</v>
      </c>
      <c r="H86" s="227">
        <f>+COUNTIF('Semana 7 del 02 al 9  '!C81:C295,'Clientes y sus pedidos'!A86)</f>
        <v>0</v>
      </c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</row>
    <row r="87" spans="1:21" s="128" customFormat="1" x14ac:dyDescent="0.25">
      <c r="A87" s="234" t="s">
        <v>635</v>
      </c>
      <c r="B87" s="232"/>
      <c r="C87" s="246"/>
      <c r="D87" s="227"/>
      <c r="E87" s="253">
        <f>+COUNTIF('Semana 4 del 11 al 18'!$C$3:$C$205,'Clientes y sus pedidos'!A87)</f>
        <v>1</v>
      </c>
      <c r="F87" s="227">
        <f>+COUNTIF('Semana 5 del 18 al 24'!$C$1:$C$224,'Clientes y sus pedidos'!A87)</f>
        <v>0</v>
      </c>
      <c r="G87" s="253">
        <f>+COUNTIF('Semana 6 del 25 al 1 '!$C$4:$C$198,'Clientes y sus pedidos'!A87)</f>
        <v>1</v>
      </c>
      <c r="H87" s="227">
        <f>+COUNTIF('Semana 7 del 02 al 9  '!C82:C296,'Clientes y sus pedidos'!A87)</f>
        <v>0</v>
      </c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</row>
    <row r="88" spans="1:21" s="128" customFormat="1" x14ac:dyDescent="0.25">
      <c r="A88" s="234" t="s">
        <v>344</v>
      </c>
      <c r="B88" s="232"/>
      <c r="C88" s="246"/>
      <c r="D88" s="227"/>
      <c r="E88" s="253">
        <f>+COUNTIF('Semana 4 del 11 al 18'!$C$3:$C$205,'Clientes y sus pedidos'!A88)</f>
        <v>1</v>
      </c>
      <c r="F88" s="253">
        <f>+COUNTIF('Semana 5 del 18 al 24'!$C$1:$C$224,'Clientes y sus pedidos'!A88)</f>
        <v>1</v>
      </c>
      <c r="G88" s="227">
        <f>+COUNTIF('Semana 6 del 25 al 1 '!$C$4:$C$198,'Clientes y sus pedidos'!A88)</f>
        <v>0</v>
      </c>
      <c r="H88" s="227">
        <f>+COUNTIF('Semana 7 del 02 al 9  '!C83:C297,'Clientes y sus pedidos'!A88)</f>
        <v>0</v>
      </c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</row>
    <row r="89" spans="1:21" x14ac:dyDescent="0.25">
      <c r="A89" s="234" t="s">
        <v>2308</v>
      </c>
      <c r="B89" s="232">
        <f>+COUNTIF('Semana 1 del 21 al 27 de agost'!$C$2:$C$72,'Clientes y sus pedidos'!A89)</f>
        <v>0</v>
      </c>
      <c r="C89" s="246">
        <f>+COUNTIF('Semana 2 del 28 al 3 de sep'!$C$1:$C$119,'Clientes y sus pedidos'!A89)</f>
        <v>0</v>
      </c>
      <c r="D89" s="227">
        <f>+COUNTIF('Semana 3 del 4 - 10 sep'!$C$1:$C$124,'Clientes y sus pedidos'!A89)</f>
        <v>0</v>
      </c>
      <c r="E89" s="227">
        <f>+COUNTIF('Semana 4 del 11 al 18'!$C$3:$C$205,'Clientes y sus pedidos'!A89)</f>
        <v>0</v>
      </c>
      <c r="F89" s="227">
        <f>+COUNTIF('Semana 5 del 18 al 24'!$C$1:$C$224,'Clientes y sus pedidos'!A89)</f>
        <v>0</v>
      </c>
      <c r="G89" s="227">
        <f>+COUNTIF('Semana 6 del 25 al 1 '!$C$4:$C$198,'Clientes y sus pedidos'!A89)</f>
        <v>0</v>
      </c>
      <c r="H89" s="227">
        <f>+COUNTIF('Semana 7 del 02 al 9  '!C84:C298,'Clientes y sus pedidos'!A89)</f>
        <v>0</v>
      </c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</row>
    <row r="90" spans="1:21" x14ac:dyDescent="0.25">
      <c r="A90" s="234" t="s">
        <v>3846</v>
      </c>
      <c r="B90" s="232"/>
      <c r="C90" s="246"/>
      <c r="D90" s="227"/>
      <c r="E90" s="227"/>
      <c r="F90" s="227"/>
      <c r="G90" s="253">
        <f>+COUNTIF('Semana 6 del 25 al 1 '!$C$4:$C$198,'Clientes y sus pedidos'!A90)</f>
        <v>1</v>
      </c>
      <c r="H90" s="227">
        <f>+COUNTIF('Semana 7 del 02 al 9  '!C85:C299,'Clientes y sus pedidos'!A90)</f>
        <v>0</v>
      </c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</row>
    <row r="91" spans="1:21" x14ac:dyDescent="0.25">
      <c r="A91" s="234" t="s">
        <v>3378</v>
      </c>
      <c r="B91" s="232"/>
      <c r="C91" s="246"/>
      <c r="D91" s="227"/>
      <c r="E91" s="253">
        <f>+COUNTIF('Semana 4 del 11 al 18'!$C$3:$C$205,'Clientes y sus pedidos'!A91)</f>
        <v>1</v>
      </c>
      <c r="F91" s="227">
        <f>+COUNTIF('Semana 5 del 18 al 24'!$C$1:$C$224,'Clientes y sus pedidos'!A91)</f>
        <v>0</v>
      </c>
      <c r="G91" s="227">
        <f>+COUNTIF('Semana 6 del 25 al 1 '!$C$4:$C$198,'Clientes y sus pedidos'!A91)</f>
        <v>0</v>
      </c>
      <c r="H91" s="227">
        <f>+COUNTIF('Semana 7 del 02 al 9  '!C86:C300,'Clientes y sus pedidos'!A91)</f>
        <v>0</v>
      </c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</row>
    <row r="92" spans="1:21" x14ac:dyDescent="0.25">
      <c r="A92" s="234" t="s">
        <v>3100</v>
      </c>
      <c r="B92" s="232">
        <f>+COUNTIF('Semana 1 del 21 al 27 de agost'!$C32:$C118,'Clientes y sus pedidos'!A92)</f>
        <v>0</v>
      </c>
      <c r="C92" s="246">
        <f>+COUNTIF('Semana 2 del 28 al 3 de sep'!$C$1:$C$119,'Clientes y sus pedidos'!A92)</f>
        <v>0</v>
      </c>
      <c r="D92" s="227">
        <f>+COUNTIF('Semana 3 del 4 - 10 sep'!$C$1:$C$124,'Clientes y sus pedidos'!A92)</f>
        <v>0</v>
      </c>
      <c r="E92" s="253">
        <f>+COUNTIF('Semana 4 del 11 al 18'!$C$3:$C$205,'Clientes y sus pedidos'!A92)</f>
        <v>1</v>
      </c>
      <c r="F92" s="253">
        <f>+COUNTIF('Semana 5 del 18 al 24'!$C$1:$C$224,'Clientes y sus pedidos'!A92)</f>
        <v>5</v>
      </c>
      <c r="G92" s="253">
        <f>+COUNTIF('Semana 6 del 25 al 1 '!$C$4:$C$198,'Clientes y sus pedidos'!A92)</f>
        <v>1</v>
      </c>
      <c r="H92" s="227">
        <f>+COUNTIF('Semana 7 del 02 al 9  '!C87:C301,'Clientes y sus pedidos'!A92)</f>
        <v>3</v>
      </c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</row>
    <row r="93" spans="1:21" x14ac:dyDescent="0.25">
      <c r="A93" s="234" t="s">
        <v>2309</v>
      </c>
      <c r="B93" s="232">
        <f>+COUNTIF('Semana 1 del 21 al 27 de agost'!$C$2:$C$72,'Clientes y sus pedidos'!A93)</f>
        <v>0</v>
      </c>
      <c r="C93" s="246">
        <f>+COUNTIF('Semana 2 del 28 al 3 de sep'!$C$1:$C$119,'Clientes y sus pedidos'!A93)</f>
        <v>0</v>
      </c>
      <c r="D93" s="227">
        <f>+COUNTIF('Semana 3 del 4 - 10 sep'!$C$1:$C$124,'Clientes y sus pedidos'!A93)</f>
        <v>0</v>
      </c>
      <c r="E93" s="227">
        <f>+COUNTIF('Semana 4 del 11 al 18'!$C$3:$C$205,'Clientes y sus pedidos'!A93)</f>
        <v>0</v>
      </c>
      <c r="F93" s="227">
        <f>+COUNTIF('Semana 5 del 18 al 24'!$C$1:$C$224,'Clientes y sus pedidos'!A93)</f>
        <v>0</v>
      </c>
      <c r="G93" s="227">
        <f>+COUNTIF('Semana 6 del 25 al 1 '!$C$4:$C$198,'Clientes y sus pedidos'!A93)</f>
        <v>0</v>
      </c>
      <c r="H93" s="227">
        <f>+COUNTIF('Semana 7 del 02 al 9  '!C88:C302,'Clientes y sus pedidos'!A93)</f>
        <v>0</v>
      </c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</row>
    <row r="94" spans="1:21" x14ac:dyDescent="0.25">
      <c r="A94" s="234" t="s">
        <v>82</v>
      </c>
      <c r="B94" s="231">
        <f>+COUNTIF('Semana 1 del 21 al 27 de agost'!$C$2:$C$72,'Clientes y sus pedidos'!A94)</f>
        <v>1</v>
      </c>
      <c r="C94" s="236">
        <f>+COUNTIF('Semana 2 del 28 al 3 de sep'!$C$1:$C$119,'Clientes y sus pedidos'!A94)</f>
        <v>4</v>
      </c>
      <c r="D94" s="253">
        <f>+COUNTIF('Semana 3 del 4 - 10 sep'!$C$1:$C$124,'Clientes y sus pedidos'!A94)</f>
        <v>2</v>
      </c>
      <c r="E94" s="253">
        <f>+COUNTIF('Semana 4 del 11 al 18'!$C$3:$C$205,'Clientes y sus pedidos'!A94)</f>
        <v>4</v>
      </c>
      <c r="F94" s="253">
        <f>+COUNTIF('Semana 5 del 18 al 24'!$C$1:$C$224,'Clientes y sus pedidos'!A94)</f>
        <v>1</v>
      </c>
      <c r="G94" s="253">
        <f>+COUNTIF('Semana 6 del 25 al 1 '!$C$4:$C$198,'Clientes y sus pedidos'!A94)</f>
        <v>3</v>
      </c>
      <c r="H94" s="227">
        <f>+COUNTIF('Semana 7 del 02 al 9  '!C89:C303,'Clientes y sus pedidos'!A94)</f>
        <v>1</v>
      </c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</row>
    <row r="95" spans="1:21" x14ac:dyDescent="0.25">
      <c r="A95" s="234" t="s">
        <v>2643</v>
      </c>
      <c r="B95" s="232">
        <f>+COUNTIF('Semana 1 del 21 al 27 de agost'!$C$2:$C$72,'Clientes y sus pedidos'!A95)</f>
        <v>0</v>
      </c>
      <c r="C95" s="246">
        <f>+COUNTIF('Semana 2 del 28 al 3 de sep'!$C$1:$C$119,'Clientes y sus pedidos'!A95)</f>
        <v>0</v>
      </c>
      <c r="D95" s="253">
        <f>+COUNTIF('Semana 3 del 4 - 10 sep'!$C$1:$C$124,'Clientes y sus pedidos'!A95)</f>
        <v>1</v>
      </c>
      <c r="E95" s="227">
        <f>+COUNTIF('Semana 4 del 11 al 18'!$C$3:$C$205,'Clientes y sus pedidos'!A95)</f>
        <v>0</v>
      </c>
      <c r="F95" s="227">
        <f>+COUNTIF('Semana 5 del 18 al 24'!$C$1:$C$224,'Clientes y sus pedidos'!A95)</f>
        <v>0</v>
      </c>
      <c r="G95" s="227">
        <f>+COUNTIF('Semana 6 del 25 al 1 '!$C$4:$C$198,'Clientes y sus pedidos'!A95)</f>
        <v>0</v>
      </c>
      <c r="H95" s="227">
        <f>+COUNTIF('Semana 7 del 02 al 9  '!C90:C304,'Clientes y sus pedidos'!A95)</f>
        <v>0</v>
      </c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</row>
    <row r="96" spans="1:21" x14ac:dyDescent="0.25">
      <c r="A96" s="234" t="s">
        <v>2806</v>
      </c>
      <c r="B96" s="231">
        <f>+COUNTIF('Semana 1 del 21 al 27 de agost'!$C$2:$C$72,'Clientes y sus pedidos'!A96)</f>
        <v>1</v>
      </c>
      <c r="C96" s="236">
        <f>+COUNTIF('Semana 2 del 28 al 3 de sep'!$C$1:$C$119,'Clientes y sus pedidos'!A96)</f>
        <v>1</v>
      </c>
      <c r="D96" s="227">
        <f>+COUNTIF('Semana 3 del 4 - 10 sep'!$C$1:$C$124,'Clientes y sus pedidos'!A96)</f>
        <v>0</v>
      </c>
      <c r="E96" s="253">
        <f>+COUNTIF('Semana 4 del 11 al 18'!$C$3:$C$205,'Clientes y sus pedidos'!A96)</f>
        <v>1</v>
      </c>
      <c r="F96" s="227">
        <f>+COUNTIF('Semana 5 del 18 al 24'!$C$1:$C$224,'Clientes y sus pedidos'!A96)</f>
        <v>0</v>
      </c>
      <c r="G96" s="227">
        <f>+COUNTIF('Semana 6 del 25 al 1 '!$C$4:$C$198,'Clientes y sus pedidos'!A96)</f>
        <v>0</v>
      </c>
      <c r="H96" s="227">
        <f>+COUNTIF('Semana 7 del 02 al 9  '!C91:C305,'Clientes y sus pedidos'!A96)</f>
        <v>0</v>
      </c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</row>
    <row r="97" spans="1:21" x14ac:dyDescent="0.25">
      <c r="A97" s="234" t="s">
        <v>2310</v>
      </c>
      <c r="B97" s="232">
        <f>+COUNTIF('Semana 1 del 21 al 27 de agost'!$C$2:$C$72,'Clientes y sus pedidos'!A97)</f>
        <v>0</v>
      </c>
      <c r="C97" s="246">
        <f>+COUNTIF('Semana 2 del 28 al 3 de sep'!$C$1:$C$119,'Clientes y sus pedidos'!A97)</f>
        <v>0</v>
      </c>
      <c r="D97" s="227">
        <f>+COUNTIF('Semana 3 del 4 - 10 sep'!$C$1:$C$124,'Clientes y sus pedidos'!A97)</f>
        <v>0</v>
      </c>
      <c r="E97" s="227">
        <f>+COUNTIF('Semana 4 del 11 al 18'!$C$3:$C$205,'Clientes y sus pedidos'!A97)</f>
        <v>0</v>
      </c>
      <c r="F97" s="227">
        <f>+COUNTIF('Semana 5 del 18 al 24'!$C$1:$C$224,'Clientes y sus pedidos'!A97)</f>
        <v>0</v>
      </c>
      <c r="G97" s="227">
        <f>+COUNTIF('Semana 6 del 25 al 1 '!$C$4:$C$198,'Clientes y sus pedidos'!A97)</f>
        <v>0</v>
      </c>
      <c r="H97" s="227">
        <f>+COUNTIF('Semana 7 del 02 al 9  '!C92:C306,'Clientes y sus pedidos'!A97)</f>
        <v>0</v>
      </c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</row>
    <row r="98" spans="1:21" x14ac:dyDescent="0.25">
      <c r="A98" s="234" t="s">
        <v>2311</v>
      </c>
      <c r="B98" s="232">
        <f>+COUNTIF('Semana 1 del 21 al 27 de agost'!$C$2:$C$72,'Clientes y sus pedidos'!A98)</f>
        <v>0</v>
      </c>
      <c r="C98" s="246">
        <f>+COUNTIF('Semana 2 del 28 al 3 de sep'!$C$1:$C$119,'Clientes y sus pedidos'!A98)</f>
        <v>0</v>
      </c>
      <c r="D98" s="227">
        <f>+COUNTIF('Semana 3 del 4 - 10 sep'!$C$1:$C$124,'Clientes y sus pedidos'!A98)</f>
        <v>0</v>
      </c>
      <c r="E98" s="227">
        <f>+COUNTIF('Semana 4 del 11 al 18'!$C$3:$C$205,'Clientes y sus pedidos'!A98)</f>
        <v>0</v>
      </c>
      <c r="F98" s="227">
        <f>+COUNTIF('Semana 5 del 18 al 24'!$C$1:$C$224,'Clientes y sus pedidos'!A98)</f>
        <v>0</v>
      </c>
      <c r="G98" s="227">
        <f>+COUNTIF('Semana 6 del 25 al 1 '!$C$4:$C$198,'Clientes y sus pedidos'!A98)</f>
        <v>0</v>
      </c>
      <c r="H98" s="227">
        <f>+COUNTIF('Semana 7 del 02 al 9  '!C93:C307,'Clientes y sus pedidos'!A98)</f>
        <v>0</v>
      </c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</row>
    <row r="99" spans="1:21" x14ac:dyDescent="0.25">
      <c r="A99" s="234" t="s">
        <v>2312</v>
      </c>
      <c r="B99" s="232">
        <f>+COUNTIF('Semana 1 del 21 al 27 de agost'!$C$2:$C$72,'Clientes y sus pedidos'!A99)</f>
        <v>0</v>
      </c>
      <c r="C99" s="246">
        <f>+COUNTIF('Semana 2 del 28 al 3 de sep'!$C$1:$C$119,'Clientes y sus pedidos'!A99)</f>
        <v>0</v>
      </c>
      <c r="D99" s="227">
        <f>+COUNTIF('Semana 3 del 4 - 10 sep'!$C$1:$C$124,'Clientes y sus pedidos'!A99)</f>
        <v>0</v>
      </c>
      <c r="E99" s="227">
        <f>+COUNTIF('Semana 4 del 11 al 18'!$C$3:$C$205,'Clientes y sus pedidos'!A99)</f>
        <v>0</v>
      </c>
      <c r="F99" s="227">
        <f>+COUNTIF('Semana 5 del 18 al 24'!$C$1:$C$224,'Clientes y sus pedidos'!A99)</f>
        <v>0</v>
      </c>
      <c r="G99" s="227">
        <f>+COUNTIF('Semana 6 del 25 al 1 '!$C$4:$C$198,'Clientes y sus pedidos'!A99)</f>
        <v>0</v>
      </c>
      <c r="H99" s="227">
        <f>+COUNTIF('Semana 7 del 02 al 9  '!C94:C308,'Clientes y sus pedidos'!A99)</f>
        <v>0</v>
      </c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</row>
    <row r="100" spans="1:21" x14ac:dyDescent="0.25">
      <c r="A100" s="234" t="s">
        <v>2313</v>
      </c>
      <c r="B100" s="232">
        <f>+COUNTIF('Semana 1 del 21 al 27 de agost'!$C$2:$C$72,'Clientes y sus pedidos'!A100)</f>
        <v>0</v>
      </c>
      <c r="C100" s="246">
        <f>+COUNTIF('Semana 2 del 28 al 3 de sep'!$C$1:$C$119,'Clientes y sus pedidos'!A100)</f>
        <v>0</v>
      </c>
      <c r="D100" s="227">
        <f>+COUNTIF('Semana 3 del 4 - 10 sep'!$C$1:$C$124,'Clientes y sus pedidos'!A100)</f>
        <v>0</v>
      </c>
      <c r="E100" s="227">
        <f>+COUNTIF('Semana 4 del 11 al 18'!$C$3:$C$205,'Clientes y sus pedidos'!A100)</f>
        <v>0</v>
      </c>
      <c r="F100" s="227">
        <f>+COUNTIF('Semana 5 del 18 al 24'!$C$1:$C$224,'Clientes y sus pedidos'!A100)</f>
        <v>0</v>
      </c>
      <c r="G100" s="227">
        <f>+COUNTIF('Semana 6 del 25 al 1 '!$C$4:$C$198,'Clientes y sus pedidos'!A100)</f>
        <v>0</v>
      </c>
      <c r="H100" s="227">
        <f>+COUNTIF('Semana 7 del 02 al 9  '!C95:C309,'Clientes y sus pedidos'!A100)</f>
        <v>0</v>
      </c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</row>
    <row r="101" spans="1:21" x14ac:dyDescent="0.25">
      <c r="A101" s="234" t="s">
        <v>2314</v>
      </c>
      <c r="B101" s="232">
        <f>+COUNTIF('Semana 1 del 21 al 27 de agost'!$C$2:$C$72,'Clientes y sus pedidos'!A101)</f>
        <v>0</v>
      </c>
      <c r="C101" s="246">
        <f>+COUNTIF('Semana 2 del 28 al 3 de sep'!$C$1:$C$119,'Clientes y sus pedidos'!A101)</f>
        <v>0</v>
      </c>
      <c r="D101" s="227">
        <f>+COUNTIF('Semana 3 del 4 - 10 sep'!$C$1:$C$124,'Clientes y sus pedidos'!A101)</f>
        <v>0</v>
      </c>
      <c r="E101" s="227">
        <f>+COUNTIF('Semana 4 del 11 al 18'!$C$3:$C$205,'Clientes y sus pedidos'!A101)</f>
        <v>0</v>
      </c>
      <c r="F101" s="227">
        <f>+COUNTIF('Semana 5 del 18 al 24'!$C$1:$C$224,'Clientes y sus pedidos'!A101)</f>
        <v>0</v>
      </c>
      <c r="G101" s="227">
        <f>+COUNTIF('Semana 6 del 25 al 1 '!$C$4:$C$198,'Clientes y sus pedidos'!A101)</f>
        <v>0</v>
      </c>
      <c r="H101" s="227">
        <f>+COUNTIF('Semana 7 del 02 al 9  '!C96:C310,'Clientes y sus pedidos'!A101)</f>
        <v>0</v>
      </c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</row>
    <row r="102" spans="1:21" x14ac:dyDescent="0.25">
      <c r="A102" s="234" t="s">
        <v>3845</v>
      </c>
      <c r="B102" s="232"/>
      <c r="C102" s="246"/>
      <c r="D102" s="227"/>
      <c r="E102" s="227"/>
      <c r="F102" s="227"/>
      <c r="G102" s="253">
        <f>+COUNTIF('Semana 6 del 25 al 1 '!$C$4:$C$198,'Clientes y sus pedidos'!A102)</f>
        <v>1</v>
      </c>
      <c r="H102" s="227">
        <f>+COUNTIF('Semana 7 del 02 al 9  '!C97:C311,'Clientes y sus pedidos'!A102)</f>
        <v>0</v>
      </c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</row>
    <row r="103" spans="1:21" x14ac:dyDescent="0.25">
      <c r="A103" s="234" t="s">
        <v>920</v>
      </c>
      <c r="B103" s="232">
        <f>+COUNTIF('Semana 1 del 21 al 27 de agost'!$C$2:$C$72,'Clientes y sus pedidos'!A103)</f>
        <v>0</v>
      </c>
      <c r="C103" s="236">
        <f>+COUNTIF('Semana 2 del 28 al 3 de sep'!$C$1:$C$119,'Clientes y sus pedidos'!A103)</f>
        <v>1</v>
      </c>
      <c r="D103" s="253">
        <f>+COUNTIF('Semana 3 del 4 - 10 sep'!$C$1:$C$124,'Clientes y sus pedidos'!A103)</f>
        <v>1</v>
      </c>
      <c r="E103" s="227">
        <f>+COUNTIF('Semana 4 del 11 al 18'!$C$3:$C$205,'Clientes y sus pedidos'!A103)</f>
        <v>0</v>
      </c>
      <c r="F103" s="253">
        <f>+COUNTIF('Semana 5 del 18 al 24'!$C$1:$C$224,'Clientes y sus pedidos'!A103)</f>
        <v>1</v>
      </c>
      <c r="G103" s="227">
        <f>+COUNTIF('Semana 6 del 25 al 1 '!$C$4:$C$198,'Clientes y sus pedidos'!A103)</f>
        <v>0</v>
      </c>
      <c r="H103" s="227">
        <f>+COUNTIF('Semana 7 del 02 al 9  '!C98:C312,'Clientes y sus pedidos'!A103)</f>
        <v>0</v>
      </c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</row>
    <row r="104" spans="1:21" x14ac:dyDescent="0.25">
      <c r="A104" s="234" t="s">
        <v>2495</v>
      </c>
      <c r="B104" s="232">
        <f>+COUNTIF('Semana 1 del 21 al 27 de agost'!$C$2:$C$72,'Clientes y sus pedidos'!A104)</f>
        <v>0</v>
      </c>
      <c r="C104" s="236">
        <f>+COUNTIF('Semana 2 del 28 al 3 de sep'!$C$1:$C$119,'Clientes y sus pedidos'!A104)</f>
        <v>1</v>
      </c>
      <c r="D104" s="253">
        <f>+COUNTIF('Semana 3 del 4 - 10 sep'!$C$1:$C$124,'Clientes y sus pedidos'!A104)</f>
        <v>1</v>
      </c>
      <c r="E104" s="253">
        <f>+COUNTIF('Semana 4 del 11 al 18'!$C$3:$C$205,'Clientes y sus pedidos'!A104)</f>
        <v>2</v>
      </c>
      <c r="F104" s="253">
        <f>+COUNTIF('Semana 5 del 18 al 24'!$C$1:$C$224,'Clientes y sus pedidos'!A104)</f>
        <v>1</v>
      </c>
      <c r="G104" s="227">
        <f>+COUNTIF('Semana 6 del 25 al 1 '!$C$4:$C$198,'Clientes y sus pedidos'!A104)</f>
        <v>0</v>
      </c>
      <c r="H104" s="227">
        <f>+COUNTIF('Semana 7 del 02 al 9  '!C99:C313,'Clientes y sus pedidos'!A104)</f>
        <v>0</v>
      </c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</row>
    <row r="105" spans="1:21" x14ac:dyDescent="0.25">
      <c r="A105" s="234" t="s">
        <v>2315</v>
      </c>
      <c r="B105" s="232">
        <f>+COUNTIF('Semana 1 del 21 al 27 de agost'!$C$2:$C$72,'Clientes y sus pedidos'!A105)</f>
        <v>0</v>
      </c>
      <c r="C105" s="246">
        <f>+COUNTIF('Semana 2 del 28 al 3 de sep'!$C$1:$C$119,'Clientes y sus pedidos'!A105)</f>
        <v>0</v>
      </c>
      <c r="D105" s="227">
        <f>+COUNTIF('Semana 3 del 4 - 10 sep'!$C$1:$C$124,'Clientes y sus pedidos'!A105)</f>
        <v>0</v>
      </c>
      <c r="E105" s="227">
        <f>+COUNTIF('Semana 4 del 11 al 18'!$C$3:$C$205,'Clientes y sus pedidos'!A105)</f>
        <v>0</v>
      </c>
      <c r="F105" s="227">
        <f>+COUNTIF('Semana 5 del 18 al 24'!$C$1:$C$224,'Clientes y sus pedidos'!A105)</f>
        <v>0</v>
      </c>
      <c r="G105" s="227">
        <f>+COUNTIF('Semana 6 del 25 al 1 '!$C$4:$C$198,'Clientes y sus pedidos'!A105)</f>
        <v>0</v>
      </c>
      <c r="H105" s="227">
        <f>+COUNTIF('Semana 7 del 02 al 9  '!C100:C314,'Clientes y sus pedidos'!A105)</f>
        <v>0</v>
      </c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</row>
    <row r="106" spans="1:21" x14ac:dyDescent="0.25">
      <c r="A106" s="234" t="s">
        <v>3031</v>
      </c>
      <c r="B106" s="232"/>
      <c r="C106" s="246"/>
      <c r="D106" s="227"/>
      <c r="E106" s="227">
        <f>+COUNTIF('Semana 4 del 11 al 18'!$C$3:$C$205,'Clientes y sus pedidos'!A106)</f>
        <v>1</v>
      </c>
      <c r="F106" s="227">
        <f>+COUNTIF('Semana 5 del 18 al 24'!$C$1:$C$224,'Clientes y sus pedidos'!A106)</f>
        <v>0</v>
      </c>
      <c r="G106" s="227">
        <f>+COUNTIF('Semana 6 del 25 al 1 '!$C$4:$C$198,'Clientes y sus pedidos'!A106)</f>
        <v>0</v>
      </c>
      <c r="H106" s="227">
        <f>+COUNTIF('Semana 7 del 02 al 9  '!C101:C315,'Clientes y sus pedidos'!A106)</f>
        <v>0</v>
      </c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</row>
    <row r="107" spans="1:21" x14ac:dyDescent="0.25">
      <c r="A107" s="234" t="s">
        <v>3842</v>
      </c>
      <c r="B107" s="232"/>
      <c r="C107" s="246"/>
      <c r="D107" s="227"/>
      <c r="E107" s="227"/>
      <c r="F107" s="227"/>
      <c r="G107" s="253">
        <f>+COUNTIF('Semana 6 del 25 al 1 '!$C$4:$C$198,'Clientes y sus pedidos'!A107)</f>
        <v>1</v>
      </c>
      <c r="H107" s="227">
        <f>+COUNTIF('Semana 7 del 02 al 9  '!C102:C316,'Clientes y sus pedidos'!A107)</f>
        <v>0</v>
      </c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</row>
    <row r="108" spans="1:21" x14ac:dyDescent="0.25">
      <c r="A108" s="234" t="s">
        <v>267</v>
      </c>
      <c r="B108" s="232">
        <f>+COUNTIF('Semana 1 del 21 al 27 de agost'!$C$2:$C$72,'Clientes y sus pedidos'!A108)</f>
        <v>0</v>
      </c>
      <c r="C108" s="246">
        <f>+COUNTIF('Semana 2 del 28 al 3 de sep'!$C$1:$C$119,'Clientes y sus pedidos'!A108)</f>
        <v>0</v>
      </c>
      <c r="D108" s="227">
        <f>+COUNTIF('Semana 3 del 4 - 10 sep'!$C$1:$C$124,'Clientes y sus pedidos'!A108)</f>
        <v>0</v>
      </c>
      <c r="E108" s="227">
        <f>+COUNTIF('Semana 4 del 11 al 18'!$C$3:$C$205,'Clientes y sus pedidos'!A108)</f>
        <v>0</v>
      </c>
      <c r="F108" s="227">
        <f>+COUNTIF('Semana 5 del 18 al 24'!$C$1:$C$224,'Clientes y sus pedidos'!A108)</f>
        <v>0</v>
      </c>
      <c r="G108" s="253">
        <f>+COUNTIF('Semana 6 del 25 al 1 '!$C$4:$C$198,'Clientes y sus pedidos'!A108)</f>
        <v>1</v>
      </c>
      <c r="H108" s="227">
        <f>+COUNTIF('Semana 7 del 02 al 9  '!C103:C317,'Clientes y sus pedidos'!A108)</f>
        <v>0</v>
      </c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</row>
    <row r="109" spans="1:21" x14ac:dyDescent="0.25">
      <c r="A109" s="234" t="s">
        <v>72</v>
      </c>
      <c r="B109" s="232"/>
      <c r="C109" s="246"/>
      <c r="D109" s="253">
        <f>+COUNTIF('Semana 3 del 4 - 10 sep'!$C$1:$C$124,'Clientes y sus pedidos'!A109)</f>
        <v>1</v>
      </c>
      <c r="E109" s="227">
        <f>+COUNTIF('Semana 4 del 11 al 18'!$C$3:$C$205,'Clientes y sus pedidos'!A109)</f>
        <v>0</v>
      </c>
      <c r="F109" s="227">
        <f>+COUNTIF('Semana 5 del 18 al 24'!$C$1:$C$224,'Clientes y sus pedidos'!A109)</f>
        <v>0</v>
      </c>
      <c r="G109" s="227">
        <f>+COUNTIF('Semana 6 del 25 al 1 '!$C$4:$C$198,'Clientes y sus pedidos'!A109)</f>
        <v>0</v>
      </c>
      <c r="H109" s="227">
        <f>+COUNTIF('Semana 7 del 02 al 9  '!C104:C318,'Clientes y sus pedidos'!A109)</f>
        <v>0</v>
      </c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</row>
    <row r="110" spans="1:21" x14ac:dyDescent="0.25">
      <c r="A110" s="234" t="s">
        <v>2316</v>
      </c>
      <c r="B110" s="232">
        <f>+COUNTIF('Semana 1 del 21 al 27 de agost'!$C$2:$C$72,'Clientes y sus pedidos'!A110)</f>
        <v>0</v>
      </c>
      <c r="C110" s="246">
        <f>+COUNTIF('Semana 2 del 28 al 3 de sep'!$C$1:$C$119,'Clientes y sus pedidos'!A110)</f>
        <v>0</v>
      </c>
      <c r="D110" s="227">
        <f>+COUNTIF('Semana 3 del 4 - 10 sep'!$C$1:$C$124,'Clientes y sus pedidos'!A110)</f>
        <v>0</v>
      </c>
      <c r="E110" s="227">
        <f>+COUNTIF('Semana 4 del 11 al 18'!$C$3:$C$205,'Clientes y sus pedidos'!A110)</f>
        <v>0</v>
      </c>
      <c r="F110" s="227">
        <f>+COUNTIF('Semana 5 del 18 al 24'!$C$1:$C$224,'Clientes y sus pedidos'!A110)</f>
        <v>0</v>
      </c>
      <c r="G110" s="227">
        <f>+COUNTIF('Semana 6 del 25 al 1 '!$C$4:$C$198,'Clientes y sus pedidos'!A110)</f>
        <v>0</v>
      </c>
      <c r="H110" s="227">
        <f>+COUNTIF('Semana 7 del 02 al 9  '!C105:C319,'Clientes y sus pedidos'!A110)</f>
        <v>0</v>
      </c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</row>
    <row r="111" spans="1:21" x14ac:dyDescent="0.25">
      <c r="A111" s="234" t="s">
        <v>2317</v>
      </c>
      <c r="B111" s="232">
        <f>+COUNTIF('Semana 1 del 21 al 27 de agost'!$C$2:$C$72,'Clientes y sus pedidos'!A111)</f>
        <v>0</v>
      </c>
      <c r="C111" s="246">
        <f>+COUNTIF('Semana 2 del 28 al 3 de sep'!$C$1:$C$119,'Clientes y sus pedidos'!A111)</f>
        <v>0</v>
      </c>
      <c r="D111" s="227">
        <f>+COUNTIF('Semana 3 del 4 - 10 sep'!$C$1:$C$124,'Clientes y sus pedidos'!A111)</f>
        <v>0</v>
      </c>
      <c r="E111" s="227">
        <f>+COUNTIF('Semana 4 del 11 al 18'!$C$3:$C$205,'Clientes y sus pedidos'!A111)</f>
        <v>0</v>
      </c>
      <c r="F111" s="227">
        <f>+COUNTIF('Semana 5 del 18 al 24'!$C$1:$C$224,'Clientes y sus pedidos'!A111)</f>
        <v>0</v>
      </c>
      <c r="G111" s="227">
        <f>+COUNTIF('Semana 6 del 25 al 1 '!$C$4:$C$198,'Clientes y sus pedidos'!A111)</f>
        <v>0</v>
      </c>
      <c r="H111" s="227">
        <f>+COUNTIF('Semana 7 del 02 al 9  '!C106:C320,'Clientes y sus pedidos'!A111)</f>
        <v>0</v>
      </c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</row>
    <row r="112" spans="1:21" x14ac:dyDescent="0.25">
      <c r="A112" s="234" t="s">
        <v>245</v>
      </c>
      <c r="B112" s="231">
        <f>+COUNTIF('Semana 1 del 21 al 27 de agost'!$C$2:$C$72,"Nacia")</f>
        <v>1</v>
      </c>
      <c r="C112" s="246">
        <f>+COUNTIF('Semana 2 del 28 al 3 de sep'!$C$1:$C$119,'Clientes y sus pedidos'!A112)</f>
        <v>0</v>
      </c>
      <c r="D112" s="253">
        <f>+COUNTIF('Semana 3 del 4 - 10 sep'!$C$1:$C$124,'Clientes y sus pedidos'!A112)</f>
        <v>1</v>
      </c>
      <c r="E112" s="253">
        <f>+COUNTIF('Semana 4 del 11 al 18'!$C$3:$C$205,'Clientes y sus pedidos'!A112)</f>
        <v>4</v>
      </c>
      <c r="F112" s="253">
        <f>+COUNTIF('Semana 5 del 18 al 24'!$C$1:$C$224,'Clientes y sus pedidos'!A112)</f>
        <v>1</v>
      </c>
      <c r="G112" s="253">
        <f>+COUNTIF('Semana 6 del 25 al 1 '!$C$4:$C$198,'Clientes y sus pedidos'!A112)</f>
        <v>2</v>
      </c>
      <c r="H112" s="227">
        <f>+COUNTIF('Semana 7 del 02 al 9  '!C107:C321,'Clientes y sus pedidos'!A112)</f>
        <v>0</v>
      </c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</row>
    <row r="113" spans="1:21" x14ac:dyDescent="0.25">
      <c r="A113" s="234" t="s">
        <v>2318</v>
      </c>
      <c r="B113" s="232">
        <f>+COUNTIF('Semana 1 del 21 al 27 de agost'!$C$2:$C$72,'Clientes y sus pedidos'!A113)</f>
        <v>0</v>
      </c>
      <c r="C113" s="246">
        <f>+COUNTIF('Semana 2 del 28 al 3 de sep'!$C$1:$C$119,'Clientes y sus pedidos'!A113)</f>
        <v>0</v>
      </c>
      <c r="D113" s="227">
        <f>+COUNTIF('Semana 3 del 4 - 10 sep'!$C$1:$C$124,'Clientes y sus pedidos'!A113)</f>
        <v>0</v>
      </c>
      <c r="E113" s="227">
        <f>+COUNTIF('Semana 4 del 11 al 18'!$C$3:$C$205,'Clientes y sus pedidos'!A113)</f>
        <v>0</v>
      </c>
      <c r="F113" s="227">
        <f>+COUNTIF('Semana 5 del 18 al 24'!$C$1:$C$224,'Clientes y sus pedidos'!A113)</f>
        <v>0</v>
      </c>
      <c r="G113" s="227">
        <f>+COUNTIF('Semana 6 del 25 al 1 '!$C$4:$C$198,'Clientes y sus pedidos'!A113)</f>
        <v>0</v>
      </c>
      <c r="H113" s="227">
        <f>+COUNTIF('Semana 7 del 02 al 9  '!C108:C322,'Clientes y sus pedidos'!A113)</f>
        <v>0</v>
      </c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</row>
    <row r="114" spans="1:21" x14ac:dyDescent="0.25">
      <c r="A114" s="234" t="s">
        <v>3746</v>
      </c>
      <c r="B114" s="232"/>
      <c r="C114" s="246"/>
      <c r="D114" s="227"/>
      <c r="E114" s="227"/>
      <c r="F114" s="227"/>
      <c r="G114" s="253">
        <f>+COUNTIF('Semana 6 del 25 al 1 '!$C$4:$C$198,'Clientes y sus pedidos'!A114)</f>
        <v>1</v>
      </c>
      <c r="H114" s="227">
        <f>+COUNTIF('Semana 7 del 02 al 9  '!C109:C323,'Clientes y sus pedidos'!A114)</f>
        <v>0</v>
      </c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</row>
    <row r="115" spans="1:21" x14ac:dyDescent="0.25">
      <c r="A115" s="234" t="s">
        <v>2319</v>
      </c>
      <c r="B115" s="232">
        <f>+COUNTIF('Semana 1 del 21 al 27 de agost'!$C$2:$C$72,'Clientes y sus pedidos'!A115)</f>
        <v>0</v>
      </c>
      <c r="C115" s="246">
        <f>+COUNTIF('Semana 2 del 28 al 3 de sep'!$C$1:$C$119,'Clientes y sus pedidos'!A115)</f>
        <v>0</v>
      </c>
      <c r="D115" s="227">
        <f>+COUNTIF('Semana 3 del 4 - 10 sep'!$C$1:$C$124,'Clientes y sus pedidos'!A115)</f>
        <v>0</v>
      </c>
      <c r="E115" s="227">
        <f>+COUNTIF('Semana 4 del 11 al 18'!$C$3:$C$205,'Clientes y sus pedidos'!A115)</f>
        <v>0</v>
      </c>
      <c r="F115" s="227">
        <f>+COUNTIF('Semana 5 del 18 al 24'!$C$1:$C$224,'Clientes y sus pedidos'!A115)</f>
        <v>0</v>
      </c>
      <c r="G115" s="227">
        <f>+COUNTIF('Semana 6 del 25 al 1 '!$C$4:$C$198,'Clientes y sus pedidos'!A115)</f>
        <v>0</v>
      </c>
      <c r="H115" s="227">
        <f>+COUNTIF('Semana 7 del 02 al 9  '!C110:C324,'Clientes y sus pedidos'!A115)</f>
        <v>0</v>
      </c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</row>
    <row r="116" spans="1:21" x14ac:dyDescent="0.25">
      <c r="A116" s="234" t="s">
        <v>2320</v>
      </c>
      <c r="B116" s="232">
        <f>+COUNTIF('Semana 1 del 21 al 27 de agost'!$C$2:$C$72,'Clientes y sus pedidos'!A116)</f>
        <v>0</v>
      </c>
      <c r="C116" s="246">
        <f>+COUNTIF('Semana 2 del 28 al 3 de sep'!$C$1:$C$119,'Clientes y sus pedidos'!A116)</f>
        <v>0</v>
      </c>
      <c r="D116" s="227">
        <f>+COUNTIF('Semana 3 del 4 - 10 sep'!$C$1:$C$124,'Clientes y sus pedidos'!A116)</f>
        <v>0</v>
      </c>
      <c r="E116" s="227">
        <f>+COUNTIF('Semana 4 del 11 al 18'!$C$3:$C$205,'Clientes y sus pedidos'!A116)</f>
        <v>0</v>
      </c>
      <c r="F116" s="227">
        <f>+COUNTIF('Semana 5 del 18 al 24'!$C$1:$C$224,'Clientes y sus pedidos'!A116)</f>
        <v>0</v>
      </c>
      <c r="G116" s="227">
        <f>+COUNTIF('Semana 6 del 25 al 1 '!$C$4:$C$198,'Clientes y sus pedidos'!A116)</f>
        <v>0</v>
      </c>
      <c r="H116" s="227">
        <f>+COUNTIF('Semana 7 del 02 al 9  '!C111:C325,'Clientes y sus pedidos'!A116)</f>
        <v>0</v>
      </c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</row>
    <row r="117" spans="1:21" x14ac:dyDescent="0.25">
      <c r="A117" s="234" t="s">
        <v>1065</v>
      </c>
      <c r="B117" s="232">
        <f>+COUNTIF('Semana 1 del 21 al 27 de agost'!$C$2:$C$72,'Clientes y sus pedidos'!A117)</f>
        <v>0</v>
      </c>
      <c r="C117" s="246">
        <f>+COUNTIF('Semana 2 del 28 al 3 de sep'!$C$1:$C$119,'Clientes y sus pedidos'!A117)</f>
        <v>0</v>
      </c>
      <c r="D117" s="227">
        <f>+COUNTIF('Semana 3 del 4 - 10 sep'!$C$1:$C$124,'Clientes y sus pedidos'!A117)</f>
        <v>0</v>
      </c>
      <c r="E117" s="227">
        <f>+COUNTIF('Semana 4 del 11 al 18'!$C$3:$C$205,'Clientes y sus pedidos'!A117)</f>
        <v>0</v>
      </c>
      <c r="F117" s="253">
        <f>+COUNTIF('Semana 5 del 18 al 24'!$C$1:$C$224,'Clientes y sus pedidos'!A117)</f>
        <v>2</v>
      </c>
      <c r="G117" s="227">
        <f>+COUNTIF('Semana 6 del 25 al 1 '!$C$4:$C$198,'Clientes y sus pedidos'!A117)</f>
        <v>0</v>
      </c>
      <c r="H117" s="227">
        <f>+COUNTIF('Semana 7 del 02 al 9  '!C112:C326,'Clientes y sus pedidos'!A117)</f>
        <v>0</v>
      </c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</row>
    <row r="118" spans="1:21" x14ac:dyDescent="0.25">
      <c r="A118" s="234" t="s">
        <v>1830</v>
      </c>
      <c r="B118" s="232">
        <f>+COUNTIF('Semana 1 del 21 al 27 de agost'!$C$2:$C$72,'Clientes y sus pedidos'!A118)</f>
        <v>0</v>
      </c>
      <c r="C118" s="246">
        <f>+COUNTIF('Semana 2 del 28 al 3 de sep'!$C$1:$C$119,'Clientes y sus pedidos'!A118)</f>
        <v>0</v>
      </c>
      <c r="D118" s="227">
        <f>+COUNTIF('Semana 3 del 4 - 10 sep'!$C$1:$C$124,'Clientes y sus pedidos'!A118)</f>
        <v>0</v>
      </c>
      <c r="E118" s="227">
        <f>+COUNTIF('Semana 4 del 11 al 18'!$C$3:$C$205,'Clientes y sus pedidos'!A118)</f>
        <v>0</v>
      </c>
      <c r="F118" s="227">
        <f>+COUNTIF('Semana 5 del 18 al 24'!$C$1:$C$224,'Clientes y sus pedidos'!A118)</f>
        <v>0</v>
      </c>
      <c r="G118" s="227">
        <f>+COUNTIF('Semana 6 del 25 al 1 '!$C$4:$C$198,'Clientes y sus pedidos'!A118)</f>
        <v>0</v>
      </c>
      <c r="H118" s="227">
        <f>+COUNTIF('Semana 7 del 02 al 9  '!C113:C327,'Clientes y sus pedidos'!A118)</f>
        <v>0</v>
      </c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</row>
    <row r="119" spans="1:21" x14ac:dyDescent="0.25">
      <c r="A119" s="234" t="s">
        <v>1500</v>
      </c>
      <c r="B119" s="232"/>
      <c r="C119" s="246"/>
      <c r="D119" s="227"/>
      <c r="E119" s="253">
        <f>+COUNTIF('Semana 4 del 11 al 18'!$C$3:$C$205,'Clientes y sus pedidos'!A119)</f>
        <v>4</v>
      </c>
      <c r="F119" s="253">
        <f>+COUNTIF('Semana 5 del 18 al 24'!$C$1:$C$224,'Clientes y sus pedidos'!A119)</f>
        <v>7</v>
      </c>
      <c r="G119" s="253">
        <f>+COUNTIF('Semana 6 del 25 al 1 '!$C$4:$C$198,'Clientes y sus pedidos'!A119)</f>
        <v>2</v>
      </c>
      <c r="H119" s="227">
        <f>+COUNTIF('Semana 7 del 02 al 9  '!C114:C328,'Clientes y sus pedidos'!A119)</f>
        <v>1</v>
      </c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</row>
    <row r="120" spans="1:21" x14ac:dyDescent="0.25">
      <c r="A120" s="234" t="s">
        <v>929</v>
      </c>
      <c r="B120" s="232">
        <f>+COUNTIF('Semana 1 del 21 al 27 de agost'!$C$2:$C$72,'Clientes y sus pedidos'!A120)</f>
        <v>0</v>
      </c>
      <c r="C120" s="246">
        <f>+COUNTIF('Semana 2 del 28 al 3 de sep'!$C$1:$C$119,'Clientes y sus pedidos'!A120)</f>
        <v>0</v>
      </c>
      <c r="D120" s="227">
        <f>+COUNTIF('Semana 3 del 4 - 10 sep'!$C$1:$C$124,'Clientes y sus pedidos'!A120)</f>
        <v>0</v>
      </c>
      <c r="E120" s="253">
        <f>+COUNTIF('Semana 4 del 11 al 18'!$C$3:$C$205,'Clientes y sus pedidos'!A120)</f>
        <v>1</v>
      </c>
      <c r="F120" s="253">
        <f>+COUNTIF('Semana 5 del 18 al 24'!$C$1:$C$224,'Clientes y sus pedidos'!A120)</f>
        <v>2</v>
      </c>
      <c r="G120" s="227">
        <f>+COUNTIF('Semana 6 del 25 al 1 '!$C$4:$C$198,'Clientes y sus pedidos'!A120)</f>
        <v>0</v>
      </c>
      <c r="H120" s="227">
        <f>+COUNTIF('Semana 7 del 02 al 9  '!C115:C329,'Clientes y sus pedidos'!A120)</f>
        <v>0</v>
      </c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</row>
    <row r="121" spans="1:21" x14ac:dyDescent="0.25">
      <c r="A121" s="234" t="s">
        <v>1570</v>
      </c>
      <c r="B121" s="232">
        <f>+COUNTIF('Semana 1 del 21 al 27 de agost'!$C$2:$C$72,'Clientes y sus pedidos'!A121)</f>
        <v>0</v>
      </c>
      <c r="C121" s="246">
        <f>+COUNTIF('Semana 2 del 28 al 3 de sep'!$C$1:$C$119,'Clientes y sus pedidos'!A121)</f>
        <v>0</v>
      </c>
      <c r="D121" s="227">
        <f>+COUNTIF('Semana 3 del 4 - 10 sep'!$C$1:$C$124,'Clientes y sus pedidos'!A121)</f>
        <v>0</v>
      </c>
      <c r="E121" s="227">
        <f>+COUNTIF('Semana 4 del 11 al 18'!$C$3:$C$205,'Clientes y sus pedidos'!A121)</f>
        <v>0</v>
      </c>
      <c r="F121" s="227">
        <f>+COUNTIF('Semana 5 del 18 al 24'!$C$1:$C$224,'Clientes y sus pedidos'!A121)</f>
        <v>0</v>
      </c>
      <c r="G121" s="227">
        <f>+COUNTIF('Semana 6 del 25 al 1 '!$C$4:$C$198,'Clientes y sus pedidos'!A121)</f>
        <v>0</v>
      </c>
      <c r="H121" s="227">
        <f>+COUNTIF('Semana 7 del 02 al 9  '!C116:C330,'Clientes y sus pedidos'!A121)</f>
        <v>0</v>
      </c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</row>
    <row r="122" spans="1:21" x14ac:dyDescent="0.25">
      <c r="A122" s="234" t="s">
        <v>2045</v>
      </c>
      <c r="B122" s="231">
        <f>+COUNTIF('Semana 1 del 21 al 27 de agost'!$C$2:$C$72,'Clientes y sus pedidos'!A122)</f>
        <v>1</v>
      </c>
      <c r="C122" s="236">
        <f>+COUNTIF('Semana 2 del 28 al 3 de sep'!$C$1:$C$119,'Clientes y sus pedidos'!A122)</f>
        <v>1</v>
      </c>
      <c r="D122" s="253">
        <f>+COUNTIF('Semana 3 del 4 - 10 sep'!$C$1:$C$124,'Clientes y sus pedidos'!A122)</f>
        <v>1</v>
      </c>
      <c r="E122" s="253">
        <f>+COUNTIF('Semana 4 del 11 al 18'!$C$3:$C$205,'Clientes y sus pedidos'!A122)</f>
        <v>1</v>
      </c>
      <c r="F122" s="227">
        <f>+COUNTIF('Semana 5 del 18 al 24'!$C$1:$C$224,'Clientes y sus pedidos'!A122)</f>
        <v>0</v>
      </c>
      <c r="G122" s="253">
        <f>+COUNTIF('Semana 6 del 25 al 1 '!$C$4:$C$198,'Clientes y sus pedidos'!A122)</f>
        <v>1</v>
      </c>
      <c r="H122" s="227">
        <f>+COUNTIF('Semana 7 del 02 al 9  '!C117:C331,'Clientes y sus pedidos'!A122)</f>
        <v>0</v>
      </c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</row>
    <row r="123" spans="1:21" x14ac:dyDescent="0.25">
      <c r="A123" s="234" t="s">
        <v>3125</v>
      </c>
      <c r="B123" s="232">
        <f>+COUNTIF('Semana 1 del 21 al 27 de agost'!$C$2:$C$72,'Clientes y sus pedidos'!A123)</f>
        <v>0</v>
      </c>
      <c r="C123" s="246">
        <f>+COUNTIF('Semana 2 del 28 al 3 de sep'!$C$1:$C$119,'Clientes y sus pedidos'!A123)</f>
        <v>0</v>
      </c>
      <c r="D123" s="227">
        <f>+COUNTIF('Semana 3 del 4 - 10 sep'!$C$1:$C$124,'Clientes y sus pedidos'!A123)</f>
        <v>0</v>
      </c>
      <c r="E123" s="227">
        <f>+COUNTIF('Semana 4 del 11 al 18'!$C$3:$C$205,'Clientes y sus pedidos'!A123)</f>
        <v>0</v>
      </c>
      <c r="F123" s="227">
        <f>+COUNTIF('Semana 5 del 18 al 24'!$C$1:$C$224,'Clientes y sus pedidos'!A123)</f>
        <v>0</v>
      </c>
      <c r="G123" s="253">
        <f>+COUNTIF('Semana 6 del 25 al 1 '!$C$4:$C$198,'Clientes y sus pedidos'!A123)</f>
        <v>4</v>
      </c>
      <c r="H123" s="227">
        <f>+COUNTIF('Semana 7 del 02 al 9  '!C118:C332,'Clientes y sus pedidos'!A123)</f>
        <v>0</v>
      </c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</row>
    <row r="124" spans="1:21" x14ac:dyDescent="0.25">
      <c r="A124" s="234" t="s">
        <v>350</v>
      </c>
      <c r="B124" s="231">
        <f>+COUNTIF('Semana 1 del 21 al 27 de agost'!$C$2:$C$72,'Clientes y sus pedidos'!A124)</f>
        <v>1</v>
      </c>
      <c r="C124" s="236">
        <f>+COUNTIF('Semana 2 del 28 al 3 de sep'!$C$1:$C$119,'Clientes y sus pedidos'!A124)</f>
        <v>1</v>
      </c>
      <c r="D124" s="227">
        <f>+COUNTIF('Semana 3 del 4 - 10 sep'!$C$1:$C$124,'Clientes y sus pedidos'!A124)</f>
        <v>0</v>
      </c>
      <c r="E124" s="253">
        <f>+COUNTIF('Semana 4 del 11 al 18'!$C$3:$C$205,'Clientes y sus pedidos'!A124)</f>
        <v>1</v>
      </c>
      <c r="F124" s="253">
        <f>+COUNTIF('Semana 5 del 18 al 24'!$C$1:$C$224,'Clientes y sus pedidos'!A124)</f>
        <v>2</v>
      </c>
      <c r="G124" s="227">
        <f>+COUNTIF('Semana 6 del 25 al 1 '!$C$4:$C$198,'Clientes y sus pedidos'!A124)</f>
        <v>0</v>
      </c>
      <c r="H124" s="227">
        <f>+COUNTIF('Semana 7 del 02 al 9  '!C119:C333,'Clientes y sus pedidos'!A124)</f>
        <v>1</v>
      </c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</row>
    <row r="125" spans="1:21" x14ac:dyDescent="0.25">
      <c r="A125" s="234" t="s">
        <v>1387</v>
      </c>
      <c r="B125" s="232">
        <f>+COUNTIF('Semana 1 del 21 al 27 de agost'!$C$2:$C$72,'Clientes y sus pedidos'!A125)</f>
        <v>0</v>
      </c>
      <c r="C125" s="246">
        <f>+COUNTIF('Semana 2 del 28 al 3 de sep'!$C$1:$C$119,'Clientes y sus pedidos'!A125)</f>
        <v>0</v>
      </c>
      <c r="D125" s="227">
        <f>+COUNTIF('Semana 3 del 4 - 10 sep'!$C$1:$C$124,'Clientes y sus pedidos'!A125)</f>
        <v>0</v>
      </c>
      <c r="E125" s="227">
        <f>+COUNTIF('Semana 4 del 11 al 18'!$C$3:$C$205,'Clientes y sus pedidos'!A125)</f>
        <v>0</v>
      </c>
      <c r="F125" s="227">
        <f>+COUNTIF('Semana 5 del 18 al 24'!$C$1:$C$224,'Clientes y sus pedidos'!A125)</f>
        <v>0</v>
      </c>
      <c r="G125" s="227">
        <f>+COUNTIF('Semana 6 del 25 al 1 '!$C$4:$C$198,'Clientes y sus pedidos'!A125)</f>
        <v>0</v>
      </c>
      <c r="H125" s="227">
        <f>+COUNTIF('Semana 7 del 02 al 9  '!C120:C334,'Clientes y sus pedidos'!A125)</f>
        <v>0</v>
      </c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</row>
    <row r="126" spans="1:21" x14ac:dyDescent="0.25">
      <c r="A126" s="234" t="s">
        <v>3844</v>
      </c>
      <c r="B126" s="232"/>
      <c r="C126" s="246"/>
      <c r="D126" s="227"/>
      <c r="E126" s="227"/>
      <c r="F126" s="227"/>
      <c r="G126" s="253">
        <f>+COUNTIF('Semana 6 del 25 al 1 '!$C$4:$C$198,'Clientes y sus pedidos'!A126)</f>
        <v>1</v>
      </c>
      <c r="H126" s="227">
        <f>+COUNTIF('Semana 7 del 02 al 9  '!C121:C335,'Clientes y sus pedidos'!A126)</f>
        <v>0</v>
      </c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</row>
    <row r="127" spans="1:21" x14ac:dyDescent="0.25">
      <c r="A127" s="234" t="s">
        <v>1402</v>
      </c>
      <c r="B127" s="232">
        <f>+COUNTIF('Semana 1 del 21 al 27 de agost'!$C$2:$C$72,'Clientes y sus pedidos'!A127)</f>
        <v>0</v>
      </c>
      <c r="C127" s="246">
        <f>+COUNTIF('Semana 2 del 28 al 3 de sep'!$C$1:$C$119,'Clientes y sus pedidos'!A127)</f>
        <v>0</v>
      </c>
      <c r="D127" s="227">
        <f>+COUNTIF('Semana 3 del 4 - 10 sep'!$C$1:$C$124,'Clientes y sus pedidos'!A127)</f>
        <v>0</v>
      </c>
      <c r="E127" s="227">
        <f>+COUNTIF('Semana 4 del 11 al 18'!$C$3:$C$205,'Clientes y sus pedidos'!A127)</f>
        <v>0</v>
      </c>
      <c r="F127" s="227">
        <f>+COUNTIF('Semana 5 del 18 al 24'!$C$1:$C$224,'Clientes y sus pedidos'!A127)</f>
        <v>0</v>
      </c>
      <c r="G127" s="227">
        <f>+COUNTIF('Semana 6 del 25 al 1 '!$C$4:$C$198,'Clientes y sus pedidos'!A127)</f>
        <v>0</v>
      </c>
      <c r="H127" s="227">
        <f>+COUNTIF('Semana 7 del 02 al 9  '!C122:C336,'Clientes y sus pedidos'!A127)</f>
        <v>0</v>
      </c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</row>
    <row r="128" spans="1:21" x14ac:dyDescent="0.25">
      <c r="A128" s="30" t="s">
        <v>2482</v>
      </c>
      <c r="B128" s="232">
        <f>+COUNTIF('Semana 1 del 21 al 27 de agost'!$C$2:$C$72,'Clientes y sus pedidos'!A128)</f>
        <v>0</v>
      </c>
      <c r="C128" s="236">
        <f>+COUNTIF('Semana 2 del 28 al 3 de sep'!$C$1:$C$119,'Clientes y sus pedidos'!A128)</f>
        <v>2</v>
      </c>
      <c r="D128" s="227">
        <f>+COUNTIF('Semana 3 del 4 - 10 sep'!$C$1:$C$124,'Clientes y sus pedidos'!A128)</f>
        <v>0</v>
      </c>
      <c r="E128" s="227">
        <f>+COUNTIF('Semana 4 del 11 al 18'!$C$3:$C$205,'Clientes y sus pedidos'!A128)</f>
        <v>0</v>
      </c>
      <c r="F128" s="227">
        <f>+COUNTIF('Semana 5 del 18 al 24'!$C$1:$C$224,'Clientes y sus pedidos'!A128)</f>
        <v>0</v>
      </c>
      <c r="G128" s="227">
        <f>+COUNTIF('Semana 6 del 25 al 1 '!$C$4:$C$198,'Clientes y sus pedidos'!A128)</f>
        <v>0</v>
      </c>
      <c r="H128" s="227">
        <f>+COUNTIF('Semana 7 del 02 al 9  '!C123:C337,'Clientes y sus pedidos'!A128)</f>
        <v>0</v>
      </c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</row>
    <row r="129" spans="1:21" x14ac:dyDescent="0.25">
      <c r="A129" s="234" t="s">
        <v>3108</v>
      </c>
      <c r="B129" s="232">
        <f>+COUNTIF('Semana 1 del 21 al 27 de agost'!$C$2:$C$72,'Clientes y sus pedidos'!A129)</f>
        <v>0</v>
      </c>
      <c r="C129" s="246">
        <f>+COUNTIF('Semana 2 del 28 al 3 de sep'!$C$1:$C$119,'Clientes y sus pedidos'!A129)</f>
        <v>0</v>
      </c>
      <c r="D129" s="227">
        <f>+COUNTIF('Semana 3 del 4 - 10 sep'!$C$1:$C$124,'Clientes y sus pedidos'!A129)</f>
        <v>0</v>
      </c>
      <c r="E129" s="253">
        <f>+COUNTIF('Semana 4 del 11 al 18'!$C$3:$C$205,'Clientes y sus pedidos'!A129)</f>
        <v>1</v>
      </c>
      <c r="F129" s="253">
        <f>+COUNTIF('Semana 5 del 18 al 24'!$C$1:$C$224,'Clientes y sus pedidos'!A129)</f>
        <v>1</v>
      </c>
      <c r="G129" s="227">
        <f>+COUNTIF('Semana 6 del 25 al 1 '!$C$4:$C$198,'Clientes y sus pedidos'!A129)</f>
        <v>0</v>
      </c>
      <c r="H129" s="227">
        <f>+COUNTIF('Semana 7 del 02 al 9  '!C124:C338,'Clientes y sus pedidos'!A129)</f>
        <v>0</v>
      </c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</row>
    <row r="130" spans="1:21" x14ac:dyDescent="0.25">
      <c r="A130" s="234" t="s">
        <v>2321</v>
      </c>
      <c r="B130" s="232">
        <f>+COUNTIF('Semana 1 del 21 al 27 de agost'!$C$2:$C$72,'Clientes y sus pedidos'!A130)</f>
        <v>0</v>
      </c>
      <c r="C130" s="246">
        <f>+COUNTIF('Semana 2 del 28 al 3 de sep'!$C$1:$C$119,'Clientes y sus pedidos'!A130)</f>
        <v>0</v>
      </c>
      <c r="D130" s="227">
        <f>+COUNTIF('Semana 3 del 4 - 10 sep'!$C$1:$C$124,'Clientes y sus pedidos'!A130)</f>
        <v>0</v>
      </c>
      <c r="E130" s="227">
        <f>+COUNTIF('Semana 4 del 11 al 18'!$C$3:$C$205,'Clientes y sus pedidos'!A130)</f>
        <v>0</v>
      </c>
      <c r="F130" s="227">
        <f>+COUNTIF('Semana 5 del 18 al 24'!$C$1:$C$224,'Clientes y sus pedidos'!A130)</f>
        <v>0</v>
      </c>
      <c r="G130" s="227">
        <f>+COUNTIF('Semana 6 del 25 al 1 '!$C$4:$C$198,'Clientes y sus pedidos'!A130)</f>
        <v>0</v>
      </c>
      <c r="H130" s="227">
        <f>+COUNTIF('Semana 7 del 02 al 9  '!C125:C339,'Clientes y sus pedidos'!A130)</f>
        <v>0</v>
      </c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</row>
    <row r="131" spans="1:21" x14ac:dyDescent="0.25">
      <c r="A131" s="234" t="s">
        <v>2528</v>
      </c>
      <c r="B131" s="232">
        <f>+COUNTIF('Semana 1 del 21 al 27 de agost'!$C$2:$C$72,'Clientes y sus pedidos'!A131)</f>
        <v>0</v>
      </c>
      <c r="C131" s="236">
        <f>+COUNTIF('Semana 2 del 28 al 3 de sep'!$C$1:$C$119,"Alonso")</f>
        <v>1</v>
      </c>
      <c r="D131" s="227">
        <f>+COUNTIF('Semana 3 del 4 - 10 sep'!$C$1:$C$124,'Clientes y sus pedidos'!A131)</f>
        <v>0</v>
      </c>
      <c r="E131" s="227">
        <f>+COUNTIF('Semana 4 del 11 al 18'!$C$3:$C$205,'Clientes y sus pedidos'!A131)</f>
        <v>0</v>
      </c>
      <c r="F131" s="227">
        <f>+COUNTIF('Semana 5 del 18 al 24'!$C$1:$C$224,'Clientes y sus pedidos'!A131)</f>
        <v>0</v>
      </c>
      <c r="G131" s="227">
        <f>+COUNTIF('Semana 6 del 25 al 1 '!$C$4:$C$198,'Clientes y sus pedidos'!A131)</f>
        <v>0</v>
      </c>
      <c r="H131" s="227">
        <f>+COUNTIF('Semana 7 del 02 al 9  '!C126:C340,'Clientes y sus pedidos'!A131)</f>
        <v>0</v>
      </c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</row>
    <row r="132" spans="1:21" x14ac:dyDescent="0.25">
      <c r="A132" s="234" t="s">
        <v>756</v>
      </c>
      <c r="B132" s="232"/>
      <c r="C132" s="246"/>
      <c r="D132" s="227"/>
      <c r="E132" s="253">
        <f>+COUNTIF('Semana 4 del 11 al 18'!$C$3:$C$205,'Clientes y sus pedidos'!A132)</f>
        <v>1</v>
      </c>
      <c r="F132" s="227">
        <f>+COUNTIF('Semana 5 del 18 al 24'!$C$1:$C$224,'Clientes y sus pedidos'!A132)</f>
        <v>0</v>
      </c>
      <c r="G132" s="227">
        <f>+COUNTIF('Semana 6 del 25 al 1 '!$C$4:$C$198,'Clientes y sus pedidos'!A132)</f>
        <v>0</v>
      </c>
      <c r="H132" s="227">
        <f>+COUNTIF('Semana 7 del 02 al 9  '!C127:C341,'Clientes y sus pedidos'!A132)</f>
        <v>2</v>
      </c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</row>
    <row r="133" spans="1:21" x14ac:dyDescent="0.25">
      <c r="A133" s="234" t="s">
        <v>2322</v>
      </c>
      <c r="B133" s="232">
        <f>+COUNTIF('Semana 1 del 21 al 27 de agost'!$C$2:$C$72,'Clientes y sus pedidos'!A133)</f>
        <v>0</v>
      </c>
      <c r="C133" s="246">
        <f>+COUNTIF('Semana 2 del 28 al 3 de sep'!$C$1:$C$119,'Clientes y sus pedidos'!A133)</f>
        <v>0</v>
      </c>
      <c r="D133" s="227">
        <f>+COUNTIF('Semana 3 del 4 - 10 sep'!$C$1:$C$124,'Clientes y sus pedidos'!A133)</f>
        <v>0</v>
      </c>
      <c r="E133" s="227">
        <f>+COUNTIF('Semana 4 del 11 al 18'!$C$3:$C$205,'Clientes y sus pedidos'!A133)</f>
        <v>0</v>
      </c>
      <c r="F133" s="227">
        <f>+COUNTIF('Semana 5 del 18 al 24'!$C$1:$C$224,'Clientes y sus pedidos'!A133)</f>
        <v>0</v>
      </c>
      <c r="G133" s="227">
        <f>+COUNTIF('Semana 6 del 25 al 1 '!$C$4:$C$198,'Clientes y sus pedidos'!A133)</f>
        <v>0</v>
      </c>
      <c r="H133" s="227">
        <f>+COUNTIF('Semana 7 del 02 al 9  '!C128:C342,'Clientes y sus pedidos'!A133)</f>
        <v>0</v>
      </c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</row>
    <row r="134" spans="1:21" x14ac:dyDescent="0.25">
      <c r="A134" s="234" t="s">
        <v>2625</v>
      </c>
      <c r="B134" s="232"/>
      <c r="C134" s="246"/>
      <c r="D134" s="227"/>
      <c r="E134" s="253">
        <f>+COUNTIF('Semana 4 del 11 al 18'!$C$3:$C$205,'Clientes y sus pedidos'!A134)</f>
        <v>1</v>
      </c>
      <c r="F134" s="227">
        <f>+COUNTIF('Semana 5 del 18 al 24'!$C$1:$C$224,'Clientes y sus pedidos'!A134)</f>
        <v>0</v>
      </c>
      <c r="G134" s="227">
        <f>+COUNTIF('Semana 6 del 25 al 1 '!$C$4:$C$198,'Clientes y sus pedidos'!A134)</f>
        <v>0</v>
      </c>
      <c r="H134" s="227">
        <f>+COUNTIF('Semana 7 del 02 al 9  '!C129:C343,'Clientes y sus pedidos'!A134)</f>
        <v>2</v>
      </c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</row>
    <row r="135" spans="1:21" x14ac:dyDescent="0.25">
      <c r="A135" s="234" t="s">
        <v>2323</v>
      </c>
      <c r="B135" s="232">
        <f>+COUNTIF('Semana 1 del 21 al 27 de agost'!$C$2:$C$72,'Clientes y sus pedidos'!A135)</f>
        <v>0</v>
      </c>
      <c r="C135" s="246">
        <f>+COUNTIF('Semana 2 del 28 al 3 de sep'!$C$1:$C$119,'Clientes y sus pedidos'!A135)</f>
        <v>0</v>
      </c>
      <c r="D135" s="227">
        <f>+COUNTIF('Semana 3 del 4 - 10 sep'!$C$1:$C$124,'Clientes y sus pedidos'!A135)</f>
        <v>0</v>
      </c>
      <c r="E135" s="227">
        <f>+COUNTIF('Semana 4 del 11 al 18'!$C$3:$C$205,'Clientes y sus pedidos'!A135)</f>
        <v>0</v>
      </c>
      <c r="F135" s="227">
        <f>+COUNTIF('Semana 5 del 18 al 24'!$C$1:$C$224,'Clientes y sus pedidos'!A135)</f>
        <v>0</v>
      </c>
      <c r="G135" s="227">
        <f>+COUNTIF('Semana 6 del 25 al 1 '!$C$4:$C$198,'Clientes y sus pedidos'!A135)</f>
        <v>0</v>
      </c>
      <c r="H135" s="227">
        <f>+COUNTIF('Semana 7 del 02 al 9  '!C130:C344,'Clientes y sus pedidos'!A135)</f>
        <v>0</v>
      </c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</row>
    <row r="136" spans="1:21" x14ac:dyDescent="0.25">
      <c r="A136" s="234" t="s">
        <v>2324</v>
      </c>
      <c r="B136" s="232">
        <f>+COUNTIF('Semana 1 del 21 al 27 de agost'!$C$2:$C$72,'Clientes y sus pedidos'!A136)</f>
        <v>0</v>
      </c>
      <c r="C136" s="246">
        <f>+COUNTIF('Semana 2 del 28 al 3 de sep'!$C$1:$C$119,'Clientes y sus pedidos'!A136)</f>
        <v>0</v>
      </c>
      <c r="D136" s="227">
        <f>+COUNTIF('Semana 3 del 4 - 10 sep'!$C$1:$C$124,'Clientes y sus pedidos'!A136)</f>
        <v>0</v>
      </c>
      <c r="E136" s="227">
        <f>+COUNTIF('Semana 4 del 11 al 18'!$C$3:$C$205,'Clientes y sus pedidos'!A136)</f>
        <v>0</v>
      </c>
      <c r="F136" s="227">
        <f>+COUNTIF('Semana 5 del 18 al 24'!$C$1:$C$224,'Clientes y sus pedidos'!A136)</f>
        <v>0</v>
      </c>
      <c r="G136" s="227">
        <f>+COUNTIF('Semana 6 del 25 al 1 '!$C$4:$C$198,'Clientes y sus pedidos'!A136)</f>
        <v>0</v>
      </c>
      <c r="H136" s="227">
        <f>+COUNTIF('Semana 7 del 02 al 9  '!C131:C345,'Clientes y sus pedidos'!A136)</f>
        <v>0</v>
      </c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</row>
    <row r="137" spans="1:21" x14ac:dyDescent="0.25">
      <c r="A137" s="234" t="s">
        <v>2567</v>
      </c>
      <c r="B137" s="232"/>
      <c r="C137" s="246"/>
      <c r="D137" s="227"/>
      <c r="E137" s="253">
        <f>+COUNTIF('Semana 4 del 11 al 18'!$C$3:$C$205,'Clientes y sus pedidos'!A137)</f>
        <v>1</v>
      </c>
      <c r="F137" s="227">
        <f>+COUNTIF('Semana 5 del 18 al 24'!$C$1:$C$224,'Clientes y sus pedidos'!A137)</f>
        <v>0</v>
      </c>
      <c r="G137" s="227">
        <f>+COUNTIF('Semana 6 del 25 al 1 '!$C$4:$C$198,'Clientes y sus pedidos'!A137)</f>
        <v>0</v>
      </c>
      <c r="H137" s="227">
        <f>+COUNTIF('Semana 7 del 02 al 9  '!C132:C346,'Clientes y sus pedidos'!A137)</f>
        <v>0</v>
      </c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</row>
    <row r="138" spans="1:21" x14ac:dyDescent="0.25">
      <c r="A138" s="234" t="s">
        <v>839</v>
      </c>
      <c r="B138" s="232"/>
      <c r="C138" s="246"/>
      <c r="D138" s="227"/>
      <c r="E138" s="253">
        <f>+COUNTIF('Semana 4 del 11 al 18'!$C$3:$C$205,'Clientes y sus pedidos'!A138)</f>
        <v>1</v>
      </c>
      <c r="F138" s="227">
        <f>+COUNTIF('Semana 5 del 18 al 24'!$C$1:$C$224,'Clientes y sus pedidos'!A138)</f>
        <v>0</v>
      </c>
      <c r="G138" s="227">
        <f>+COUNTIF('Semana 6 del 25 al 1 '!$C$4:$C$198,'Clientes y sus pedidos'!A138)</f>
        <v>0</v>
      </c>
      <c r="H138" s="227">
        <f>+COUNTIF('Semana 7 del 02 al 9  '!C133:C347,'Clientes y sus pedidos'!A138)</f>
        <v>0</v>
      </c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</row>
    <row r="139" spans="1:21" x14ac:dyDescent="0.25">
      <c r="A139" s="234" t="s">
        <v>634</v>
      </c>
      <c r="B139" s="232">
        <f>+COUNTIF('Semana 1 del 21 al 27 de agost'!$C$2:$C$72,'Clientes y sus pedidos'!A139)</f>
        <v>0</v>
      </c>
      <c r="C139" s="246">
        <f>+COUNTIF('Semana 2 del 28 al 3 de sep'!$C$1:$C$119,'Clientes y sus pedidos'!A139)</f>
        <v>0</v>
      </c>
      <c r="D139" s="227">
        <f>+COUNTIF('Semana 3 del 4 - 10 sep'!$C$1:$C$124,'Clientes y sus pedidos'!A139)</f>
        <v>0</v>
      </c>
      <c r="E139" s="253">
        <f>+COUNTIF('Semana 4 del 11 al 18'!$C$3:$C$205,'Clientes y sus pedidos'!A139)</f>
        <v>2</v>
      </c>
      <c r="F139" s="253">
        <f>+COUNTIF('Semana 5 del 18 al 24'!$C$1:$C$224,'Clientes y sus pedidos'!A139)</f>
        <v>1</v>
      </c>
      <c r="G139" s="253">
        <f>+COUNTIF('Semana 6 del 25 al 1 '!$C$4:$C$198,'Clientes y sus pedidos'!A139)</f>
        <v>1</v>
      </c>
      <c r="H139" s="227">
        <f>+COUNTIF('Semana 7 del 02 al 9  '!C134:C348,'Clientes y sus pedidos'!A139)</f>
        <v>0</v>
      </c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</row>
    <row r="140" spans="1:21" x14ac:dyDescent="0.25">
      <c r="A140" s="234" t="s">
        <v>3107</v>
      </c>
      <c r="B140" s="232"/>
      <c r="C140" s="246"/>
      <c r="D140" s="227"/>
      <c r="E140" s="253">
        <f>+COUNTIF('Semana 4 del 11 al 18'!$C$3:$C$205,'Clientes y sus pedidos'!A140)</f>
        <v>1</v>
      </c>
      <c r="F140" s="227">
        <f>+COUNTIF('Semana 5 del 18 al 24'!$C$1:$C$224,'Clientes y sus pedidos'!A140)</f>
        <v>0</v>
      </c>
      <c r="G140" s="227">
        <f>+COUNTIF('Semana 6 del 25 al 1 '!$C$4:$C$198,'Clientes y sus pedidos'!A140)</f>
        <v>0</v>
      </c>
      <c r="H140" s="227">
        <f>+COUNTIF('Semana 7 del 02 al 9  '!C135:C349,'Clientes y sus pedidos'!A140)</f>
        <v>0</v>
      </c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</row>
    <row r="141" spans="1:21" x14ac:dyDescent="0.25">
      <c r="A141" s="234" t="s">
        <v>3103</v>
      </c>
      <c r="B141" s="232"/>
      <c r="C141" s="246"/>
      <c r="D141" s="227"/>
      <c r="E141" s="253">
        <f>+COUNTIF('Semana 4 del 11 al 18'!$C$3:$C$205,'Clientes y sus pedidos'!A141)</f>
        <v>1</v>
      </c>
      <c r="F141" s="227">
        <f>+COUNTIF('Semana 5 del 18 al 24'!$C$1:$C$224,'Clientes y sus pedidos'!A141)</f>
        <v>0</v>
      </c>
      <c r="G141" s="227">
        <f>+COUNTIF('Semana 6 del 25 al 1 '!$C$4:$C$198,'Clientes y sus pedidos'!A141)</f>
        <v>0</v>
      </c>
      <c r="H141" s="227">
        <f>+COUNTIF('Semana 7 del 02 al 9  '!C136:C350,'Clientes y sus pedidos'!A141)</f>
        <v>0</v>
      </c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</row>
    <row r="142" spans="1:21" s="128" customFormat="1" x14ac:dyDescent="0.25">
      <c r="A142" s="234" t="s">
        <v>3470</v>
      </c>
      <c r="B142" s="232"/>
      <c r="C142" s="246"/>
      <c r="D142" s="227"/>
      <c r="E142" s="227"/>
      <c r="F142" s="253">
        <f>+COUNTIF('Semana 5 del 18 al 24'!$C$1:$C$224,'Clientes y sus pedidos'!A142)</f>
        <v>1</v>
      </c>
      <c r="G142" s="227">
        <f>+COUNTIF('Semana 6 del 25 al 1 '!$C$4:$C$198,'Clientes y sus pedidos'!A142)</f>
        <v>0</v>
      </c>
      <c r="H142" s="227">
        <f>+COUNTIF('Semana 7 del 02 al 9  '!C137:C351,'Clientes y sus pedidos'!A142)</f>
        <v>0</v>
      </c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</row>
    <row r="143" spans="1:21" x14ac:dyDescent="0.25">
      <c r="A143" s="234" t="s">
        <v>2326</v>
      </c>
      <c r="B143" s="232">
        <f>+COUNTIF('Semana 1 del 21 al 27 de agost'!$C$2:$C$72,'Clientes y sus pedidos'!A143)</f>
        <v>0</v>
      </c>
      <c r="C143" s="246">
        <f>+COUNTIF('Semana 2 del 28 al 3 de sep'!$C$1:$C$119,'Clientes y sus pedidos'!A143)</f>
        <v>0</v>
      </c>
      <c r="D143" s="227">
        <f>+COUNTIF('Semana 3 del 4 - 10 sep'!$C$1:$C$124,'Clientes y sus pedidos'!A143)</f>
        <v>0</v>
      </c>
      <c r="E143" s="227">
        <f>+COUNTIF('Semana 4 del 11 al 18'!$C$3:$C$205,'Clientes y sus pedidos'!A143)</f>
        <v>0</v>
      </c>
      <c r="F143" s="227">
        <f>+COUNTIF('Semana 5 del 18 al 24'!$C$1:$C$224,'Clientes y sus pedidos'!A143)</f>
        <v>0</v>
      </c>
      <c r="G143" s="227">
        <f>+COUNTIF('Semana 6 del 25 al 1 '!$C$4:$C$198,'Clientes y sus pedidos'!A143)</f>
        <v>0</v>
      </c>
      <c r="H143" s="227">
        <f>+COUNTIF('Semana 7 del 02 al 9  '!C138:C352,'Clientes y sus pedidos'!A143)</f>
        <v>0</v>
      </c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</row>
    <row r="144" spans="1:21" x14ac:dyDescent="0.25">
      <c r="A144" s="234" t="s">
        <v>923</v>
      </c>
      <c r="B144" s="232">
        <f>+COUNTIF('Semana 1 del 21 al 27 de agost'!$C$2:$C$72,'Clientes y sus pedidos'!A144)</f>
        <v>0</v>
      </c>
      <c r="C144" s="236">
        <f>+COUNTIF('Semana 2 del 28 al 3 de sep'!$C$1:$C$119,'Clientes y sus pedidos'!A144)</f>
        <v>2</v>
      </c>
      <c r="D144" s="227">
        <f>+COUNTIF('Semana 3 del 4 - 10 sep'!$C$1:$C$124,'Clientes y sus pedidos'!A144)</f>
        <v>0</v>
      </c>
      <c r="E144" s="227">
        <f>+COUNTIF('Semana 4 del 11 al 18'!$C$3:$C$205,'Clientes y sus pedidos'!A144)</f>
        <v>0</v>
      </c>
      <c r="F144" s="227">
        <f>+COUNTIF('Semana 5 del 18 al 24'!$C$1:$C$224,'Clientes y sus pedidos'!A144)</f>
        <v>0</v>
      </c>
      <c r="G144" s="253">
        <f>+COUNTIF('Semana 6 del 25 al 1 '!$C$4:$C$198,'Clientes y sus pedidos'!A144)</f>
        <v>1</v>
      </c>
      <c r="H144" s="227">
        <f>+COUNTIF('Semana 7 del 02 al 9  '!C139:C353,'Clientes y sus pedidos'!A144)</f>
        <v>0</v>
      </c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</row>
    <row r="145" spans="1:21" s="128" customFormat="1" x14ac:dyDescent="0.25">
      <c r="A145" s="234" t="s">
        <v>3389</v>
      </c>
      <c r="B145" s="232"/>
      <c r="C145" s="246"/>
      <c r="D145" s="227"/>
      <c r="E145" s="227"/>
      <c r="F145" s="253">
        <f>+COUNTIF('Semana 5 del 18 al 24'!$C$1:$C$224,'Clientes y sus pedidos'!A145)</f>
        <v>1</v>
      </c>
      <c r="G145" s="227">
        <f>+COUNTIF('Semana 6 del 25 al 1 '!$C$4:$C$198,'Clientes y sus pedidos'!A145)</f>
        <v>0</v>
      </c>
      <c r="H145" s="227">
        <f>+COUNTIF('Semana 7 del 02 al 9  '!C140:C354,'Clientes y sus pedidos'!A145)</f>
        <v>0</v>
      </c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</row>
    <row r="146" spans="1:21" x14ac:dyDescent="0.25">
      <c r="A146" s="234" t="s">
        <v>2327</v>
      </c>
      <c r="B146" s="232">
        <f>+COUNTIF('Semana 1 del 21 al 27 de agost'!$C$2:$C$72,'Clientes y sus pedidos'!A146)</f>
        <v>0</v>
      </c>
      <c r="C146" s="246">
        <f>+COUNTIF('Semana 2 del 28 al 3 de sep'!$C$1:$C$119,'Clientes y sus pedidos'!A146)</f>
        <v>0</v>
      </c>
      <c r="D146" s="227">
        <f>+COUNTIF('Semana 3 del 4 - 10 sep'!$C$1:$C$124,'Clientes y sus pedidos'!A146)</f>
        <v>0</v>
      </c>
      <c r="E146" s="227">
        <f>+COUNTIF('Semana 4 del 11 al 18'!$C$3:$C$205,'Clientes y sus pedidos'!A146)</f>
        <v>0</v>
      </c>
      <c r="F146" s="227">
        <f>+COUNTIF('Semana 5 del 18 al 24'!$C$1:$C$224,'Clientes y sus pedidos'!A146)</f>
        <v>0</v>
      </c>
      <c r="G146" s="227">
        <f>+COUNTIF('Semana 6 del 25 al 1 '!$C$4:$C$198,'Clientes y sus pedidos'!A146)</f>
        <v>0</v>
      </c>
      <c r="H146" s="227">
        <f>+COUNTIF('Semana 7 del 02 al 9  '!C141:C355,'Clientes y sus pedidos'!A146)</f>
        <v>0</v>
      </c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</row>
    <row r="147" spans="1:21" x14ac:dyDescent="0.25">
      <c r="A147" s="234" t="s">
        <v>3744</v>
      </c>
      <c r="B147" s="232"/>
      <c r="C147" s="246"/>
      <c r="D147" s="227"/>
      <c r="E147" s="227"/>
      <c r="F147" s="227"/>
      <c r="G147" s="253">
        <f>+COUNTIF('Semana 6 del 25 al 1 '!$C$4:$C$198,'Clientes y sus pedidos'!A147)</f>
        <v>1</v>
      </c>
      <c r="H147" s="227">
        <f>+COUNTIF('Semana 7 del 02 al 9  '!C142:C356,'Clientes y sus pedidos'!A147)</f>
        <v>0</v>
      </c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</row>
    <row r="148" spans="1:21" x14ac:dyDescent="0.25">
      <c r="A148" s="234" t="s">
        <v>2483</v>
      </c>
      <c r="B148" s="232">
        <f>+COUNTIF('Semana 1 del 21 al 27 de agost'!$C$2:$C$72,'Clientes y sus pedidos'!A148)</f>
        <v>0</v>
      </c>
      <c r="C148" s="236">
        <f>+COUNTIF('Semana 2 del 28 al 3 de sep'!$C$1:$C$119,'Clientes y sus pedidos'!A148)</f>
        <v>1</v>
      </c>
      <c r="D148" s="227">
        <f>+COUNTIF('Semana 3 del 4 - 10 sep'!$C$1:$C$124,'Clientes y sus pedidos'!A148)</f>
        <v>0</v>
      </c>
      <c r="E148" s="227">
        <f>+COUNTIF('Semana 4 del 11 al 18'!$C$3:$C$205,'Clientes y sus pedidos'!A148)</f>
        <v>0</v>
      </c>
      <c r="F148" s="253">
        <f>+COUNTIF('Semana 5 del 18 al 24'!$C$1:$C$224,'Clientes y sus pedidos'!A148)</f>
        <v>1</v>
      </c>
      <c r="G148" s="227">
        <f>+COUNTIF('Semana 6 del 25 al 1 '!$C$4:$C$198,'Clientes y sus pedidos'!A148)</f>
        <v>0</v>
      </c>
      <c r="H148" s="227">
        <f>+COUNTIF('Semana 7 del 02 al 9  '!C143:C357,'Clientes y sus pedidos'!A148)</f>
        <v>0</v>
      </c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</row>
    <row r="149" spans="1:21" x14ac:dyDescent="0.25">
      <c r="A149" s="234" t="s">
        <v>421</v>
      </c>
      <c r="B149" s="232">
        <f>+COUNTIF('Semana 1 del 21 al 27 de agost'!$C$2:$C$72,'Clientes y sus pedidos'!A149)</f>
        <v>0</v>
      </c>
      <c r="C149" s="236">
        <f>+COUNTIF('Semana 2 del 28 al 3 de sep'!$C$1:$C$119,'Clientes y sus pedidos'!A149)</f>
        <v>1</v>
      </c>
      <c r="D149" s="253">
        <f>+COUNTIF('Semana 3 del 4 - 10 sep'!$C$1:$C$124,'Clientes y sus pedidos'!A149)</f>
        <v>1</v>
      </c>
      <c r="E149" s="227">
        <f>+COUNTIF('Semana 4 del 11 al 18'!$C$3:$C$205,'Clientes y sus pedidos'!A149)</f>
        <v>0</v>
      </c>
      <c r="F149" s="253">
        <f>+COUNTIF('Semana 5 del 18 al 24'!$C$1:$C$224,"Teresa")</f>
        <v>1</v>
      </c>
      <c r="G149" s="227">
        <f>+COUNTIF('Semana 6 del 25 al 1 '!$C$4:$C$198,'Clientes y sus pedidos'!A149)</f>
        <v>0</v>
      </c>
      <c r="H149" s="227">
        <f>+COUNTIF('Semana 7 del 02 al 9  '!C144:C358,'Clientes y sus pedidos'!A149)</f>
        <v>0</v>
      </c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</row>
    <row r="150" spans="1:21" x14ac:dyDescent="0.25">
      <c r="A150" s="234" t="s">
        <v>2328</v>
      </c>
      <c r="B150" s="232">
        <f>+COUNTIF('Semana 1 del 21 al 27 de agost'!$C$2:$C$72,'Clientes y sus pedidos'!A150)</f>
        <v>0</v>
      </c>
      <c r="C150" s="246">
        <f>+COUNTIF('Semana 2 del 28 al 3 de sep'!$C$1:$C$119,'Clientes y sus pedidos'!A150)</f>
        <v>0</v>
      </c>
      <c r="D150" s="227">
        <f>+COUNTIF('Semana 3 del 4 - 10 sep'!$C$1:$C$124,'Clientes y sus pedidos'!A150)</f>
        <v>0</v>
      </c>
      <c r="E150" s="227">
        <f>+COUNTIF('Semana 4 del 11 al 18'!$C$3:$C$205,'Clientes y sus pedidos'!A150)</f>
        <v>0</v>
      </c>
      <c r="F150" s="227">
        <f>+COUNTIF('Semana 5 del 18 al 24'!$C$1:$C$224,'Clientes y sus pedidos'!A150)</f>
        <v>0</v>
      </c>
      <c r="G150" s="227">
        <f>+COUNTIF('Semana 6 del 25 al 1 '!$C$4:$C$198,'Clientes y sus pedidos'!A150)</f>
        <v>0</v>
      </c>
      <c r="H150" s="227">
        <f>+COUNTIF('Semana 7 del 02 al 9  '!C145:C359,'Clientes y sus pedidos'!A150)</f>
        <v>0</v>
      </c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</row>
    <row r="151" spans="1:21" x14ac:dyDescent="0.25">
      <c r="A151" s="234" t="s">
        <v>344</v>
      </c>
      <c r="B151" s="231">
        <f>+COUNTIF('Semana 1 del 21 al 27 de agost'!$C$2:$C$72,'Clientes y sus pedidos'!A151)</f>
        <v>1</v>
      </c>
      <c r="C151" s="246">
        <f>+COUNTIF('Semana 2 del 28 al 3 de sep'!$C$1:$C$119,'Clientes y sus pedidos'!A151)</f>
        <v>0</v>
      </c>
      <c r="D151" s="227">
        <f>+COUNTIF('Semana 3 del 4 - 10 sep'!$C$1:$C$124,'Clientes y sus pedidos'!A151)</f>
        <v>0</v>
      </c>
      <c r="E151" s="253">
        <f>+COUNTIF('Semana 4 del 11 al 18'!$C$3:$C$205,'Clientes y sus pedidos'!A151)</f>
        <v>1</v>
      </c>
      <c r="F151" s="253">
        <f>+COUNTIF('Semana 5 del 18 al 24'!$C$1:$C$224,'Clientes y sus pedidos'!A151)</f>
        <v>1</v>
      </c>
      <c r="G151" s="227">
        <f>+COUNTIF('Semana 6 del 25 al 1 '!$C$4:$C$198,'Clientes y sus pedidos'!A151)</f>
        <v>0</v>
      </c>
      <c r="H151" s="227">
        <f>+COUNTIF('Semana 7 del 02 al 9  '!C146:C360,'Clientes y sus pedidos'!A151)</f>
        <v>0</v>
      </c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</row>
    <row r="152" spans="1:21" x14ac:dyDescent="0.25">
      <c r="A152" s="234" t="s">
        <v>2641</v>
      </c>
      <c r="B152" s="232">
        <f>+COUNTIF('Semana 1 del 21 al 27 de agost'!$C$2:$C$72,'Clientes y sus pedidos'!A152)</f>
        <v>0</v>
      </c>
      <c r="C152" s="246">
        <f>+COUNTIF('Semana 2 del 28 al 3 de sep'!$C$1:$C$119,'Clientes y sus pedidos'!A152)</f>
        <v>0</v>
      </c>
      <c r="D152" s="253">
        <f>+COUNTIF('Semana 3 del 4 - 10 sep'!$C$1:$C$124,'Clientes y sus pedidos'!A152)</f>
        <v>1</v>
      </c>
      <c r="E152" s="227">
        <f>+COUNTIF('Semana 4 del 11 al 18'!$C$3:$C$205,'Clientes y sus pedidos'!A152)</f>
        <v>0</v>
      </c>
      <c r="F152" s="227">
        <f>+COUNTIF('Semana 5 del 18 al 24'!$C$1:$C$224,'Clientes y sus pedidos'!A152)</f>
        <v>0</v>
      </c>
      <c r="G152" s="227">
        <f>+COUNTIF('Semana 6 del 25 al 1 '!$C$4:$C$198,'Clientes y sus pedidos'!A152)</f>
        <v>0</v>
      </c>
      <c r="H152" s="227">
        <f>+COUNTIF('Semana 7 del 02 al 9  '!C147:C361,'Clientes y sus pedidos'!A152)</f>
        <v>0</v>
      </c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</row>
    <row r="153" spans="1:21" x14ac:dyDescent="0.25">
      <c r="A153" s="234" t="s">
        <v>2329</v>
      </c>
      <c r="B153" s="232">
        <f>+COUNTIF('Semana 1 del 21 al 27 de agost'!$C$2:$C$72,'Clientes y sus pedidos'!A153)</f>
        <v>0</v>
      </c>
      <c r="C153" s="246">
        <f>+COUNTIF('Semana 2 del 28 al 3 de sep'!$C$1:$C$119,'Clientes y sus pedidos'!A153)</f>
        <v>0</v>
      </c>
      <c r="D153" s="227">
        <f>+COUNTIF('Semana 3 del 4 - 10 sep'!$C$1:$C$124,'Clientes y sus pedidos'!A153)</f>
        <v>0</v>
      </c>
      <c r="E153" s="227">
        <f>+COUNTIF('Semana 4 del 11 al 18'!$C$3:$C$205,'Clientes y sus pedidos'!A153)</f>
        <v>0</v>
      </c>
      <c r="F153" s="227">
        <f>+COUNTIF('Semana 5 del 18 al 24'!$C$1:$C$224,'Clientes y sus pedidos'!A153)</f>
        <v>0</v>
      </c>
      <c r="G153" s="227">
        <f>+COUNTIF('Semana 6 del 25 al 1 '!$C$4:$C$198,'Clientes y sus pedidos'!A153)</f>
        <v>0</v>
      </c>
      <c r="H153" s="227">
        <f>+COUNTIF('Semana 7 del 02 al 9  '!C148:C362,'Clientes y sus pedidos'!A153)</f>
        <v>0</v>
      </c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</row>
    <row r="154" spans="1:21" x14ac:dyDescent="0.25">
      <c r="A154" s="234" t="s">
        <v>2535</v>
      </c>
      <c r="B154" s="232">
        <f>+COUNTIF('Semana 1 del 21 al 27 de agost'!$C$2:$C$72,'Clientes y sus pedidos'!A154)</f>
        <v>0</v>
      </c>
      <c r="C154" s="246">
        <f>+COUNTIF('Semana 2 del 28 al 3 de sep'!$C$1:$C$119,'Clientes y sus pedidos'!A154)</f>
        <v>0</v>
      </c>
      <c r="D154" s="253">
        <f>+COUNTIF('Semana 3 del 4 - 10 sep'!$C$1:$C$124,'Clientes y sus pedidos'!A154)</f>
        <v>1</v>
      </c>
      <c r="E154" s="253">
        <f>+COUNTIF('Semana 4 del 11 al 18'!$C$3:$C$205,'Clientes y sus pedidos'!A154)</f>
        <v>1</v>
      </c>
      <c r="F154" s="227">
        <f>+COUNTIF('Semana 5 del 18 al 24'!$C$1:$C$224,'Clientes y sus pedidos'!A154)</f>
        <v>0</v>
      </c>
      <c r="G154" s="227">
        <f>+COUNTIF('Semana 6 del 25 al 1 '!$C$4:$C$198,'Clientes y sus pedidos'!A154)</f>
        <v>0</v>
      </c>
      <c r="H154" s="227">
        <f>+COUNTIF('Semana 7 del 02 al 9  '!C149:C363,'Clientes y sus pedidos'!A154)</f>
        <v>0</v>
      </c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</row>
    <row r="155" spans="1:21" x14ac:dyDescent="0.25">
      <c r="A155" s="234" t="s">
        <v>3102</v>
      </c>
      <c r="B155" s="232">
        <f>+COUNTIF('Semana 1 del 21 al 27 de agost'!$C$2:$C$72,'Clientes y sus pedidos'!A155)</f>
        <v>0</v>
      </c>
      <c r="C155" s="246">
        <f>+COUNTIF('Semana 2 del 28 al 3 de sep'!$C$1:$C$119,'Clientes y sus pedidos'!A155)</f>
        <v>0</v>
      </c>
      <c r="D155" s="227">
        <f>+COUNTIF('Semana 3 del 4 - 10 sep'!$C$1:$C$124,'Clientes y sus pedidos'!A155)</f>
        <v>0</v>
      </c>
      <c r="E155" s="253">
        <f>+COUNTIF('Semana 4 del 11 al 18'!$C$3:$C$205,'Clientes y sus pedidos'!A155)</f>
        <v>1</v>
      </c>
      <c r="F155" s="227">
        <f>+COUNTIF('Semana 5 del 18 al 24'!$C$1:$C$224,'Clientes y sus pedidos'!A155)</f>
        <v>0</v>
      </c>
      <c r="G155" s="227">
        <f>+COUNTIF('Semana 6 del 25 al 1 '!$C$4:$C$198,'Clientes y sus pedidos'!A155)</f>
        <v>0</v>
      </c>
      <c r="H155" s="227">
        <f>+COUNTIF('Semana 7 del 02 al 9  '!C150:C364,'Clientes y sus pedidos'!A155)</f>
        <v>0</v>
      </c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</row>
    <row r="156" spans="1:21" x14ac:dyDescent="0.25">
      <c r="A156" s="234" t="s">
        <v>473</v>
      </c>
      <c r="B156" s="231">
        <f>+COUNTIF('Semana 1 del 21 al 27 de agost'!$C$2:$C$72,"Oscar")</f>
        <v>1</v>
      </c>
      <c r="C156" s="236">
        <f>+COUNTIF('Semana 2 del 28 al 3 de sep'!$C$1:$C$119,'Clientes y sus pedidos'!A156)</f>
        <v>2</v>
      </c>
      <c r="D156" s="227">
        <f>+COUNTIF('Semana 3 del 4 - 10 sep'!$C$1:$C$124,'Clientes y sus pedidos'!A156)</f>
        <v>0</v>
      </c>
      <c r="E156" s="253">
        <f>+COUNTIF('Semana 4 del 11 al 18'!$C$3:$C$205,'Clientes y sus pedidos'!A156)</f>
        <v>2</v>
      </c>
      <c r="F156" s="253">
        <f>+COUNTIF('Semana 5 del 18 al 24'!$C$1:$C$224,'Clientes y sus pedidos'!A156)</f>
        <v>3</v>
      </c>
      <c r="G156" s="227">
        <f>+COUNTIF('Semana 6 del 25 al 1 '!$C$4:$C$198,'Clientes y sus pedidos'!A156)</f>
        <v>0</v>
      </c>
      <c r="H156" s="227">
        <f>+COUNTIF('Semana 7 del 02 al 9  '!C151:C365,'Clientes y sus pedidos'!A156)</f>
        <v>0</v>
      </c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</row>
    <row r="157" spans="1:21" x14ac:dyDescent="0.25">
      <c r="A157" s="234" t="s">
        <v>3113</v>
      </c>
      <c r="B157" s="232">
        <f>+COUNTIF('Semana 1 del 21 al 27 de agost'!$C$2:$C$72,'Clientes y sus pedidos'!A157)</f>
        <v>0</v>
      </c>
      <c r="C157" s="246">
        <f>+COUNTIF('Semana 2 del 28 al 3 de sep'!$C$1:$C$119,'Clientes y sus pedidos'!A157)</f>
        <v>0</v>
      </c>
      <c r="D157" s="227">
        <f>+COUNTIF('Semana 3 del 4 - 10 sep'!$C$1:$C$124,'Clientes y sus pedidos'!A157)</f>
        <v>0</v>
      </c>
      <c r="E157" s="253">
        <f>+COUNTIF('Semana 4 del 11 al 18'!$C$3:$C$205,'Clientes y sus pedidos'!A157)</f>
        <v>1</v>
      </c>
      <c r="F157" s="227">
        <f>+COUNTIF('Semana 5 del 18 al 24'!$C$1:$C$224,'Clientes y sus pedidos'!A157)</f>
        <v>0</v>
      </c>
      <c r="G157" s="227">
        <f>+COUNTIF('Semana 6 del 25 al 1 '!$C$4:$C$198,'Clientes y sus pedidos'!A157)</f>
        <v>0</v>
      </c>
      <c r="H157" s="227">
        <f>+COUNTIF('Semana 7 del 02 al 9  '!C152:C366,'Clientes y sus pedidos'!A157)</f>
        <v>0</v>
      </c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</row>
    <row r="158" spans="1:21" x14ac:dyDescent="0.25">
      <c r="A158" s="234" t="s">
        <v>3117</v>
      </c>
      <c r="B158" s="232">
        <f>+COUNTIF('Semana 1 del 21 al 27 de agost'!$C$2:$C$72,'Clientes y sus pedidos'!A158)</f>
        <v>0</v>
      </c>
      <c r="C158" s="246">
        <f>+COUNTIF('Semana 2 del 28 al 3 de sep'!$C$1:$C$119,'Clientes y sus pedidos'!A158)</f>
        <v>0</v>
      </c>
      <c r="D158" s="227">
        <f>+COUNTIF('Semana 3 del 4 - 10 sep'!$C$1:$C$124,'Clientes y sus pedidos'!A158)</f>
        <v>0</v>
      </c>
      <c r="E158" s="253">
        <f>+COUNTIF('Semana 4 del 11 al 18'!$C$3:$C$205,'Clientes y sus pedidos'!A158)</f>
        <v>1</v>
      </c>
      <c r="F158" s="227">
        <f>+COUNTIF('Semana 5 del 18 al 24'!$C$1:$C$224,'Clientes y sus pedidos'!A158)</f>
        <v>0</v>
      </c>
      <c r="G158" s="227">
        <f>+COUNTIF('Semana 6 del 25 al 1 '!$C$4:$C$198,'Clientes y sus pedidos'!A158)</f>
        <v>0</v>
      </c>
      <c r="H158" s="227">
        <f>+COUNTIF('Semana 7 del 02 al 9  '!C153:C367,'Clientes y sus pedidos'!A158)</f>
        <v>0</v>
      </c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</row>
    <row r="159" spans="1:21" x14ac:dyDescent="0.25">
      <c r="A159" s="234" t="s">
        <v>2640</v>
      </c>
      <c r="B159" s="232">
        <f>+COUNTIF('Semana 1 del 21 al 27 de agost'!$C$2:$C$72,'Clientes y sus pedidos'!A159)</f>
        <v>0</v>
      </c>
      <c r="C159" s="246">
        <f>+COUNTIF('Semana 2 del 28 al 3 de sep'!$C$1:$C$119,'Clientes y sus pedidos'!A159)</f>
        <v>0</v>
      </c>
      <c r="D159" s="253">
        <f>+COUNTIF('Semana 3 del 4 - 10 sep'!$C$1:$C$124,'Clientes y sus pedidos'!A159)</f>
        <v>2</v>
      </c>
      <c r="E159" s="227">
        <f>+COUNTIF('Semana 4 del 11 al 18'!$C$3:$C$205,'Clientes y sus pedidos'!A159)</f>
        <v>0</v>
      </c>
      <c r="F159" s="227">
        <f>+COUNTIF('Semana 5 del 18 al 24'!$C$1:$C$224,'Clientes y sus pedidos'!A159)</f>
        <v>0</v>
      </c>
      <c r="G159" s="227">
        <f>+COUNTIF('Semana 6 del 25 al 1 '!$C$4:$C$198,'Clientes y sus pedidos'!A159)</f>
        <v>0</v>
      </c>
      <c r="H159" s="227">
        <f>+COUNTIF('Semana 7 del 02 al 9  '!C154:C368,'Clientes y sus pedidos'!A159)</f>
        <v>0</v>
      </c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</row>
    <row r="160" spans="1:21" x14ac:dyDescent="0.25">
      <c r="A160" s="234" t="s">
        <v>3119</v>
      </c>
      <c r="B160" s="232">
        <f>+COUNTIF('Semana 1 del 21 al 27 de agost'!$C$2:$C$72,'Clientes y sus pedidos'!A158)</f>
        <v>0</v>
      </c>
      <c r="C160" s="246">
        <f>+COUNTIF('Semana 2 del 28 al 3 de sep'!$C$1:$C$119,'Clientes y sus pedidos'!A160)</f>
        <v>0</v>
      </c>
      <c r="D160" s="227">
        <f>+COUNTIF('Semana 3 del 4 - 10 sep'!$C$1:$C$124,'Clientes y sus pedidos'!A160)</f>
        <v>0</v>
      </c>
      <c r="E160" s="253">
        <f>+COUNTIF('Semana 4 del 11 al 18'!$C$3:$C$205,'Clientes y sus pedidos'!A160)</f>
        <v>1</v>
      </c>
      <c r="F160" s="227">
        <f>+COUNTIF('Semana 5 del 18 al 24'!$C$1:$C$224,'Clientes y sus pedidos'!A160)</f>
        <v>0</v>
      </c>
      <c r="G160" s="227">
        <f>+COUNTIF('Semana 6 del 25 al 1 '!$C$4:$C$198,'Clientes y sus pedidos'!A160)</f>
        <v>0</v>
      </c>
      <c r="H160" s="227">
        <f>+COUNTIF('Semana 7 del 02 al 9  '!C155:C369,'Clientes y sus pedidos'!A160)</f>
        <v>0</v>
      </c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</row>
    <row r="161" spans="1:21" x14ac:dyDescent="0.25">
      <c r="A161" s="234" t="s">
        <v>2474</v>
      </c>
      <c r="B161" s="231">
        <f>+COUNTIF('Semana 1 del 21 al 27 de agost'!$C$2:$C$72,"Jose-Rojas")</f>
        <v>2</v>
      </c>
      <c r="C161" s="246">
        <f>+COUNTIF('Semana 2 del 28 al 3 de sep'!$C$1:$C$119,'Clientes y sus pedidos'!A161)</f>
        <v>0</v>
      </c>
      <c r="D161" s="227">
        <f>+COUNTIF('Semana 3 del 4 - 10 sep'!$C$1:$C$124,'Clientes y sus pedidos'!A161)</f>
        <v>0</v>
      </c>
      <c r="E161" s="227">
        <f>+COUNTIF('Semana 4 del 11 al 18'!$C$3:$C$205,'Clientes y sus pedidos'!A161)</f>
        <v>0</v>
      </c>
      <c r="F161" s="227">
        <f>+COUNTIF('Semana 5 del 18 al 24'!$C$1:$C$224,'Clientes y sus pedidos'!A161)</f>
        <v>0</v>
      </c>
      <c r="G161" s="227">
        <f>+COUNTIF('Semana 6 del 25 al 1 '!$C$4:$C$198,'Clientes y sus pedidos'!A161)</f>
        <v>0</v>
      </c>
      <c r="H161" s="227">
        <f>+COUNTIF('Semana 7 del 02 al 9  '!C156:C370,'Clientes y sus pedidos'!A161)</f>
        <v>0</v>
      </c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</row>
    <row r="162" spans="1:21" x14ac:dyDescent="0.25">
      <c r="A162" s="234" t="s">
        <v>2330</v>
      </c>
      <c r="B162" s="232">
        <f>+COUNTIF('Semana 1 del 21 al 27 de agost'!$C$2:$C$72,'Clientes y sus pedidos'!A162)</f>
        <v>0</v>
      </c>
      <c r="C162" s="246">
        <f>+COUNTIF('Semana 2 del 28 al 3 de sep'!$C$1:$C$119,'Clientes y sus pedidos'!A162)</f>
        <v>0</v>
      </c>
      <c r="D162" s="227">
        <f>+COUNTIF('Semana 3 del 4 - 10 sep'!$C$1:$C$124,'Clientes y sus pedidos'!A162)</f>
        <v>0</v>
      </c>
      <c r="E162" s="227">
        <f>+COUNTIF('Semana 4 del 11 al 18'!$C$3:$C$205,'Clientes y sus pedidos'!A162)</f>
        <v>0</v>
      </c>
      <c r="F162" s="227">
        <f>+COUNTIF('Semana 5 del 18 al 24'!$C$1:$C$224,'Clientes y sus pedidos'!A162)</f>
        <v>0</v>
      </c>
      <c r="G162" s="227">
        <f>+COUNTIF('Semana 6 del 25 al 1 '!$C$4:$C$198,'Clientes y sus pedidos'!A162)</f>
        <v>0</v>
      </c>
      <c r="H162" s="227">
        <f>+COUNTIF('Semana 7 del 02 al 9  '!C157:C371,'Clientes y sus pedidos'!A162)</f>
        <v>0</v>
      </c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</row>
    <row r="163" spans="1:21" x14ac:dyDescent="0.25">
      <c r="A163" s="234" t="s">
        <v>2487</v>
      </c>
      <c r="B163" s="232">
        <f>+COUNTIF('Semana 1 del 21 al 27 de agost'!$C$2:$C$72,'Clientes y sus pedidos'!A163)</f>
        <v>0</v>
      </c>
      <c r="C163" s="236">
        <f>+COUNTIF('Semana 2 del 28 al 3 de sep'!$C$1:$C$119,'Clientes y sus pedidos'!A163)</f>
        <v>1</v>
      </c>
      <c r="D163" s="227">
        <f>+COUNTIF('Semana 3 del 4 - 10 sep'!$C$1:$C$124,'Clientes y sus pedidos'!A163)</f>
        <v>0</v>
      </c>
      <c r="E163" s="227">
        <f>+COUNTIF('Semana 4 del 11 al 18'!$C$3:$C$205,'Clientes y sus pedidos'!A163)</f>
        <v>0</v>
      </c>
      <c r="F163" s="227">
        <f>+COUNTIF('Semana 5 del 18 al 24'!$C$1:$C$224,'Clientes y sus pedidos'!A163)</f>
        <v>0</v>
      </c>
      <c r="G163" s="227">
        <f>+COUNTIF('Semana 6 del 25 al 1 '!$C$4:$C$198,'Clientes y sus pedidos'!A163)</f>
        <v>0</v>
      </c>
      <c r="H163" s="227">
        <f>+COUNTIF('Semana 7 del 02 al 9  '!C158:C372,'Clientes y sus pedidos'!A163)</f>
        <v>0</v>
      </c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</row>
    <row r="164" spans="1:21" x14ac:dyDescent="0.25">
      <c r="A164" s="234" t="s">
        <v>2331</v>
      </c>
      <c r="B164" s="232">
        <f>+COUNTIF('Semana 1 del 21 al 27 de agost'!$C$2:$C$72,'Clientes y sus pedidos'!A164)</f>
        <v>0</v>
      </c>
      <c r="C164" s="246">
        <f>+COUNTIF('Semana 2 del 28 al 3 de sep'!$C$1:$C$119,'Clientes y sus pedidos'!A164)</f>
        <v>0</v>
      </c>
      <c r="D164" s="227">
        <f>+COUNTIF('Semana 3 del 4 - 10 sep'!$C$1:$C$124,'Clientes y sus pedidos'!A164)</f>
        <v>0</v>
      </c>
      <c r="E164" s="227">
        <f>+COUNTIF('Semana 4 del 11 al 18'!$C$3:$C$205,'Clientes y sus pedidos'!A164)</f>
        <v>0</v>
      </c>
      <c r="F164" s="227">
        <f>+COUNTIF('Semana 5 del 18 al 24'!$C$1:$C$224,'Clientes y sus pedidos'!A164)</f>
        <v>0</v>
      </c>
      <c r="G164" s="227">
        <f>+COUNTIF('Semana 6 del 25 al 1 '!$C$4:$C$198,'Clientes y sus pedidos'!A164)</f>
        <v>0</v>
      </c>
      <c r="H164" s="227">
        <f>+COUNTIF('Semana 7 del 02 al 9  '!C159:C373,'Clientes y sus pedidos'!A164)</f>
        <v>0</v>
      </c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</row>
    <row r="165" spans="1:21" x14ac:dyDescent="0.25">
      <c r="A165" s="234" t="s">
        <v>2332</v>
      </c>
      <c r="B165" s="232">
        <f>+COUNTIF('Semana 1 del 21 al 27 de agost'!$C$2:$C$72,'Clientes y sus pedidos'!A165)</f>
        <v>0</v>
      </c>
      <c r="C165" s="246">
        <f>+COUNTIF('Semana 2 del 28 al 3 de sep'!$C$1:$C$119,'Clientes y sus pedidos'!A165)</f>
        <v>0</v>
      </c>
      <c r="D165" s="227">
        <f>+COUNTIF('Semana 3 del 4 - 10 sep'!$C$1:$C$124,'Clientes y sus pedidos'!A165)</f>
        <v>0</v>
      </c>
      <c r="E165" s="227">
        <f>+COUNTIF('Semana 4 del 11 al 18'!$C$3:$C$205,'Clientes y sus pedidos'!A165)</f>
        <v>0</v>
      </c>
      <c r="F165" s="227">
        <f>+COUNTIF('Semana 5 del 18 al 24'!$C$1:$C$224,'Clientes y sus pedidos'!A165)</f>
        <v>0</v>
      </c>
      <c r="G165" s="227">
        <f>+COUNTIF('Semana 6 del 25 al 1 '!$C$4:$C$198,'Clientes y sus pedidos'!A165)</f>
        <v>0</v>
      </c>
      <c r="H165" s="227">
        <f>+COUNTIF('Semana 7 del 02 al 9  '!C160:C374,'Clientes y sus pedidos'!A165)</f>
        <v>0</v>
      </c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</row>
    <row r="166" spans="1:21" x14ac:dyDescent="0.25">
      <c r="A166" s="234" t="s">
        <v>2333</v>
      </c>
      <c r="B166" s="232">
        <f>+COUNTIF('Semana 1 del 21 al 27 de agost'!$C$2:$C$72,'Clientes y sus pedidos'!A166)</f>
        <v>0</v>
      </c>
      <c r="C166" s="246">
        <f>+COUNTIF('Semana 2 del 28 al 3 de sep'!$C$1:$C$119,'Clientes y sus pedidos'!A166)</f>
        <v>0</v>
      </c>
      <c r="D166" s="227">
        <f>+COUNTIF('Semana 3 del 4 - 10 sep'!$C$1:$C$124,'Clientes y sus pedidos'!A166)</f>
        <v>0</v>
      </c>
      <c r="E166" s="227">
        <f>+COUNTIF('Semana 4 del 11 al 18'!$C$3:$C$205,'Clientes y sus pedidos'!A166)</f>
        <v>0</v>
      </c>
      <c r="F166" s="227">
        <f>+COUNTIF('Semana 5 del 18 al 24'!$C$1:$C$224,'Clientes y sus pedidos'!A166)</f>
        <v>0</v>
      </c>
      <c r="G166" s="227">
        <f>+COUNTIF('Semana 6 del 25 al 1 '!$C$4:$C$198,'Clientes y sus pedidos'!A166)</f>
        <v>0</v>
      </c>
      <c r="H166" s="227">
        <f>+COUNTIF('Semana 7 del 02 al 9  '!C161:C375,'Clientes y sus pedidos'!A166)</f>
        <v>0</v>
      </c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</row>
    <row r="167" spans="1:21" x14ac:dyDescent="0.25">
      <c r="A167" s="234" t="s">
        <v>721</v>
      </c>
      <c r="B167" s="232">
        <f>+COUNTIF('Semana 1 del 21 al 27 de agost'!$C$2:$C$72,'Clientes y sus pedidos'!A167)</f>
        <v>0</v>
      </c>
      <c r="C167" s="236">
        <f>+COUNTIF('Semana 2 del 28 al 3 de sep'!$C$1:$C$119,'Clientes y sus pedidos'!A167)</f>
        <v>2</v>
      </c>
      <c r="D167" s="227">
        <f>+COUNTIF('Semana 3 del 4 - 10 sep'!$C$1:$C$124,'Clientes y sus pedidos'!A167)</f>
        <v>0</v>
      </c>
      <c r="E167" s="253">
        <f>+COUNTIF('Semana 4 del 11 al 18'!$C$3:$C$205,'Clientes y sus pedidos'!A167)</f>
        <v>2</v>
      </c>
      <c r="F167" s="227">
        <f>+COUNTIF('Semana 5 del 18 al 24'!$C$1:$C$224,'Clientes y sus pedidos'!A167)</f>
        <v>0</v>
      </c>
      <c r="G167" s="227">
        <f>+COUNTIF('Semana 6 del 25 al 1 '!$C$4:$C$198,'Clientes y sus pedidos'!A167)</f>
        <v>0</v>
      </c>
      <c r="H167" s="227">
        <f>+COUNTIF('Semana 7 del 02 al 9  '!C162:C376,'Clientes y sus pedidos'!A167)</f>
        <v>0</v>
      </c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</row>
    <row r="168" spans="1:21" x14ac:dyDescent="0.25">
      <c r="A168" s="234" t="s">
        <v>542</v>
      </c>
      <c r="B168" s="231">
        <f>+COUNTIF('Semana 1 del 21 al 27 de agost'!$C$2:$C$72,'Clientes y sus pedidos'!A168)</f>
        <v>2</v>
      </c>
      <c r="C168" s="236">
        <f>+COUNTIF('Semana 2 del 28 al 3 de sep'!$C$1:$C$119,'Clientes y sus pedidos'!A168)</f>
        <v>1</v>
      </c>
      <c r="D168" s="253">
        <f>+COUNTIF('Semana 3 del 4 - 10 sep'!$C$1:$C$124,'Clientes y sus pedidos'!A168)</f>
        <v>1</v>
      </c>
      <c r="E168" s="227">
        <f>+COUNTIF('Semana 4 del 11 al 18'!$C$3:$C$205,'Clientes y sus pedidos'!A168)</f>
        <v>0</v>
      </c>
      <c r="F168" s="227">
        <f>+COUNTIF('Semana 5 del 18 al 24'!$C$1:$C$224,'Clientes y sus pedidos'!A168)</f>
        <v>0</v>
      </c>
      <c r="G168" s="227">
        <f>+COUNTIF('Semana 6 del 25 al 1 '!$C$4:$C$198,'Clientes y sus pedidos'!A168)</f>
        <v>0</v>
      </c>
      <c r="H168" s="227">
        <f>+COUNTIF('Semana 7 del 02 al 9  '!C163:C377,'Clientes y sus pedidos'!A168)</f>
        <v>0</v>
      </c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</row>
    <row r="169" spans="1:21" x14ac:dyDescent="0.25">
      <c r="A169" s="234" t="s">
        <v>450</v>
      </c>
      <c r="B169" s="232">
        <f>+COUNTIF('Semana 1 del 21 al 27 de agost'!$C$2:$C$72,'Clientes y sus pedidos'!A169)</f>
        <v>0</v>
      </c>
      <c r="C169" s="236">
        <f>+COUNTIF('Semana 2 del 28 al 3 de sep'!$C$1:$C$119,'Clientes y sus pedidos'!A169)</f>
        <v>2</v>
      </c>
      <c r="D169" s="227">
        <f>+COUNTIF('Semana 3 del 4 - 10 sep'!$C$1:$C$124,'Clientes y sus pedidos'!A169)</f>
        <v>0</v>
      </c>
      <c r="E169" s="227">
        <f>+COUNTIF('Semana 4 del 11 al 18'!$C$3:$C$205,'Clientes y sus pedidos'!A169)</f>
        <v>0</v>
      </c>
      <c r="F169" s="227">
        <f>+COUNTIF('Semana 5 del 18 al 24'!$C$1:$C$224,'Clientes y sus pedidos'!A169)</f>
        <v>0</v>
      </c>
      <c r="G169" s="227">
        <f>+COUNTIF('Semana 6 del 25 al 1 '!$C$4:$C$198,'Clientes y sus pedidos'!A169)</f>
        <v>0</v>
      </c>
      <c r="H169" s="227">
        <f>+COUNTIF('Semana 7 del 02 al 9  '!C164:C378,'Clientes y sus pedidos'!A169)</f>
        <v>0</v>
      </c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</row>
    <row r="170" spans="1:21" x14ac:dyDescent="0.25">
      <c r="A170" s="234" t="s">
        <v>114</v>
      </c>
      <c r="B170" s="232">
        <f>+COUNTIF('Semana 1 del 21 al 27 de agost'!$C$2:$C$72,'Clientes y sus pedidos'!A170)</f>
        <v>0</v>
      </c>
      <c r="C170" s="236">
        <f>+COUNTIF('Semana 2 del 28 al 3 de sep'!$C$1:$C$119,'Clientes y sus pedidos'!A170)</f>
        <v>1</v>
      </c>
      <c r="D170" s="253">
        <f>+COUNTIF('Semana 3 del 4 - 10 sep'!$C$1:$C$124,'Clientes y sus pedidos'!A170)</f>
        <v>2</v>
      </c>
      <c r="E170" s="253">
        <f>+COUNTIF('Semana 4 del 11 al 18'!$C$3:$C$205,'Clientes y sus pedidos'!A170)</f>
        <v>2</v>
      </c>
      <c r="F170" s="253">
        <f>+COUNTIF('Semana 5 del 18 al 24'!$C$1:$C$224,'Clientes y sus pedidos'!A170)</f>
        <v>4</v>
      </c>
      <c r="G170" s="253">
        <f>+COUNTIF('Semana 6 del 25 al 1 '!$C$4:$C$198,'Clientes y sus pedidos'!A170)</f>
        <v>2</v>
      </c>
      <c r="H170" s="227">
        <f>+COUNTIF('Semana 7 del 02 al 9  '!C165:C379,'Clientes y sus pedidos'!A170)</f>
        <v>0</v>
      </c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</row>
    <row r="171" spans="1:21" x14ac:dyDescent="0.25">
      <c r="A171" s="234" t="s">
        <v>2494</v>
      </c>
      <c r="B171" s="232">
        <f>+COUNTIF('Semana 1 del 21 al 27 de agost'!$C$2:$C$72,'Clientes y sus pedidos'!A171)</f>
        <v>0</v>
      </c>
      <c r="C171" s="236">
        <f>+COUNTIF('Semana 2 del 28 al 3 de sep'!$C$1:$C$119,'Clientes y sus pedidos'!A171)</f>
        <v>1</v>
      </c>
      <c r="D171" s="227">
        <f>+COUNTIF('Semana 3 del 4 - 10 sep'!$C$1:$C$124,'Clientes y sus pedidos'!A171)</f>
        <v>0</v>
      </c>
      <c r="E171" s="227">
        <f>+COUNTIF('Semana 4 del 11 al 18'!$C$3:$C$205,'Clientes y sus pedidos'!A171)</f>
        <v>0</v>
      </c>
      <c r="F171" s="227">
        <f>+COUNTIF('Semana 5 del 18 al 24'!$C$1:$C$224,'Clientes y sus pedidos'!A171)</f>
        <v>0</v>
      </c>
      <c r="G171" s="227">
        <f>+COUNTIF('Semana 6 del 25 al 1 '!$C$4:$C$198,'Clientes y sus pedidos'!A171)</f>
        <v>0</v>
      </c>
      <c r="H171" s="227">
        <f>+COUNTIF('Semana 7 del 02 al 9  '!C166:C380,'Clientes y sus pedidos'!A171)</f>
        <v>0</v>
      </c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</row>
    <row r="172" spans="1:21" x14ac:dyDescent="0.25">
      <c r="A172" s="234" t="s">
        <v>2334</v>
      </c>
      <c r="B172" s="232">
        <f>+COUNTIF('Semana 1 del 21 al 27 de agost'!$C$2:$C$72,'Clientes y sus pedidos'!A172)</f>
        <v>0</v>
      </c>
      <c r="C172" s="246">
        <f>+COUNTIF('Semana 2 del 28 al 3 de sep'!$C$1:$C$119,'Clientes y sus pedidos'!A172)</f>
        <v>0</v>
      </c>
      <c r="D172" s="227">
        <f>+COUNTIF('Semana 3 del 4 - 10 sep'!$C$1:$C$124,'Clientes y sus pedidos'!A172)</f>
        <v>0</v>
      </c>
      <c r="E172" s="227">
        <f>+COUNTIF('Semana 4 del 11 al 18'!$C$3:$C$205,'Clientes y sus pedidos'!A172)</f>
        <v>0</v>
      </c>
      <c r="F172" s="227">
        <f>+COUNTIF('Semana 5 del 18 al 24'!$C$1:$C$224,'Clientes y sus pedidos'!A172)</f>
        <v>0</v>
      </c>
      <c r="G172" s="227">
        <f>+COUNTIF('Semana 6 del 25 al 1 '!$C$4:$C$198,'Clientes y sus pedidos'!A172)</f>
        <v>0</v>
      </c>
      <c r="H172" s="227">
        <f>+COUNTIF('Semana 7 del 02 al 9  '!C167:C381,'Clientes y sus pedidos'!A172)</f>
        <v>0</v>
      </c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</row>
    <row r="173" spans="1:21" x14ac:dyDescent="0.25">
      <c r="A173" s="234" t="s">
        <v>230</v>
      </c>
      <c r="B173" s="231">
        <f>+COUNTIF('Semana 1 del 21 al 27 de agost'!$C$2:$C$72,'Clientes y sus pedidos'!A173)</f>
        <v>1</v>
      </c>
      <c r="C173" s="236">
        <f>+COUNTIF('Semana 2 del 28 al 3 de sep'!$C$1:$C$119,'Clientes y sus pedidos'!A173)</f>
        <v>1</v>
      </c>
      <c r="D173" s="253">
        <f>+COUNTIF('Semana 3 del 4 - 10 sep'!$C$1:$C$124,'Clientes y sus pedidos'!A173)</f>
        <v>1</v>
      </c>
      <c r="E173" s="253">
        <f>+COUNTIF('Semana 4 del 11 al 18'!$C$3:$C$205,'Clientes y sus pedidos'!A173)</f>
        <v>1</v>
      </c>
      <c r="F173" s="227">
        <f>+COUNTIF('Semana 5 del 18 al 24'!$C$1:$C$224,'Clientes y sus pedidos'!A173)</f>
        <v>0</v>
      </c>
      <c r="G173" s="253">
        <f>+COUNTIF('Semana 6 del 25 al 1 '!$C$4:$C$198,'Clientes y sus pedidos'!A173)</f>
        <v>1</v>
      </c>
      <c r="H173" s="227">
        <f>+COUNTIF('Semana 7 del 02 al 9  '!C168:C382,'Clientes y sus pedidos'!A173)</f>
        <v>0</v>
      </c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</row>
    <row r="174" spans="1:21" x14ac:dyDescent="0.25">
      <c r="A174" s="234" t="s">
        <v>2473</v>
      </c>
      <c r="B174" s="231">
        <f>+COUNTIF('Semana 1 del 21 al 27 de agost'!$C$2:$C$72,'Clientes y sus pedidos'!A174)</f>
        <v>1</v>
      </c>
      <c r="C174" s="236">
        <f>+COUNTIF('Semana 2 del 28 al 3 de sep'!$C$1:$C$119,'Clientes y sus pedidos'!A174)</f>
        <v>1</v>
      </c>
      <c r="D174" s="227">
        <f>+COUNTIF('Semana 3 del 4 - 10 sep'!$C$1:$C$124,'Clientes y sus pedidos'!A174)</f>
        <v>0</v>
      </c>
      <c r="E174" s="227">
        <f>+COUNTIF('Semana 4 del 11 al 18'!$C$3:$C$205,'Clientes y sus pedidos'!A174)</f>
        <v>0</v>
      </c>
      <c r="F174" s="227">
        <f>+COUNTIF('Semana 5 del 18 al 24'!$C$1:$C$224,'Clientes y sus pedidos'!A174)</f>
        <v>0</v>
      </c>
      <c r="G174" s="227">
        <f>+COUNTIF('Semana 6 del 25 al 1 '!$C$4:$C$198,'Clientes y sus pedidos'!A174)</f>
        <v>0</v>
      </c>
      <c r="H174" s="227">
        <f>+COUNTIF('Semana 7 del 02 al 9  '!C169:C383,'Clientes y sus pedidos'!A174)</f>
        <v>0</v>
      </c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</row>
    <row r="175" spans="1:21" x14ac:dyDescent="0.25">
      <c r="A175" s="234" t="s">
        <v>307</v>
      </c>
      <c r="B175" s="231">
        <f>+COUNTIF('Semana 1 del 21 al 27 de agost'!$C$2:$C$72,'Clientes y sus pedidos'!A175)</f>
        <v>1</v>
      </c>
      <c r="C175" s="246">
        <f>+COUNTIF('Semana 2 del 28 al 3 de sep'!$C$1:$C$119,'Clientes y sus pedidos'!A175)</f>
        <v>0</v>
      </c>
      <c r="D175" s="253">
        <f>+COUNTIF('Semana 3 del 4 - 10 sep'!$C$1:$C$124,'Clientes y sus pedidos'!A175)</f>
        <v>2</v>
      </c>
      <c r="E175" s="253">
        <f>+COUNTIF('Semana 4 del 11 al 18'!$C$3:$C$205,'Clientes y sus pedidos'!A175)</f>
        <v>2</v>
      </c>
      <c r="F175" s="227">
        <f>+COUNTIF('Semana 5 del 18 al 24'!$C$1:$C$224,'Clientes y sus pedidos'!A175)</f>
        <v>0</v>
      </c>
      <c r="G175" s="227">
        <f>+COUNTIF('Semana 6 del 25 al 1 '!$C$4:$C$198,'Clientes y sus pedidos'!A175)</f>
        <v>0</v>
      </c>
      <c r="H175" s="227">
        <f>+COUNTIF('Semana 7 del 02 al 9  '!C170:C384,'Clientes y sus pedidos'!A175)</f>
        <v>0</v>
      </c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</row>
    <row r="176" spans="1:21" x14ac:dyDescent="0.25">
      <c r="A176" s="234" t="s">
        <v>2335</v>
      </c>
      <c r="B176" s="232">
        <f>+COUNTIF('Semana 1 del 21 al 27 de agost'!$C$2:$C$72,'Clientes y sus pedidos'!A176)</f>
        <v>0</v>
      </c>
      <c r="C176" s="246">
        <f>+COUNTIF('Semana 2 del 28 al 3 de sep'!$C$1:$C$119,'Clientes y sus pedidos'!A176)</f>
        <v>0</v>
      </c>
      <c r="D176" s="227">
        <f>+COUNTIF('Semana 3 del 4 - 10 sep'!$C$1:$C$124,'Clientes y sus pedidos'!A176)</f>
        <v>0</v>
      </c>
      <c r="E176" s="227">
        <f>+COUNTIF('Semana 4 del 11 al 18'!$C$3:$C$205,'Clientes y sus pedidos'!A176)</f>
        <v>0</v>
      </c>
      <c r="F176" s="227">
        <f>+COUNTIF('Semana 5 del 18 al 24'!$C$1:$C$224,'Clientes y sus pedidos'!A176)</f>
        <v>0</v>
      </c>
      <c r="G176" s="227">
        <f>+COUNTIF('Semana 6 del 25 al 1 '!$C$4:$C$198,'Clientes y sus pedidos'!A176)</f>
        <v>0</v>
      </c>
      <c r="H176" s="227">
        <f>+COUNTIF('Semana 7 del 02 al 9  '!C171:C385,'Clientes y sus pedidos'!A176)</f>
        <v>0</v>
      </c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</row>
    <row r="177" spans="1:21" x14ac:dyDescent="0.25">
      <c r="A177" s="234" t="s">
        <v>3104</v>
      </c>
      <c r="B177" s="232">
        <f>+COUNTIF('Semana 1 del 21 al 27 de agost'!$C$2:$C$72,'Clientes y sus pedidos'!A177)</f>
        <v>0</v>
      </c>
      <c r="C177" s="246">
        <f>+COUNTIF('Semana 2 del 28 al 3 de sep'!$C$1:$C$119,'Clientes y sus pedidos'!A177)</f>
        <v>0</v>
      </c>
      <c r="D177" s="227">
        <f>+COUNTIF('Semana 3 del 4 - 10 sep'!$C$1:$C$124,'Clientes y sus pedidos'!A177)</f>
        <v>0</v>
      </c>
      <c r="E177" s="253">
        <f>+COUNTIF('Semana 4 del 11 al 18'!$C$3:$C$205,'Clientes y sus pedidos'!A177)</f>
        <v>1</v>
      </c>
      <c r="F177" s="227">
        <f>+COUNTIF('Semana 5 del 18 al 24'!$C$1:$C$224,'Clientes y sus pedidos'!A177)</f>
        <v>0</v>
      </c>
      <c r="G177" s="227">
        <f>+COUNTIF('Semana 6 del 25 al 1 '!$C$4:$C$198,'Clientes y sus pedidos'!A177)</f>
        <v>0</v>
      </c>
      <c r="H177" s="227">
        <f>+COUNTIF('Semana 7 del 02 al 9  '!C172:C386,'Clientes y sus pedidos'!A177)</f>
        <v>0</v>
      </c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</row>
    <row r="178" spans="1:21" x14ac:dyDescent="0.25">
      <c r="A178" s="234" t="s">
        <v>2336</v>
      </c>
      <c r="B178" s="232">
        <f>+COUNTIF('Semana 1 del 21 al 27 de agost'!$C$2:$C$72,'Clientes y sus pedidos'!A178)</f>
        <v>0</v>
      </c>
      <c r="C178" s="246">
        <f>+COUNTIF('Semana 2 del 28 al 3 de sep'!$C$1:$C$119,'Clientes y sus pedidos'!A178)</f>
        <v>0</v>
      </c>
      <c r="D178" s="227">
        <f>+COUNTIF('Semana 3 del 4 - 10 sep'!$C$1:$C$124,'Clientes y sus pedidos'!A178)</f>
        <v>0</v>
      </c>
      <c r="E178" s="227">
        <f>+COUNTIF('Semana 4 del 11 al 18'!$C$3:$C$205,'Clientes y sus pedidos'!A178)</f>
        <v>0</v>
      </c>
      <c r="F178" s="227">
        <f>+COUNTIF('Semana 5 del 18 al 24'!$C$1:$C$224,'Clientes y sus pedidos'!A178)</f>
        <v>0</v>
      </c>
      <c r="G178" s="227">
        <f>+COUNTIF('Semana 6 del 25 al 1 '!$C$4:$C$198,'Clientes y sus pedidos'!A178)</f>
        <v>0</v>
      </c>
      <c r="H178" s="227">
        <f>+COUNTIF('Semana 7 del 02 al 9  '!C173:C387,'Clientes y sus pedidos'!A178)</f>
        <v>0</v>
      </c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</row>
    <row r="179" spans="1:21" x14ac:dyDescent="0.25">
      <c r="A179" s="234" t="s">
        <v>2337</v>
      </c>
      <c r="B179" s="232">
        <f>+COUNTIF('Semana 1 del 21 al 27 de agost'!$C$2:$C$72,'Clientes y sus pedidos'!A179)</f>
        <v>0</v>
      </c>
      <c r="C179" s="246">
        <f>+COUNTIF('Semana 2 del 28 al 3 de sep'!$C$1:$C$119,'Clientes y sus pedidos'!A179)</f>
        <v>0</v>
      </c>
      <c r="D179" s="227">
        <f>+COUNTIF('Semana 3 del 4 - 10 sep'!$C$1:$C$124,'Clientes y sus pedidos'!A179)</f>
        <v>0</v>
      </c>
      <c r="E179" s="227">
        <f>+COUNTIF('Semana 4 del 11 al 18'!$C$3:$C$205,'Clientes y sus pedidos'!A179)</f>
        <v>0</v>
      </c>
      <c r="F179" s="227">
        <f>+COUNTIF('Semana 5 del 18 al 24'!$C$1:$C$224,'Clientes y sus pedidos'!A179)</f>
        <v>0</v>
      </c>
      <c r="G179" s="227">
        <f>+COUNTIF('Semana 6 del 25 al 1 '!$C$4:$C$198,'Clientes y sus pedidos'!A179)</f>
        <v>0</v>
      </c>
      <c r="H179" s="227">
        <f>+COUNTIF('Semana 7 del 02 al 9  '!C174:C388,'Clientes y sus pedidos'!A179)</f>
        <v>0</v>
      </c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</row>
    <row r="180" spans="1:21" x14ac:dyDescent="0.25">
      <c r="A180" s="234" t="s">
        <v>2116</v>
      </c>
      <c r="B180" s="232">
        <f>+COUNTIF('Semana 1 del 21 al 27 de agost'!$C$2:$C$72,'Clientes y sus pedidos'!A180)</f>
        <v>0</v>
      </c>
      <c r="C180" s="236">
        <f>+COUNTIF('Semana 2 del 28 al 3 de sep'!$C$1:$C$119,'Clientes y sus pedidos'!A180)</f>
        <v>1</v>
      </c>
      <c r="D180" s="227">
        <f>+COUNTIF('Semana 3 del 4 - 10 sep'!$C$1:$C$124,'Clientes y sus pedidos'!A180)</f>
        <v>0</v>
      </c>
      <c r="E180" s="227">
        <f>+COUNTIF('Semana 4 del 11 al 18'!$C$3:$C$205,'Clientes y sus pedidos'!A180)</f>
        <v>0</v>
      </c>
      <c r="F180" s="227">
        <f>+COUNTIF('Semana 5 del 18 al 24'!$C$1:$C$224,'Clientes y sus pedidos'!A180)</f>
        <v>0</v>
      </c>
      <c r="G180" s="253">
        <f>+COUNTIF('Semana 6 del 25 al 1 '!$C$4:$C$198,'Clientes y sus pedidos'!A180)</f>
        <v>1</v>
      </c>
      <c r="H180" s="227">
        <f>+COUNTIF('Semana 7 del 02 al 9  '!C175:C389,'Clientes y sus pedidos'!A180)</f>
        <v>0</v>
      </c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</row>
    <row r="181" spans="1:21" x14ac:dyDescent="0.25">
      <c r="A181" s="234" t="s">
        <v>618</v>
      </c>
      <c r="B181" s="232">
        <f>+COUNTIF('Semana 1 del 21 al 27 de agost'!$C$2:$C$72,'Clientes y sus pedidos'!A181)</f>
        <v>0</v>
      </c>
      <c r="C181" s="246">
        <f>+COUNTIF('Semana 2 del 28 al 3 de sep'!$C$1:$C$119,'Clientes y sus pedidos'!A181)</f>
        <v>0</v>
      </c>
      <c r="D181" s="227">
        <f>+COUNTIF('Semana 3 del 4 - 10 sep'!$C$1:$C$124,'Clientes y sus pedidos'!A181)</f>
        <v>0</v>
      </c>
      <c r="E181" s="253">
        <f>+COUNTIF('Semana 4 del 11 al 18'!$C$3:$C$205,'Clientes y sus pedidos'!A181)</f>
        <v>1</v>
      </c>
      <c r="F181" s="227">
        <f>+COUNTIF('Semana 5 del 18 al 24'!$C$1:$C$224,'Clientes y sus pedidos'!A181)</f>
        <v>0</v>
      </c>
      <c r="G181" s="227">
        <f>+COUNTIF('Semana 6 del 25 al 1 '!$C$4:$C$198,'Clientes y sus pedidos'!A181)</f>
        <v>0</v>
      </c>
      <c r="H181" s="227">
        <f>+COUNTIF('Semana 7 del 02 al 9  '!C176:C390,'Clientes y sus pedidos'!A181)</f>
        <v>0</v>
      </c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</row>
    <row r="182" spans="1:21" x14ac:dyDescent="0.25">
      <c r="A182" s="234" t="s">
        <v>3116</v>
      </c>
      <c r="B182" s="232"/>
      <c r="C182" s="246"/>
      <c r="D182" s="227"/>
      <c r="E182" s="253">
        <f>+COUNTIF('Semana 4 del 11 al 18'!$C$3:$C$205,'Clientes y sus pedidos'!A182)</f>
        <v>1</v>
      </c>
      <c r="F182" s="227">
        <f>+COUNTIF('Semana 5 del 18 al 24'!$C$1:$C$224,'Clientes y sus pedidos'!A182)</f>
        <v>0</v>
      </c>
      <c r="G182" s="227">
        <f>+COUNTIF('Semana 6 del 25 al 1 '!$C$4:$C$198,'Clientes y sus pedidos'!A182)</f>
        <v>0</v>
      </c>
      <c r="H182" s="227">
        <f>+COUNTIF('Semana 7 del 02 al 9  '!C177:C391,'Clientes y sus pedidos'!A182)</f>
        <v>0</v>
      </c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</row>
    <row r="183" spans="1:21" s="128" customFormat="1" x14ac:dyDescent="0.25">
      <c r="A183" s="234" t="s">
        <v>1058</v>
      </c>
      <c r="B183" s="232"/>
      <c r="C183" s="246"/>
      <c r="D183" s="227"/>
      <c r="E183" s="227"/>
      <c r="F183" s="253">
        <f>+COUNTIF('Semana 5 del 18 al 24'!$C$1:$C$224,'Clientes y sus pedidos'!A183)</f>
        <v>1</v>
      </c>
      <c r="G183" s="227">
        <f>+COUNTIF('Semana 6 del 25 al 1 '!$C$4:$C$198,'Clientes y sus pedidos'!A183)</f>
        <v>0</v>
      </c>
      <c r="H183" s="227">
        <f>+COUNTIF('Semana 7 del 02 al 9  '!C178:C392,'Clientes y sus pedidos'!A183)</f>
        <v>0</v>
      </c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</row>
    <row r="184" spans="1:21" x14ac:dyDescent="0.25">
      <c r="A184" s="234" t="s">
        <v>2330</v>
      </c>
      <c r="B184" s="232">
        <f>+COUNTIF('Semana 1 del 21 al 27 de agost'!$C$2:$C$72,'Clientes y sus pedidos'!A184)</f>
        <v>0</v>
      </c>
      <c r="C184" s="246">
        <f>+COUNTIF('Semana 2 del 28 al 3 de sep'!$C$1:$C$119,'Clientes y sus pedidos'!A184)</f>
        <v>0</v>
      </c>
      <c r="D184" s="227">
        <f>+COUNTIF('Semana 3 del 4 - 10 sep'!$C$1:$C$124,'Clientes y sus pedidos'!A184)</f>
        <v>0</v>
      </c>
      <c r="E184" s="227">
        <f>+COUNTIF('Semana 4 del 11 al 18'!$C$3:$C$205,'Clientes y sus pedidos'!A184)</f>
        <v>0</v>
      </c>
      <c r="F184" s="227">
        <f>+COUNTIF('Semana 5 del 18 al 24'!$C$1:$C$224,'Clientes y sus pedidos'!A184)</f>
        <v>0</v>
      </c>
      <c r="G184" s="227">
        <f>+COUNTIF('Semana 6 del 25 al 1 '!$C$4:$C$198,'Clientes y sus pedidos'!A184)</f>
        <v>0</v>
      </c>
      <c r="H184" s="227">
        <f>+COUNTIF('Semana 7 del 02 al 9  '!C179:C393,'Clientes y sus pedidos'!A184)</f>
        <v>0</v>
      </c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</row>
    <row r="185" spans="1:21" x14ac:dyDescent="0.25">
      <c r="A185" s="234" t="s">
        <v>260</v>
      </c>
      <c r="B185" s="231">
        <f>+COUNTIF('Semana 1 del 21 al 27 de agost'!$C$2:$C$72,"Angeles")</f>
        <v>2</v>
      </c>
      <c r="C185" s="236">
        <f>+COUNTIF('Semana 2 del 28 al 3 de sep'!$C$1:$C$119,"Angeles")</f>
        <v>2</v>
      </c>
      <c r="D185" s="253">
        <f>+COUNTIF('Semana 3 del 4 - 10 sep'!$C$1:$C$124,'Clientes y sus pedidos'!A185)</f>
        <v>2</v>
      </c>
      <c r="E185" s="253">
        <f>+COUNTIF('Semana 4 del 11 al 18'!$C$3:$C$205,'Clientes y sus pedidos'!A185)</f>
        <v>3</v>
      </c>
      <c r="F185" s="253">
        <f>+COUNTIF('Semana 5 del 18 al 24'!$C$1:$C$224,'Clientes y sus pedidos'!A185)</f>
        <v>1</v>
      </c>
      <c r="G185" s="227">
        <f>+COUNTIF('Semana 6 del 25 al 1 '!$C$4:$C$198,'Clientes y sus pedidos'!A185)</f>
        <v>0</v>
      </c>
      <c r="H185" s="227">
        <f>+COUNTIF('Semana 7 del 02 al 9  '!C180:C394,'Clientes y sus pedidos'!A185)</f>
        <v>0</v>
      </c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</row>
    <row r="186" spans="1:21" x14ac:dyDescent="0.25">
      <c r="A186" s="234" t="s">
        <v>2468</v>
      </c>
      <c r="B186" s="231">
        <f>+COUNTIF('Semana 1 del 21 al 27 de agost'!$C$2:$C$72,"Victoria")</f>
        <v>2</v>
      </c>
      <c r="C186" s="246">
        <f>+COUNTIF('Semana 2 del 28 al 3 de sep'!$C$1:$C$119,'Clientes y sus pedidos'!A186)</f>
        <v>0</v>
      </c>
      <c r="D186" s="227">
        <f>+COUNTIF('Semana 3 del 4 - 10 sep'!$C$1:$C$124,'Clientes y sus pedidos'!A186)</f>
        <v>0</v>
      </c>
      <c r="E186" s="227">
        <f>+COUNTIF('Semana 4 del 11 al 18'!$C$3:$C$205,'Clientes y sus pedidos'!A186)</f>
        <v>0</v>
      </c>
      <c r="F186" s="227">
        <f>+COUNTIF('Semana 5 del 18 al 24'!$C$1:$C$224,'Clientes y sus pedidos'!A186)</f>
        <v>0</v>
      </c>
      <c r="G186" s="227">
        <f>+COUNTIF('Semana 6 del 25 al 1 '!$C$4:$C$198,'Clientes y sus pedidos'!A186)</f>
        <v>0</v>
      </c>
      <c r="H186" s="227">
        <f>+COUNTIF('Semana 7 del 02 al 9  '!C181:C395,'Clientes y sus pedidos'!A186)</f>
        <v>0</v>
      </c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</row>
    <row r="187" spans="1:21" x14ac:dyDescent="0.25">
      <c r="A187" s="234" t="s">
        <v>225</v>
      </c>
      <c r="B187" s="231">
        <f>+COUNTIF('Semana 1 del 21 al 27 de agost'!$C$2:$C$72,"Yair")</f>
        <v>2</v>
      </c>
      <c r="C187" s="236">
        <f>+COUNTIF('Semana 2 del 28 al 3 de sep'!$C$1:$C$119,'Clientes y sus pedidos'!A187)</f>
        <v>1</v>
      </c>
      <c r="D187" s="227">
        <f>+COUNTIF('Semana 3 del 4 - 10 sep'!$C$1:$C$124,'Clientes y sus pedidos'!A187)</f>
        <v>0</v>
      </c>
      <c r="E187" s="227">
        <f>+COUNTIF('Semana 4 del 11 al 18'!$C$3:$C$205,'Clientes y sus pedidos'!A187)</f>
        <v>0</v>
      </c>
      <c r="F187" s="227">
        <f>+COUNTIF('Semana 5 del 18 al 24'!$C$1:$C$224,'Clientes y sus pedidos'!A187)</f>
        <v>0</v>
      </c>
      <c r="G187" s="227">
        <f>+COUNTIF('Semana 6 del 25 al 1 '!$C$4:$C$198,'Clientes y sus pedidos'!A187)</f>
        <v>0</v>
      </c>
      <c r="H187" s="227">
        <f>+COUNTIF('Semana 7 del 02 al 9  '!C182:C396,'Clientes y sus pedidos'!A187)</f>
        <v>0</v>
      </c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</row>
    <row r="188" spans="1:21" x14ac:dyDescent="0.25">
      <c r="A188" s="234" t="s">
        <v>2470</v>
      </c>
      <c r="B188" s="231">
        <f>+COUNTIF('Semana 1 del 21 al 27 de agost'!$C$2:$C$72,"Kamila")</f>
        <v>2</v>
      </c>
      <c r="C188" s="246">
        <f>+COUNTIF('Semana 2 del 28 al 3 de sep'!$C$1:$C$119,'Clientes y sus pedidos'!A188)</f>
        <v>0</v>
      </c>
      <c r="D188" s="227">
        <f>+COUNTIF('Semana 3 del 4 - 10 sep'!$C$1:$C$124,'Clientes y sus pedidos'!A188)</f>
        <v>0</v>
      </c>
      <c r="E188" s="227">
        <f>+COUNTIF('Semana 4 del 11 al 18'!$C$3:$C$205,'Clientes y sus pedidos'!A188)</f>
        <v>0</v>
      </c>
      <c r="F188" s="227">
        <f>+COUNTIF('Semana 5 del 18 al 24'!$C$1:$C$224,'Clientes y sus pedidos'!A188)</f>
        <v>0</v>
      </c>
      <c r="G188" s="227">
        <f>+COUNTIF('Semana 6 del 25 al 1 '!$C$4:$C$198,'Clientes y sus pedidos'!A188)</f>
        <v>0</v>
      </c>
      <c r="H188" s="227">
        <f>+COUNTIF('Semana 7 del 02 al 9  '!C183:C397,'Clientes y sus pedidos'!A188)</f>
        <v>0</v>
      </c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</row>
    <row r="189" spans="1:21" x14ac:dyDescent="0.25">
      <c r="A189" s="143" t="s">
        <v>2476</v>
      </c>
      <c r="B189" s="247">
        <f>+COUNTIF('Semana 1 del 21 al 27 de agost'!$C$2:$C$72,"Perla")</f>
        <v>1</v>
      </c>
      <c r="C189" s="143">
        <f>+COUNTIF('Semana 2 del 28 al 3 de sep'!$C$1:$C$119,'Clientes y sus pedidos'!A189)</f>
        <v>0</v>
      </c>
      <c r="D189" s="227">
        <f>+COUNTIF('Semana 3 del 4 - 10 sep'!$C$1:$C$124,'Clientes y sus pedidos'!A189)</f>
        <v>0</v>
      </c>
      <c r="E189" s="227">
        <f>+COUNTIF('Semana 4 del 11 al 18'!$C$3:$C$205,'Clientes y sus pedidos'!A189)</f>
        <v>0</v>
      </c>
      <c r="F189" s="227">
        <f>+COUNTIF('Semana 5 del 18 al 24'!$C$1:$C$224,'Clientes y sus pedidos'!A189)</f>
        <v>0</v>
      </c>
      <c r="G189" s="227">
        <f>+COUNTIF('Semana 6 del 25 al 1 '!$C$4:$C$198,'Clientes y sus pedidos'!A189)</f>
        <v>0</v>
      </c>
      <c r="H189" s="227">
        <f>+COUNTIF('Semana 7 del 02 al 9  '!C184:C398,'Clientes y sus pedidos'!A189)</f>
        <v>0</v>
      </c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</row>
    <row r="190" spans="1:21" s="128" customFormat="1" x14ac:dyDescent="0.25">
      <c r="A190" s="143" t="s">
        <v>3471</v>
      </c>
      <c r="B190" s="143"/>
      <c r="C190" s="143"/>
      <c r="D190" s="227"/>
      <c r="E190" s="227"/>
      <c r="F190" s="253">
        <f>+COUNTIF('Semana 5 del 18 al 24'!$C$1:$C$224,'Clientes y sus pedidos'!A190)</f>
        <v>1</v>
      </c>
      <c r="G190" s="227">
        <f>+COUNTIF('Semana 6 del 25 al 1 '!$C$4:$C$198,'Clientes y sus pedidos'!A190)</f>
        <v>0</v>
      </c>
      <c r="H190" s="227">
        <f>+COUNTIF('Semana 7 del 02 al 9  '!C185:C399,'Clientes y sus pedidos'!A190)</f>
        <v>0</v>
      </c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</row>
    <row r="191" spans="1:21" x14ac:dyDescent="0.25">
      <c r="A191" s="143" t="s">
        <v>3092</v>
      </c>
      <c r="B191" s="143"/>
      <c r="C191" s="143"/>
      <c r="D191" s="253">
        <f>+COUNTIF('Semana 3 del 4 - 10 sep'!$C$1:$C$124,'Clientes y sus pedidos'!A191)</f>
        <v>1</v>
      </c>
      <c r="E191" s="227">
        <f>+COUNTIF('Semana 4 del 11 al 18'!$C$3:$C$205,'Clientes y sus pedidos'!A191)</f>
        <v>0</v>
      </c>
      <c r="F191" s="227">
        <f>+COUNTIF('Semana 5 del 18 al 24'!$C$1:$C$224,'Clientes y sus pedidos'!A191)</f>
        <v>0</v>
      </c>
      <c r="G191" s="227">
        <f>+COUNTIF('Semana 6 del 25 al 1 '!$C$4:$C$198,'Clientes y sus pedidos'!A191)</f>
        <v>0</v>
      </c>
      <c r="H191" s="227">
        <f>+COUNTIF('Semana 7 del 02 al 9  '!C186:C400,'Clientes y sus pedidos'!A191)</f>
        <v>0</v>
      </c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</row>
    <row r="192" spans="1:21" x14ac:dyDescent="0.25">
      <c r="A192" s="310" t="s">
        <v>2527</v>
      </c>
      <c r="B192" s="104"/>
      <c r="C192" s="311">
        <f>+COUNTIF('Semana 2 del 28 al 3 de sep'!$C$1:$C$119,"Maria-Luisa")</f>
        <v>2</v>
      </c>
      <c r="D192" s="312">
        <f>+COUNTIF('Semana 3 del 4 - 10 sep'!$C$1:$C$124,'Clientes y sus pedidos'!A192)</f>
        <v>0</v>
      </c>
      <c r="E192" s="313">
        <f>+COUNTIF('Semana 4 del 11 al 18'!$C$3:$C$205,'Clientes y sus pedidos'!A192)</f>
        <v>1</v>
      </c>
      <c r="F192" s="313">
        <f>+COUNTIF('Semana 5 del 18 al 24'!$C$1:$C$224,'Clientes y sus pedidos'!A192)</f>
        <v>1</v>
      </c>
      <c r="G192" s="247">
        <f>+COUNTIF('Semana 6 del 25 al 1 '!$C$4:$C$198,'Clientes y sus pedidos'!A192)</f>
        <v>4</v>
      </c>
      <c r="H192" s="227">
        <f>+COUNTIF('Semana 7 del 02 al 9  '!C187:C401,'Clientes y sus pedidos'!A192)</f>
        <v>0</v>
      </c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</row>
    <row r="193" spans="1:8" s="104" customFormat="1" x14ac:dyDescent="0.25">
      <c r="A193" s="104" t="s">
        <v>3808</v>
      </c>
      <c r="E193" s="310"/>
      <c r="G193" s="247">
        <f>+COUNTIF('Semana 6 del 25 al 1 '!$C$4:$C$198,'Clientes y sus pedidos'!A193)</f>
        <v>5</v>
      </c>
      <c r="H193" s="227">
        <f>+COUNTIF('Semana 7 del 02 al 9  '!C188:C402,'Clientes y sus pedidos'!A193)</f>
        <v>0</v>
      </c>
    </row>
    <row r="194" spans="1:8" s="32" customFormat="1" x14ac:dyDescent="0.25">
      <c r="A194" s="32" t="s">
        <v>3526</v>
      </c>
      <c r="E194" s="143"/>
      <c r="G194" s="247">
        <f>+COUNTIF('Semana 6 del 25 al 1 '!$C$4:$C$198,'Clientes y sus pedidos'!A194)</f>
        <v>1</v>
      </c>
      <c r="H194" s="227">
        <f>+COUNTIF('Semana 7 del 02 al 9  '!C189:C403,'Clientes y sus pedidos'!A194)</f>
        <v>0</v>
      </c>
    </row>
    <row r="195" spans="1:8" s="32" customFormat="1" x14ac:dyDescent="0.25">
      <c r="A195" s="32" t="s">
        <v>3528</v>
      </c>
      <c r="E195" s="143"/>
      <c r="G195" s="247">
        <f>+COUNTIF('Semana 6 del 25 al 1 '!$C$4:$C$198,'Clientes y sus pedidos'!A195)</f>
        <v>1</v>
      </c>
      <c r="H195" s="227">
        <f>+COUNTIF('Semana 7 del 02 al 9  '!C190:C404,'Clientes y sus pedidos'!A195)</f>
        <v>0</v>
      </c>
    </row>
    <row r="196" spans="1:8" s="32" customFormat="1" x14ac:dyDescent="0.25">
      <c r="A196" s="123" t="s">
        <v>3809</v>
      </c>
      <c r="E196" s="143"/>
      <c r="G196" s="247">
        <f>+COUNTIF('Semana 6 del 25 al 1 '!$C$4:$C$198,'Clientes y sus pedidos'!A196)</f>
        <v>1</v>
      </c>
      <c r="H196" s="227">
        <f>+COUNTIF('Semana 7 del 02 al 9  '!C191:C405,'Clientes y sus pedidos'!A196)</f>
        <v>0</v>
      </c>
    </row>
    <row r="197" spans="1:8" s="32" customFormat="1" x14ac:dyDescent="0.25">
      <c r="A197" s="123" t="s">
        <v>1211</v>
      </c>
      <c r="E197" s="143"/>
      <c r="G197" s="247">
        <f>+COUNTIF('Semana 6 del 25 al 1 '!$C$4:$C$198,'Clientes y sus pedidos'!A197)</f>
        <v>1</v>
      </c>
      <c r="H197" s="227">
        <f>+COUNTIF('Semana 7 del 02 al 9  '!C192:C406,'Clientes y sus pedidos'!A197)</f>
        <v>0</v>
      </c>
    </row>
    <row r="198" spans="1:8" x14ac:dyDescent="0.25">
      <c r="E198" s="128"/>
    </row>
    <row r="199" spans="1:8" x14ac:dyDescent="0.25">
      <c r="E199" s="128"/>
    </row>
    <row r="200" spans="1:8" x14ac:dyDescent="0.25">
      <c r="E200" s="128"/>
    </row>
    <row r="201" spans="1:8" x14ac:dyDescent="0.25">
      <c r="E201" s="128"/>
    </row>
    <row r="202" spans="1:8" x14ac:dyDescent="0.25">
      <c r="E202" s="128"/>
    </row>
    <row r="203" spans="1:8" x14ac:dyDescent="0.25">
      <c r="E203" s="128"/>
    </row>
    <row r="204" spans="1:8" x14ac:dyDescent="0.25">
      <c r="E204" s="128"/>
    </row>
    <row r="205" spans="1:8" x14ac:dyDescent="0.25">
      <c r="E205" s="128"/>
    </row>
    <row r="206" spans="1:8" x14ac:dyDescent="0.25">
      <c r="E206" s="128"/>
    </row>
  </sheetData>
  <mergeCells count="2">
    <mergeCell ref="J7:K7"/>
    <mergeCell ref="A1:U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Semana 1 del 21 al 27 de agost</vt:lpstr>
      <vt:lpstr>Semana 2 del 28 al 3 de sep</vt:lpstr>
      <vt:lpstr>Semana 3 del 4 - 10 sep</vt:lpstr>
      <vt:lpstr>Semana 4 del 11 al 18</vt:lpstr>
      <vt:lpstr>Semana 5 del 18 al 24</vt:lpstr>
      <vt:lpstr>Semana 6 del 25 al 1 </vt:lpstr>
      <vt:lpstr>Deudores</vt:lpstr>
      <vt:lpstr>Semana 7 del 02 al 9  </vt:lpstr>
      <vt:lpstr>Clientes y sus pedidos</vt:lpstr>
      <vt:lpstr>Semana 8 </vt:lpstr>
      <vt:lpstr>Semana 9 </vt:lpstr>
      <vt:lpstr>Semana 10 </vt:lpstr>
      <vt:lpstr>Semana 11</vt:lpstr>
      <vt:lpstr>Semana 12</vt:lpstr>
      <vt:lpstr>Semana 13</vt:lpstr>
      <vt:lpstr>Semana 14</vt:lpstr>
      <vt:lpstr>Semana 15</vt:lpstr>
      <vt:lpstr>Seamana 16</vt:lpstr>
      <vt:lpstr>Semana 17</vt:lpstr>
      <vt:lpstr>Semana 18</vt:lpstr>
      <vt:lpstr>Semana 19</vt:lpstr>
      <vt:lpstr>Semana 20</vt:lpstr>
      <vt:lpstr>Plantilla</vt:lpstr>
      <vt:lpstr>Ganancia x local</vt:lpstr>
      <vt:lpstr>INVERSION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VALDEZ</dc:creator>
  <cp:lastModifiedBy>Fernando Lopez Vazquez</cp:lastModifiedBy>
  <dcterms:created xsi:type="dcterms:W3CDTF">2023-09-07T05:03:20Z</dcterms:created>
  <dcterms:modified xsi:type="dcterms:W3CDTF">2024-01-17T06:48:04Z</dcterms:modified>
</cp:coreProperties>
</file>