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xr:revisionPtr revIDLastSave="44" documentId="11_94A964864D504487954369681A332E54CA5D548A" xr6:coauthVersionLast="47" xr6:coauthVersionMax="47" xr10:uidLastSave="{762A9A30-2E28-4E38-9132-650093AA1BBB}"/>
  <bookViews>
    <workbookView xWindow="0" yWindow="0" windowWidth="0" windowHeight="0" firstSheet="4" activeTab="4" xr2:uid="{00000000-000D-0000-FFFF-FFFF00000000}"/>
  </bookViews>
  <sheets>
    <sheet name="PENDIENTES" sheetId="1" r:id="rId1"/>
    <sheet name="Base Clientes" sheetId="2" r:id="rId2"/>
    <sheet name="EERR Mensual 2025" sheetId="3" r:id="rId3"/>
    <sheet name="EERR Mensual 2024" sheetId="4" r:id="rId4"/>
    <sheet name="Deudores" sheetId="24" r:id="rId5"/>
    <sheet name="Registro Ventas B2B" sheetId="5" r:id="rId6"/>
    <sheet name="Registro Ventas B2C" sheetId="6" r:id="rId7"/>
    <sheet name="ruta de clientes" sheetId="7" r:id="rId8"/>
    <sheet name="Clientes Pancho" sheetId="8" r:id="rId9"/>
    <sheet name="KPI EQUIPO" sheetId="9" r:id="rId10"/>
    <sheet name="EVENTOS" sheetId="10" r:id="rId11"/>
    <sheet name="ON TRADE" sheetId="11" r:id="rId12"/>
    <sheet name="Hoja 25" sheetId="12" r:id="rId13"/>
    <sheet name="Lista PRECIOS 2025" sheetId="13" r:id="rId14"/>
    <sheet name="Lista PRECIOS 2024 " sheetId="14" r:id="rId15"/>
    <sheet name=" COSTOS" sheetId="15" r:id="rId16"/>
    <sheet name="Analisis capacidad" sheetId="16" r:id="rId17"/>
    <sheet name="Lista Precios" sheetId="17" state="hidden" r:id="rId18"/>
    <sheet name="DESPACHADORES" sheetId="18" r:id="rId19"/>
    <sheet name="Prospectos" sheetId="19" r:id="rId20"/>
    <sheet name="Costos Por Variedad" sheetId="20" r:id="rId21"/>
    <sheet name="SERVICIO BARRA MOVIL" sheetId="21" r:id="rId22"/>
    <sheet name="Listado Batchs" sheetId="22" r:id="rId23"/>
  </sheets>
  <definedNames>
    <definedName name="_xlnm._FilterDatabase" localSheetId="1" hidden="1">'Base Clientes'!$A$1:$I$158</definedName>
    <definedName name="_xlnm._FilterDatabase" localSheetId="12" hidden="1">'Hoja 25'!$A$2:$Z$124</definedName>
    <definedName name="_xlnm._FilterDatabase" localSheetId="11" hidden="1">'ON TRADE'!$A$1:$D$18</definedName>
    <definedName name="_xlnm._FilterDatabase" localSheetId="5" hidden="1">'Registro Ventas B2B'!$A$1:$A$1371</definedName>
    <definedName name="_xlnm._FilterDatabase" localSheetId="6" hidden="1">'Registro Ventas B2C'!$A$1:$C$492</definedName>
    <definedName name="_xlnm._FilterDatabase" localSheetId="4" hidden="1">Deudores!$H$1:$H$1371</definedName>
    <definedName name="Z_647B0DAD_7568_4B18_9DE4_42C99E7D3A81_.wvu.FilterData" localSheetId="5" hidden="1">'Registro Ventas B2B'!$A$1:$Y$200</definedName>
    <definedName name="Z_647B0DAD_7568_4B18_9DE4_42C99E7D3A81_.wvu.FilterData" localSheetId="4" hidden="1">Deudores!$A$1:$Y$200</definedName>
    <definedName name="Z_647B0DAD_7568_4B18_9DE4_42C99E7D3A81_.wvu.FilterData" localSheetId="6" hidden="1">'Registro Ventas B2C'!$A$1:$R$1375</definedName>
    <definedName name="Z_702E0D53_84B0_497D_9555_EE1107389C47_.wvu.FilterData" localSheetId="5" hidden="1">'Registro Ventas B2B'!$A$1:$Y$17</definedName>
    <definedName name="Z_702E0D53_84B0_497D_9555_EE1107389C47_.wvu.FilterData" localSheetId="4" hidden="1">Deudores!$A$1:$Y$17</definedName>
    <definedName name="Z_702E0D53_84B0_497D_9555_EE1107389C47_.wvu.FilterData" localSheetId="6" hidden="1">'Registro Ventas B2C'!$A$1:$R$1375</definedName>
  </definedNames>
  <calcPr calcId="191028"/>
  <customWorkbookViews>
    <customWorkbookView name="Filter 2" guid="{647B0DAD-7568-4B18-9DE4-42C99E7D3A81}" maximized="1" windowWidth="0" windowHeight="0" activeSheetId="0"/>
    <customWorkbookView name="Filter 1" guid="{702E0D53-84B0-497D-9555-EE1107389C47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6" roundtripDataChecksum="LY6jjfeM1fp+2PInfCAD4DVPJfYWIEiyVwXlnwCXaFA="/>
    </ext>
  </extLst>
</workbook>
</file>

<file path=xl/calcChain.xml><?xml version="1.0" encoding="utf-8"?>
<calcChain xmlns="http://schemas.openxmlformats.org/spreadsheetml/2006/main">
  <c r="J954" i="24" l="1"/>
  <c r="J952" i="24"/>
  <c r="J951" i="24"/>
  <c r="J950" i="24"/>
  <c r="J949" i="24"/>
  <c r="J947" i="24"/>
  <c r="J946" i="24"/>
  <c r="J943" i="24"/>
  <c r="J942" i="24"/>
  <c r="J939" i="24"/>
  <c r="J937" i="24"/>
  <c r="J932" i="24"/>
  <c r="J931" i="24"/>
  <c r="J930" i="24"/>
  <c r="J927" i="24"/>
  <c r="J923" i="24"/>
  <c r="J922" i="24"/>
  <c r="J921" i="24"/>
  <c r="J920" i="24"/>
  <c r="J916" i="24"/>
  <c r="J913" i="24"/>
  <c r="J912" i="24"/>
  <c r="J908" i="24"/>
  <c r="J900" i="24"/>
  <c r="J899" i="24"/>
  <c r="J898" i="24"/>
  <c r="J897" i="24"/>
  <c r="J896" i="24"/>
  <c r="J892" i="24"/>
  <c r="J889" i="24"/>
  <c r="J886" i="24"/>
  <c r="J885" i="24"/>
  <c r="J883" i="24"/>
  <c r="J882" i="24"/>
  <c r="J880" i="24"/>
  <c r="J873" i="24"/>
  <c r="J869" i="24"/>
  <c r="J864" i="24"/>
  <c r="J857" i="24"/>
  <c r="J842" i="24"/>
  <c r="J798" i="24"/>
  <c r="J792" i="24"/>
  <c r="J739" i="24"/>
  <c r="J669" i="24"/>
  <c r="J640" i="24"/>
  <c r="J632" i="24"/>
  <c r="J622" i="24"/>
  <c r="J468" i="24"/>
  <c r="J199" i="24"/>
  <c r="J198" i="24"/>
  <c r="J187" i="24"/>
  <c r="J159" i="24"/>
  <c r="J125" i="24"/>
  <c r="I953" i="24"/>
  <c r="I951" i="24"/>
  <c r="I950" i="24"/>
  <c r="I949" i="24"/>
  <c r="I948" i="24"/>
  <c r="I947" i="24"/>
  <c r="I946" i="24"/>
  <c r="I945" i="24"/>
  <c r="I944" i="24"/>
  <c r="I943" i="24"/>
  <c r="I942" i="24"/>
  <c r="I941" i="24"/>
  <c r="I940" i="24"/>
  <c r="I938" i="24"/>
  <c r="I937" i="24"/>
  <c r="I936" i="24"/>
  <c r="I935" i="24"/>
  <c r="I934" i="24"/>
  <c r="I933" i="24"/>
  <c r="I932" i="24"/>
  <c r="I931" i="24"/>
  <c r="I930" i="24"/>
  <c r="I929" i="24"/>
  <c r="I928" i="24"/>
  <c r="I927" i="24"/>
  <c r="I926" i="24"/>
  <c r="I925" i="24"/>
  <c r="I924" i="24"/>
  <c r="I923" i="24"/>
  <c r="I922" i="24"/>
  <c r="I921" i="24"/>
  <c r="I920" i="24"/>
  <c r="I919" i="24"/>
  <c r="I918" i="24"/>
  <c r="I917" i="24"/>
  <c r="I916" i="24"/>
  <c r="I915" i="24"/>
  <c r="I914" i="24"/>
  <c r="I913" i="24"/>
  <c r="I912" i="24"/>
  <c r="I911" i="24"/>
  <c r="I910" i="24"/>
  <c r="I909" i="24"/>
  <c r="I908" i="24"/>
  <c r="O907" i="24"/>
  <c r="I907" i="24"/>
  <c r="I906" i="24"/>
  <c r="I905" i="24"/>
  <c r="I904" i="24"/>
  <c r="I903" i="24"/>
  <c r="I902" i="24"/>
  <c r="I901" i="24"/>
  <c r="I900" i="24"/>
  <c r="I899" i="24"/>
  <c r="I898" i="24"/>
  <c r="I897" i="24"/>
  <c r="I896" i="24"/>
  <c r="I895" i="24"/>
  <c r="I894" i="24"/>
  <c r="I893" i="24"/>
  <c r="I892" i="24"/>
  <c r="I891" i="24"/>
  <c r="I890" i="24"/>
  <c r="I888" i="24"/>
  <c r="I887" i="24"/>
  <c r="I886" i="24"/>
  <c r="I885" i="24"/>
  <c r="I884" i="24"/>
  <c r="I883" i="24"/>
  <c r="I882" i="24"/>
  <c r="I881" i="24"/>
  <c r="I880" i="24"/>
  <c r="I879" i="24"/>
  <c r="I878" i="24"/>
  <c r="I877" i="24"/>
  <c r="I876" i="24"/>
  <c r="I875" i="24"/>
  <c r="I874" i="24"/>
  <c r="I873" i="24"/>
  <c r="I872" i="24"/>
  <c r="K871" i="24"/>
  <c r="I871" i="24"/>
  <c r="I870" i="24"/>
  <c r="I869" i="24"/>
  <c r="I868" i="24"/>
  <c r="I867" i="24"/>
  <c r="I866" i="24"/>
  <c r="I865" i="24"/>
  <c r="I864" i="24"/>
  <c r="I863" i="24"/>
  <c r="I862" i="24"/>
  <c r="I861" i="24"/>
  <c r="I860" i="24"/>
  <c r="I859" i="24"/>
  <c r="I858" i="24"/>
  <c r="I857" i="24"/>
  <c r="I856" i="24"/>
  <c r="I855" i="24"/>
  <c r="I854" i="24"/>
  <c r="I853" i="24"/>
  <c r="I852" i="24"/>
  <c r="I851" i="24"/>
  <c r="I850" i="24"/>
  <c r="I849" i="24"/>
  <c r="I848" i="24"/>
  <c r="I847" i="24"/>
  <c r="I846" i="24"/>
  <c r="I845" i="24"/>
  <c r="I844" i="24"/>
  <c r="I843" i="24"/>
  <c r="I842" i="24"/>
  <c r="I841" i="24"/>
  <c r="I840" i="24"/>
  <c r="I839" i="24"/>
  <c r="I838" i="24"/>
  <c r="I833" i="24"/>
  <c r="I832" i="24"/>
  <c r="I831" i="24"/>
  <c r="I830" i="24"/>
  <c r="I829" i="24"/>
  <c r="I828" i="24"/>
  <c r="I827" i="24"/>
  <c r="I826" i="24"/>
  <c r="I825" i="24"/>
  <c r="I824" i="24"/>
  <c r="I823" i="24"/>
  <c r="I822" i="24"/>
  <c r="I821" i="24"/>
  <c r="I820" i="24"/>
  <c r="I819" i="24"/>
  <c r="I818" i="24"/>
  <c r="I817" i="24"/>
  <c r="I816" i="24"/>
  <c r="I815" i="24"/>
  <c r="G815" i="24"/>
  <c r="I814" i="24"/>
  <c r="I813" i="24"/>
  <c r="I812" i="24"/>
  <c r="I811" i="24"/>
  <c r="I810" i="24"/>
  <c r="I809" i="24"/>
  <c r="I808" i="24"/>
  <c r="I807" i="24"/>
  <c r="I806" i="24"/>
  <c r="I805" i="24"/>
  <c r="I804" i="24"/>
  <c r="I803" i="24"/>
  <c r="I802" i="24"/>
  <c r="I801" i="24"/>
  <c r="I800" i="24"/>
  <c r="I799" i="24"/>
  <c r="I798" i="24"/>
  <c r="I797" i="24"/>
  <c r="I796" i="24"/>
  <c r="I795" i="24"/>
  <c r="I794" i="24"/>
  <c r="I793" i="24"/>
  <c r="I792" i="24"/>
  <c r="G792" i="24"/>
  <c r="I791" i="24"/>
  <c r="I790" i="24"/>
  <c r="I789" i="24"/>
  <c r="I788" i="24"/>
  <c r="I787" i="24"/>
  <c r="I786" i="24"/>
  <c r="I785" i="24"/>
  <c r="I784" i="24"/>
  <c r="I783" i="24"/>
  <c r="I782" i="24"/>
  <c r="I781" i="24"/>
  <c r="I780" i="24"/>
  <c r="I779" i="24"/>
  <c r="I778" i="24"/>
  <c r="I777" i="24"/>
  <c r="I776" i="24"/>
  <c r="I775" i="24"/>
  <c r="I774" i="24"/>
  <c r="I773" i="24"/>
  <c r="I772" i="24"/>
  <c r="I771" i="24"/>
  <c r="I770" i="24"/>
  <c r="I769" i="24"/>
  <c r="I768" i="24"/>
  <c r="I767" i="24"/>
  <c r="I766" i="24"/>
  <c r="I765" i="24"/>
  <c r="I764" i="24"/>
  <c r="I763" i="24"/>
  <c r="I762" i="24"/>
  <c r="I761" i="24"/>
  <c r="I760" i="24"/>
  <c r="I759" i="24"/>
  <c r="I758" i="24"/>
  <c r="I757" i="24"/>
  <c r="I756" i="24"/>
  <c r="I755" i="24"/>
  <c r="I754" i="24"/>
  <c r="I753" i="24"/>
  <c r="I752" i="24"/>
  <c r="I751" i="24"/>
  <c r="I750" i="24"/>
  <c r="I749" i="24"/>
  <c r="I748" i="24"/>
  <c r="I747" i="24"/>
  <c r="I746" i="24"/>
  <c r="I745" i="24"/>
  <c r="I744" i="24"/>
  <c r="I743" i="24"/>
  <c r="I742" i="24"/>
  <c r="I741" i="24"/>
  <c r="I740" i="24"/>
  <c r="I739" i="24"/>
  <c r="I738" i="24"/>
  <c r="I737" i="24"/>
  <c r="I736" i="24"/>
  <c r="I735" i="24"/>
  <c r="I734" i="24"/>
  <c r="I733" i="24"/>
  <c r="I732" i="24"/>
  <c r="I731" i="24"/>
  <c r="I730" i="24"/>
  <c r="I729" i="24"/>
  <c r="I728" i="24"/>
  <c r="I727" i="24"/>
  <c r="I726" i="24"/>
  <c r="I725" i="24"/>
  <c r="I724" i="24"/>
  <c r="I723" i="24"/>
  <c r="I722" i="24"/>
  <c r="I721" i="24"/>
  <c r="I720" i="24"/>
  <c r="I719" i="24"/>
  <c r="I718" i="24"/>
  <c r="I717" i="24"/>
  <c r="I716" i="24"/>
  <c r="I715" i="24"/>
  <c r="I714" i="24"/>
  <c r="I713" i="24"/>
  <c r="I712" i="24"/>
  <c r="I711" i="24"/>
  <c r="I710" i="24"/>
  <c r="I709" i="24"/>
  <c r="I708" i="24"/>
  <c r="I707" i="24"/>
  <c r="I706" i="24"/>
  <c r="I705" i="24"/>
  <c r="I704" i="24"/>
  <c r="I703" i="24"/>
  <c r="I702" i="24"/>
  <c r="I701" i="24"/>
  <c r="I700" i="24"/>
  <c r="I699" i="24"/>
  <c r="I698" i="24"/>
  <c r="I697" i="24"/>
  <c r="I696" i="24"/>
  <c r="I695" i="24"/>
  <c r="I694" i="24"/>
  <c r="I693" i="24"/>
  <c r="I692" i="24"/>
  <c r="I691" i="24"/>
  <c r="I690" i="24"/>
  <c r="I689" i="24"/>
  <c r="I688" i="24"/>
  <c r="I687" i="24"/>
  <c r="I686" i="24"/>
  <c r="I685" i="24"/>
  <c r="I684" i="24"/>
  <c r="I683" i="24"/>
  <c r="I682" i="24"/>
  <c r="I681" i="24"/>
  <c r="I680" i="24"/>
  <c r="I679" i="24"/>
  <c r="I678" i="24"/>
  <c r="I677" i="24"/>
  <c r="I675" i="24"/>
  <c r="I674" i="24"/>
  <c r="I673" i="24"/>
  <c r="I672" i="24"/>
  <c r="I671" i="24"/>
  <c r="I670" i="24"/>
  <c r="I669" i="24"/>
  <c r="I668" i="24"/>
  <c r="I667" i="24"/>
  <c r="I666" i="24"/>
  <c r="I665" i="24"/>
  <c r="I664" i="24"/>
  <c r="I663" i="24"/>
  <c r="I662" i="24"/>
  <c r="I661" i="24"/>
  <c r="I660" i="24"/>
  <c r="I659" i="24"/>
  <c r="I658" i="24"/>
  <c r="I657" i="24"/>
  <c r="I656" i="24"/>
  <c r="I655" i="24"/>
  <c r="I654" i="24"/>
  <c r="I653" i="24"/>
  <c r="I652" i="24"/>
  <c r="I651" i="24"/>
  <c r="I650" i="24"/>
  <c r="I649" i="24"/>
  <c r="I648" i="24"/>
  <c r="I647" i="24"/>
  <c r="I646" i="24"/>
  <c r="I645" i="24"/>
  <c r="I644" i="24"/>
  <c r="I643" i="24"/>
  <c r="I642" i="24"/>
  <c r="I641" i="24"/>
  <c r="I640" i="24"/>
  <c r="I639" i="24"/>
  <c r="I638" i="24"/>
  <c r="I637" i="24"/>
  <c r="I636" i="24"/>
  <c r="I635" i="24"/>
  <c r="I634" i="24"/>
  <c r="I633" i="24"/>
  <c r="I632" i="24"/>
  <c r="I631" i="24"/>
  <c r="I630" i="24"/>
  <c r="I629" i="24"/>
  <c r="I628" i="24"/>
  <c r="I627" i="24"/>
  <c r="I626" i="24"/>
  <c r="I625" i="24"/>
  <c r="I624" i="24"/>
  <c r="I623" i="24"/>
  <c r="I622" i="24"/>
  <c r="I621" i="24"/>
  <c r="I620" i="24"/>
  <c r="I619" i="24"/>
  <c r="I618" i="24"/>
  <c r="I617" i="24"/>
  <c r="I616" i="24"/>
  <c r="I615" i="24"/>
  <c r="I614" i="24"/>
  <c r="I613" i="24"/>
  <c r="I612" i="24"/>
  <c r="I611" i="24"/>
  <c r="I610" i="24"/>
  <c r="I609" i="24"/>
  <c r="I608" i="24"/>
  <c r="I607" i="24"/>
  <c r="I606" i="24"/>
  <c r="I605" i="24"/>
  <c r="I604" i="24"/>
  <c r="I603" i="24"/>
  <c r="I602" i="24"/>
  <c r="I601" i="24"/>
  <c r="I600" i="24"/>
  <c r="I599" i="24"/>
  <c r="I598" i="24"/>
  <c r="I597" i="24"/>
  <c r="I596" i="24"/>
  <c r="K595" i="24"/>
  <c r="I595" i="24"/>
  <c r="I594" i="24"/>
  <c r="I593" i="24"/>
  <c r="I592" i="24"/>
  <c r="I591" i="24"/>
  <c r="I590" i="24"/>
  <c r="I589" i="24"/>
  <c r="I588" i="24"/>
  <c r="I587" i="24"/>
  <c r="I586" i="24"/>
  <c r="I585" i="24"/>
  <c r="I584" i="24"/>
  <c r="I583" i="24"/>
  <c r="I582" i="24"/>
  <c r="I581" i="24"/>
  <c r="I580" i="24"/>
  <c r="I579" i="24"/>
  <c r="I578" i="24"/>
  <c r="I577" i="24"/>
  <c r="I576" i="24"/>
  <c r="I575" i="24"/>
  <c r="I574" i="24"/>
  <c r="I573" i="24"/>
  <c r="N572" i="24"/>
  <c r="I572" i="24"/>
  <c r="I571" i="24"/>
  <c r="I570" i="24"/>
  <c r="I569" i="24"/>
  <c r="I568" i="24"/>
  <c r="I567" i="24"/>
  <c r="I566" i="24"/>
  <c r="I565" i="24"/>
  <c r="I564" i="24"/>
  <c r="I563" i="24"/>
  <c r="I562" i="24"/>
  <c r="I561" i="24"/>
  <c r="I560" i="24"/>
  <c r="I559" i="24"/>
  <c r="I558" i="24"/>
  <c r="I557" i="24"/>
  <c r="I556" i="24"/>
  <c r="I555" i="24"/>
  <c r="I554" i="24"/>
  <c r="I553" i="24"/>
  <c r="I552" i="24"/>
  <c r="I551" i="24"/>
  <c r="I550" i="24"/>
  <c r="I549" i="24"/>
  <c r="I548" i="24"/>
  <c r="I547" i="24"/>
  <c r="I546" i="24"/>
  <c r="I545" i="24"/>
  <c r="I544" i="24"/>
  <c r="I543" i="24"/>
  <c r="I542" i="24"/>
  <c r="I541" i="24"/>
  <c r="I540" i="24"/>
  <c r="I539" i="24"/>
  <c r="I538" i="24"/>
  <c r="I537" i="24"/>
  <c r="I536" i="24"/>
  <c r="I535" i="24"/>
  <c r="I534" i="24"/>
  <c r="I533" i="24"/>
  <c r="I532" i="24"/>
  <c r="I531" i="24"/>
  <c r="I530" i="24"/>
  <c r="I529" i="24"/>
  <c r="I528" i="24"/>
  <c r="I526" i="24"/>
  <c r="I525" i="24"/>
  <c r="I524" i="24"/>
  <c r="I523" i="24"/>
  <c r="I522" i="24"/>
  <c r="I521" i="24"/>
  <c r="I520" i="24"/>
  <c r="I519" i="24"/>
  <c r="I518" i="24"/>
  <c r="I517" i="24"/>
  <c r="I516" i="24"/>
  <c r="I515" i="24"/>
  <c r="I514" i="24"/>
  <c r="I513" i="24"/>
  <c r="I512" i="24"/>
  <c r="I511" i="24"/>
  <c r="I510" i="24"/>
  <c r="I509" i="24"/>
  <c r="I508" i="24"/>
  <c r="I507" i="24"/>
  <c r="I506" i="24"/>
  <c r="I505" i="24"/>
  <c r="I504" i="24"/>
  <c r="I503" i="24"/>
  <c r="I502" i="24"/>
  <c r="I501" i="24"/>
  <c r="I500" i="24"/>
  <c r="I499" i="24"/>
  <c r="I498" i="24"/>
  <c r="I497" i="24"/>
  <c r="I496" i="24"/>
  <c r="I495" i="24"/>
  <c r="I494" i="24"/>
  <c r="I493" i="24"/>
  <c r="I492" i="24"/>
  <c r="I491" i="24"/>
  <c r="I490" i="24"/>
  <c r="I489" i="24"/>
  <c r="I488" i="24"/>
  <c r="I487" i="24"/>
  <c r="I486" i="24"/>
  <c r="I485" i="24"/>
  <c r="I484" i="24"/>
  <c r="I483" i="24"/>
  <c r="I482" i="24"/>
  <c r="I481" i="24"/>
  <c r="I480" i="24"/>
  <c r="I479" i="24"/>
  <c r="I478" i="24"/>
  <c r="I477" i="24"/>
  <c r="I476" i="24"/>
  <c r="I475" i="24"/>
  <c r="I474" i="24"/>
  <c r="I473" i="24"/>
  <c r="I472" i="24"/>
  <c r="I471" i="24"/>
  <c r="I470" i="24"/>
  <c r="I469" i="24"/>
  <c r="I468" i="24"/>
  <c r="I467" i="24"/>
  <c r="I466" i="24"/>
  <c r="I465" i="24"/>
  <c r="I464" i="24"/>
  <c r="I463" i="24"/>
  <c r="I462" i="24"/>
  <c r="I461" i="24"/>
  <c r="I460" i="24"/>
  <c r="I459" i="24"/>
  <c r="I458" i="24"/>
  <c r="I457" i="24"/>
  <c r="I456" i="24"/>
  <c r="I455" i="24"/>
  <c r="I454" i="24"/>
  <c r="I453" i="24"/>
  <c r="I452" i="24"/>
  <c r="I451" i="24"/>
  <c r="I450" i="24"/>
  <c r="I449" i="24"/>
  <c r="I448" i="24"/>
  <c r="I447" i="24"/>
  <c r="I446" i="24"/>
  <c r="I445" i="24"/>
  <c r="G445" i="24"/>
  <c r="I444" i="24"/>
  <c r="I443" i="24"/>
  <c r="I442" i="24"/>
  <c r="I441" i="24"/>
  <c r="I440" i="24"/>
  <c r="I439" i="24"/>
  <c r="I438" i="24"/>
  <c r="I437" i="24"/>
  <c r="I436" i="24"/>
  <c r="I435" i="24"/>
  <c r="I434" i="24"/>
  <c r="I433" i="24"/>
  <c r="I432" i="24"/>
  <c r="I431" i="24"/>
  <c r="I430" i="24"/>
  <c r="I429" i="24"/>
  <c r="I428" i="24"/>
  <c r="I427" i="24"/>
  <c r="I426" i="24"/>
  <c r="I425" i="24"/>
  <c r="I424" i="24"/>
  <c r="I423" i="24"/>
  <c r="I422" i="24"/>
  <c r="I421" i="24"/>
  <c r="I420" i="24"/>
  <c r="I419" i="24"/>
  <c r="I418" i="24"/>
  <c r="I417" i="24"/>
  <c r="I416" i="24"/>
  <c r="I415" i="24"/>
  <c r="I414" i="24"/>
  <c r="I413" i="24"/>
  <c r="I412" i="24"/>
  <c r="I411" i="24"/>
  <c r="I410" i="24"/>
  <c r="I409" i="24"/>
  <c r="I408" i="24"/>
  <c r="I407" i="24"/>
  <c r="I406" i="24"/>
  <c r="I405" i="24"/>
  <c r="I404" i="24"/>
  <c r="I403" i="24"/>
  <c r="I402" i="24"/>
  <c r="I401" i="24"/>
  <c r="I400" i="24"/>
  <c r="I399" i="24"/>
  <c r="I398" i="24"/>
  <c r="I397" i="24"/>
  <c r="I396" i="24"/>
  <c r="I395" i="24"/>
  <c r="I394" i="24"/>
  <c r="I393" i="24"/>
  <c r="I392" i="24"/>
  <c r="I391" i="24"/>
  <c r="I390" i="24"/>
  <c r="I389" i="24"/>
  <c r="I388" i="24"/>
  <c r="I387" i="24"/>
  <c r="I386" i="24"/>
  <c r="I385" i="24"/>
  <c r="I384" i="24"/>
  <c r="I383" i="24"/>
  <c r="I382" i="24"/>
  <c r="I381" i="24"/>
  <c r="I380" i="24"/>
  <c r="I379" i="24"/>
  <c r="I378" i="24"/>
  <c r="I377" i="24"/>
  <c r="I376" i="24"/>
  <c r="I375" i="24"/>
  <c r="I374" i="24"/>
  <c r="I373" i="24"/>
  <c r="I372" i="24"/>
  <c r="I371" i="24"/>
  <c r="I370" i="24"/>
  <c r="I369" i="24"/>
  <c r="I368" i="24"/>
  <c r="I367" i="24"/>
  <c r="I366" i="24"/>
  <c r="I365" i="24"/>
  <c r="I363" i="24"/>
  <c r="I362" i="24"/>
  <c r="I361" i="24"/>
  <c r="I360" i="24"/>
  <c r="I359" i="24"/>
  <c r="I358" i="24"/>
  <c r="I357" i="24"/>
  <c r="I356" i="24"/>
  <c r="I355" i="24"/>
  <c r="I354" i="24"/>
  <c r="I353" i="24"/>
  <c r="I352" i="24"/>
  <c r="I351" i="24"/>
  <c r="I350" i="24"/>
  <c r="I349" i="24"/>
  <c r="I348" i="24"/>
  <c r="I347" i="24"/>
  <c r="I346" i="24"/>
  <c r="I345" i="24"/>
  <c r="I344" i="24"/>
  <c r="I343" i="24"/>
  <c r="I342" i="24"/>
  <c r="I341" i="24"/>
  <c r="I340" i="24"/>
  <c r="I339" i="24"/>
  <c r="I338" i="24"/>
  <c r="I337" i="24"/>
  <c r="I336" i="24"/>
  <c r="I335" i="24"/>
  <c r="I334" i="24"/>
  <c r="I333" i="24"/>
  <c r="I332" i="24"/>
  <c r="I331" i="24"/>
  <c r="I330" i="24"/>
  <c r="I329" i="24"/>
  <c r="I328" i="24"/>
  <c r="I327" i="24"/>
  <c r="I326" i="24"/>
  <c r="I325" i="24"/>
  <c r="I324" i="24"/>
  <c r="I323" i="24"/>
  <c r="I322" i="24"/>
  <c r="I321" i="24"/>
  <c r="I320" i="24"/>
  <c r="I319" i="24"/>
  <c r="I318" i="24"/>
  <c r="I317" i="24"/>
  <c r="I316" i="24"/>
  <c r="I315" i="24"/>
  <c r="I314" i="24"/>
  <c r="I313" i="24"/>
  <c r="I312" i="24"/>
  <c r="I311" i="24"/>
  <c r="I310" i="24"/>
  <c r="I309" i="24"/>
  <c r="I308" i="24"/>
  <c r="I307" i="24"/>
  <c r="I306" i="24"/>
  <c r="I305" i="24"/>
  <c r="I304" i="24"/>
  <c r="I303" i="24"/>
  <c r="I302" i="24"/>
  <c r="I301" i="24"/>
  <c r="I300" i="24"/>
  <c r="I299" i="24"/>
  <c r="I298" i="24"/>
  <c r="I297" i="24"/>
  <c r="I296" i="24"/>
  <c r="I295" i="24"/>
  <c r="I294" i="24"/>
  <c r="I293" i="24"/>
  <c r="I292" i="24"/>
  <c r="I291" i="24"/>
  <c r="I290" i="24"/>
  <c r="I289" i="24"/>
  <c r="I288" i="24"/>
  <c r="I287" i="24"/>
  <c r="I286" i="24"/>
  <c r="I285" i="24"/>
  <c r="I284" i="24"/>
  <c r="I283" i="24"/>
  <c r="I282" i="24"/>
  <c r="I281" i="24"/>
  <c r="I280" i="24"/>
  <c r="I279" i="24"/>
  <c r="I278" i="24"/>
  <c r="I277" i="24"/>
  <c r="I276" i="24"/>
  <c r="I275" i="24"/>
  <c r="I274" i="24"/>
  <c r="I273" i="24"/>
  <c r="I272" i="24"/>
  <c r="I271" i="24"/>
  <c r="I270" i="24"/>
  <c r="I269" i="24"/>
  <c r="I268" i="24"/>
  <c r="I267" i="24"/>
  <c r="I266" i="24"/>
  <c r="I265" i="24"/>
  <c r="I264" i="24"/>
  <c r="I263" i="24"/>
  <c r="I262" i="24"/>
  <c r="I261" i="24"/>
  <c r="I260" i="24"/>
  <c r="I259" i="24"/>
  <c r="I258" i="24"/>
  <c r="I257" i="24"/>
  <c r="I256" i="24"/>
  <c r="I255" i="24"/>
  <c r="I254" i="24"/>
  <c r="I253" i="24"/>
  <c r="I252" i="24"/>
  <c r="I251" i="24"/>
  <c r="I250" i="24"/>
  <c r="I249" i="24"/>
  <c r="I248" i="24"/>
  <c r="I247" i="24"/>
  <c r="I246" i="24"/>
  <c r="I245" i="24"/>
  <c r="I244" i="24"/>
  <c r="I243" i="24"/>
  <c r="I242" i="24"/>
  <c r="I241" i="24"/>
  <c r="I240" i="24"/>
  <c r="I239" i="24"/>
  <c r="I238" i="24"/>
  <c r="I237" i="24"/>
  <c r="I236" i="24"/>
  <c r="I235" i="24"/>
  <c r="I234" i="24"/>
  <c r="I233" i="24"/>
  <c r="I232" i="24"/>
  <c r="I231" i="24"/>
  <c r="I230" i="24"/>
  <c r="I229" i="24"/>
  <c r="I228" i="24"/>
  <c r="I227" i="24"/>
  <c r="I226" i="24"/>
  <c r="I225" i="24"/>
  <c r="I224" i="24"/>
  <c r="I223" i="24"/>
  <c r="I222" i="24"/>
  <c r="I221" i="24"/>
  <c r="I220" i="24"/>
  <c r="I219" i="24"/>
  <c r="I218" i="24"/>
  <c r="I217" i="24"/>
  <c r="I216" i="24"/>
  <c r="I215" i="24"/>
  <c r="I214" i="24"/>
  <c r="I213" i="24"/>
  <c r="I212" i="24"/>
  <c r="I211" i="24"/>
  <c r="I210" i="24"/>
  <c r="I209" i="24"/>
  <c r="I208" i="24"/>
  <c r="I207" i="24"/>
  <c r="I206" i="24"/>
  <c r="I205" i="24"/>
  <c r="I204" i="24"/>
  <c r="I203" i="24"/>
  <c r="I202" i="24"/>
  <c r="I201" i="24"/>
  <c r="I200" i="24"/>
  <c r="I199" i="24"/>
  <c r="I198" i="24"/>
  <c r="I197" i="24"/>
  <c r="I196" i="24"/>
  <c r="I195" i="24"/>
  <c r="I194" i="24"/>
  <c r="I193" i="24"/>
  <c r="I192" i="24"/>
  <c r="I191" i="24"/>
  <c r="I190" i="24"/>
  <c r="I189" i="24"/>
  <c r="I188" i="24"/>
  <c r="I187" i="24"/>
  <c r="I186" i="24"/>
  <c r="I185" i="24"/>
  <c r="I184" i="24"/>
  <c r="I183" i="24"/>
  <c r="I182" i="24"/>
  <c r="I181" i="24"/>
  <c r="I180" i="24"/>
  <c r="I179" i="24"/>
  <c r="I178" i="24"/>
  <c r="G178" i="24"/>
  <c r="I177" i="24"/>
  <c r="I176" i="24"/>
  <c r="I175" i="24"/>
  <c r="I174" i="24"/>
  <c r="I173" i="24"/>
  <c r="I172" i="24"/>
  <c r="I171" i="24"/>
  <c r="I170" i="24"/>
  <c r="I169" i="24"/>
  <c r="I168" i="24"/>
  <c r="I167" i="24"/>
  <c r="I166" i="24"/>
  <c r="I165" i="24"/>
  <c r="I164" i="24"/>
  <c r="I163" i="24"/>
  <c r="I162" i="24"/>
  <c r="I161" i="24"/>
  <c r="I160" i="24"/>
  <c r="I159" i="24"/>
  <c r="I158" i="24"/>
  <c r="I157" i="24"/>
  <c r="I156" i="24"/>
  <c r="I155" i="24"/>
  <c r="I154" i="24"/>
  <c r="I153" i="24"/>
  <c r="I152" i="24"/>
  <c r="I151" i="24"/>
  <c r="I150" i="24"/>
  <c r="I149" i="24"/>
  <c r="I148" i="24"/>
  <c r="I147" i="24"/>
  <c r="I146" i="24"/>
  <c r="I145" i="24"/>
  <c r="I144" i="24"/>
  <c r="I143" i="24"/>
  <c r="I142" i="24"/>
  <c r="I141" i="24"/>
  <c r="I140" i="24"/>
  <c r="I139" i="24"/>
  <c r="I138" i="24"/>
  <c r="I137" i="24"/>
  <c r="I136" i="24"/>
  <c r="I135" i="24"/>
  <c r="I134" i="24"/>
  <c r="I133" i="24"/>
  <c r="I132" i="24"/>
  <c r="I131" i="24"/>
  <c r="I130" i="24"/>
  <c r="I129" i="24"/>
  <c r="I128" i="24"/>
  <c r="I127" i="24"/>
  <c r="I126" i="24"/>
  <c r="I125" i="24"/>
  <c r="I124" i="24"/>
  <c r="I123" i="24"/>
  <c r="I122" i="24"/>
  <c r="I121" i="24"/>
  <c r="I120" i="24"/>
  <c r="I119" i="24"/>
  <c r="I118" i="24"/>
  <c r="I117" i="24"/>
  <c r="I116" i="24"/>
  <c r="I115" i="24"/>
  <c r="I114" i="24"/>
  <c r="I113" i="24"/>
  <c r="I112" i="24"/>
  <c r="I111" i="24"/>
  <c r="I110" i="24"/>
  <c r="I109" i="24"/>
  <c r="I108" i="24"/>
  <c r="I107" i="24"/>
  <c r="I106" i="24"/>
  <c r="I105" i="24"/>
  <c r="I104" i="24"/>
  <c r="I103" i="24"/>
  <c r="I102" i="24"/>
  <c r="I101" i="24"/>
  <c r="B101" i="24"/>
  <c r="I100" i="24"/>
  <c r="I99" i="24"/>
  <c r="I98" i="24"/>
  <c r="I97" i="24"/>
  <c r="I96" i="24"/>
  <c r="I95" i="24"/>
  <c r="I94" i="24"/>
  <c r="I93" i="24"/>
  <c r="G93" i="24"/>
  <c r="I92" i="24"/>
  <c r="I91" i="24"/>
  <c r="I90" i="24"/>
  <c r="I89" i="24"/>
  <c r="I88" i="24"/>
  <c r="I87" i="24"/>
  <c r="I86" i="24"/>
  <c r="I85" i="24"/>
  <c r="I84" i="24"/>
  <c r="I83" i="24"/>
  <c r="I82" i="24"/>
  <c r="I81" i="24"/>
  <c r="I80" i="24"/>
  <c r="I79" i="24"/>
  <c r="I78" i="24"/>
  <c r="I77" i="24"/>
  <c r="I76" i="24"/>
  <c r="I75" i="24"/>
  <c r="I74" i="24"/>
  <c r="I73" i="24"/>
  <c r="I72" i="24"/>
  <c r="I71" i="24"/>
  <c r="I70" i="24"/>
  <c r="I69" i="24"/>
  <c r="I68" i="24"/>
  <c r="I67" i="24"/>
  <c r="I66" i="24"/>
  <c r="I65" i="24"/>
  <c r="I64" i="24"/>
  <c r="I63" i="24"/>
  <c r="I62" i="24"/>
  <c r="I61" i="24"/>
  <c r="I60" i="24"/>
  <c r="I59" i="24"/>
  <c r="I58" i="24"/>
  <c r="I57" i="24"/>
  <c r="I56" i="24"/>
  <c r="I55" i="24"/>
  <c r="I54" i="24"/>
  <c r="I53" i="24"/>
  <c r="I52" i="24"/>
  <c r="I51" i="24"/>
  <c r="I50" i="24"/>
  <c r="I49" i="24"/>
  <c r="I48" i="24"/>
  <c r="I47" i="24"/>
  <c r="G47" i="24"/>
  <c r="I46" i="24"/>
  <c r="I45" i="24"/>
  <c r="I44" i="24"/>
  <c r="I43" i="24"/>
  <c r="I42" i="24"/>
  <c r="I41" i="24"/>
  <c r="I40" i="24"/>
  <c r="B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I2" i="24"/>
  <c r="Q111" i="22"/>
  <c r="P111" i="22"/>
  <c r="O111" i="22"/>
  <c r="N111" i="22"/>
  <c r="M111" i="22"/>
  <c r="L111" i="22"/>
  <c r="K111" i="22"/>
  <c r="I111" i="22"/>
  <c r="H111" i="22"/>
  <c r="G111" i="22"/>
  <c r="C10" i="21"/>
  <c r="B10" i="21"/>
  <c r="D4" i="21"/>
  <c r="D10" i="21" s="1"/>
  <c r="C12" i="20"/>
  <c r="C13" i="20" s="1"/>
  <c r="I10" i="20"/>
  <c r="F10" i="20"/>
  <c r="E10" i="20"/>
  <c r="H10" i="20" s="1"/>
  <c r="D10" i="20"/>
  <c r="G10" i="20" s="1"/>
  <c r="I9" i="20"/>
  <c r="F9" i="20"/>
  <c r="E9" i="20"/>
  <c r="H9" i="20" s="1"/>
  <c r="D9" i="20"/>
  <c r="G9" i="20" s="1"/>
  <c r="I8" i="20"/>
  <c r="F8" i="20"/>
  <c r="E8" i="20"/>
  <c r="H8" i="20" s="1"/>
  <c r="D8" i="20"/>
  <c r="G8" i="20" s="1"/>
  <c r="I7" i="20"/>
  <c r="F7" i="20"/>
  <c r="E7" i="20"/>
  <c r="H7" i="20" s="1"/>
  <c r="D7" i="20"/>
  <c r="G7" i="20" s="1"/>
  <c r="I6" i="20"/>
  <c r="F6" i="20"/>
  <c r="E6" i="20"/>
  <c r="H6" i="20" s="1"/>
  <c r="D6" i="20"/>
  <c r="G6" i="20" s="1"/>
  <c r="I5" i="20"/>
  <c r="F5" i="20"/>
  <c r="E5" i="20"/>
  <c r="H5" i="20" s="1"/>
  <c r="D5" i="20"/>
  <c r="G5" i="20" s="1"/>
  <c r="I4" i="20"/>
  <c r="F4" i="20"/>
  <c r="E4" i="20"/>
  <c r="H4" i="20" s="1"/>
  <c r="D4" i="20"/>
  <c r="G4" i="20" s="1"/>
  <c r="I3" i="20"/>
  <c r="F3" i="20"/>
  <c r="E3" i="20"/>
  <c r="H3" i="20" s="1"/>
  <c r="D3" i="20"/>
  <c r="C60" i="17"/>
  <c r="D60" i="17" s="1"/>
  <c r="C59" i="17"/>
  <c r="D59" i="17" s="1"/>
  <c r="C58" i="17"/>
  <c r="D58" i="17" s="1"/>
  <c r="C57" i="17"/>
  <c r="D57" i="17" s="1"/>
  <c r="C56" i="17"/>
  <c r="D56" i="17" s="1"/>
  <c r="D52" i="17"/>
  <c r="D51" i="17"/>
  <c r="D50" i="17"/>
  <c r="D49" i="17"/>
  <c r="D48" i="17"/>
  <c r="D44" i="17"/>
  <c r="D43" i="17"/>
  <c r="D42" i="17"/>
  <c r="D41" i="17"/>
  <c r="D40" i="17"/>
  <c r="C36" i="17"/>
  <c r="D36" i="17" s="1"/>
  <c r="C35" i="17"/>
  <c r="D35" i="17" s="1"/>
  <c r="C34" i="17"/>
  <c r="D34" i="17" s="1"/>
  <c r="C33" i="17"/>
  <c r="D33" i="17" s="1"/>
  <c r="C32" i="17"/>
  <c r="D32" i="17" s="1"/>
  <c r="D28" i="17"/>
  <c r="D27" i="17"/>
  <c r="D26" i="17"/>
  <c r="D22" i="17"/>
  <c r="D21" i="17"/>
  <c r="D20" i="17"/>
  <c r="D15" i="17"/>
  <c r="D14" i="17"/>
  <c r="D13" i="17"/>
  <c r="D8" i="17"/>
  <c r="D7" i="17"/>
  <c r="D6" i="17"/>
  <c r="E8" i="16"/>
  <c r="B4" i="16"/>
  <c r="B3" i="16"/>
  <c r="F83" i="15"/>
  <c r="F84" i="15" s="1"/>
  <c r="C37" i="15"/>
  <c r="C41" i="15" s="1"/>
  <c r="K34" i="15"/>
  <c r="E34" i="15"/>
  <c r="F34" i="15" s="1"/>
  <c r="L33" i="15"/>
  <c r="K33" i="15"/>
  <c r="E33" i="15"/>
  <c r="F33" i="15" s="1"/>
  <c r="L32" i="15"/>
  <c r="K32" i="15"/>
  <c r="E32" i="15"/>
  <c r="F32" i="15" s="1"/>
  <c r="L31" i="15"/>
  <c r="K31" i="15"/>
  <c r="E31" i="15"/>
  <c r="F31" i="15" s="1"/>
  <c r="L30" i="15"/>
  <c r="K30" i="15"/>
  <c r="E30" i="15"/>
  <c r="F30" i="15" s="1"/>
  <c r="L29" i="15"/>
  <c r="K29" i="15"/>
  <c r="E29" i="15"/>
  <c r="F29" i="15" s="1"/>
  <c r="L28" i="15"/>
  <c r="K28" i="15"/>
  <c r="M24" i="15"/>
  <c r="L24" i="15"/>
  <c r="K24" i="15"/>
  <c r="K23" i="15"/>
  <c r="E23" i="15"/>
  <c r="F23" i="15" s="1"/>
  <c r="K22" i="15"/>
  <c r="E22" i="15"/>
  <c r="F22" i="15" s="1"/>
  <c r="L21" i="15"/>
  <c r="K21" i="15"/>
  <c r="E21" i="15"/>
  <c r="F21" i="15" s="1"/>
  <c r="L20" i="15"/>
  <c r="K20" i="15"/>
  <c r="E20" i="15"/>
  <c r="F20" i="15" s="1"/>
  <c r="L19" i="15"/>
  <c r="K19" i="15"/>
  <c r="E19" i="15"/>
  <c r="F19" i="15" s="1"/>
  <c r="L18" i="15"/>
  <c r="K18" i="15"/>
  <c r="E18" i="15"/>
  <c r="F18" i="15" s="1"/>
  <c r="L17" i="15"/>
  <c r="K17" i="15"/>
  <c r="H10" i="15"/>
  <c r="G10" i="15"/>
  <c r="B10" i="15"/>
  <c r="H9" i="15"/>
  <c r="G9" i="15"/>
  <c r="B9" i="15"/>
  <c r="H8" i="15"/>
  <c r="G8" i="15"/>
  <c r="B8" i="15"/>
  <c r="H7" i="15"/>
  <c r="G7" i="15"/>
  <c r="B7" i="15"/>
  <c r="H6" i="15"/>
  <c r="G6" i="15"/>
  <c r="B6" i="15"/>
  <c r="H5" i="15"/>
  <c r="G5" i="15"/>
  <c r="B5" i="15"/>
  <c r="H4" i="15"/>
  <c r="G4" i="15"/>
  <c r="B4" i="15"/>
  <c r="T57" i="14"/>
  <c r="T56" i="14"/>
  <c r="T55" i="14"/>
  <c r="T54" i="14"/>
  <c r="T53" i="14"/>
  <c r="T52" i="14"/>
  <c r="T51" i="14"/>
  <c r="T44" i="14"/>
  <c r="T43" i="14"/>
  <c r="T42" i="14"/>
  <c r="O42" i="14"/>
  <c r="P42" i="14" s="1"/>
  <c r="Q42" i="14" s="1"/>
  <c r="T41" i="14"/>
  <c r="O41" i="14"/>
  <c r="P41" i="14" s="1"/>
  <c r="Q41" i="14" s="1"/>
  <c r="T40" i="14"/>
  <c r="O40" i="14"/>
  <c r="P40" i="14" s="1"/>
  <c r="Q40" i="14" s="1"/>
  <c r="AG39" i="14"/>
  <c r="AF39" i="14"/>
  <c r="T39" i="14"/>
  <c r="O39" i="14"/>
  <c r="P39" i="14" s="1"/>
  <c r="Q39" i="14" s="1"/>
  <c r="T38" i="14"/>
  <c r="O38" i="14"/>
  <c r="P38" i="14" s="1"/>
  <c r="Q38" i="14" s="1"/>
  <c r="O37" i="14"/>
  <c r="P37" i="14" s="1"/>
  <c r="Q37" i="14" s="1"/>
  <c r="O36" i="14"/>
  <c r="P36" i="14" s="1"/>
  <c r="Q36" i="14" s="1"/>
  <c r="AF31" i="14"/>
  <c r="AG31" i="14" s="1"/>
  <c r="Q31" i="14"/>
  <c r="N31" i="14"/>
  <c r="AF30" i="14"/>
  <c r="AG30" i="14" s="1"/>
  <c r="Q30" i="14"/>
  <c r="O30" i="14"/>
  <c r="N30" i="14"/>
  <c r="G30" i="14"/>
  <c r="F30" i="14"/>
  <c r="E30" i="14"/>
  <c r="AF29" i="14"/>
  <c r="AG29" i="14" s="1"/>
  <c r="Q29" i="14"/>
  <c r="O29" i="14"/>
  <c r="N29" i="14"/>
  <c r="G29" i="14"/>
  <c r="F29" i="14"/>
  <c r="E29" i="14"/>
  <c r="AF28" i="14"/>
  <c r="AG28" i="14" s="1"/>
  <c r="M28" i="14"/>
  <c r="G28" i="14"/>
  <c r="F28" i="14"/>
  <c r="E28" i="14"/>
  <c r="AF27" i="14"/>
  <c r="AG27" i="14" s="1"/>
  <c r="Q27" i="14"/>
  <c r="O27" i="14"/>
  <c r="N27" i="14"/>
  <c r="G27" i="14"/>
  <c r="F27" i="14"/>
  <c r="E27" i="14"/>
  <c r="AF26" i="14"/>
  <c r="AG26" i="14" s="1"/>
  <c r="Q26" i="14"/>
  <c r="O26" i="14"/>
  <c r="N26" i="14"/>
  <c r="G26" i="14"/>
  <c r="F26" i="14"/>
  <c r="E26" i="14"/>
  <c r="AF25" i="14"/>
  <c r="AG25" i="14" s="1"/>
  <c r="AH25" i="14" s="1"/>
  <c r="Q25" i="14"/>
  <c r="O25" i="14"/>
  <c r="N25" i="14"/>
  <c r="G25" i="14"/>
  <c r="F25" i="14"/>
  <c r="E25" i="14"/>
  <c r="Q17" i="14"/>
  <c r="O17" i="14"/>
  <c r="N17" i="14"/>
  <c r="R17" i="14" s="1"/>
  <c r="E17" i="14"/>
  <c r="D17" i="14"/>
  <c r="Q16" i="14"/>
  <c r="O16" i="14"/>
  <c r="N16" i="14"/>
  <c r="R16" i="14" s="1"/>
  <c r="E16" i="14"/>
  <c r="D16" i="14"/>
  <c r="Q15" i="14"/>
  <c r="O15" i="14"/>
  <c r="N15" i="14"/>
  <c r="R15" i="14" s="1"/>
  <c r="E15" i="14"/>
  <c r="D15" i="14"/>
  <c r="Q14" i="14"/>
  <c r="O14" i="14"/>
  <c r="N14" i="14"/>
  <c r="R14" i="14" s="1"/>
  <c r="E14" i="14"/>
  <c r="D14" i="14"/>
  <c r="M13" i="14"/>
  <c r="E13" i="14"/>
  <c r="D13" i="14"/>
  <c r="Q12" i="14"/>
  <c r="O12" i="14"/>
  <c r="N12" i="14"/>
  <c r="R12" i="14" s="1"/>
  <c r="E12" i="14"/>
  <c r="D12" i="14"/>
  <c r="Q11" i="14"/>
  <c r="O11" i="14"/>
  <c r="N11" i="14"/>
  <c r="R11" i="14" s="1"/>
  <c r="E11" i="14"/>
  <c r="D11" i="14"/>
  <c r="AC9" i="14"/>
  <c r="Y9" i="14"/>
  <c r="X9" i="14"/>
  <c r="Z9" i="14" s="1"/>
  <c r="AA9" i="14" s="1"/>
  <c r="Q9" i="14"/>
  <c r="N9" i="14"/>
  <c r="R9" i="14" s="1"/>
  <c r="AC8" i="14"/>
  <c r="Y8" i="14"/>
  <c r="X8" i="14"/>
  <c r="Z8" i="14" s="1"/>
  <c r="AA8" i="14" s="1"/>
  <c r="Q8" i="14"/>
  <c r="O8" i="14"/>
  <c r="N8" i="14"/>
  <c r="R8" i="14" s="1"/>
  <c r="E8" i="14"/>
  <c r="D8" i="14"/>
  <c r="AC7" i="14"/>
  <c r="Y7" i="14"/>
  <c r="X7" i="14"/>
  <c r="Z7" i="14" s="1"/>
  <c r="AA7" i="14" s="1"/>
  <c r="Q7" i="14"/>
  <c r="O7" i="14"/>
  <c r="N7" i="14"/>
  <c r="R7" i="14" s="1"/>
  <c r="E7" i="14"/>
  <c r="D7" i="14"/>
  <c r="AC6" i="14"/>
  <c r="Y6" i="14"/>
  <c r="X6" i="14"/>
  <c r="Z6" i="14" s="1"/>
  <c r="AA6" i="14" s="1"/>
  <c r="Q6" i="14"/>
  <c r="O6" i="14"/>
  <c r="N6" i="14"/>
  <c r="R6" i="14" s="1"/>
  <c r="E6" i="14"/>
  <c r="D6" i="14"/>
  <c r="AC5" i="14"/>
  <c r="Y5" i="14"/>
  <c r="X5" i="14"/>
  <c r="Z5" i="14" s="1"/>
  <c r="AA5" i="14" s="1"/>
  <c r="Q5" i="14"/>
  <c r="O5" i="14"/>
  <c r="N5" i="14"/>
  <c r="R5" i="14" s="1"/>
  <c r="E5" i="14"/>
  <c r="D5" i="14"/>
  <c r="AC4" i="14"/>
  <c r="Y4" i="14"/>
  <c r="X4" i="14"/>
  <c r="Z4" i="14" s="1"/>
  <c r="AA4" i="14" s="1"/>
  <c r="Q4" i="14"/>
  <c r="O4" i="14"/>
  <c r="N4" i="14"/>
  <c r="R4" i="14" s="1"/>
  <c r="E4" i="14"/>
  <c r="D4" i="14"/>
  <c r="AC3" i="14"/>
  <c r="Y3" i="14"/>
  <c r="X3" i="14"/>
  <c r="Z3" i="14" s="1"/>
  <c r="AA3" i="14" s="1"/>
  <c r="Q3" i="14"/>
  <c r="O3" i="14"/>
  <c r="N3" i="14"/>
  <c r="R3" i="14" s="1"/>
  <c r="E3" i="14"/>
  <c r="D3" i="14"/>
  <c r="T49" i="13"/>
  <c r="T48" i="13"/>
  <c r="T47" i="13"/>
  <c r="O47" i="13"/>
  <c r="P47" i="13" s="1"/>
  <c r="Q47" i="13" s="1"/>
  <c r="T46" i="13"/>
  <c r="O46" i="13"/>
  <c r="P46" i="13" s="1"/>
  <c r="Q46" i="13" s="1"/>
  <c r="T45" i="13"/>
  <c r="O45" i="13"/>
  <c r="P45" i="13" s="1"/>
  <c r="Q45" i="13" s="1"/>
  <c r="AG44" i="13"/>
  <c r="AF44" i="13"/>
  <c r="T44" i="13"/>
  <c r="O44" i="13"/>
  <c r="P44" i="13" s="1"/>
  <c r="Q44" i="13" s="1"/>
  <c r="T43" i="13"/>
  <c r="O43" i="13"/>
  <c r="P43" i="13" s="1"/>
  <c r="Q43" i="13" s="1"/>
  <c r="O42" i="13"/>
  <c r="P42" i="13" s="1"/>
  <c r="Q42" i="13" s="1"/>
  <c r="O41" i="13"/>
  <c r="P41" i="13" s="1"/>
  <c r="Q41" i="13" s="1"/>
  <c r="Q36" i="13"/>
  <c r="N36" i="13"/>
  <c r="Q35" i="13"/>
  <c r="O35" i="13"/>
  <c r="N35" i="13"/>
  <c r="G35" i="13"/>
  <c r="F35" i="13"/>
  <c r="E35" i="13"/>
  <c r="Q34" i="13"/>
  <c r="O34" i="13"/>
  <c r="N34" i="13"/>
  <c r="G34" i="13"/>
  <c r="F34" i="13"/>
  <c r="E34" i="13"/>
  <c r="M33" i="13"/>
  <c r="G33" i="13"/>
  <c r="F33" i="13"/>
  <c r="E33" i="13"/>
  <c r="Q32" i="13"/>
  <c r="O32" i="13"/>
  <c r="N32" i="13"/>
  <c r="G32" i="13"/>
  <c r="F32" i="13"/>
  <c r="E32" i="13"/>
  <c r="Q31" i="13"/>
  <c r="O31" i="13"/>
  <c r="N31" i="13"/>
  <c r="G31" i="13"/>
  <c r="F31" i="13"/>
  <c r="E31" i="13"/>
  <c r="Q30" i="13"/>
  <c r="O30" i="13"/>
  <c r="N30" i="13"/>
  <c r="G30" i="13"/>
  <c r="F30" i="13"/>
  <c r="E30" i="13"/>
  <c r="Z19" i="13"/>
  <c r="X19" i="13"/>
  <c r="W19" i="13"/>
  <c r="AA19" i="13" s="1"/>
  <c r="AB19" i="13" s="1"/>
  <c r="Q19" i="13"/>
  <c r="O19" i="13"/>
  <c r="N19" i="13"/>
  <c r="R19" i="13" s="1"/>
  <c r="E19" i="13"/>
  <c r="D19" i="13"/>
  <c r="Z18" i="13"/>
  <c r="X18" i="13"/>
  <c r="W18" i="13"/>
  <c r="AA18" i="13" s="1"/>
  <c r="AB18" i="13" s="1"/>
  <c r="Q18" i="13"/>
  <c r="O18" i="13"/>
  <c r="N18" i="13"/>
  <c r="R18" i="13" s="1"/>
  <c r="Z17" i="13"/>
  <c r="X17" i="13"/>
  <c r="W17" i="13"/>
  <c r="AA17" i="13" s="1"/>
  <c r="AB17" i="13" s="1"/>
  <c r="Q17" i="13"/>
  <c r="O17" i="13"/>
  <c r="N17" i="13"/>
  <c r="R17" i="13" s="1"/>
  <c r="E17" i="13"/>
  <c r="D17" i="13"/>
  <c r="Z16" i="13"/>
  <c r="X16" i="13"/>
  <c r="W16" i="13"/>
  <c r="AA16" i="13" s="1"/>
  <c r="AB16" i="13" s="1"/>
  <c r="Q16" i="13"/>
  <c r="O16" i="13"/>
  <c r="N16" i="13"/>
  <c r="R16" i="13" s="1"/>
  <c r="E16" i="13"/>
  <c r="D16" i="13"/>
  <c r="Z15" i="13"/>
  <c r="X15" i="13"/>
  <c r="W15" i="13"/>
  <c r="AA15" i="13" s="1"/>
  <c r="AB15" i="13" s="1"/>
  <c r="Q15" i="13"/>
  <c r="O15" i="13"/>
  <c r="N15" i="13"/>
  <c r="R15" i="13" s="1"/>
  <c r="E15" i="13"/>
  <c r="D15" i="13"/>
  <c r="Z14" i="13"/>
  <c r="X14" i="13"/>
  <c r="W14" i="13"/>
  <c r="AA14" i="13" s="1"/>
  <c r="AB14" i="13" s="1"/>
  <c r="Q14" i="13"/>
  <c r="O14" i="13"/>
  <c r="N14" i="13"/>
  <c r="R14" i="13" s="1"/>
  <c r="E14" i="13"/>
  <c r="D14" i="13"/>
  <c r="Z13" i="13"/>
  <c r="X13" i="13"/>
  <c r="W13" i="13"/>
  <c r="AA13" i="13" s="1"/>
  <c r="AB13" i="13" s="1"/>
  <c r="Q13" i="13"/>
  <c r="O13" i="13"/>
  <c r="N13" i="13"/>
  <c r="R13" i="13" s="1"/>
  <c r="E13" i="13"/>
  <c r="D13" i="13"/>
  <c r="Z12" i="13"/>
  <c r="X12" i="13"/>
  <c r="W12" i="13"/>
  <c r="AA12" i="13" s="1"/>
  <c r="AB12" i="13" s="1"/>
  <c r="Q12" i="13"/>
  <c r="O12" i="13"/>
  <c r="N12" i="13"/>
  <c r="R12" i="13" s="1"/>
  <c r="E12" i="13"/>
  <c r="D12" i="13"/>
  <c r="Z10" i="13"/>
  <c r="W10" i="13"/>
  <c r="AA10" i="13" s="1"/>
  <c r="Q10" i="13"/>
  <c r="N10" i="13"/>
  <c r="R10" i="13" s="1"/>
  <c r="S10" i="13" s="1"/>
  <c r="Z9" i="13"/>
  <c r="W9" i="13"/>
  <c r="AA9" i="13" s="1"/>
  <c r="Q9" i="13"/>
  <c r="N9" i="13"/>
  <c r="R9" i="13" s="1"/>
  <c r="S9" i="13" s="1"/>
  <c r="Z8" i="13"/>
  <c r="X8" i="13"/>
  <c r="W8" i="13"/>
  <c r="AA8" i="13" s="1"/>
  <c r="Q8" i="13"/>
  <c r="O8" i="13"/>
  <c r="N8" i="13"/>
  <c r="R8" i="13" s="1"/>
  <c r="S8" i="13" s="1"/>
  <c r="E8" i="13"/>
  <c r="D8" i="13"/>
  <c r="Z7" i="13"/>
  <c r="X7" i="13"/>
  <c r="W7" i="13"/>
  <c r="AA7" i="13" s="1"/>
  <c r="Q7" i="13"/>
  <c r="O7" i="13"/>
  <c r="N7" i="13"/>
  <c r="R7" i="13" s="1"/>
  <c r="S7" i="13" s="1"/>
  <c r="E7" i="13"/>
  <c r="D7" i="13"/>
  <c r="Z6" i="13"/>
  <c r="X6" i="13"/>
  <c r="W6" i="13"/>
  <c r="AA6" i="13" s="1"/>
  <c r="Q6" i="13"/>
  <c r="O6" i="13"/>
  <c r="N6" i="13"/>
  <c r="R6" i="13" s="1"/>
  <c r="S6" i="13" s="1"/>
  <c r="E6" i="13"/>
  <c r="D6" i="13"/>
  <c r="Z5" i="13"/>
  <c r="X5" i="13"/>
  <c r="W5" i="13"/>
  <c r="AA5" i="13" s="1"/>
  <c r="Q5" i="13"/>
  <c r="O5" i="13"/>
  <c r="N5" i="13"/>
  <c r="R5" i="13" s="1"/>
  <c r="S5" i="13" s="1"/>
  <c r="E5" i="13"/>
  <c r="D5" i="13"/>
  <c r="Z4" i="13"/>
  <c r="X4" i="13"/>
  <c r="W4" i="13"/>
  <c r="AA4" i="13" s="1"/>
  <c r="Q4" i="13"/>
  <c r="O4" i="13"/>
  <c r="N4" i="13"/>
  <c r="R4" i="13" s="1"/>
  <c r="S4" i="13" s="1"/>
  <c r="E4" i="13"/>
  <c r="D4" i="13"/>
  <c r="Z3" i="13"/>
  <c r="X3" i="13"/>
  <c r="W3" i="13"/>
  <c r="AA3" i="13" s="1"/>
  <c r="Q3" i="13"/>
  <c r="O3" i="13"/>
  <c r="N3" i="13"/>
  <c r="R3" i="13" s="1"/>
  <c r="S3" i="13" s="1"/>
  <c r="E3" i="13"/>
  <c r="D3" i="13"/>
  <c r="F9" i="10"/>
  <c r="D21" i="8"/>
  <c r="D20" i="8"/>
  <c r="H11" i="8"/>
  <c r="G11" i="8"/>
  <c r="I11" i="8" s="1"/>
  <c r="H10" i="8"/>
  <c r="G10" i="8"/>
  <c r="I10" i="8" s="1"/>
  <c r="H9" i="8"/>
  <c r="G9" i="8"/>
  <c r="I9" i="8" s="1"/>
  <c r="H8" i="8"/>
  <c r="G8" i="8"/>
  <c r="I8" i="8" s="1"/>
  <c r="H7" i="8"/>
  <c r="G7" i="8"/>
  <c r="I7" i="8" s="1"/>
  <c r="H6" i="8"/>
  <c r="G6" i="8"/>
  <c r="I6" i="8" s="1"/>
  <c r="H5" i="8"/>
  <c r="G5" i="8"/>
  <c r="I5" i="8" s="1"/>
  <c r="H4" i="8"/>
  <c r="G4" i="8"/>
  <c r="I4" i="8" s="1"/>
  <c r="G14" i="8" s="1"/>
  <c r="G15" i="8" s="1"/>
  <c r="H3" i="8"/>
  <c r="G3" i="8"/>
  <c r="I3" i="8" s="1"/>
  <c r="H2" i="8"/>
  <c r="G2" i="8"/>
  <c r="I2" i="8" s="1"/>
  <c r="I953" i="5"/>
  <c r="I951" i="5"/>
  <c r="I950" i="5"/>
  <c r="I949" i="5"/>
  <c r="I948" i="5"/>
  <c r="I947" i="5"/>
  <c r="I946" i="5"/>
  <c r="I945" i="5"/>
  <c r="I944" i="5"/>
  <c r="I943" i="5"/>
  <c r="I942" i="5"/>
  <c r="I941" i="5"/>
  <c r="I940" i="5"/>
  <c r="I938" i="5"/>
  <c r="I937" i="5"/>
  <c r="I936" i="5"/>
  <c r="I935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5" i="5"/>
  <c r="I914" i="5"/>
  <c r="I913" i="5"/>
  <c r="I912" i="5"/>
  <c r="I911" i="5"/>
  <c r="I910" i="5"/>
  <c r="I909" i="5"/>
  <c r="I908" i="5"/>
  <c r="O907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K871" i="5"/>
  <c r="I871" i="5"/>
  <c r="I870" i="5"/>
  <c r="I869" i="5"/>
  <c r="I868" i="5"/>
  <c r="I867" i="5"/>
  <c r="I866" i="5"/>
  <c r="I865" i="5"/>
  <c r="I864" i="5"/>
  <c r="I863" i="5"/>
  <c r="I862" i="5"/>
  <c r="I861" i="5"/>
  <c r="I860" i="5"/>
  <c r="I859" i="5"/>
  <c r="I858" i="5"/>
  <c r="I857" i="5"/>
  <c r="I856" i="5"/>
  <c r="I855" i="5"/>
  <c r="I854" i="5"/>
  <c r="I853" i="5"/>
  <c r="I852" i="5"/>
  <c r="I851" i="5"/>
  <c r="I850" i="5"/>
  <c r="I849" i="5"/>
  <c r="I848" i="5"/>
  <c r="I847" i="5"/>
  <c r="I846" i="5"/>
  <c r="I845" i="5"/>
  <c r="I844" i="5"/>
  <c r="I843" i="5"/>
  <c r="I842" i="5"/>
  <c r="I841" i="5"/>
  <c r="I840" i="5"/>
  <c r="I839" i="5"/>
  <c r="I838" i="5"/>
  <c r="I833" i="5"/>
  <c r="I832" i="5"/>
  <c r="I831" i="5"/>
  <c r="I830" i="5"/>
  <c r="I829" i="5"/>
  <c r="I828" i="5"/>
  <c r="I827" i="5"/>
  <c r="I826" i="5"/>
  <c r="I825" i="5"/>
  <c r="I824" i="5"/>
  <c r="I823" i="5"/>
  <c r="I822" i="5"/>
  <c r="I821" i="5"/>
  <c r="I820" i="5"/>
  <c r="I819" i="5"/>
  <c r="I818" i="5"/>
  <c r="I817" i="5"/>
  <c r="I816" i="5"/>
  <c r="I815" i="5"/>
  <c r="G815" i="5"/>
  <c r="I814" i="5"/>
  <c r="I813" i="5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I798" i="5"/>
  <c r="I797" i="5"/>
  <c r="I796" i="5"/>
  <c r="I795" i="5"/>
  <c r="I794" i="5"/>
  <c r="I793" i="5"/>
  <c r="I792" i="5"/>
  <c r="G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5" i="5"/>
  <c r="I674" i="5"/>
  <c r="I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K595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N572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G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G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B101" i="5"/>
  <c r="I100" i="5"/>
  <c r="I99" i="5"/>
  <c r="I98" i="5"/>
  <c r="I97" i="5"/>
  <c r="I96" i="5"/>
  <c r="I95" i="5"/>
  <c r="I94" i="5"/>
  <c r="I93" i="5"/>
  <c r="G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G47" i="5"/>
  <c r="I46" i="5"/>
  <c r="I45" i="5"/>
  <c r="I44" i="5"/>
  <c r="I43" i="5"/>
  <c r="I42" i="5"/>
  <c r="I41" i="5"/>
  <c r="I40" i="5"/>
  <c r="B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H40" i="4"/>
  <c r="G40" i="4"/>
  <c r="F40" i="4"/>
  <c r="E40" i="4"/>
  <c r="D40" i="4"/>
  <c r="C40" i="4"/>
  <c r="B40" i="4"/>
  <c r="H38" i="4"/>
  <c r="H37" i="4"/>
  <c r="I31" i="4"/>
  <c r="H31" i="4"/>
  <c r="G31" i="4"/>
  <c r="F31" i="4"/>
  <c r="E31" i="4"/>
  <c r="H28" i="4"/>
  <c r="G28" i="4"/>
  <c r="F28" i="4"/>
  <c r="E28" i="4"/>
  <c r="D28" i="4"/>
  <c r="C28" i="4"/>
  <c r="B28" i="4"/>
  <c r="H25" i="4"/>
  <c r="H24" i="4"/>
  <c r="G24" i="4"/>
  <c r="F24" i="4"/>
  <c r="E24" i="4"/>
  <c r="D24" i="4"/>
  <c r="C24" i="4"/>
  <c r="B24" i="4"/>
  <c r="K18" i="4"/>
  <c r="J18" i="4"/>
  <c r="I18" i="4"/>
  <c r="H18" i="4"/>
  <c r="G18" i="4"/>
  <c r="F18" i="4"/>
  <c r="E18" i="4"/>
  <c r="D18" i="4"/>
  <c r="C18" i="4"/>
  <c r="B18" i="4"/>
  <c r="L13" i="4"/>
  <c r="N13" i="4" s="1"/>
  <c r="J12" i="4"/>
  <c r="N12" i="4" s="1"/>
  <c r="L11" i="4"/>
  <c r="N11" i="4" s="1"/>
  <c r="N10" i="4"/>
  <c r="L9" i="4"/>
  <c r="K9" i="4"/>
  <c r="N9" i="4" s="1"/>
  <c r="N8" i="4"/>
  <c r="M7" i="4"/>
  <c r="L7" i="4"/>
  <c r="K7" i="4"/>
  <c r="K17" i="4" s="1"/>
  <c r="J7" i="4"/>
  <c r="J17" i="4" s="1"/>
  <c r="I7" i="4"/>
  <c r="I17" i="4" s="1"/>
  <c r="H7" i="4"/>
  <c r="H17" i="4" s="1"/>
  <c r="H39" i="4" s="1"/>
  <c r="G7" i="4"/>
  <c r="G17" i="4" s="1"/>
  <c r="G39" i="4" s="1"/>
  <c r="F7" i="4"/>
  <c r="F17" i="4" s="1"/>
  <c r="F39" i="4" s="1"/>
  <c r="E7" i="4"/>
  <c r="E17" i="4" s="1"/>
  <c r="E39" i="4" s="1"/>
  <c r="D7" i="4"/>
  <c r="D17" i="4" s="1"/>
  <c r="D39" i="4" s="1"/>
  <c r="C7" i="4"/>
  <c r="C17" i="4" s="1"/>
  <c r="C39" i="4" s="1"/>
  <c r="B7" i="4"/>
  <c r="M6" i="4"/>
  <c r="L6" i="4"/>
  <c r="K6" i="4"/>
  <c r="N6" i="4" s="1"/>
  <c r="M5" i="4"/>
  <c r="L5" i="4"/>
  <c r="K5" i="4"/>
  <c r="J5" i="4"/>
  <c r="I5" i="4"/>
  <c r="H5" i="4"/>
  <c r="H40" i="3"/>
  <c r="G40" i="3"/>
  <c r="F40" i="3"/>
  <c r="E40" i="3"/>
  <c r="D40" i="3"/>
  <c r="C40" i="3"/>
  <c r="B40" i="3"/>
  <c r="H28" i="3"/>
  <c r="G28" i="3"/>
  <c r="F28" i="3"/>
  <c r="E28" i="3"/>
  <c r="D28" i="3"/>
  <c r="C28" i="3"/>
  <c r="B28" i="3"/>
  <c r="H24" i="3"/>
  <c r="G24" i="3"/>
  <c r="F24" i="3"/>
  <c r="E24" i="3"/>
  <c r="D24" i="3"/>
  <c r="C24" i="3"/>
  <c r="B24" i="3"/>
  <c r="K18" i="3"/>
  <c r="J18" i="3"/>
  <c r="I18" i="3"/>
  <c r="H18" i="3"/>
  <c r="G18" i="3"/>
  <c r="F18" i="3"/>
  <c r="E18" i="3"/>
  <c r="D18" i="3"/>
  <c r="C18" i="3"/>
  <c r="B18" i="3"/>
  <c r="K17" i="3"/>
  <c r="J17" i="3"/>
  <c r="I17" i="3"/>
  <c r="H17" i="3"/>
  <c r="H39" i="3" s="1"/>
  <c r="G17" i="3"/>
  <c r="G39" i="3" s="1"/>
  <c r="F17" i="3"/>
  <c r="F39" i="3" s="1"/>
  <c r="E17" i="3"/>
  <c r="E39" i="3" s="1"/>
  <c r="C13" i="3"/>
  <c r="N13" i="3" s="1"/>
  <c r="D12" i="3"/>
  <c r="N12" i="3" s="1"/>
  <c r="N11" i="3"/>
  <c r="N10" i="3"/>
  <c r="N9" i="3"/>
  <c r="N8" i="3"/>
  <c r="D7" i="3"/>
  <c r="D17" i="3" s="1"/>
  <c r="D39" i="3" s="1"/>
  <c r="C7" i="3"/>
  <c r="C17" i="3" s="1"/>
  <c r="C39" i="3" s="1"/>
  <c r="B7" i="3"/>
  <c r="D6" i="3"/>
  <c r="C6" i="3"/>
  <c r="B6" i="3"/>
  <c r="N6" i="3" s="1"/>
  <c r="D5" i="3"/>
  <c r="C5" i="3"/>
  <c r="B5" i="3"/>
  <c r="G90" i="2"/>
  <c r="B17" i="3" l="1"/>
  <c r="B39" i="3" s="1"/>
  <c r="N7" i="3"/>
  <c r="N5" i="3" s="1"/>
  <c r="C44" i="3"/>
  <c r="C43" i="3"/>
  <c r="D44" i="3"/>
  <c r="D43" i="3"/>
  <c r="E44" i="3"/>
  <c r="E43" i="3"/>
  <c r="F44" i="3"/>
  <c r="F43" i="3"/>
  <c r="G44" i="3"/>
  <c r="G43" i="3"/>
  <c r="H44" i="3"/>
  <c r="H43" i="3"/>
  <c r="B17" i="4"/>
  <c r="B39" i="4" s="1"/>
  <c r="N7" i="4"/>
  <c r="N5" i="4" s="1"/>
  <c r="C44" i="4"/>
  <c r="C43" i="4"/>
  <c r="D44" i="4"/>
  <c r="D43" i="4"/>
  <c r="E44" i="4"/>
  <c r="E43" i="4"/>
  <c r="F44" i="4"/>
  <c r="F43" i="4"/>
  <c r="G44" i="4"/>
  <c r="G43" i="4"/>
  <c r="H44" i="4"/>
  <c r="H43" i="4"/>
  <c r="H3" i="13"/>
  <c r="F3" i="13"/>
  <c r="H4" i="13"/>
  <c r="F4" i="13"/>
  <c r="H5" i="13"/>
  <c r="F5" i="13"/>
  <c r="H6" i="13"/>
  <c r="F6" i="13"/>
  <c r="H7" i="13"/>
  <c r="F7" i="13"/>
  <c r="H8" i="13"/>
  <c r="F8" i="13"/>
  <c r="H12" i="13"/>
  <c r="F12" i="13"/>
  <c r="H13" i="13"/>
  <c r="F13" i="13"/>
  <c r="H14" i="13"/>
  <c r="F14" i="13"/>
  <c r="H15" i="13"/>
  <c r="F15" i="13"/>
  <c r="H16" i="13"/>
  <c r="F16" i="13"/>
  <c r="H17" i="13"/>
  <c r="F17" i="13"/>
  <c r="H19" i="13"/>
  <c r="F19" i="13"/>
  <c r="W30" i="13"/>
  <c r="T30" i="13"/>
  <c r="U30" i="13" s="1"/>
  <c r="AF30" i="13" s="1"/>
  <c r="AG30" i="13" s="1"/>
  <c r="R30" i="13"/>
  <c r="S30" i="13" s="1"/>
  <c r="W31" i="13"/>
  <c r="T31" i="13"/>
  <c r="U31" i="13" s="1"/>
  <c r="AF31" i="13" s="1"/>
  <c r="AG31" i="13" s="1"/>
  <c r="R31" i="13"/>
  <c r="S31" i="13" s="1"/>
  <c r="W32" i="13"/>
  <c r="T32" i="13"/>
  <c r="U32" i="13" s="1"/>
  <c r="AF32" i="13" s="1"/>
  <c r="AG32" i="13" s="1"/>
  <c r="R32" i="13"/>
  <c r="S32" i="13" s="1"/>
  <c r="Q33" i="13"/>
  <c r="O33" i="13"/>
  <c r="N33" i="13"/>
  <c r="W34" i="13"/>
  <c r="T34" i="13"/>
  <c r="U34" i="13" s="1"/>
  <c r="AF34" i="13" s="1"/>
  <c r="AG34" i="13" s="1"/>
  <c r="R34" i="13"/>
  <c r="S34" i="13" s="1"/>
  <c r="W35" i="13"/>
  <c r="T35" i="13"/>
  <c r="U35" i="13" s="1"/>
  <c r="AF35" i="13" s="1"/>
  <c r="AG35" i="13" s="1"/>
  <c r="R35" i="13"/>
  <c r="S35" i="13" s="1"/>
  <c r="W36" i="13"/>
  <c r="T36" i="13"/>
  <c r="U36" i="13" s="1"/>
  <c r="AF36" i="13" s="1"/>
  <c r="AG36" i="13" s="1"/>
  <c r="R36" i="13"/>
  <c r="S36" i="13" s="1"/>
  <c r="X43" i="13"/>
  <c r="U43" i="13"/>
  <c r="X44" i="13"/>
  <c r="U44" i="13"/>
  <c r="X45" i="13"/>
  <c r="U45" i="13"/>
  <c r="X46" i="13"/>
  <c r="U46" i="13"/>
  <c r="X47" i="13"/>
  <c r="U47" i="13"/>
  <c r="X48" i="13"/>
  <c r="U48" i="13"/>
  <c r="X49" i="13"/>
  <c r="U49" i="13"/>
  <c r="H3" i="14"/>
  <c r="F3" i="14"/>
  <c r="H4" i="14"/>
  <c r="F4" i="14"/>
  <c r="H5" i="14"/>
  <c r="F5" i="14"/>
  <c r="H6" i="14"/>
  <c r="F6" i="14"/>
  <c r="H7" i="14"/>
  <c r="F7" i="14"/>
  <c r="H8" i="14"/>
  <c r="F8" i="14"/>
  <c r="H11" i="14"/>
  <c r="F11" i="14"/>
  <c r="H12" i="14"/>
  <c r="F12" i="14"/>
  <c r="H13" i="14"/>
  <c r="F13" i="14"/>
  <c r="Q13" i="14"/>
  <c r="O13" i="14"/>
  <c r="N13" i="14"/>
  <c r="R13" i="14" s="1"/>
  <c r="H14" i="14"/>
  <c r="F14" i="14"/>
  <c r="H15" i="14"/>
  <c r="F15" i="14"/>
  <c r="H16" i="14"/>
  <c r="F16" i="14"/>
  <c r="H17" i="14"/>
  <c r="F17" i="14"/>
  <c r="W25" i="14"/>
  <c r="T25" i="14"/>
  <c r="R25" i="14"/>
  <c r="S25" i="14" s="1"/>
  <c r="W26" i="14"/>
  <c r="T26" i="14"/>
  <c r="R26" i="14"/>
  <c r="S26" i="14" s="1"/>
  <c r="W27" i="14"/>
  <c r="T27" i="14"/>
  <c r="R27" i="14"/>
  <c r="S27" i="14" s="1"/>
  <c r="Q28" i="14"/>
  <c r="O28" i="14"/>
  <c r="N28" i="14"/>
  <c r="W29" i="14"/>
  <c r="T29" i="14"/>
  <c r="R29" i="14"/>
  <c r="S29" i="14" s="1"/>
  <c r="W30" i="14"/>
  <c r="T30" i="14"/>
  <c r="R30" i="14"/>
  <c r="S30" i="14" s="1"/>
  <c r="W31" i="14"/>
  <c r="T31" i="14"/>
  <c r="R31" i="14"/>
  <c r="S31" i="14" s="1"/>
  <c r="X38" i="14"/>
  <c r="U38" i="14"/>
  <c r="X39" i="14"/>
  <c r="U39" i="14"/>
  <c r="X40" i="14"/>
  <c r="U40" i="14"/>
  <c r="X41" i="14"/>
  <c r="U41" i="14"/>
  <c r="X42" i="14"/>
  <c r="U42" i="14"/>
  <c r="X43" i="14"/>
  <c r="U43" i="14"/>
  <c r="X44" i="14"/>
  <c r="U44" i="14"/>
  <c r="X51" i="14"/>
  <c r="U51" i="14"/>
  <c r="X52" i="14"/>
  <c r="U52" i="14"/>
  <c r="X53" i="14"/>
  <c r="U53" i="14"/>
  <c r="X54" i="14"/>
  <c r="U54" i="14"/>
  <c r="X55" i="14"/>
  <c r="U55" i="14"/>
  <c r="X56" i="14"/>
  <c r="U56" i="14"/>
  <c r="X57" i="14"/>
  <c r="U57" i="14"/>
  <c r="B24" i="16"/>
  <c r="E4" i="15"/>
  <c r="D4" i="15"/>
  <c r="I4" i="15"/>
  <c r="E5" i="15"/>
  <c r="D5" i="15"/>
  <c r="I5" i="15"/>
  <c r="E6" i="15"/>
  <c r="D6" i="15"/>
  <c r="I6" i="15"/>
  <c r="E7" i="15"/>
  <c r="D7" i="15"/>
  <c r="I7" i="15"/>
  <c r="E8" i="15"/>
  <c r="D8" i="15"/>
  <c r="I8" i="15"/>
  <c r="E9" i="15"/>
  <c r="D9" i="15"/>
  <c r="I9" i="15"/>
  <c r="E10" i="15"/>
  <c r="D10" i="15"/>
  <c r="I10" i="15"/>
  <c r="M18" i="15"/>
  <c r="N18" i="15" s="1"/>
  <c r="H18" i="15"/>
  <c r="I18" i="15" s="1"/>
  <c r="M19" i="15"/>
  <c r="N19" i="15" s="1"/>
  <c r="H19" i="15"/>
  <c r="I19" i="15" s="1"/>
  <c r="M20" i="15"/>
  <c r="H20" i="15"/>
  <c r="I20" i="15" s="1"/>
  <c r="M21" i="15"/>
  <c r="H21" i="15"/>
  <c r="I21" i="15" s="1"/>
  <c r="M22" i="15"/>
  <c r="H22" i="15"/>
  <c r="I22" i="15" s="1"/>
  <c r="M23" i="15"/>
  <c r="H23" i="15"/>
  <c r="I23" i="15" s="1"/>
  <c r="H29" i="15"/>
  <c r="I29" i="15" s="1"/>
  <c r="H30" i="15"/>
  <c r="I30" i="15" s="1"/>
  <c r="H31" i="15"/>
  <c r="I31" i="15" s="1"/>
  <c r="H32" i="15"/>
  <c r="I32" i="15" s="1"/>
  <c r="H33" i="15"/>
  <c r="I33" i="15" s="1"/>
  <c r="H34" i="15"/>
  <c r="I34" i="15" s="1"/>
  <c r="E7" i="16"/>
  <c r="E6" i="16"/>
  <c r="F6" i="17"/>
  <c r="G6" i="17" s="1"/>
  <c r="F7" i="17"/>
  <c r="G7" i="17" s="1"/>
  <c r="F8" i="17"/>
  <c r="G8" i="17" s="1"/>
  <c r="F13" i="17"/>
  <c r="G13" i="17" s="1"/>
  <c r="F14" i="17"/>
  <c r="G14" i="17" s="1"/>
  <c r="F15" i="17"/>
  <c r="G15" i="17" s="1"/>
  <c r="F20" i="17"/>
  <c r="G20" i="17" s="1"/>
  <c r="F21" i="17"/>
  <c r="G21" i="17" s="1"/>
  <c r="F22" i="17"/>
  <c r="G22" i="17" s="1"/>
  <c r="F26" i="17"/>
  <c r="G26" i="17" s="1"/>
  <c r="F27" i="17"/>
  <c r="G27" i="17" s="1"/>
  <c r="F28" i="17"/>
  <c r="G28" i="17" s="1"/>
  <c r="F32" i="17"/>
  <c r="G32" i="17" s="1"/>
  <c r="F33" i="17"/>
  <c r="G33" i="17" s="1"/>
  <c r="F34" i="17"/>
  <c r="G34" i="17" s="1"/>
  <c r="F35" i="17"/>
  <c r="G35" i="17" s="1"/>
  <c r="F36" i="17"/>
  <c r="G36" i="17" s="1"/>
  <c r="F40" i="17"/>
  <c r="G40" i="17" s="1"/>
  <c r="F41" i="17"/>
  <c r="G41" i="17" s="1"/>
  <c r="F42" i="17"/>
  <c r="G42" i="17" s="1"/>
  <c r="F43" i="17"/>
  <c r="G43" i="17" s="1"/>
  <c r="F44" i="17"/>
  <c r="G44" i="17" s="1"/>
  <c r="F48" i="17"/>
  <c r="G48" i="17" s="1"/>
  <c r="F49" i="17"/>
  <c r="G49" i="17" s="1"/>
  <c r="F50" i="17"/>
  <c r="G50" i="17" s="1"/>
  <c r="F51" i="17"/>
  <c r="G51" i="17" s="1"/>
  <c r="F52" i="17"/>
  <c r="G52" i="17" s="1"/>
  <c r="F56" i="17"/>
  <c r="G56" i="17" s="1"/>
  <c r="F57" i="17"/>
  <c r="G57" i="17" s="1"/>
  <c r="F58" i="17"/>
  <c r="G58" i="17" s="1"/>
  <c r="F59" i="17"/>
  <c r="G59" i="17" s="1"/>
  <c r="F60" i="17"/>
  <c r="G60" i="17" s="1"/>
  <c r="D12" i="20"/>
  <c r="D13" i="20" s="1"/>
  <c r="G3" i="20"/>
  <c r="E28" i="15" l="1"/>
  <c r="F28" i="15" s="1"/>
  <c r="E17" i="15"/>
  <c r="F17" i="15" s="1"/>
  <c r="L60" i="17"/>
  <c r="I60" i="17"/>
  <c r="H60" i="17"/>
  <c r="J60" i="17" s="1"/>
  <c r="M60" i="17" s="1"/>
  <c r="L59" i="17"/>
  <c r="I59" i="17"/>
  <c r="H59" i="17"/>
  <c r="J59" i="17" s="1"/>
  <c r="M59" i="17" s="1"/>
  <c r="L58" i="17"/>
  <c r="I58" i="17"/>
  <c r="H58" i="17"/>
  <c r="J58" i="17" s="1"/>
  <c r="M58" i="17" s="1"/>
  <c r="L57" i="17"/>
  <c r="I57" i="17"/>
  <c r="H57" i="17"/>
  <c r="J57" i="17" s="1"/>
  <c r="M57" i="17" s="1"/>
  <c r="L56" i="17"/>
  <c r="I56" i="17"/>
  <c r="H56" i="17"/>
  <c r="J56" i="17" s="1"/>
  <c r="M56" i="17" s="1"/>
  <c r="L52" i="17"/>
  <c r="I52" i="17"/>
  <c r="H52" i="17"/>
  <c r="J52" i="17" s="1"/>
  <c r="M52" i="17" s="1"/>
  <c r="L51" i="17"/>
  <c r="I51" i="17"/>
  <c r="H51" i="17"/>
  <c r="J51" i="17" s="1"/>
  <c r="M51" i="17" s="1"/>
  <c r="L50" i="17"/>
  <c r="I50" i="17"/>
  <c r="H50" i="17"/>
  <c r="J50" i="17" s="1"/>
  <c r="M50" i="17" s="1"/>
  <c r="L49" i="17"/>
  <c r="I49" i="17"/>
  <c r="H49" i="17"/>
  <c r="J49" i="17" s="1"/>
  <c r="M49" i="17" s="1"/>
  <c r="L48" i="17"/>
  <c r="I48" i="17"/>
  <c r="H48" i="17"/>
  <c r="J48" i="17" s="1"/>
  <c r="M48" i="17" s="1"/>
  <c r="L44" i="17"/>
  <c r="I44" i="17"/>
  <c r="H44" i="17"/>
  <c r="J44" i="17" s="1"/>
  <c r="M44" i="17" s="1"/>
  <c r="L43" i="17"/>
  <c r="I43" i="17"/>
  <c r="H43" i="17"/>
  <c r="J43" i="17" s="1"/>
  <c r="M43" i="17" s="1"/>
  <c r="L42" i="17"/>
  <c r="I42" i="17"/>
  <c r="H42" i="17"/>
  <c r="J42" i="17" s="1"/>
  <c r="M42" i="17" s="1"/>
  <c r="L41" i="17"/>
  <c r="I41" i="17"/>
  <c r="H41" i="17"/>
  <c r="J41" i="17" s="1"/>
  <c r="M41" i="17" s="1"/>
  <c r="L40" i="17"/>
  <c r="I40" i="17"/>
  <c r="H40" i="17"/>
  <c r="J40" i="17" s="1"/>
  <c r="M40" i="17" s="1"/>
  <c r="L36" i="17"/>
  <c r="I36" i="17"/>
  <c r="H36" i="17"/>
  <c r="J36" i="17" s="1"/>
  <c r="M36" i="17" s="1"/>
  <c r="L35" i="17"/>
  <c r="I35" i="17"/>
  <c r="H35" i="17"/>
  <c r="J35" i="17" s="1"/>
  <c r="M35" i="17" s="1"/>
  <c r="L34" i="17"/>
  <c r="I34" i="17"/>
  <c r="H34" i="17"/>
  <c r="J34" i="17" s="1"/>
  <c r="M34" i="17" s="1"/>
  <c r="L33" i="17"/>
  <c r="I33" i="17"/>
  <c r="H33" i="17"/>
  <c r="J33" i="17" s="1"/>
  <c r="M33" i="17" s="1"/>
  <c r="L32" i="17"/>
  <c r="I32" i="17"/>
  <c r="H32" i="17"/>
  <c r="J32" i="17" s="1"/>
  <c r="M32" i="17" s="1"/>
  <c r="L28" i="17"/>
  <c r="I28" i="17"/>
  <c r="H28" i="17"/>
  <c r="J28" i="17" s="1"/>
  <c r="M28" i="17" s="1"/>
  <c r="L27" i="17"/>
  <c r="I27" i="17"/>
  <c r="H27" i="17"/>
  <c r="J27" i="17" s="1"/>
  <c r="M27" i="17" s="1"/>
  <c r="L26" i="17"/>
  <c r="I26" i="17"/>
  <c r="H26" i="17"/>
  <c r="J26" i="17" s="1"/>
  <c r="M26" i="17" s="1"/>
  <c r="L22" i="17"/>
  <c r="I22" i="17"/>
  <c r="H22" i="17"/>
  <c r="J22" i="17" s="1"/>
  <c r="M22" i="17" s="1"/>
  <c r="L21" i="17"/>
  <c r="I21" i="17"/>
  <c r="H21" i="17"/>
  <c r="J21" i="17" s="1"/>
  <c r="M21" i="17" s="1"/>
  <c r="L20" i="17"/>
  <c r="I20" i="17"/>
  <c r="H20" i="17"/>
  <c r="J20" i="17" s="1"/>
  <c r="M20" i="17" s="1"/>
  <c r="L15" i="17"/>
  <c r="I15" i="17"/>
  <c r="H15" i="17"/>
  <c r="J15" i="17" s="1"/>
  <c r="M15" i="17" s="1"/>
  <c r="L14" i="17"/>
  <c r="I14" i="17"/>
  <c r="H14" i="17"/>
  <c r="J14" i="17" s="1"/>
  <c r="M14" i="17" s="1"/>
  <c r="L13" i="17"/>
  <c r="I13" i="17"/>
  <c r="H13" i="17"/>
  <c r="J13" i="17" s="1"/>
  <c r="M13" i="17" s="1"/>
  <c r="L8" i="17"/>
  <c r="I8" i="17"/>
  <c r="H8" i="17"/>
  <c r="J8" i="17" s="1"/>
  <c r="M8" i="17" s="1"/>
  <c r="L7" i="17"/>
  <c r="I7" i="17"/>
  <c r="H7" i="17"/>
  <c r="J7" i="17" s="1"/>
  <c r="M7" i="17" s="1"/>
  <c r="L6" i="17"/>
  <c r="I6" i="17"/>
  <c r="H6" i="17"/>
  <c r="J6" i="17" s="1"/>
  <c r="M6" i="17" s="1"/>
  <c r="E11" i="16"/>
  <c r="E10" i="16"/>
  <c r="E9" i="16"/>
  <c r="AC31" i="14"/>
  <c r="Y31" i="14"/>
  <c r="X31" i="14"/>
  <c r="AC30" i="14"/>
  <c r="Y30" i="14"/>
  <c r="X30" i="14"/>
  <c r="AC29" i="14"/>
  <c r="Y29" i="14"/>
  <c r="X29" i="14"/>
  <c r="W28" i="14"/>
  <c r="T28" i="14"/>
  <c r="R28" i="14"/>
  <c r="S28" i="14" s="1"/>
  <c r="AC27" i="14"/>
  <c r="Y27" i="14"/>
  <c r="X27" i="14"/>
  <c r="AC26" i="14"/>
  <c r="Y26" i="14"/>
  <c r="X26" i="14"/>
  <c r="AC25" i="14"/>
  <c r="Y25" i="14"/>
  <c r="X25" i="14"/>
  <c r="Y36" i="13"/>
  <c r="X36" i="13"/>
  <c r="Y35" i="13"/>
  <c r="X35" i="13"/>
  <c r="Y34" i="13"/>
  <c r="X34" i="13"/>
  <c r="W33" i="13"/>
  <c r="T33" i="13"/>
  <c r="U33" i="13" s="1"/>
  <c r="AF33" i="13" s="1"/>
  <c r="AG33" i="13" s="1"/>
  <c r="R33" i="13"/>
  <c r="S33" i="13" s="1"/>
  <c r="Y32" i="13"/>
  <c r="X32" i="13"/>
  <c r="Y31" i="13"/>
  <c r="X31" i="13"/>
  <c r="AH30" i="13"/>
  <c r="Y30" i="13"/>
  <c r="X30" i="13"/>
  <c r="B44" i="4"/>
  <c r="B43" i="4"/>
  <c r="B44" i="3"/>
  <c r="B43" i="3"/>
  <c r="Z30" i="13" l="1"/>
  <c r="AA30" i="13" s="1"/>
  <c r="Z31" i="13"/>
  <c r="AA31" i="13" s="1"/>
  <c r="Z32" i="13"/>
  <c r="AA32" i="13" s="1"/>
  <c r="Y33" i="13"/>
  <c r="X33" i="13"/>
  <c r="Z34" i="13"/>
  <c r="AA34" i="13" s="1"/>
  <c r="Z35" i="13"/>
  <c r="AA35" i="13" s="1"/>
  <c r="Z36" i="13"/>
  <c r="AA36" i="13" s="1"/>
  <c r="Z25" i="14"/>
  <c r="AA25" i="14" s="1"/>
  <c r="Z26" i="14"/>
  <c r="AA26" i="14" s="1"/>
  <c r="Z27" i="14"/>
  <c r="AA27" i="14" s="1"/>
  <c r="AC28" i="14"/>
  <c r="Y28" i="14"/>
  <c r="X28" i="14"/>
  <c r="Z29" i="14"/>
  <c r="AA29" i="14" s="1"/>
  <c r="Z30" i="14"/>
  <c r="AA30" i="14" s="1"/>
  <c r="Z31" i="14"/>
  <c r="AA31" i="14" s="1"/>
  <c r="M17" i="15"/>
  <c r="N17" i="15" s="1"/>
  <c r="H17" i="15"/>
  <c r="I17" i="15" s="1"/>
  <c r="H28" i="15"/>
  <c r="I28" i="15" s="1"/>
  <c r="Z28" i="14" l="1"/>
  <c r="AA28" i="14" s="1"/>
  <c r="Z33" i="13"/>
  <c r="AA33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A8565553-EF0C-4BDC-B1B8-9160409BE9B7}">
      <text>
        <r>
          <rPr>
            <sz val="11"/>
            <color theme="1"/>
            <rFont val="Calibri"/>
            <scheme val="minor"/>
          </rPr>
          <t>Si la venta es sin Factura, escribir "N/A"
======</t>
        </r>
      </text>
    </comment>
    <comment ref="E1" authorId="0" shapeId="0" xr:uid="{B44E8EF4-DC42-4787-99F1-A30C3624D694}">
      <text>
        <r>
          <rPr>
            <sz val="11"/>
            <color theme="1"/>
            <rFont val="Calibri"/>
            <scheme val="minor"/>
          </rPr>
          <t>Sólo 2 Opciones: Número o "S/F"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400-000001000000}">
      <text>
        <r>
          <rPr>
            <sz val="11"/>
            <color theme="1"/>
            <rFont val="Calibri"/>
            <scheme val="minor"/>
          </rPr>
          <t>Si la venta es sin Factura, escribir "N/A"
======</t>
        </r>
      </text>
    </comment>
    <comment ref="E1" authorId="0" shapeId="0" xr:uid="{00000000-0006-0000-0400-000002000000}">
      <text>
        <r>
          <rPr>
            <sz val="11"/>
            <color theme="1"/>
            <rFont val="Calibri"/>
            <scheme val="minor"/>
          </rPr>
          <t>Sólo 2 Opciones: Número o "S/F"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700-000001000000}">
      <text>
        <r>
          <rPr>
            <sz val="11"/>
            <color theme="1"/>
            <rFont val="Calibri"/>
            <scheme val="minor"/>
          </rPr>
          <t>Si la venta es sin Factura, escribir "N/A"
======</t>
        </r>
      </text>
    </comment>
    <comment ref="E1" authorId="0" shapeId="0" xr:uid="{00000000-0006-0000-0700-000002000000}">
      <text>
        <r>
          <rPr>
            <sz val="11"/>
            <color theme="1"/>
            <rFont val="Calibri"/>
            <scheme val="minor"/>
          </rPr>
          <t>Sólo 2 Opciones: Número o "S/F"
======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D10" authorId="0" shapeId="0" xr:uid="{00000000-0006-0000-0D00-000001000000}">
      <text>
        <r>
          <rPr>
            <sz val="11"/>
            <color theme="1"/>
            <rFont val="Calibri"/>
            <scheme val="minor"/>
          </rPr>
          <t>======
ID#AAAAnwDVbVM
Tomas Sokorai    (2023-01-23 01:13:15)
SOKO BOX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7j4FQ9MgvHv2n9v7Em337cF5nBg=="/>
    </ext>
  </extLst>
</comments>
</file>

<file path=xl/sharedStrings.xml><?xml version="1.0" encoding="utf-8"?>
<sst xmlns="http://schemas.openxmlformats.org/spreadsheetml/2006/main" count="7628" uniqueCount="2203">
  <si>
    <t>Pendiente</t>
  </si>
  <si>
    <t>Comentario</t>
  </si>
  <si>
    <t>Status</t>
  </si>
  <si>
    <t>Responsable</t>
  </si>
  <si>
    <t>No Worries</t>
  </si>
  <si>
    <t>Nueva variedad</t>
  </si>
  <si>
    <t xml:space="preserve">Lanzamiento Septiembre 2024 </t>
  </si>
  <si>
    <t>Boris</t>
  </si>
  <si>
    <t>Sercotec</t>
  </si>
  <si>
    <t>Esperar resultados etapa 2</t>
  </si>
  <si>
    <t>Pediente // etapa 2 (Confirmacion: Agosto)</t>
  </si>
  <si>
    <t>Tomás</t>
  </si>
  <si>
    <t>Costos mensuales</t>
  </si>
  <si>
    <t>Calculo de litros vendidos 2024 x mes</t>
  </si>
  <si>
    <t xml:space="preserve">Tomás </t>
  </si>
  <si>
    <t xml:space="preserve">Enfriador </t>
  </si>
  <si>
    <t>Asignar Clientes (1)</t>
  </si>
  <si>
    <t>1 Bike Bar ok - otro Pendiente (Nico lizarraga TBC)</t>
  </si>
  <si>
    <t>Registro Marca</t>
  </si>
  <si>
    <t>Seguimiento</t>
  </si>
  <si>
    <t>En espera de sentencia / Junio</t>
  </si>
  <si>
    <t>KPIs</t>
  </si>
  <si>
    <t>Completar</t>
  </si>
  <si>
    <t xml:space="preserve">Pendiente </t>
  </si>
  <si>
    <t>TODOS</t>
  </si>
  <si>
    <t>CPU</t>
  </si>
  <si>
    <t xml:space="preserve">Ploteo </t>
  </si>
  <si>
    <t>Uniformes</t>
  </si>
  <si>
    <t>Poleron</t>
  </si>
  <si>
    <t>Polerones retirados: pendiente Brandeo con SOKO'S</t>
  </si>
  <si>
    <t>Stickers</t>
  </si>
  <si>
    <t>Proveedor contactado</t>
  </si>
  <si>
    <t>Pendiente cotización</t>
  </si>
  <si>
    <t>Packaging 4X</t>
  </si>
  <si>
    <t>Buscar proveedor</t>
  </si>
  <si>
    <t>Pendiente Cotizacion opcion carton // opcion 2: platicos negros</t>
  </si>
  <si>
    <t>Pancho FFVV</t>
  </si>
  <si>
    <t>Entrega Informe todos los lunes</t>
  </si>
  <si>
    <t>Nico</t>
  </si>
  <si>
    <t>Audio Visual</t>
  </si>
  <si>
    <t>Tomas M. retomar</t>
  </si>
  <si>
    <t>Retomar</t>
  </si>
  <si>
    <t>Agitador Barriles</t>
  </si>
  <si>
    <t>Ajustar o Vender</t>
  </si>
  <si>
    <t>Plan B: Cerveceria</t>
  </si>
  <si>
    <t>Buscar Opciones Galpon/Bodega</t>
  </si>
  <si>
    <t>Plan B: Maquinaria</t>
  </si>
  <si>
    <t>Cotizacion maquinarias (fermentadores isobaricos)</t>
  </si>
  <si>
    <t>Gabriel</t>
  </si>
  <si>
    <t>Enviar propuesta</t>
  </si>
  <si>
    <t>Agendar reunion</t>
  </si>
  <si>
    <t>Rut (sin punto)</t>
  </si>
  <si>
    <t>Nombre Fantasía</t>
  </si>
  <si>
    <t>Razón Social</t>
  </si>
  <si>
    <t>Mail</t>
  </si>
  <si>
    <t>Contacto</t>
  </si>
  <si>
    <t>Dirección</t>
  </si>
  <si>
    <t>Dirección Envío</t>
  </si>
  <si>
    <t>Material POP</t>
  </si>
  <si>
    <t>77546117-9</t>
  </si>
  <si>
    <t>LagerHaus</t>
  </si>
  <si>
    <t>35 ON TAP SPA</t>
  </si>
  <si>
    <t>9 9837 1294</t>
  </si>
  <si>
    <t>VITACURA 3285 LOCAL VITACURA</t>
  </si>
  <si>
    <t>76262444-3</t>
  </si>
  <si>
    <t>Cheliemos</t>
  </si>
  <si>
    <t>COMERCIALIZADORA DE PRODUCTOS Y BIENES MAMULL LIMITADA</t>
  </si>
  <si>
    <t>victorhu.arriagada@gmail.com</t>
  </si>
  <si>
    <t>9 9599 3153</t>
  </si>
  <si>
    <t>APOQUINDO 1285 103, LAS CONDES</t>
  </si>
  <si>
    <t xml:space="preserve">77362042-3 </t>
  </si>
  <si>
    <t>Barrilería</t>
  </si>
  <si>
    <t>COMERCIALIZACIÓN Y SERVICIOS A Y P SPA</t>
  </si>
  <si>
    <t>contacto@barrileria.cl</t>
  </si>
  <si>
    <t>9 2110 7048</t>
  </si>
  <si>
    <t>PROVIDENCIA 1208, OF 207 2P, PROVIDENCIA</t>
  </si>
  <si>
    <t>77279005-8</t>
  </si>
  <si>
    <t>Pelicano</t>
  </si>
  <si>
    <t>Inversiones Gastronomicas Chinampas Spa</t>
  </si>
  <si>
    <t>cantinapelicano@gmail.com</t>
  </si>
  <si>
    <t>9 9440 0745</t>
  </si>
  <si>
    <t>Ignacio Carrera Pinto 132 , Viña del Mar</t>
  </si>
  <si>
    <t>76621506- 8</t>
  </si>
  <si>
    <t>236 Beergarden</t>
  </si>
  <si>
    <t>SERVICIOS GASTRONÓMICOS MAURICIO GUERRERO GONZÁLEZ E.I.R.L.</t>
  </si>
  <si>
    <t>administracion@236beergarden.cl</t>
  </si>
  <si>
    <t>9 6877 4414</t>
  </si>
  <si>
    <t>CONSTITUCION 236, PROVIDENCIA</t>
  </si>
  <si>
    <t>77407045-1</t>
  </si>
  <si>
    <t>CHELAWENA</t>
  </si>
  <si>
    <t>ARFA CONSULTING SPA</t>
  </si>
  <si>
    <t>wena@chelawena.cl</t>
  </si>
  <si>
    <t>9 6431 0840</t>
  </si>
  <si>
    <t>AV CIRCUNV LS 11845 S6014, LAS CONDES</t>
  </si>
  <si>
    <t>8779238-2</t>
  </si>
  <si>
    <t>The Spot</t>
  </si>
  <si>
    <t>Rogelio Christian Marcet peña</t>
  </si>
  <si>
    <t>stefaniascribante@gmail.com</t>
  </si>
  <si>
    <t>9 9456 6654</t>
  </si>
  <si>
    <t xml:space="preserve">Av Concon reñaca 122 </t>
  </si>
  <si>
    <t>76599560-4</t>
  </si>
  <si>
    <t>La Previa (Botilleria La serena)</t>
  </si>
  <si>
    <t>Distribuidora y Comercializadora de Licores La Previa Ltda</t>
  </si>
  <si>
    <t>contacto@laprevials.cl</t>
  </si>
  <si>
    <t>9 7979 6776</t>
  </si>
  <si>
    <t>Balmaceda 3483, La Serena</t>
  </si>
  <si>
    <t>77405676-9</t>
  </si>
  <si>
    <t>Botiland (Maipú)</t>
  </si>
  <si>
    <t>Orellana y Orellana Limitada</t>
  </si>
  <si>
    <t>botiland.pajaritos@gmail.com</t>
  </si>
  <si>
    <t>9 7669 8127</t>
  </si>
  <si>
    <t>AV. Los Pajaritos 6430 local 3A, Maipú</t>
  </si>
  <si>
    <t>entregado</t>
  </si>
  <si>
    <t>76817835-6</t>
  </si>
  <si>
    <t>KORB Chicureo</t>
  </si>
  <si>
    <t>Group 360 Marketing</t>
  </si>
  <si>
    <t>catalina@korb.cl</t>
  </si>
  <si>
    <t>9 4959 5390</t>
  </si>
  <si>
    <t>Carretera Gral. San Martin 6000, local 109</t>
  </si>
  <si>
    <t>76169095-7</t>
  </si>
  <si>
    <t>Margó Rancagua</t>
  </si>
  <si>
    <t>SOCIEDAD DE INVERSIONES RMC LIMITADA</t>
  </si>
  <si>
    <t>margorancagua@icloud.com</t>
  </si>
  <si>
    <t>9 9913 0519</t>
  </si>
  <si>
    <t>SCTOR 7 PTES. CAMINO TERM S/N REQUINOA</t>
  </si>
  <si>
    <t>77127778-0</t>
  </si>
  <si>
    <t>Tierra Cervecera</t>
  </si>
  <si>
    <t>THE FLOWERS BROTHERS SpA</t>
  </si>
  <si>
    <t>Alejandro.flores@tierracervecera.cl</t>
  </si>
  <si>
    <t>9 9550 6473</t>
  </si>
  <si>
    <t>16118687-2</t>
  </si>
  <si>
    <t>Hawaii Botillería</t>
  </si>
  <si>
    <t>Rodrigo Sepulveda Mellado</t>
  </si>
  <si>
    <t>r.sepulvedame@gmail.com</t>
  </si>
  <si>
    <t>9 4426 0745</t>
  </si>
  <si>
    <t>Av Cuatro Poniente 1261, villa el abrazo MAIPU</t>
  </si>
  <si>
    <t>76649330-0</t>
  </si>
  <si>
    <t>Bks</t>
  </si>
  <si>
    <t>Inversiones y comercializadora kele ltda</t>
  </si>
  <si>
    <t>ale@bksexperience.com</t>
  </si>
  <si>
    <t>9 9158 3903</t>
  </si>
  <si>
    <t>Constitucion 40 local 57</t>
  </si>
  <si>
    <t>77340166-7</t>
  </si>
  <si>
    <t>Be Beer</t>
  </si>
  <si>
    <t>Inversiones G&amp;P SpA</t>
  </si>
  <si>
    <t>inversionesgypspa@gmail.com</t>
  </si>
  <si>
    <t>9 5680 9720</t>
  </si>
  <si>
    <t>Apoquindo 7020, Las Condes.</t>
  </si>
  <si>
    <t>ejecutado</t>
  </si>
  <si>
    <t>76969199-5</t>
  </si>
  <si>
    <t>Barbudo Growler</t>
  </si>
  <si>
    <t>Barbudogrowler SpA</t>
  </si>
  <si>
    <t xml:space="preserve">barbudogrowler@gmail.com </t>
  </si>
  <si>
    <t>9 6875 6859</t>
  </si>
  <si>
    <t>Beauchef 641, Valdivia</t>
  </si>
  <si>
    <t>77721319-9</t>
  </si>
  <si>
    <t>Botillería Entre Amigos</t>
  </si>
  <si>
    <t>Inversiones Veroliva Limitada</t>
  </si>
  <si>
    <t>info.veroliva@gmail.com</t>
  </si>
  <si>
    <t>9 7371 8871</t>
  </si>
  <si>
    <t>Eucaliptus 686, San Bernardo</t>
  </si>
  <si>
    <t>18228813-6</t>
  </si>
  <si>
    <t>Algrano Pichilemu</t>
  </si>
  <si>
    <t>Jorge Patricio Henriquez Venegas</t>
  </si>
  <si>
    <t>algranoalmacen@gmail.com</t>
  </si>
  <si>
    <t>9 7700 0233</t>
  </si>
  <si>
    <t>Av. comercio 2621</t>
  </si>
  <si>
    <t>76689721-5</t>
  </si>
  <si>
    <t>Una Botillería Más</t>
  </si>
  <si>
    <t>Connan SpA</t>
  </si>
  <si>
    <t>hola@unabotilleriamas.cl</t>
  </si>
  <si>
    <t>9 3196 4720</t>
  </si>
  <si>
    <t>Moneda 2309, Piso 1</t>
  </si>
  <si>
    <t xml:space="preserve">77256711-1  </t>
  </si>
  <si>
    <t>Los Piures</t>
  </si>
  <si>
    <t>OPERACION PIURE SPA</t>
  </si>
  <si>
    <t>operacionpiure@gmail.com</t>
  </si>
  <si>
    <t>9 8248 6245</t>
  </si>
  <si>
    <t>PUNTA DE LOBOS LOTE 33, Pichilemu</t>
  </si>
  <si>
    <t>77219867-1</t>
  </si>
  <si>
    <t>Tripas Corazón</t>
  </si>
  <si>
    <t>Comercializadora Razz Ltda</t>
  </si>
  <si>
    <t>comercializadorarazz@gmail.com</t>
  </si>
  <si>
    <t>9 9199 5295</t>
  </si>
  <si>
    <t>Dr. M Barros Borgoño 71 of 1105</t>
  </si>
  <si>
    <t>76912434-9</t>
  </si>
  <si>
    <t>Casa Cervecera Quilpue</t>
  </si>
  <si>
    <t>Empresa distribuidora de bebidas Spa</t>
  </si>
  <si>
    <t>casacervecera.quilpue@gmail.com</t>
  </si>
  <si>
    <t>9 82624074</t>
  </si>
  <si>
    <t>Vicuña Mackenna 687, Local 07 Piso 01. Quilpué.</t>
  </si>
  <si>
    <t>77351953-6</t>
  </si>
  <si>
    <t>La Avenida Botillería</t>
  </si>
  <si>
    <t>SOCIEDAD COMERCIAL ALARCON Y ARTEAGA LTDA</t>
  </si>
  <si>
    <t>bernardo88123@gmail.com</t>
  </si>
  <si>
    <t>9 6839 3340</t>
  </si>
  <si>
    <t>Avda. Gral Ibañez 2216, Natales</t>
  </si>
  <si>
    <t>77396184-0</t>
  </si>
  <si>
    <t>Beer and Beer House</t>
  </si>
  <si>
    <t>Beer and beer SPA</t>
  </si>
  <si>
    <t>beerandbeerhouse@gmail.com</t>
  </si>
  <si>
    <t>9 3750 9835</t>
  </si>
  <si>
    <t>LOS NARDOS 1138 STA TERESA SAN ANTONIO</t>
  </si>
  <si>
    <t>76550003-6</t>
  </si>
  <si>
    <t>Sublime Sandwich Bar</t>
  </si>
  <si>
    <t>Bmb Servicios SpA</t>
  </si>
  <si>
    <t>9 7215 6355</t>
  </si>
  <si>
    <t>Av. Vitacura 8177</t>
  </si>
  <si>
    <t>77278945-9</t>
  </si>
  <si>
    <t>Terraza Máncora</t>
  </si>
  <si>
    <t>Gastronomica Tres Cabezas SpA</t>
  </si>
  <si>
    <t>gsuknim@gmail.com</t>
  </si>
  <si>
    <t>9 9277 9016</t>
  </si>
  <si>
    <t>Av. Padre Hurtado 1460, Vitacura</t>
  </si>
  <si>
    <t>76861008-8</t>
  </si>
  <si>
    <t>Santiago BeerGarden</t>
  </si>
  <si>
    <t>Sociedad Gastronomica Peces Gordos SpA</t>
  </si>
  <si>
    <t>sebastian@pecesgordos.cl</t>
  </si>
  <si>
    <t>9 35201360</t>
  </si>
  <si>
    <t>77454094-6</t>
  </si>
  <si>
    <t>Ariakabeer</t>
  </si>
  <si>
    <t xml:space="preserve">Comercializadora AriakaBeer SPA </t>
  </si>
  <si>
    <t>ariakabeer@gmail.com</t>
  </si>
  <si>
    <t>9 9574 0013</t>
  </si>
  <si>
    <t>Cardenal Caro #424, pobl. San Martin</t>
  </si>
  <si>
    <t>78857440-1</t>
  </si>
  <si>
    <t>Full Apoquindo</t>
  </si>
  <si>
    <t>Comercial Raver Ltda</t>
  </si>
  <si>
    <t>fullapoquindo@gmail.com</t>
  </si>
  <si>
    <t>9 9692 7909</t>
  </si>
  <si>
    <t>Av. Apoquindo 6260</t>
  </si>
  <si>
    <t>77166698-1</t>
  </si>
  <si>
    <t>Puro Campo Emporio</t>
  </si>
  <si>
    <t>Contuti SPA</t>
  </si>
  <si>
    <t>Furgelles@purocampoemporio.cl</t>
  </si>
  <si>
    <t>9 5095 3862</t>
  </si>
  <si>
    <t>Camino Los Trapenses 3061, local 22. Lo Barnechea</t>
  </si>
  <si>
    <t>78106741-5</t>
  </si>
  <si>
    <t>Don Drinks Licorería</t>
  </si>
  <si>
    <t>Botillerías Don Drinks spa</t>
  </si>
  <si>
    <t>licoreria.dondrinks@gmail.com</t>
  </si>
  <si>
    <t>9 4243 0157</t>
  </si>
  <si>
    <t>comercio 20020, San José De Maipo</t>
  </si>
  <si>
    <t>Despachar a Av. Vicuña Mackenna poniente 6800 depto 801, La Florida</t>
  </si>
  <si>
    <t>8995597-1</t>
  </si>
  <si>
    <t>Tamar</t>
  </si>
  <si>
    <t>Marta Cabrera Rojo</t>
  </si>
  <si>
    <t>marticabrera@hotmail.com</t>
  </si>
  <si>
    <t>9 8439 0208</t>
  </si>
  <si>
    <t>Avenida Italia 1654 local 1</t>
  </si>
  <si>
    <t>76785976-7</t>
  </si>
  <si>
    <t>Traslaviña</t>
  </si>
  <si>
    <t>Traslaviña Boutique SpA</t>
  </si>
  <si>
    <t>9 5005 0656</t>
  </si>
  <si>
    <t>AVENIDA NUEVA UNO SUR 19951</t>
  </si>
  <si>
    <t>77629375-K</t>
  </si>
  <si>
    <t>Das Bier</t>
  </si>
  <si>
    <t>Das Bier SpA</t>
  </si>
  <si>
    <t>9 3621 8435</t>
  </si>
  <si>
    <t>General Urrutia 602, local 1, Villarica</t>
  </si>
  <si>
    <t>77025576-7</t>
  </si>
  <si>
    <t>Kraftbeear</t>
  </si>
  <si>
    <t>Inversiones Fuenzalida Perez SpA</t>
  </si>
  <si>
    <t>wfuen3@gmail.com</t>
  </si>
  <si>
    <t>9 9789 0749</t>
  </si>
  <si>
    <t>Avda. Bernardo O'higgins 101 1 Talagante</t>
  </si>
  <si>
    <t>77310461-1</t>
  </si>
  <si>
    <t>House Pride La Cervecería</t>
  </si>
  <si>
    <t>Restaurant R.D.T Limitada</t>
  </si>
  <si>
    <t>housepridelacerveceria@gmail.com</t>
  </si>
  <si>
    <t xml:space="preserve"> </t>
  </si>
  <si>
    <t>Las Barrancas #2491, Local 1A, Los Pinos, Quilpué</t>
  </si>
  <si>
    <t>77051330-8</t>
  </si>
  <si>
    <t>Kunstmann Craft Bar</t>
  </si>
  <si>
    <t>cerveceria kunstmann ltda</t>
  </si>
  <si>
    <t>DTE_KUNSTMANN@IDTE.CL</t>
  </si>
  <si>
    <t>ruta t350 950 valdivia</t>
  </si>
  <si>
    <t>77290617-k</t>
  </si>
  <si>
    <t>Oculto Beer garden</t>
  </si>
  <si>
    <t>Espacios Gastronomicos BJS Limitada</t>
  </si>
  <si>
    <t>natalia@oculto.cl</t>
  </si>
  <si>
    <t>General salvo 38, Providencia</t>
  </si>
  <si>
    <t>76910216-7</t>
  </si>
  <si>
    <t>One Pizza</t>
  </si>
  <si>
    <t>One pizza chile spa</t>
  </si>
  <si>
    <t>onepizzachile@gmail.com</t>
  </si>
  <si>
    <t>9 9459 6635</t>
  </si>
  <si>
    <t>Av. Condell 1665, Ñuñoa</t>
  </si>
  <si>
    <t>76278090-9</t>
  </si>
  <si>
    <t>El Ranchito Huechuraba</t>
  </si>
  <si>
    <t>Inversiones Camus y Perrotta</t>
  </si>
  <si>
    <t>9 9349 8946</t>
  </si>
  <si>
    <t>Santa Marta de Huechuraba, parcela 10, Huechuraba</t>
  </si>
  <si>
    <t>76870423-6</t>
  </si>
  <si>
    <t>Rucahue Quillota</t>
  </si>
  <si>
    <t>SOCIEDAD RESTAURANTE LIQUEN LTDA</t>
  </si>
  <si>
    <t>contacto@rucahuecocina.cl</t>
  </si>
  <si>
    <t>9 9549 4342</t>
  </si>
  <si>
    <t>Chacabuco 357-2, Quillota, V Region</t>
  </si>
  <si>
    <t>77202582-3</t>
  </si>
  <si>
    <t>Enkivegan</t>
  </si>
  <si>
    <t>Cancino, espinoza y pineda spa.</t>
  </si>
  <si>
    <t>info@enkivegan.cl</t>
  </si>
  <si>
    <t>9 6386 5218</t>
  </si>
  <si>
    <t>O’higgins 374, valdivia</t>
  </si>
  <si>
    <t>77342786-0</t>
  </si>
  <si>
    <t>CEO DRINKS</t>
  </si>
  <si>
    <t>FORNAX SPA</t>
  </si>
  <si>
    <t>ceodrinks@gmail.com</t>
  </si>
  <si>
    <t>9 9435 2355</t>
  </si>
  <si>
    <t>av las condes 9621, las condes</t>
  </si>
  <si>
    <t>77534414-8</t>
  </si>
  <si>
    <t>Espacio Cervecero Osorno</t>
  </si>
  <si>
    <t>Sociedad comercial espacio cervecero ltda</t>
  </si>
  <si>
    <t xml:space="preserve">Espaciocervecero.osorno@gmail.com </t>
  </si>
  <si>
    <t xml:space="preserve">Manuel Rodriguez 1905, osorno </t>
  </si>
  <si>
    <t>77076665-6</t>
  </si>
  <si>
    <t>YABADABADU</t>
  </si>
  <si>
    <t>EVENTOS YABADABADU SPA</t>
  </si>
  <si>
    <t>Eventosyabadabadu@gmail.com</t>
  </si>
  <si>
    <t>9 9989 4247</t>
  </si>
  <si>
    <t>Los Diamelos 0145 Trapiche Rancagua</t>
  </si>
  <si>
    <t>77008546-2</t>
  </si>
  <si>
    <t>A La Chilena</t>
  </si>
  <si>
    <t>Ala Chilena Los Ángeles SPA</t>
  </si>
  <si>
    <t xml:space="preserve">Juanespinozaarriagada@gmail.com </t>
  </si>
  <si>
    <t xml:space="preserve"> 9 9720 4100</t>
  </si>
  <si>
    <t>Av. Ricardo Vicuña 676, Los Angeles</t>
  </si>
  <si>
    <t>Taladriz</t>
  </si>
  <si>
    <t>76505665-9</t>
  </si>
  <si>
    <t>Buteco</t>
  </si>
  <si>
    <t>Restaurante Labarra Ltda</t>
  </si>
  <si>
    <t>adm@buteco.cl</t>
  </si>
  <si>
    <t xml:space="preserve"> 9 6687 8159</t>
  </si>
  <si>
    <t>Av. presidente riesco 5330, Las Condes</t>
  </si>
  <si>
    <t>76955860-8</t>
  </si>
  <si>
    <t>Blue Jar</t>
  </si>
  <si>
    <t>Producciones gastronomicas the jar spa</t>
  </si>
  <si>
    <t>Contacto@bluejar.cl</t>
  </si>
  <si>
    <t>9 57586605</t>
  </si>
  <si>
    <t>Amanda labarca 102, santiago centro</t>
  </si>
  <si>
    <t>77193904-K</t>
  </si>
  <si>
    <t>La Tabla</t>
  </si>
  <si>
    <t>Huertos Del Golf SpA</t>
  </si>
  <si>
    <t>fiambrerialatabla.cl@gmail.com</t>
  </si>
  <si>
    <t>9 67589288</t>
  </si>
  <si>
    <t>Presidente Riesco 3292, Las Condes</t>
  </si>
  <si>
    <t>76742064-1</t>
  </si>
  <si>
    <t>Quinta Barrica</t>
  </si>
  <si>
    <t>Comercial RPC Limitada</t>
  </si>
  <si>
    <t>quintabarrica@gmail.com</t>
  </si>
  <si>
    <t>9 32307918</t>
  </si>
  <si>
    <t>Av. Blanca Estela 1927 Local 9, Concon</t>
  </si>
  <si>
    <t>77156362-7</t>
  </si>
  <si>
    <t>Babeer</t>
  </si>
  <si>
    <t>Babeer SpA</t>
  </si>
  <si>
    <t>babeerspa67@gmail.com</t>
  </si>
  <si>
    <t>9 66994010</t>
  </si>
  <si>
    <t>Avenida El Parque 645, Lampa</t>
  </si>
  <si>
    <t>77296323-8</t>
  </si>
  <si>
    <t>La Porteña</t>
  </si>
  <si>
    <r>
      <rPr>
        <u/>
        <sz val="11"/>
        <color rgb="FF1155CC"/>
        <rFont val="Calibri"/>
      </rPr>
      <t>TheDealer.cl</t>
    </r>
    <r>
      <rPr>
        <sz val="11"/>
        <color theme="1"/>
        <rFont val="Calibri"/>
        <scheme val="minor"/>
      </rPr>
      <t xml:space="preserve"> spa</t>
    </r>
  </si>
  <si>
    <t>9 40985834</t>
  </si>
  <si>
    <t>Maestranza 1280, San Antonio</t>
  </si>
  <si>
    <t>23467918-K</t>
  </si>
  <si>
    <t>Botillería Moscú</t>
  </si>
  <si>
    <t>Dina Rozvadovskaya</t>
  </si>
  <si>
    <t>rozvdina@gmail.com</t>
  </si>
  <si>
    <t>9 99944282</t>
  </si>
  <si>
    <t>Providencia 1045</t>
  </si>
  <si>
    <t>76166788-2</t>
  </si>
  <si>
    <t>Dante</t>
  </si>
  <si>
    <t>Emporio Dante ltda.</t>
  </si>
  <si>
    <t xml:space="preserve">Fsmorande@gmail.com
</t>
  </si>
  <si>
    <t>9 9430 6581</t>
  </si>
  <si>
    <t>Av. Irarrazaval 3476, ñuñoa</t>
  </si>
  <si>
    <t>76773246-5</t>
  </si>
  <si>
    <t>Sapiens</t>
  </si>
  <si>
    <t xml:space="preserve">Kilcoy spa </t>
  </si>
  <si>
    <t>sapiensbarrioitalia@gmail.com</t>
  </si>
  <si>
    <t>9 4244 3808</t>
  </si>
  <si>
    <t xml:space="preserve">Av italia 1206 Providencia </t>
  </si>
  <si>
    <t>77555541-6</t>
  </si>
  <si>
    <t>Botilleria San Antonio</t>
  </si>
  <si>
    <t>Carlos Godoy González E.I.R.L</t>
  </si>
  <si>
    <t>9 5007 5118</t>
  </si>
  <si>
    <t>José Martinez de Aldunate 32, Población 18 de Septiembre, Puerto Montt</t>
  </si>
  <si>
    <t>77439076-6</t>
  </si>
  <si>
    <t>Caoba Bar</t>
  </si>
  <si>
    <t>Gastronomia RVZ SpA</t>
  </si>
  <si>
    <t>9 8882 7148</t>
  </si>
  <si>
    <t>Alonso cordova 4156 00 dpto 102 Vitacura</t>
  </si>
  <si>
    <t>9 7584 7564</t>
  </si>
  <si>
    <t>77639238-3</t>
  </si>
  <si>
    <t>Bar Nogg</t>
  </si>
  <si>
    <t>Machali Beer Co SpA</t>
  </si>
  <si>
    <t>9 8899 4260</t>
  </si>
  <si>
    <t>San Juan 995 Villa Los Naranjos Machali</t>
  </si>
  <si>
    <t>77060712-4</t>
  </si>
  <si>
    <t>La Fabrica 737</t>
  </si>
  <si>
    <t>Sociedad Heyca SpA</t>
  </si>
  <si>
    <t>9 8617 3720</t>
  </si>
  <si>
    <t>Bilbao 737, Osorno</t>
  </si>
  <si>
    <t>77309812-3</t>
  </si>
  <si>
    <t>Dónde La Nena</t>
  </si>
  <si>
    <t xml:space="preserve">Botilleria dónde la nena spa </t>
  </si>
  <si>
    <t>vegaurrajuanpablo@gmail.com</t>
  </si>
  <si>
    <t>9 4453 7744</t>
  </si>
  <si>
    <t>Héctor orrego 7385, Cerrillos</t>
  </si>
  <si>
    <t>77037371-9</t>
  </si>
  <si>
    <t>La Muzza</t>
  </si>
  <si>
    <t>Inversiones Gastronomicas Santa Rosa SpA</t>
  </si>
  <si>
    <t>javiera@lamuzza.cl</t>
  </si>
  <si>
    <t>9 8136 5748</t>
  </si>
  <si>
    <t>Antonio Varas 364 101 Providencia</t>
  </si>
  <si>
    <t>77245254-3</t>
  </si>
  <si>
    <t>Emporio Lynch</t>
  </si>
  <si>
    <t>G Y A spa</t>
  </si>
  <si>
    <t xml:space="preserve">Giannaseppi@gmail.com </t>
  </si>
  <si>
    <t>9 3068 7451</t>
  </si>
  <si>
    <t>Chile España 228, Ñuñoa</t>
  </si>
  <si>
    <t>77745999-6</t>
  </si>
  <si>
    <t>La Casera</t>
  </si>
  <si>
    <t>La Casera SpA</t>
  </si>
  <si>
    <t>cj.arriagadar@gmail.com</t>
  </si>
  <si>
    <t>9 7399 4320</t>
  </si>
  <si>
    <t>Pablo Rubio 352, Requinoa</t>
  </si>
  <si>
    <t>77583324-6</t>
  </si>
  <si>
    <t>Drink It</t>
  </si>
  <si>
    <t>MONTES Y LLANOS SPA</t>
  </si>
  <si>
    <t>rene@drinkit.cl</t>
  </si>
  <si>
    <t>9 3305 6717</t>
  </si>
  <si>
    <t xml:space="preserve">Luis Pasteur 6420, local 5 </t>
  </si>
  <si>
    <t>76710010-8</t>
  </si>
  <si>
    <t>Botillería Curicó</t>
  </si>
  <si>
    <t>Botillería Curicó limitada</t>
  </si>
  <si>
    <t>Botilleriacuricoltda@gmail.com</t>
  </si>
  <si>
    <t>9 8232 2831</t>
  </si>
  <si>
    <t>Libertad 620, Campos de Batalla Maipú</t>
  </si>
  <si>
    <t>77603366-9</t>
  </si>
  <si>
    <t>Enfermentados</t>
  </si>
  <si>
    <t>Sociedad Comercial y Gastronomica FFL ltda.</t>
  </si>
  <si>
    <t>sociedadffl@gmail.com</t>
  </si>
  <si>
    <t>9 8963 1366</t>
  </si>
  <si>
    <t>San Martin 611, local 7 Viña del Mar, Valparaiso</t>
  </si>
  <si>
    <t>direccion envio: Catedral 1350 depto 2205</t>
  </si>
  <si>
    <t>77024046-8</t>
  </si>
  <si>
    <t>La Copetería</t>
  </si>
  <si>
    <t xml:space="preserve">Comercial parada hermanos ltda </t>
  </si>
  <si>
    <t>parada.paez.c@gmail.com</t>
  </si>
  <si>
    <t>9 4253 2484</t>
  </si>
  <si>
    <t>padre Mateo 118, local 3, villa las Américas, Paine</t>
  </si>
  <si>
    <t>5865885-5</t>
  </si>
  <si>
    <t>Botillería Vateles</t>
  </si>
  <si>
    <t>Luis Mauricio Vatel Hurtado</t>
  </si>
  <si>
    <t>mvatelh@gmail.com</t>
  </si>
  <si>
    <t>9 9920 5852</t>
  </si>
  <si>
    <t>Cueto 1107, Santiago</t>
  </si>
  <si>
    <t>76879482-0</t>
  </si>
  <si>
    <t>La Esquina</t>
  </si>
  <si>
    <t>24/7 DRINKS SPA</t>
  </si>
  <si>
    <t>9 8725 4129</t>
  </si>
  <si>
    <t>MANUEL MONTT 780 LC 7 1P PROVIDENCIA</t>
  </si>
  <si>
    <t>9845555-8</t>
  </si>
  <si>
    <t>Botilleria Ely</t>
  </si>
  <si>
    <t xml:space="preserve">Hector peña perez </t>
  </si>
  <si>
    <t>Sady.james.p@gmail.com</t>
  </si>
  <si>
    <t>9 2712 6134</t>
  </si>
  <si>
    <t>Jose miguel carrera 506, stgo centro</t>
  </si>
  <si>
    <t>76261982-2</t>
  </si>
  <si>
    <t>The Jazz Corner</t>
  </si>
  <si>
    <t xml:space="preserve">Sociedad comercial Cutugom Ltda </t>
  </si>
  <si>
    <t>ebonivejazzcorner@gmail.com</t>
  </si>
  <si>
    <t>9 9219 1883</t>
  </si>
  <si>
    <t>Santa Isabel 451, Providencia</t>
  </si>
  <si>
    <t>77033997-9</t>
  </si>
  <si>
    <t>El Metro Botillería Pichilemu</t>
  </si>
  <si>
    <t>Comercializacion E inversiones CYE</t>
  </si>
  <si>
    <t>9 5470 4767</t>
  </si>
  <si>
    <t>Anibal Pinto 79_A, Pichulemu</t>
  </si>
  <si>
    <t>77132681-1</t>
  </si>
  <si>
    <t>Beer Hunter</t>
  </si>
  <si>
    <t>Comerciliazadora Fabián Andres López Orellana EIRL</t>
  </si>
  <si>
    <t>fabian@beerhunter.cl</t>
  </si>
  <si>
    <t>9 6196 0154</t>
  </si>
  <si>
    <t>Camino Las Flores 12640, local 11b 2do piso</t>
  </si>
  <si>
    <t>9296616-K</t>
  </si>
  <si>
    <t>Lalo Minimarket</t>
  </si>
  <si>
    <t>Eduardo Del Carmen Bravo Lobos</t>
  </si>
  <si>
    <t>Eduardobravo.lobos@gmail.com</t>
  </si>
  <si>
    <t>9 9483 9646</t>
  </si>
  <si>
    <t>Calle Manuel Antonio Tocornal 339, Santiago</t>
  </si>
  <si>
    <t>76970639-9</t>
  </si>
  <si>
    <t>Botillería JL</t>
  </si>
  <si>
    <t>distribuidora JL limitada</t>
  </si>
  <si>
    <t xml:space="preserve">botilleriajl@gmail.com </t>
  </si>
  <si>
    <t>9 4666 8529</t>
  </si>
  <si>
    <t xml:space="preserve">gran avenida José Miguel carrera 7197 la cisterna Regino metropolitana </t>
  </si>
  <si>
    <t>76950814-7</t>
  </si>
  <si>
    <t>Botilleria Skal</t>
  </si>
  <si>
    <t>Botilleria Victor Leiva E.I.R.L</t>
  </si>
  <si>
    <t>Botilleriaskal@gmail.com</t>
  </si>
  <si>
    <t>9 7805 5942</t>
  </si>
  <si>
    <t>Avenida Bombero Villalobos 389 Local 1 Rancagua</t>
  </si>
  <si>
    <t>77595394-2</t>
  </si>
  <si>
    <t>Portal Voy</t>
  </si>
  <si>
    <t>Comercial Voy SPA</t>
  </si>
  <si>
    <t>contacto@portalvoy.cl</t>
  </si>
  <si>
    <t>9 4123 4108</t>
  </si>
  <si>
    <t>callao 2970 of 603</t>
  </si>
  <si>
    <t>16362384-6</t>
  </si>
  <si>
    <t>La Cueva Botimarket</t>
  </si>
  <si>
    <t xml:space="preserve">Andrea canales concha </t>
  </si>
  <si>
    <t>Lacuevabotimarket@gmail.com</t>
  </si>
  <si>
    <t>9 4402 3923</t>
  </si>
  <si>
    <t>Manuel bulnes 1401, Puerto Natales</t>
  </si>
  <si>
    <t>8133527-3</t>
  </si>
  <si>
    <t>Licorería Cassanova</t>
  </si>
  <si>
    <t>Laura Josefina Carvajal Cassanova</t>
  </si>
  <si>
    <t>Laura_jose@hotmail.com</t>
  </si>
  <si>
    <t>9 5721 0511</t>
  </si>
  <si>
    <t xml:space="preserve">Rosita renard 1581, Ñuñoa </t>
  </si>
  <si>
    <t>77499932-9</t>
  </si>
  <si>
    <t>Montichelas Botilleria</t>
  </si>
  <si>
    <t>Montichelas Botilleria Juan Manuel Espinoza Cayupe Empresa Individual De Responsabilidad Limitada</t>
  </si>
  <si>
    <t>Manuel.espinoza0555@gmail.com</t>
  </si>
  <si>
    <t>9 6191 9504</t>
  </si>
  <si>
    <t>Tte Cruz 1411 Dalmacia, Cerro Navia</t>
  </si>
  <si>
    <t>76885797-0</t>
  </si>
  <si>
    <t>Botilleria Padre Las Casas</t>
  </si>
  <si>
    <t>Comecial Reymat Limitada</t>
  </si>
  <si>
    <t>botilleriapadrelascasas@gmail.com</t>
  </si>
  <si>
    <t>9 5119 4429</t>
  </si>
  <si>
    <t xml:space="preserve">Los Halcones #1856, villa los volcanes Padre las Casas </t>
  </si>
  <si>
    <t>76894707-4</t>
  </si>
  <si>
    <t>Emporio Vinos &amp; Licores</t>
  </si>
  <si>
    <t>Comercial Express Spa</t>
  </si>
  <si>
    <t>Spacomercialexpress@hotmail.com</t>
  </si>
  <si>
    <t>9 9511 2627</t>
  </si>
  <si>
    <t>Alcalde Chadwick 2528 La Reina</t>
  </si>
  <si>
    <t>77634873-2</t>
  </si>
  <si>
    <t xml:space="preserve">Licoreria Nueva Modelo </t>
  </si>
  <si>
    <t>Licorería nueva Modelo Spa</t>
  </si>
  <si>
    <t>ventas@nuevamodelo.cl</t>
  </si>
  <si>
    <t xml:space="preserve"> 9 9456 8161</t>
  </si>
  <si>
    <t xml:space="preserve"> Iv centenario 702, Las Condes</t>
  </si>
  <si>
    <t>7740216-0</t>
  </si>
  <si>
    <t>Botilleria Arturo</t>
  </si>
  <si>
    <t>Arturo del carmen valenzuela cornejo</t>
  </si>
  <si>
    <t>Arturobotelleria.1957@gmail.com</t>
  </si>
  <si>
    <t>9 9265 2325</t>
  </si>
  <si>
    <t>Av Francisco Bilbao 2946</t>
  </si>
  <si>
    <t>76734958-0</t>
  </si>
  <si>
    <t>Santa Ana Botilleria</t>
  </si>
  <si>
    <t>Comercializadora sara del pilar rabi E. I. R. L</t>
  </si>
  <si>
    <t>Alfolimp@gmail.com</t>
  </si>
  <si>
    <t>9 7758 2816</t>
  </si>
  <si>
    <t>Guillermo Mann 1550 ñuñoa</t>
  </si>
  <si>
    <t xml:space="preserve">7074618-2 </t>
  </si>
  <si>
    <t>La Licorera</t>
  </si>
  <si>
    <t>sara del carmen gallardo pinto</t>
  </si>
  <si>
    <t>andrerojasgallardo@gmail.com</t>
  </si>
  <si>
    <t>9 3244 0291</t>
  </si>
  <si>
    <t>av.lo Martínez 325, el bosque</t>
  </si>
  <si>
    <t>16026051-3</t>
  </si>
  <si>
    <t>Botilleria Leal</t>
  </si>
  <si>
    <t>Fernando Andrés Leal Sepúlveda</t>
  </si>
  <si>
    <t>antonioleal.1981@gmail.com</t>
  </si>
  <si>
    <t>9 6778 3053</t>
  </si>
  <si>
    <t>Maule 140, Santiago centro</t>
  </si>
  <si>
    <t>76172616-1</t>
  </si>
  <si>
    <t>Botilleria de Barrio</t>
  </si>
  <si>
    <t>Morales y muñoz cía ltda</t>
  </si>
  <si>
    <t>botidebarrio@gmail.com</t>
  </si>
  <si>
    <t>9 9549 4095</t>
  </si>
  <si>
    <t>Marchant pereira 535, providencia</t>
  </si>
  <si>
    <t>77699506-1</t>
  </si>
  <si>
    <t>Lainu's</t>
  </si>
  <si>
    <t>Distribuidora y Eventos L&amp;V SpA</t>
  </si>
  <si>
    <t>glushopitinerante@gmail.com</t>
  </si>
  <si>
    <t>9 4462 9121</t>
  </si>
  <si>
    <t>Av. Independencia 564, Pichidegua</t>
  </si>
  <si>
    <t>16377744-4</t>
  </si>
  <si>
    <t>Botillería The Wall</t>
  </si>
  <si>
    <t>Susan Debora Campos Fernandez</t>
  </si>
  <si>
    <t>zeba232@gmail.com</t>
  </si>
  <si>
    <t>9 6754 2468</t>
  </si>
  <si>
    <t>Ernesto Alvear 398 , Puente Alto</t>
  </si>
  <si>
    <t xml:space="preserve">9613479-7 </t>
  </si>
  <si>
    <t>Botillería La Gloriosa</t>
  </si>
  <si>
    <t>Carmen Gloria Lara</t>
  </si>
  <si>
    <t>9 6916 9069</t>
  </si>
  <si>
    <t>Av Felipe Camiroaga 1670, Rancagua</t>
  </si>
  <si>
    <t>16473103-0</t>
  </si>
  <si>
    <t>Botilleria manoe</t>
  </si>
  <si>
    <t>Alejandro Eduardo Albandoz Acevedo</t>
  </si>
  <si>
    <t>Ventasmanoe@gmail.com</t>
  </si>
  <si>
    <t>9 4235 4802</t>
  </si>
  <si>
    <t>Vecinal 5655 San Joaquín</t>
  </si>
  <si>
    <t>13253637-6</t>
  </si>
  <si>
    <t>TodoLikores Ñuñoa</t>
  </si>
  <si>
    <t>Rodrigo Hernan Aguilera Muñoz</t>
  </si>
  <si>
    <t>todolikoresnunoa@gmail.com</t>
  </si>
  <si>
    <t>Av. Irarrazaval 769, Ñuñoa</t>
  </si>
  <si>
    <t>76767175-K</t>
  </si>
  <si>
    <t>La Marraqueta Sanguchería Bar &amp; Cervecería</t>
  </si>
  <si>
    <t>Inversiones Valenzuela SpA</t>
  </si>
  <si>
    <t>marraquerasangucheria@gmail.com</t>
  </si>
  <si>
    <t>O'higgins 279, San Bernardo, RM</t>
  </si>
  <si>
    <t>77103741-0</t>
  </si>
  <si>
    <t>botilleria Brindare</t>
  </si>
  <si>
    <t>Comercial Marric Ltda</t>
  </si>
  <si>
    <t>Pedropablo.martineztorres@gmail.com</t>
  </si>
  <si>
    <t>Cuevas 1818</t>
  </si>
  <si>
    <t>13044923-9</t>
  </si>
  <si>
    <t>Aqua botilleria</t>
  </si>
  <si>
    <t>Christian andres farias soto</t>
  </si>
  <si>
    <t>Christian.farsott@hotmail.com</t>
  </si>
  <si>
    <t>9 6606 8036</t>
  </si>
  <si>
    <t>Tucapel jimenez 135 santiago</t>
  </si>
  <si>
    <t>Reciben de 10-16</t>
  </si>
  <si>
    <t>77198226-3</t>
  </si>
  <si>
    <t>La Esquina 2.0</t>
  </si>
  <si>
    <t>Carolina Garrido Figueroa</t>
  </si>
  <si>
    <t>cgarridocenco@gmail.com</t>
  </si>
  <si>
    <t>9 8725 4192</t>
  </si>
  <si>
    <t>Manuel Montt 780 local 7 1P Providencia</t>
  </si>
  <si>
    <t>77479462-K</t>
  </si>
  <si>
    <t>Botillería Perdona</t>
  </si>
  <si>
    <t>Ospa SpA</t>
  </si>
  <si>
    <t>Ospa.spa@outlook.com</t>
  </si>
  <si>
    <t>9 7230 6008</t>
  </si>
  <si>
    <t>Recibe en Presidente Eduardo Frei Montalva 1651 local 40, Independencia</t>
  </si>
  <si>
    <t>77099908-1</t>
  </si>
  <si>
    <t>Supermercado California</t>
  </si>
  <si>
    <t>Edmundo Jimenez Ureta Ltda</t>
  </si>
  <si>
    <t>david_merino@live.cl</t>
  </si>
  <si>
    <t>9 4286 7646</t>
  </si>
  <si>
    <t>Rafael Tagle 71, Requinoa</t>
  </si>
  <si>
    <t>76554974-4</t>
  </si>
  <si>
    <t>La Cleta</t>
  </si>
  <si>
    <t>Centro Cultural Taller 10 Ltda</t>
  </si>
  <si>
    <t>lacleta.espaciocultural@gmail.com</t>
  </si>
  <si>
    <t>9 8992 6114</t>
  </si>
  <si>
    <t xml:space="preserve">Arica 20, Graneros </t>
  </si>
  <si>
    <t>77906673-8</t>
  </si>
  <si>
    <t>Osiris Licoreria</t>
  </si>
  <si>
    <t>Osiris Licoreria Gourmet SpA</t>
  </si>
  <si>
    <t>osiris.licoreria@gmail.com</t>
  </si>
  <si>
    <t>9 7307 5831</t>
  </si>
  <si>
    <t>no abre los lunes</t>
  </si>
  <si>
    <t>77150375-6</t>
  </si>
  <si>
    <t>Chiledrink</t>
  </si>
  <si>
    <t>Licorerias Chiledrink SpA</t>
  </si>
  <si>
    <t>9 3462 3682</t>
  </si>
  <si>
    <t>Av. Irarrazaval 3997 L2, Ñuñoa</t>
  </si>
  <si>
    <t>77775662-1</t>
  </si>
  <si>
    <t>Botilleria La Ruka</t>
  </si>
  <si>
    <t>Sociedad Los Pinos Huachos SpA</t>
  </si>
  <si>
    <t>botillerialaruka@gmail.com</t>
  </si>
  <si>
    <t>9 9713 4107</t>
  </si>
  <si>
    <t>Vicuña Mackena 960, San Carlos, Ñuble</t>
  </si>
  <si>
    <t>77724174-5</t>
  </si>
  <si>
    <t>Castillo Lounge</t>
  </si>
  <si>
    <t>Castillo Lounge SpA</t>
  </si>
  <si>
    <t>castillolounge@gmail.com</t>
  </si>
  <si>
    <t>9 9438 4368</t>
  </si>
  <si>
    <t>Valdivia  535, Combarbalá</t>
  </si>
  <si>
    <t>Direccion de despacho es Av antofagasta 3686, estacion central</t>
  </si>
  <si>
    <t>77253555-4</t>
  </si>
  <si>
    <t>Botillería Dual</t>
  </si>
  <si>
    <t>Iracabal SpA</t>
  </si>
  <si>
    <t>iracabalspa@gmail.com</t>
  </si>
  <si>
    <t>O'higgins 912 local 04, San Bernardo</t>
  </si>
  <si>
    <t>77748939-9</t>
  </si>
  <si>
    <t>Trail dog mtb</t>
  </si>
  <si>
    <t xml:space="preserve">ÑAMTASTICO SPA
</t>
  </si>
  <si>
    <t>9 8244 7041</t>
  </si>
  <si>
    <t xml:space="preserve">AV LA DEHESA 4580 LOCAL 5 CB024 12 LO BARNECHEA
</t>
  </si>
  <si>
    <t>77441169-0</t>
  </si>
  <si>
    <t>Comercializadora Los Cisnes</t>
  </si>
  <si>
    <t>Comercializadora Los Cisnes SpA</t>
  </si>
  <si>
    <t>alejandro.matamala.calderon@gmail.com</t>
  </si>
  <si>
    <t>9 7928 3060</t>
  </si>
  <si>
    <t>Avenida Macul 5943</t>
  </si>
  <si>
    <t>10479118-2</t>
  </si>
  <si>
    <t>Botillería Toledo</t>
  </si>
  <si>
    <t>Segundo Emilio Toledo Barria</t>
  </si>
  <si>
    <t>rodrigotoledor@gmail.com</t>
  </si>
  <si>
    <t>9 5696 5477</t>
  </si>
  <si>
    <t>Av. Simón Bolivar 3441, maipú</t>
  </si>
  <si>
    <t>Despacho desde las 14 hrs</t>
  </si>
  <si>
    <t>17161280-2</t>
  </si>
  <si>
    <t>Botillería Voy y Vuelvo</t>
  </si>
  <si>
    <t>Javier Hernandez</t>
  </si>
  <si>
    <t>Matiash64@gmail.com</t>
  </si>
  <si>
    <t>9 4142 5315</t>
  </si>
  <si>
    <t>77433835-7</t>
  </si>
  <si>
    <t>Botillería La Clínica</t>
  </si>
  <si>
    <t>Sociedad Comercial Agosto Limitada</t>
  </si>
  <si>
    <t>Rcastillon__@hotmail.com</t>
  </si>
  <si>
    <t>9 9923 0924</t>
  </si>
  <si>
    <t>Diego Portales 279, San Vicente Tagua Tagua</t>
  </si>
  <si>
    <t>Dirección de despacho es Santa Elena 1790 dpto 414, Santiago</t>
  </si>
  <si>
    <t>7411803-8</t>
  </si>
  <si>
    <t>Botilleria The Frog</t>
  </si>
  <si>
    <t>Magaly Valdenegro</t>
  </si>
  <si>
    <t>Botilleriathefrog@gmail.com</t>
  </si>
  <si>
    <t>9 9454 1555</t>
  </si>
  <si>
    <t>Alejandro Fleming 9164, Las Condes</t>
  </si>
  <si>
    <t>15886589-0</t>
  </si>
  <si>
    <t>Botillería Me Lancé</t>
  </si>
  <si>
    <t>Michael Gutierrez</t>
  </si>
  <si>
    <t>maikelgutierrez213@gmail.com</t>
  </si>
  <si>
    <t>9 9107 1841</t>
  </si>
  <si>
    <t>Avenida Haydn 5189, San Joaquín</t>
  </si>
  <si>
    <t>76730445-5</t>
  </si>
  <si>
    <t>Botillería Donde Los Cabros</t>
  </si>
  <si>
    <t>Comerzializadora B&amp;S SPA</t>
  </si>
  <si>
    <t>Fabian.calderon.12@gmail.com</t>
  </si>
  <si>
    <t>9 9337 2312</t>
  </si>
  <si>
    <t>Vecinal 5940, San Joaquín</t>
  </si>
  <si>
    <t>76797181-8</t>
  </si>
  <si>
    <t>Botilleria La Barrika</t>
  </si>
  <si>
    <t>Inpocru SpA</t>
  </si>
  <si>
    <t>inpocru@gmail.com</t>
  </si>
  <si>
    <t>9 6646 5329</t>
  </si>
  <si>
    <t>Bermudas 6393, San Joaquin</t>
  </si>
  <si>
    <t xml:space="preserve">77024862-0 </t>
  </si>
  <si>
    <t>Bar Birras</t>
  </si>
  <si>
    <t xml:space="preserve">Comercial LYQ </t>
  </si>
  <si>
    <t>Silvaosorio1982@gmail.com</t>
  </si>
  <si>
    <t>9 7122 5954</t>
  </si>
  <si>
    <t>Germán Riesco 944 local 11, San Vicente tagua tagua</t>
  </si>
  <si>
    <t>Retira en planta</t>
  </si>
  <si>
    <t>77235887-4</t>
  </si>
  <si>
    <t>Botillería 40 Grados</t>
  </si>
  <si>
    <t>40 grados SpA</t>
  </si>
  <si>
    <t>Carlosromandiaz@live.cl</t>
  </si>
  <si>
    <t>9 3877 9806</t>
  </si>
  <si>
    <t>Avenida Estadio 856, Las Cabras</t>
  </si>
  <si>
    <t>77164643-3</t>
  </si>
  <si>
    <t>Botilleria Los Mosqueteros</t>
  </si>
  <si>
    <t>Los mosqueteros spa</t>
  </si>
  <si>
    <t>losmosqueteros1309@gmail.com</t>
  </si>
  <si>
    <t>9 3128 0972</t>
  </si>
  <si>
    <t>Gran Avenida Jose Miguel Carrera 8217, La Cisterna</t>
  </si>
  <si>
    <t>77350265-K</t>
  </si>
  <si>
    <t>Botillería LMQ SPA</t>
  </si>
  <si>
    <t>LMQ SPA</t>
  </si>
  <si>
    <t>Obispo H Salas 0285 BD 3 Providencia</t>
  </si>
  <si>
    <t>Apertura 13 hrs</t>
  </si>
  <si>
    <t>24/7 Drinks</t>
  </si>
  <si>
    <t>78081864-6</t>
  </si>
  <si>
    <t>Botillería Lo Barnechea</t>
  </si>
  <si>
    <t>Vincenzo Spa</t>
  </si>
  <si>
    <t>botillerialobarnechea@gmail.com</t>
  </si>
  <si>
    <t>9 7217 7181</t>
  </si>
  <si>
    <t>Av. José Alcalde Delano 10245, Lo Barnechea</t>
  </si>
  <si>
    <t>10930978-8</t>
  </si>
  <si>
    <t>Botillería Robert</t>
  </si>
  <si>
    <t>Leonor Espinoza Torres</t>
  </si>
  <si>
    <t>robertoespinozatorres@gmail.com</t>
  </si>
  <si>
    <t>9 9744 2661</t>
  </si>
  <si>
    <t>Jose Pedro Alessandri #14</t>
  </si>
  <si>
    <t>77066433-0</t>
  </si>
  <si>
    <t>La Resistencia</t>
  </si>
  <si>
    <t>Birreria La Resistencia SpA</t>
  </si>
  <si>
    <t>ffigueroa@exroad.cl</t>
  </si>
  <si>
    <t>9 6130 7712</t>
  </si>
  <si>
    <t>Maipu 363 Santiago</t>
  </si>
  <si>
    <t>77756464-1</t>
  </si>
  <si>
    <t>Botilleria Dringo</t>
  </si>
  <si>
    <t>Minimarket Cinthia Del Carmen Urzua Gutiérrez EIRL</t>
  </si>
  <si>
    <t>Ismael.becerra@live.com</t>
  </si>
  <si>
    <t>9 9645 7243</t>
  </si>
  <si>
    <t>Av Cuarta Terraza 5026, Valle Volcanes. Puerto Montt</t>
  </si>
  <si>
    <t>76798296-8</t>
  </si>
  <si>
    <t>Da Radda Huechuraba</t>
  </si>
  <si>
    <t xml:space="preserve">Inversiones gastronómicas RM spa </t>
  </si>
  <si>
    <t>9 6277 5042</t>
  </si>
  <si>
    <t>Av los militares 4777 las condes</t>
  </si>
  <si>
    <t>76893648-k</t>
  </si>
  <si>
    <t>Da Radda Los MIlitares</t>
  </si>
  <si>
    <t>Restaurante las condes spa</t>
  </si>
  <si>
    <t xml:space="preserve">Av del parque 4860 local 2 huechuraba </t>
  </si>
  <si>
    <t>77910905-4</t>
  </si>
  <si>
    <t>Bamberg</t>
  </si>
  <si>
    <t>Comercial Rippes sepulveda SPA</t>
  </si>
  <si>
    <t>bamberg.beer.store@gmail.com</t>
  </si>
  <si>
    <t>9 9344 4874</t>
  </si>
  <si>
    <t xml:space="preserve">Javiera Carrera 1085, Local 2. Rancagua </t>
  </si>
  <si>
    <t>77962124-3</t>
  </si>
  <si>
    <t>Frente Cervecero</t>
  </si>
  <si>
    <t>Frente Cervecero SpA</t>
  </si>
  <si>
    <t>Luis Cruz Martinez 8 pb Pudahuel</t>
  </si>
  <si>
    <t>Ecommerce</t>
  </si>
  <si>
    <t>76031172-3</t>
  </si>
  <si>
    <t>St Patrick day</t>
  </si>
  <si>
    <t>Servicios de restauración Gastronómica Rosa Prado Ocaranza E.i.r.l</t>
  </si>
  <si>
    <t>oscar.mendoza.p@gmail.com</t>
  </si>
  <si>
    <t>9 9218 1435</t>
  </si>
  <si>
    <t>Ricardo Cumming 340, Santiago</t>
  </si>
  <si>
    <t>reciben de 14-20hrs</t>
  </si>
  <si>
    <t>76773284-8</t>
  </si>
  <si>
    <t>La Griferia</t>
  </si>
  <si>
    <t>Comercializadoras de cervezas JRB limitada</t>
  </si>
  <si>
    <t>barlagriferia@gmail.com</t>
  </si>
  <si>
    <t>San Ignacio de Loyola #30, Stgo Centro</t>
  </si>
  <si>
    <t>4646366-8</t>
  </si>
  <si>
    <t>Botilleria Rumary Minimarket</t>
  </si>
  <si>
    <t>Rubén Bastías Medina</t>
  </si>
  <si>
    <t>botilleriarumary@gmail.com</t>
  </si>
  <si>
    <t>9 3385 1628</t>
  </si>
  <si>
    <t xml:space="preserve"> Camino Al Volcán 281, Comuna de San José de Maipo.</t>
  </si>
  <si>
    <t>77630739-4</t>
  </si>
  <si>
    <t>Barhalla Antofagasta</t>
  </si>
  <si>
    <t>Barhalla SPA</t>
  </si>
  <si>
    <t>beerhalla.beershop@gmail.com</t>
  </si>
  <si>
    <t>9 4064 0036</t>
  </si>
  <si>
    <t>Heroes de la concepcion 8460, Antofagasta</t>
  </si>
  <si>
    <t>Entregar en sucursal Varmontt Antofagasta</t>
  </si>
  <si>
    <t>10060004-8</t>
  </si>
  <si>
    <t>Pronto Service Market</t>
  </si>
  <si>
    <t xml:space="preserve">Rosa Katherine  Aros Contreras </t>
  </si>
  <si>
    <t>shavely21@hotmail.com</t>
  </si>
  <si>
    <t>9 4509 2819</t>
  </si>
  <si>
    <t>Av vicuña mackenna 304, Providencia</t>
  </si>
  <si>
    <t xml:space="preserve"> 14 hrs en adelante </t>
  </si>
  <si>
    <t>76936728-4</t>
  </si>
  <si>
    <t>Botillería El Grifo</t>
  </si>
  <si>
    <t>Comercial Héctor Patricio Godoy González E.I.R.L.</t>
  </si>
  <si>
    <t>San Antonio 1108, Techo Para Todos, Puerto Montt</t>
  </si>
  <si>
    <t xml:space="preserve">mismo dueño que san antonio </t>
  </si>
  <si>
    <t>76116599-2</t>
  </si>
  <si>
    <t xml:space="preserve">Botilleria Genovese </t>
  </si>
  <si>
    <t>Seminario inversiones Spa</t>
  </si>
  <si>
    <t>jaime.palomo@hotmail.com</t>
  </si>
  <si>
    <t>9 3228 5571</t>
  </si>
  <si>
    <t>Seminario #197</t>
  </si>
  <si>
    <t>76753013-7</t>
  </si>
  <si>
    <t>Botillería La Isla Maule</t>
  </si>
  <si>
    <t>Díaz y Gallegos</t>
  </si>
  <si>
    <t>9 5529 9003</t>
  </si>
  <si>
    <t>av. ignacio carrera pinto s/n, Llico, Maule</t>
  </si>
  <si>
    <t>12668170-4</t>
  </si>
  <si>
    <t>Botillería Playa Licores y R&amp;R Viña</t>
  </si>
  <si>
    <t>Edson Ricardo Correa Rivera</t>
  </si>
  <si>
    <t>9 7777 1491</t>
  </si>
  <si>
    <t>Calle 7 Norte 489 Valparaíso</t>
  </si>
  <si>
    <t>Despachar en stgo a Juan bagynka 3771 macul</t>
  </si>
  <si>
    <t>76863043-7</t>
  </si>
  <si>
    <t xml:space="preserve">Kamazu Lounge </t>
  </si>
  <si>
    <t>Inversiones Río Blanco spa</t>
  </si>
  <si>
    <t>santaisabellmagia@gmail.com</t>
  </si>
  <si>
    <t>9 3527 9600</t>
  </si>
  <si>
    <t>Santa Isabel #0305, Providencia</t>
  </si>
  <si>
    <t>77312358-6</t>
  </si>
  <si>
    <t>Buena Barra Huechuraba</t>
  </si>
  <si>
    <t>R2 taste limitada</t>
  </si>
  <si>
    <t>Isidora.rebolledop@gmail.com</t>
  </si>
  <si>
    <t>9 7988 0735</t>
  </si>
  <si>
    <t>Avenida Pedro Fontova 7789, Huechuraba</t>
  </si>
  <si>
    <t>13412678-7</t>
  </si>
  <si>
    <t>Licorería Tag</t>
  </si>
  <si>
    <t>Priscila Tapia Aguilera</t>
  </si>
  <si>
    <t>pritapia203@hotmail.com</t>
  </si>
  <si>
    <t>9 9407 6927</t>
  </si>
  <si>
    <t>Santa Isabel # 0415, Providencia</t>
  </si>
  <si>
    <t>despachar 15 hrs en adelante</t>
  </si>
  <si>
    <t>77141444-3</t>
  </si>
  <si>
    <t>Holleer Bar</t>
  </si>
  <si>
    <t>La Granja Holandesa Spa</t>
  </si>
  <si>
    <t>asistente.restobarholleer@gmail.com</t>
  </si>
  <si>
    <t>General Holley 2285 Providencia</t>
  </si>
  <si>
    <t>11 hrs en adelante</t>
  </si>
  <si>
    <t>76427818-6</t>
  </si>
  <si>
    <t xml:space="preserve"> Romasanta</t>
  </si>
  <si>
    <t xml:space="preserve"> Inmobiliaria e Inversiones Baleares spa</t>
  </si>
  <si>
    <t xml:space="preserve">mgpropiedades57@gmail.com </t>
  </si>
  <si>
    <t>Huérfanos 14545, Santiago</t>
  </si>
  <si>
    <t>11 a 21 hrs</t>
  </si>
  <si>
    <t>77585551-7</t>
  </si>
  <si>
    <t>Entre Socios</t>
  </si>
  <si>
    <t xml:space="preserve"> Almacenes Caruci y Romero Ltda</t>
  </si>
  <si>
    <t xml:space="preserve">luis_jc6@hotmail.com </t>
  </si>
  <si>
    <t>Av Irarrázaval 1989 LC 5 placa norte, ñuñoa</t>
  </si>
  <si>
    <t>10 a 16 hrs</t>
  </si>
  <si>
    <t xml:space="preserve">77869744-0 </t>
  </si>
  <si>
    <t>Puerto Cervecero</t>
  </si>
  <si>
    <t>Puerto Cervecero Spa</t>
  </si>
  <si>
    <t>contacto@puertocervecero.cl</t>
  </si>
  <si>
    <t>9 8783 4851</t>
  </si>
  <si>
    <t>Av. Los Colonos 1176 Local 4, Puerto Varas</t>
  </si>
  <si>
    <t>Entregar en Moneda 2309 de 11:30 a 14</t>
  </si>
  <si>
    <t>77614596-3</t>
  </si>
  <si>
    <t>Botillería Rock And Roll</t>
  </si>
  <si>
    <t>Robles SpA</t>
  </si>
  <si>
    <t>9 9870 4447</t>
  </si>
  <si>
    <t>Av La Dehesa 541 LC 9, Lo Barnechea</t>
  </si>
  <si>
    <t>19643596-4</t>
  </si>
  <si>
    <t>Botillería Faune</t>
  </si>
  <si>
    <t>Benjamin Faune Olguín</t>
  </si>
  <si>
    <t>benjafauneo@gmail.com</t>
  </si>
  <si>
    <t>9 5763 6162</t>
  </si>
  <si>
    <t>Av Bernardo Ohiggins 1010, San Fernando</t>
  </si>
  <si>
    <t>77572378-5</t>
  </si>
  <si>
    <t>Bar Royal</t>
  </si>
  <si>
    <t>Operadora QSR Spa</t>
  </si>
  <si>
    <t>administracion@qsrbar.cl</t>
  </si>
  <si>
    <t>Alonso de cordova 5670 of 404, Las condes</t>
  </si>
  <si>
    <t xml:space="preserve">direccion entrega: av Italia 1442 providencia </t>
  </si>
  <si>
    <t>77140114-7</t>
  </si>
  <si>
    <t>Donde Los Kbross</t>
  </si>
  <si>
    <t>Sociedad bav ltda</t>
  </si>
  <si>
    <t>nicolas.bravoj@gmail.com</t>
  </si>
  <si>
    <t>9 8585 6305</t>
  </si>
  <si>
    <t>Los Nogales 9617, el bosque</t>
  </si>
  <si>
    <t>76248043-3</t>
  </si>
  <si>
    <t>Licores Chile</t>
  </si>
  <si>
    <t>Comercializadora licores chile spa</t>
  </si>
  <si>
    <t>luis_psx@hotmail.com</t>
  </si>
  <si>
    <t>9 3316 6902</t>
  </si>
  <si>
    <t>Av. Irarrazaval 1711, Ñuñoa</t>
  </si>
  <si>
    <t>77087645-1</t>
  </si>
  <si>
    <t>Maillard</t>
  </si>
  <si>
    <t>Maillard SpA</t>
  </si>
  <si>
    <t>ssilva@grupobrasa.cl</t>
  </si>
  <si>
    <t>9 8741 1311</t>
  </si>
  <si>
    <t>Nueva Costanera 3802, Vitacura</t>
  </si>
  <si>
    <t>76307324-6</t>
  </si>
  <si>
    <t>Botillería Entre Dos Ríos</t>
  </si>
  <si>
    <t>Comercializadora Ari Limitada</t>
  </si>
  <si>
    <t>entredosriosbotica@gmail.com</t>
  </si>
  <si>
    <t>9 8910 3867</t>
  </si>
  <si>
    <t>Diagonal Oriente 1990, Providencia</t>
  </si>
  <si>
    <t>78024787-8</t>
  </si>
  <si>
    <t>Beermide Beershop</t>
  </si>
  <si>
    <t>Ferreira y Riquelme SpA</t>
  </si>
  <si>
    <t>beermidebeershop@gmail.com</t>
  </si>
  <si>
    <t>9 7860 1277</t>
  </si>
  <si>
    <t>Balmaceda 1435, Local C, Peñaflor</t>
  </si>
  <si>
    <t>direccion entrega: Luis beltran 1660, depto 711 ñuñoa (Deniss Ferreira)</t>
  </si>
  <si>
    <t>77731887-k</t>
  </si>
  <si>
    <t>Botilleria los villares</t>
  </si>
  <si>
    <t>Inversiones f y h spa</t>
  </si>
  <si>
    <t xml:space="preserve"> jorge.canabes@gmail.com</t>
  </si>
  <si>
    <t>9 9989 7570</t>
  </si>
  <si>
    <t xml:space="preserve">Esmeralda 723. Los Andes </t>
  </si>
  <si>
    <t>77990093-2</t>
  </si>
  <si>
    <t>Botillería Tomorrow</t>
  </si>
  <si>
    <t>Tomorrow Ltda</t>
  </si>
  <si>
    <t>Botilleriatomorrow@gmail.com</t>
  </si>
  <si>
    <t>9 6666 1997</t>
  </si>
  <si>
    <t>Av Las Condes 7840, Las Condes</t>
  </si>
  <si>
    <t>77634430-3</t>
  </si>
  <si>
    <t>Licorería Nacional</t>
  </si>
  <si>
    <t>Comercial Macro</t>
  </si>
  <si>
    <t>licorerianacionalbilbao@gmail.com</t>
  </si>
  <si>
    <t>9 9947 9137</t>
  </si>
  <si>
    <t>Av Francisco Bilbao 2383</t>
  </si>
  <si>
    <t>78069666-4</t>
  </si>
  <si>
    <t>Fuente Urracas</t>
  </si>
  <si>
    <t>Inversiones R &amp; M SpA</t>
  </si>
  <si>
    <t>manhatanpuentealto@gmail.com</t>
  </si>
  <si>
    <t>9 3936 7562</t>
  </si>
  <si>
    <t>Av Los Pajaritos 4671 Villa Los Pajaritos Maipu</t>
  </si>
  <si>
    <t>76474403-9</t>
  </si>
  <si>
    <t>Botilleria La Reina</t>
  </si>
  <si>
    <t>Comercializadora plaza la reina s a</t>
  </si>
  <si>
    <t>9 4897 7941</t>
  </si>
  <si>
    <t>Valenzuela Llanos 1338</t>
  </si>
  <si>
    <t>76145092-1</t>
  </si>
  <si>
    <t>Bodega Urriola</t>
  </si>
  <si>
    <t xml:space="preserve"> Sociedad Cuenca Sur Inversiones Ltda</t>
  </si>
  <si>
    <t xml:space="preserve"> contacto@bodegaurriola.cl</t>
  </si>
  <si>
    <t>9 3698 0027</t>
  </si>
  <si>
    <t>Urriola 393, cerro Concepción, Valparaíso</t>
  </si>
  <si>
    <t>Entregar en Varmontt, Av. Lo Espejo N° 02750</t>
  </si>
  <si>
    <t>an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</si>
  <si>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</si>
  <si>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</si>
  <si>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</si>
  <si>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</si>
  <si>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</si>
  <si>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</si>
  <si>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</si>
  <si>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</si>
  <si>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</si>
  <si>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</si>
  <si>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</si>
  <si>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</si>
  <si>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2024</t>
  </si>
  <si>
    <t>% Cumplimiento</t>
  </si>
  <si>
    <t>Meta (Ventas AA) +20%</t>
  </si>
  <si>
    <t>Ingresos x Ventas</t>
  </si>
  <si>
    <t>Sitio Web</t>
  </si>
  <si>
    <t>B2B</t>
  </si>
  <si>
    <t>FFVV Externo</t>
  </si>
  <si>
    <t>On Trade</t>
  </si>
  <si>
    <t>Eventos</t>
  </si>
  <si>
    <t>Otros</t>
  </si>
  <si>
    <t>Litros</t>
  </si>
  <si>
    <t>Costos x Ventas</t>
  </si>
  <si>
    <t>Costo x Litro</t>
  </si>
  <si>
    <t>Margen Bruto</t>
  </si>
  <si>
    <t>Gastos Ventas</t>
  </si>
  <si>
    <t>Shopify</t>
  </si>
  <si>
    <t>Mercado Pago</t>
  </si>
  <si>
    <t>Darkstore/Wareclouds</t>
  </si>
  <si>
    <t>Despachos Bull</t>
  </si>
  <si>
    <t>Gastos Marketing</t>
  </si>
  <si>
    <t>Medios</t>
  </si>
  <si>
    <t>Producción</t>
  </si>
  <si>
    <t>Gastos Administrativos</t>
  </si>
  <si>
    <t>Maestro Cervecero</t>
  </si>
  <si>
    <t>Comercial 1 fijo</t>
  </si>
  <si>
    <t>Comercial 1 variable</t>
  </si>
  <si>
    <t>Comercial 2 fijo</t>
  </si>
  <si>
    <t>Vendedor Externo</t>
  </si>
  <si>
    <t>Vendedor Variable</t>
  </si>
  <si>
    <t>Contador</t>
  </si>
  <si>
    <t>Ayudante</t>
  </si>
  <si>
    <t>Otros Gastos</t>
  </si>
  <si>
    <t>Bencina</t>
  </si>
  <si>
    <t>Margen Neto</t>
  </si>
  <si>
    <t>Impuestos</t>
  </si>
  <si>
    <t>ILA</t>
  </si>
  <si>
    <t>IVA</t>
  </si>
  <si>
    <t>Utilidad</t>
  </si>
  <si>
    <t>Margen Operativo (%)</t>
  </si>
  <si>
    <t>Meta (Ventas AA) +10%</t>
  </si>
  <si>
    <t>DP</t>
  </si>
  <si>
    <t>Cliente</t>
  </si>
  <si>
    <t>Latas (en cajas)</t>
  </si>
  <si>
    <t>Barril</t>
  </si>
  <si>
    <t>Fecha Factura</t>
  </si>
  <si>
    <t>N° Factura</t>
  </si>
  <si>
    <t>Fecha Entrega</t>
  </si>
  <si>
    <t>Monto Total</t>
  </si>
  <si>
    <t>Estado Pago</t>
  </si>
  <si>
    <t>Tiempo desde Factura</t>
  </si>
  <si>
    <t>Correo</t>
  </si>
  <si>
    <t>-</t>
  </si>
  <si>
    <t>Pagado</t>
  </si>
  <si>
    <t>Beergarden 236</t>
  </si>
  <si>
    <t>39 y 40</t>
  </si>
  <si>
    <t>DIPABEER</t>
  </si>
  <si>
    <t>Lagerhaus</t>
  </si>
  <si>
    <t>Margó</t>
  </si>
  <si>
    <t>ChelaWena</t>
  </si>
  <si>
    <t>Vuvabeer</t>
  </si>
  <si>
    <t>Botiland</t>
  </si>
  <si>
    <t>BKS</t>
  </si>
  <si>
    <t>BeBeer</t>
  </si>
  <si>
    <t>5,9</t>
  </si>
  <si>
    <t>Refuerzo</t>
  </si>
  <si>
    <t>S/F</t>
  </si>
  <si>
    <t>Algrano</t>
  </si>
  <si>
    <t>2,75</t>
  </si>
  <si>
    <t>Botilleria Entre Amigos</t>
  </si>
  <si>
    <t>tierra Cervecera</t>
  </si>
  <si>
    <t>Bebeer</t>
  </si>
  <si>
    <t>Botilleria Hawaii</t>
  </si>
  <si>
    <t>Tripas Corazon</t>
  </si>
  <si>
    <t xml:space="preserve">La Avenida </t>
  </si>
  <si>
    <t>77 y 76</t>
  </si>
  <si>
    <t>Be beer</t>
  </si>
  <si>
    <t>La Previa</t>
  </si>
  <si>
    <t>Beer and beer haus</t>
  </si>
  <si>
    <t>Santiago Beer Garden</t>
  </si>
  <si>
    <t>96 y 91</t>
  </si>
  <si>
    <t>Ariaka Beer</t>
  </si>
  <si>
    <t>Terraza Mancora</t>
  </si>
  <si>
    <t>Feña</t>
  </si>
  <si>
    <t>Botilleria Don Drinks</t>
  </si>
  <si>
    <t>Beer and beer house</t>
  </si>
  <si>
    <t>Oculto</t>
  </si>
  <si>
    <t>Kunstmann</t>
  </si>
  <si>
    <t>Mancora</t>
  </si>
  <si>
    <t xml:space="preserve">Tamar </t>
  </si>
  <si>
    <t>La previa</t>
  </si>
  <si>
    <t>Das bier</t>
  </si>
  <si>
    <t>126 y 129</t>
  </si>
  <si>
    <t>Sublime</t>
  </si>
  <si>
    <t xml:space="preserve">Tripas corazón </t>
  </si>
  <si>
    <t>Botilleria hawaii</t>
  </si>
  <si>
    <t>La avenida</t>
  </si>
  <si>
    <t>Margo</t>
  </si>
  <si>
    <t>cata</t>
  </si>
  <si>
    <t>NC / Boleta</t>
  </si>
  <si>
    <t>abono 250.000</t>
  </si>
  <si>
    <t>Beer and Beer</t>
  </si>
  <si>
    <t>Rucahue</t>
  </si>
  <si>
    <t>CEODRINKS</t>
  </si>
  <si>
    <t>al grano</t>
  </si>
  <si>
    <t>araika</t>
  </si>
  <si>
    <t>Entreamigos</t>
  </si>
  <si>
    <t>Tripascorazon</t>
  </si>
  <si>
    <t>AON</t>
  </si>
  <si>
    <t>pagado</t>
  </si>
  <si>
    <t>Yabadabadú</t>
  </si>
  <si>
    <t>oculto</t>
  </si>
  <si>
    <t>Tabla</t>
  </si>
  <si>
    <t>217 y 218</t>
  </si>
  <si>
    <t>Entre Amigos</t>
  </si>
  <si>
    <t>Glu</t>
  </si>
  <si>
    <t>La Avenida</t>
  </si>
  <si>
    <t>Moscu</t>
  </si>
  <si>
    <t>Blujear</t>
  </si>
  <si>
    <t>Don Drinks</t>
  </si>
  <si>
    <t>ceo drinks</t>
  </si>
  <si>
    <t>mancora</t>
  </si>
  <si>
    <t>La tabla</t>
  </si>
  <si>
    <t>Blue jar</t>
  </si>
  <si>
    <t>Porteña</t>
  </si>
  <si>
    <t>quinta barrica</t>
  </si>
  <si>
    <t>BARRIL CO2</t>
  </si>
  <si>
    <t>Al grano</t>
  </si>
  <si>
    <t>bluejar</t>
  </si>
  <si>
    <t>KRAFTBEEAR</t>
  </si>
  <si>
    <t>barbudo Growler</t>
  </si>
  <si>
    <t>sublime</t>
  </si>
  <si>
    <t>Caoba</t>
  </si>
  <si>
    <t>Expomin</t>
  </si>
  <si>
    <t>Ceo Drinks</t>
  </si>
  <si>
    <t>Nogg</t>
  </si>
  <si>
    <t>La porteña</t>
  </si>
  <si>
    <t>Full apoquindo</t>
  </si>
  <si>
    <t>La fabrica</t>
  </si>
  <si>
    <t>Anulada</t>
  </si>
  <si>
    <t>la previa</t>
  </si>
  <si>
    <t>DESA</t>
  </si>
  <si>
    <t>La nena</t>
  </si>
  <si>
    <t>Beer and beer</t>
  </si>
  <si>
    <t>Lynch</t>
  </si>
  <si>
    <t>margo</t>
  </si>
  <si>
    <t>La casera</t>
  </si>
  <si>
    <t>Drink it</t>
  </si>
  <si>
    <t>la tabla</t>
  </si>
  <si>
    <t>la Muzza</t>
  </si>
  <si>
    <t>Curico</t>
  </si>
  <si>
    <t>La Copetería PAINE</t>
  </si>
  <si>
    <t>one Pizza</t>
  </si>
  <si>
    <t>Vatalates</t>
  </si>
  <si>
    <t>la esquina</t>
  </si>
  <si>
    <t>Desa</t>
  </si>
  <si>
    <t>San Francisco</t>
  </si>
  <si>
    <t>NC</t>
  </si>
  <si>
    <t>Guarida del Lobo</t>
  </si>
  <si>
    <t>be beer</t>
  </si>
  <si>
    <t>Ely</t>
  </si>
  <si>
    <t>La esquina</t>
  </si>
  <si>
    <t>Vatales</t>
  </si>
  <si>
    <t>Automatec</t>
  </si>
  <si>
    <t>lalo minimarket</t>
  </si>
  <si>
    <t>BOTILLERIA JL</t>
  </si>
  <si>
    <t>Beerhunter</t>
  </si>
  <si>
    <t>beerhunter</t>
  </si>
  <si>
    <t>Donde la Nena</t>
  </si>
  <si>
    <t>skal</t>
  </si>
  <si>
    <t>La cueva</t>
  </si>
  <si>
    <t>anula NC 26 por BH vencida</t>
  </si>
  <si>
    <t>cheque depositado</t>
  </si>
  <si>
    <t xml:space="preserve">Licoreria Cassanova
</t>
  </si>
  <si>
    <t>la fabrica 737</t>
  </si>
  <si>
    <t>anulada con NC por cambio Razon social</t>
  </si>
  <si>
    <t>Padre las casas</t>
  </si>
  <si>
    <t>.</t>
  </si>
  <si>
    <t>Emporio vinos y licores</t>
  </si>
  <si>
    <t>NC25</t>
  </si>
  <si>
    <t>La Cueva</t>
  </si>
  <si>
    <t>Modelo</t>
  </si>
  <si>
    <t>Kano</t>
  </si>
  <si>
    <t>n/a</t>
  </si>
  <si>
    <t>evento</t>
  </si>
  <si>
    <t xml:space="preserve">Santa Ana </t>
  </si>
  <si>
    <t>anulada</t>
  </si>
  <si>
    <t>NC22</t>
  </si>
  <si>
    <t>Pagado $258.492 a cuenta Bice (agregó 80.000 por cilindro de CO2)</t>
  </si>
  <si>
    <t>Licorera</t>
  </si>
  <si>
    <t>NC23</t>
  </si>
  <si>
    <t>Anula NC 24 cantidad incorrecta</t>
  </si>
  <si>
    <t>Don drinks</t>
  </si>
  <si>
    <t>Anula NC 25</t>
  </si>
  <si>
    <t>one pizza</t>
  </si>
  <si>
    <t>abono 50% (2-01-24)  50% (15-01-24)</t>
  </si>
  <si>
    <t>Factura nueva pero original 25-10-23</t>
  </si>
  <si>
    <t>yabadabadú</t>
  </si>
  <si>
    <t>Pagó $116.946, porque agregó una caja de latas x12 sin factura</t>
  </si>
  <si>
    <t>12 Vasos Allegra</t>
  </si>
  <si>
    <t>THE WALL</t>
  </si>
  <si>
    <t>LA GLORIOSA</t>
  </si>
  <si>
    <t>NC 27</t>
  </si>
  <si>
    <t>Manoe</t>
  </si>
  <si>
    <t>N/A</t>
  </si>
  <si>
    <t>1 Cilindro de CO2 y 2 barriles Sunny Waves, pagado todo en efectivo</t>
  </si>
  <si>
    <t>la cueva</t>
  </si>
  <si>
    <t>TodoLikores</t>
  </si>
  <si>
    <t>Marraqueta</t>
  </si>
  <si>
    <t>Anula NC28</t>
  </si>
  <si>
    <t>Despachar una vez pagada Factura anterior.</t>
  </si>
  <si>
    <t>San Antonio</t>
  </si>
  <si>
    <t>A la Chilena</t>
  </si>
  <si>
    <t>NC 29</t>
  </si>
  <si>
    <t>Brindare</t>
  </si>
  <si>
    <t>DICOM</t>
  </si>
  <si>
    <t>NC30</t>
  </si>
  <si>
    <t>Aqua</t>
  </si>
  <si>
    <t>Montichelas</t>
  </si>
  <si>
    <t>Factura atrasada, confirmar pago</t>
  </si>
  <si>
    <t>#N/D</t>
  </si>
  <si>
    <t xml:space="preserve">Marraqueta </t>
  </si>
  <si>
    <t>anula NC 33 x reembolso de red passion, reemplaza factura 582</t>
  </si>
  <si>
    <t>c02</t>
  </si>
  <si>
    <t>Botillería Vatales</t>
  </si>
  <si>
    <t>NC 31</t>
  </si>
  <si>
    <t>anulada NC 32 mal rut</t>
  </si>
  <si>
    <t>Entre Amigos 2.0</t>
  </si>
  <si>
    <t>cisnes</t>
  </si>
  <si>
    <t>Viña Santa Carolina</t>
  </si>
  <si>
    <t>SF</t>
  </si>
  <si>
    <t>Pendiente de enviar y facturar 12xdayoff</t>
  </si>
  <si>
    <t>fecha original 20-03.. fecha nueva:29-04</t>
  </si>
  <si>
    <t>Toledo</t>
  </si>
  <si>
    <t>La clinica</t>
  </si>
  <si>
    <t xml:space="preserve">NC 35 </t>
  </si>
  <si>
    <t>The Frog</t>
  </si>
  <si>
    <t>Me lance</t>
  </si>
  <si>
    <t>Los cabros</t>
  </si>
  <si>
    <t>reemplaza factura 584</t>
  </si>
  <si>
    <t>La Barrika</t>
  </si>
  <si>
    <t>Boleta</t>
  </si>
  <si>
    <t>cambio de rut, anula NC 39</t>
  </si>
  <si>
    <t>mal emitida, anula NC 36</t>
  </si>
  <si>
    <t>Los Mosqueteros</t>
  </si>
  <si>
    <t>Cheque</t>
  </si>
  <si>
    <t>Voy y vuelvo</t>
  </si>
  <si>
    <t>Botillería LMQ</t>
  </si>
  <si>
    <t>mal emitida, anula NC 37</t>
  </si>
  <si>
    <t>mal emitida, anula NC 38</t>
  </si>
  <si>
    <t>Pendiente vasos: nonic 12 + allegra 12</t>
  </si>
  <si>
    <t>Botilleria Lo Barnechea</t>
  </si>
  <si>
    <t>faltan vasos</t>
  </si>
  <si>
    <t>40 Grados</t>
  </si>
  <si>
    <t>por cambio rut cliente anula NC 46</t>
  </si>
  <si>
    <t>Robert</t>
  </si>
  <si>
    <t>Instalacion SCHOP Barra</t>
  </si>
  <si>
    <t>Skal</t>
  </si>
  <si>
    <t xml:space="preserve"> cheque</t>
  </si>
  <si>
    <t>La resistencia</t>
  </si>
  <si>
    <t>anula NC 40</t>
  </si>
  <si>
    <t>anula NC 44</t>
  </si>
  <si>
    <t>anula NC 41</t>
  </si>
  <si>
    <t>DRINGO PTO MONTT</t>
  </si>
  <si>
    <t>anula NC 42</t>
  </si>
  <si>
    <t>Depositar efectivo</t>
  </si>
  <si>
    <t>anula NC 43</t>
  </si>
  <si>
    <t xml:space="preserve">pagado </t>
  </si>
  <si>
    <t>Confirmar nuevo pedido / stock requinoa</t>
  </si>
  <si>
    <t>Da Radda Militares</t>
  </si>
  <si>
    <t>St Patrick</t>
  </si>
  <si>
    <t>pendiente POP</t>
  </si>
  <si>
    <t xml:space="preserve">La esquina </t>
  </si>
  <si>
    <t>Rumary</t>
  </si>
  <si>
    <t>La griferia</t>
  </si>
  <si>
    <t>Backstage</t>
  </si>
  <si>
    <t>pendiente</t>
  </si>
  <si>
    <t>Pronto Service</t>
  </si>
  <si>
    <t>Fecha Original 20 Mayo // nueva fecha: 26 junio</t>
  </si>
  <si>
    <t>El Grifo</t>
  </si>
  <si>
    <t>San Antonio Pto Montt</t>
  </si>
  <si>
    <t>Genovese</t>
  </si>
  <si>
    <t>Por quiebre cambio de pedido // anula NC47</t>
  </si>
  <si>
    <t>cambio  rut anula NC 48</t>
  </si>
  <si>
    <t>Cambio de fecha por postergacion entrega (cliente)</t>
  </si>
  <si>
    <t>Evento: Matrimonio Paula</t>
  </si>
  <si>
    <t>50% adelanto</t>
  </si>
  <si>
    <t>Kamazu</t>
  </si>
  <si>
    <t>24/7 Drink</t>
  </si>
  <si>
    <t>Buena Barra</t>
  </si>
  <si>
    <t>La isla Maule</t>
  </si>
  <si>
    <t xml:space="preserve">PENDIENTE FACTURAR Y ENVIAR 60 BH </t>
  </si>
  <si>
    <t>Holleer bar</t>
  </si>
  <si>
    <t>Tag</t>
  </si>
  <si>
    <t>Vateles</t>
  </si>
  <si>
    <t>Anula NC 50 x cambio de pedido cliente</t>
  </si>
  <si>
    <t>Muro Escalada Ragni</t>
  </si>
  <si>
    <t>Tag 2</t>
  </si>
  <si>
    <t>Pendiente 12x tropical</t>
  </si>
  <si>
    <t>LMQ</t>
  </si>
  <si>
    <t>RomaSanta</t>
  </si>
  <si>
    <t xml:space="preserve">Evento: Matias Ferrada </t>
  </si>
  <si>
    <t>B</t>
  </si>
  <si>
    <t>50% Reserva Matriminio 7/09 // Boleta Pendiente</t>
  </si>
  <si>
    <t xml:space="preserve">macu </t>
  </si>
  <si>
    <t>The ON Company</t>
  </si>
  <si>
    <t>Evento 13 Septiembre / pagado 50%</t>
  </si>
  <si>
    <t>CIERRE LOCAL</t>
  </si>
  <si>
    <t>falta mitad de pago - 150.000</t>
  </si>
  <si>
    <t>error montos / reemplaza factura 677</t>
  </si>
  <si>
    <t>mal rut / anula NC 51</t>
  </si>
  <si>
    <t>28-08-24</t>
  </si>
  <si>
    <t>Puerto cervecero</t>
  </si>
  <si>
    <t>Anula NC 54 solictud Nico</t>
  </si>
  <si>
    <t>Rock and Roll</t>
  </si>
  <si>
    <t>Algabirra</t>
  </si>
  <si>
    <t>P</t>
  </si>
  <si>
    <t>adelanto fonda algarrobo</t>
  </si>
  <si>
    <t>50% 2da parte</t>
  </si>
  <si>
    <t xml:space="preserve">barril extra </t>
  </si>
  <si>
    <t>Nueva Factura // pedido entregado 26/08</t>
  </si>
  <si>
    <t>Pupuya Fest</t>
  </si>
  <si>
    <t>Confirmar monto Sum UP / informar orlayo</t>
  </si>
  <si>
    <t>sf</t>
  </si>
  <si>
    <t>Una Botilleria mas</t>
  </si>
  <si>
    <t>pendiente parcial</t>
  </si>
  <si>
    <t>cassanova</t>
  </si>
  <si>
    <t>OktoberFest</t>
  </si>
  <si>
    <t>Cristian Castro Matri</t>
  </si>
  <si>
    <t>SB</t>
  </si>
  <si>
    <t>50% matrominio: 8 marzo</t>
  </si>
  <si>
    <t>Stadio Italiano</t>
  </si>
  <si>
    <t>ANULA nc61 X CAMBIO RAZON SOCIAL</t>
  </si>
  <si>
    <t>Faune San Fernando</t>
  </si>
  <si>
    <t>CLIENTE NUNCA FUE A BUSCAR LAS CERVEZAS</t>
  </si>
  <si>
    <t>anula NC 57</t>
  </si>
  <si>
    <t>pedido oktober</t>
  </si>
  <si>
    <t>pedido de septiembre</t>
  </si>
  <si>
    <t>24-11-17</t>
  </si>
  <si>
    <t>Oktober MUT</t>
  </si>
  <si>
    <t>Ladera Sur</t>
  </si>
  <si>
    <t>confirmar monto exacto</t>
  </si>
  <si>
    <t>pendiente de entrega</t>
  </si>
  <si>
    <t>evento 21-11-24</t>
  </si>
  <si>
    <t>Matrimonio Franco Valenzuela (Abril 2025)</t>
  </si>
  <si>
    <t>pagadas $250.000</t>
  </si>
  <si>
    <t>Matrimonio Nicole Clarke Noviciado</t>
  </si>
  <si>
    <t>saldo matrimonio</t>
  </si>
  <si>
    <t>REEMPLAZA 791</t>
  </si>
  <si>
    <t>Evento Tomas</t>
  </si>
  <si>
    <t>Matrimonio cristian</t>
  </si>
  <si>
    <t>Entre amigos</t>
  </si>
  <si>
    <t>anula NC 63</t>
  </si>
  <si>
    <t>Mercado Londres</t>
  </si>
  <si>
    <t>Dual</t>
  </si>
  <si>
    <t>Donde los Kbross</t>
  </si>
  <si>
    <t>Evento Matias</t>
  </si>
  <si>
    <t>SERCOTEC 1</t>
  </si>
  <si>
    <t>Reembolso</t>
  </si>
  <si>
    <t>Reembolso Sercotec 1</t>
  </si>
  <si>
    <t>SERCOTEC 2</t>
  </si>
  <si>
    <t>Reembolso Sercotec 2</t>
  </si>
  <si>
    <t>SERCOTEC 3</t>
  </si>
  <si>
    <t>Reembolso Sercotec 3</t>
  </si>
  <si>
    <t>SERCOTEC 4</t>
  </si>
  <si>
    <t>Reembolso Sercotec 4</t>
  </si>
  <si>
    <t>Copeteria</t>
  </si>
  <si>
    <t xml:space="preserve">Donde los cabros
</t>
  </si>
  <si>
    <t>Evento: Tenis Fernando Gonzales</t>
  </si>
  <si>
    <t>Evento: Capitaria</t>
  </si>
  <si>
    <t>error en el monto anula NC64</t>
  </si>
  <si>
    <t>Evento: Casa Silva</t>
  </si>
  <si>
    <t>Entre Dos Ríos</t>
  </si>
  <si>
    <t>Cassanova</t>
  </si>
  <si>
    <t>cheque depositado tomas</t>
  </si>
  <si>
    <t>Yabadababu</t>
  </si>
  <si>
    <t>Matri: Benjamin 22 marzo</t>
  </si>
  <si>
    <t>50% matrimonio 22 marzo</t>
  </si>
  <si>
    <t>Tomorrow</t>
  </si>
  <si>
    <t>La Isla</t>
  </si>
  <si>
    <t>cheque bice</t>
  </si>
  <si>
    <t>cambio de rut</t>
  </si>
  <si>
    <t>Redelcom</t>
  </si>
  <si>
    <t>Efectivo</t>
  </si>
  <si>
    <t>cambio de barriles</t>
  </si>
  <si>
    <t>entrega en enero</t>
  </si>
  <si>
    <t>Evento: Matri Cristian 8 marzo</t>
  </si>
  <si>
    <t>abono 2da parte final</t>
  </si>
  <si>
    <t>beer and beer</t>
  </si>
  <si>
    <t>mal emitida anula NC 74</t>
  </si>
  <si>
    <t>Licoreria Nacional</t>
  </si>
  <si>
    <t>fuente urracas</t>
  </si>
  <si>
    <t>Botilleria la reina</t>
  </si>
  <si>
    <t>Los Villares</t>
  </si>
  <si>
    <t>VENCIDA, ENTREGADA EN FEBRERO</t>
  </si>
  <si>
    <t>Fecha de Pago</t>
  </si>
  <si>
    <t>38/10/24</t>
  </si>
  <si>
    <t>16-0-25</t>
  </si>
  <si>
    <t>Status Pago</t>
  </si>
  <si>
    <t>papa cami</t>
  </si>
  <si>
    <t>Carlos Guzman</t>
  </si>
  <si>
    <t>Venta sumup</t>
  </si>
  <si>
    <t>Negro amigo nico</t>
  </si>
  <si>
    <t>Seba Gleboff</t>
  </si>
  <si>
    <t>Eduardo Veloso</t>
  </si>
  <si>
    <t>camila alvarez</t>
  </si>
  <si>
    <t>boleta</t>
  </si>
  <si>
    <t>ok</t>
  </si>
  <si>
    <t>Camila alvarez</t>
  </si>
  <si>
    <t>Soledad Olguin</t>
  </si>
  <si>
    <t>Sin Boleta</t>
  </si>
  <si>
    <t>Polett Oliva</t>
  </si>
  <si>
    <t>sin boleta</t>
  </si>
  <si>
    <t>Tere koch</t>
  </si>
  <si>
    <t>Gabriel Araneda</t>
  </si>
  <si>
    <t>German Sokorai</t>
  </si>
  <si>
    <t>Felipe Thompson</t>
  </si>
  <si>
    <t>Lukas sanchez</t>
  </si>
  <si>
    <t>Sin boleta</t>
  </si>
  <si>
    <t>Ok</t>
  </si>
  <si>
    <t>Lukas Sanchez</t>
  </si>
  <si>
    <t>Alexis Henriquez</t>
  </si>
  <si>
    <t>Javiera Sanhueza</t>
  </si>
  <si>
    <t>Alvaro Philippi</t>
  </si>
  <si>
    <t>Jaime Ramirez</t>
  </si>
  <si>
    <t>Diego Muñoz</t>
  </si>
  <si>
    <t>Gian Paul Ricapito</t>
  </si>
  <si>
    <t>Boris Sokorai</t>
  </si>
  <si>
    <t>Francisco Figueroa</t>
  </si>
  <si>
    <t>Pablo Mackenna</t>
  </si>
  <si>
    <t>Gianfranco Carniglia</t>
  </si>
  <si>
    <t>Local</t>
  </si>
  <si>
    <t>direccion</t>
  </si>
  <si>
    <t>Botilleria Top Drinks</t>
  </si>
  <si>
    <t>Av. Apoquindo 5871, Las Condes</t>
  </si>
  <si>
    <t>Minimarket Botillería</t>
  </si>
  <si>
    <t>Av. Apoquindo 4554, 7560969 Las Condes</t>
  </si>
  <si>
    <t>Botilleria La Esquina</t>
  </si>
  <si>
    <t>Av. Los Leones 30, Providencia</t>
  </si>
  <si>
    <t>Botilleria Palamar</t>
  </si>
  <si>
    <t>Av. Providencia 2358, Providencia</t>
  </si>
  <si>
    <t>estuvimos con ellos</t>
  </si>
  <si>
    <t>Botilleria El Tata</t>
  </si>
  <si>
    <t>Dr. Luis Middleton 1730, Providencia</t>
  </si>
  <si>
    <t>Botilleria De Barrio</t>
  </si>
  <si>
    <t>Marchant Pereira 535, Providencia</t>
  </si>
  <si>
    <t>Botilleria Piscis</t>
  </si>
  <si>
    <t>Alcalde Rafael Vives 56, Providencia</t>
  </si>
  <si>
    <r>
      <t xml:space="preserve">Botillería Tu </t>
    </r>
    <r>
      <rPr>
        <u/>
        <sz val="11"/>
        <color rgb="FF1155CC"/>
        <rFont val="Calibri"/>
      </rPr>
      <t>Promo.CL</t>
    </r>
  </si>
  <si>
    <t>Gral del Canto 36, Providencia</t>
  </si>
  <si>
    <t>Botilleria El Chaguito</t>
  </si>
  <si>
    <t>Manuel Montt 12, of 501, Región Metropolitana</t>
  </si>
  <si>
    <t>Botilleria Bilbao</t>
  </si>
  <si>
    <t>Francisco Bilbao 936, 7</t>
  </si>
  <si>
    <t>Botillería Entre Dos Rios</t>
  </si>
  <si>
    <t>Diag. Ote. 1990, Providencia</t>
  </si>
  <si>
    <t>Monto Bruto Total</t>
  </si>
  <si>
    <t>Monto Neto Total</t>
  </si>
  <si>
    <t>Ventas netas julio:</t>
  </si>
  <si>
    <t>MAYO</t>
  </si>
  <si>
    <t>JUNIO</t>
  </si>
  <si>
    <t>JULIO</t>
  </si>
  <si>
    <t>KPI</t>
  </si>
  <si>
    <t>Objetivo</t>
  </si>
  <si>
    <t>Meta</t>
  </si>
  <si>
    <t>Concretado</t>
  </si>
  <si>
    <t>Cumplimiento</t>
  </si>
  <si>
    <t>Ventas ON trade</t>
  </si>
  <si>
    <t>Crec. vs MA</t>
  </si>
  <si>
    <t>Pagos</t>
  </si>
  <si>
    <t xml:space="preserve">Al DIA </t>
  </si>
  <si>
    <t>Clientes Nuevos</t>
  </si>
  <si>
    <t>Activaciones / Eventos</t>
  </si>
  <si>
    <t>Stock Dark</t>
  </si>
  <si>
    <t>SIN QUIEBRE</t>
  </si>
  <si>
    <t>Stock Escandinavia</t>
  </si>
  <si>
    <t>Informe Ventas</t>
  </si>
  <si>
    <t>envio semanal</t>
  </si>
  <si>
    <t>Nicolas</t>
  </si>
  <si>
    <t>Ventas WEB</t>
  </si>
  <si>
    <t>Crec. vs AA</t>
  </si>
  <si>
    <t>Ventas B2B</t>
  </si>
  <si>
    <t>Stock</t>
  </si>
  <si>
    <t>Eficiencia Costos</t>
  </si>
  <si>
    <t>Optimizacion</t>
  </si>
  <si>
    <t>Evento</t>
  </si>
  <si>
    <t>Mes</t>
  </si>
  <si>
    <t>Dias</t>
  </si>
  <si>
    <t>Detalle</t>
  </si>
  <si>
    <t>Monto</t>
  </si>
  <si>
    <t>Fee</t>
  </si>
  <si>
    <t>MUT</t>
  </si>
  <si>
    <t>3-4-5</t>
  </si>
  <si>
    <t>Barra 4 salidas</t>
  </si>
  <si>
    <t>OK</t>
  </si>
  <si>
    <t>Cowork</t>
  </si>
  <si>
    <t>Degustaciones</t>
  </si>
  <si>
    <t>Campeonato Padel</t>
  </si>
  <si>
    <t>venta</t>
  </si>
  <si>
    <t>TBC</t>
  </si>
  <si>
    <t>Inauguracion Muro escalada</t>
  </si>
  <si>
    <t>2 barriles + 1 extra</t>
  </si>
  <si>
    <t>Oktoberfest</t>
  </si>
  <si>
    <t>4-5-6</t>
  </si>
  <si>
    <t>Venta</t>
  </si>
  <si>
    <t>Confirmado</t>
  </si>
  <si>
    <t>Lanzamiento Stoked</t>
  </si>
  <si>
    <t>Sept/oct</t>
  </si>
  <si>
    <t>Matrimonio Nicole clarke</t>
  </si>
  <si>
    <t>4 Salidas / Pagado 50%</t>
  </si>
  <si>
    <t>Beer &amp; Friends</t>
  </si>
  <si>
    <t>18-19-20-21</t>
  </si>
  <si>
    <t>Venta fichas</t>
  </si>
  <si>
    <t>CANCELADO</t>
  </si>
  <si>
    <t xml:space="preserve">Polo </t>
  </si>
  <si>
    <t>barra 2 salidas</t>
  </si>
  <si>
    <t>15, 16 y 17</t>
  </si>
  <si>
    <t xml:space="preserve">Stand Venta </t>
  </si>
  <si>
    <t>Bar</t>
  </si>
  <si>
    <t>POP</t>
  </si>
  <si>
    <t>Enfriador</t>
  </si>
  <si>
    <t>Bike bar</t>
  </si>
  <si>
    <t>Schop Instalado</t>
  </si>
  <si>
    <t>X</t>
  </si>
  <si>
    <t>Griferia</t>
  </si>
  <si>
    <t>Confirmar pedido latas (36) / Julio Schop</t>
  </si>
  <si>
    <t>Galpon Italia</t>
  </si>
  <si>
    <t>Insistir confirmar pedido x 2</t>
  </si>
  <si>
    <t>On Tap</t>
  </si>
  <si>
    <t>Royal</t>
  </si>
  <si>
    <t>En espera respuesta</t>
  </si>
  <si>
    <t>Coordinar envio para 17 junio: 2 SW 1+ TC</t>
  </si>
  <si>
    <t>Enviar tap</t>
  </si>
  <si>
    <t>Vaiven Linares</t>
  </si>
  <si>
    <t>Muestras enviadas</t>
  </si>
  <si>
    <t>Nico Lizarraga</t>
  </si>
  <si>
    <t>Enviar propuesta paddel + Bar</t>
  </si>
  <si>
    <t>Retomar con Naty en Octubre</t>
  </si>
  <si>
    <t>Maestranza</t>
  </si>
  <si>
    <t xml:space="preserve">Confirmar Evento + inclusion </t>
  </si>
  <si>
    <t>Sara Gago</t>
  </si>
  <si>
    <t>Muestras enviadas / empujar lata</t>
  </si>
  <si>
    <t>Da Radda</t>
  </si>
  <si>
    <t>Propuesta de activacion</t>
  </si>
  <si>
    <t>Contactar</t>
  </si>
  <si>
    <t>Jazz Corner</t>
  </si>
  <si>
    <t>Confirmar  Activacion</t>
  </si>
  <si>
    <t>Hotel W</t>
  </si>
  <si>
    <t>Potenciar</t>
  </si>
  <si>
    <t>GESTION SEMANA 15 a 20 DE JULIO 24</t>
  </si>
  <si>
    <t>CLIENTE</t>
  </si>
  <si>
    <t>SECTOR</t>
  </si>
  <si>
    <t>COMUNA</t>
  </si>
  <si>
    <t>ESTADO</t>
  </si>
  <si>
    <t>GESTION</t>
  </si>
  <si>
    <t>St Patricks Days</t>
  </si>
  <si>
    <t>Barrio Brasil</t>
  </si>
  <si>
    <t>Santiago</t>
  </si>
  <si>
    <t>Facturado</t>
  </si>
  <si>
    <t>Confirmar capácitacion</t>
  </si>
  <si>
    <t>Jet set Burger</t>
  </si>
  <si>
    <t>Barrio Italia</t>
  </si>
  <si>
    <t>Providencia</t>
  </si>
  <si>
    <t>Descartado</t>
  </si>
  <si>
    <t>Cliente con baja venta no va incluir producto nvo</t>
  </si>
  <si>
    <t>Alemamn experto</t>
  </si>
  <si>
    <t>Vitacura</t>
  </si>
  <si>
    <t>Stand By</t>
  </si>
  <si>
    <t>Volver a contactar</t>
  </si>
  <si>
    <t>Pipiolo Sandwish bar</t>
  </si>
  <si>
    <t>Barrio orregoluco</t>
  </si>
  <si>
    <t>Producto presentado</t>
  </si>
  <si>
    <t>Cliente probo producto,confirmar compra esta semana</t>
  </si>
  <si>
    <t>La Cocteleria</t>
  </si>
  <si>
    <t>Barrio andres bello</t>
  </si>
  <si>
    <t>ConfirmaR REUNION</t>
  </si>
  <si>
    <t>Bar La Sociedad</t>
  </si>
  <si>
    <t>Confirmar reunion esta semana</t>
  </si>
  <si>
    <t>Bar el Destape</t>
  </si>
  <si>
    <t>Barrio m montt</t>
  </si>
  <si>
    <t>volver a visitar y contactar</t>
  </si>
  <si>
    <t>Stilo bar</t>
  </si>
  <si>
    <t>Kamazu lounge</t>
  </si>
  <si>
    <t>Cliente ya genero compra ,falta capacitacion y actividad marca</t>
  </si>
  <si>
    <t>Romasanta</t>
  </si>
  <si>
    <t>Huerfanos</t>
  </si>
  <si>
    <t>Stgo Centro</t>
  </si>
  <si>
    <t>No contactado</t>
  </si>
  <si>
    <t>volver a visitar</t>
  </si>
  <si>
    <t>Insert Coin</t>
  </si>
  <si>
    <t>Barrio Almeyda</t>
  </si>
  <si>
    <t>Ñuñoa</t>
  </si>
  <si>
    <t>volver a agendar</t>
  </si>
  <si>
    <t>Patio Almeyda</t>
  </si>
  <si>
    <t>cliente no le gusto producto,y precio</t>
  </si>
  <si>
    <t>Andrea Mellado boti</t>
  </si>
  <si>
    <t>Recoleta</t>
  </si>
  <si>
    <t>no dio respuesta</t>
  </si>
  <si>
    <t>Tokio sushi</t>
  </si>
  <si>
    <t>Barrio Bulnes</t>
  </si>
  <si>
    <t>cliente me confirmara pedido esta semana</t>
  </si>
  <si>
    <t>Comedy Bar</t>
  </si>
  <si>
    <t>Barrio italia</t>
  </si>
  <si>
    <t>Cliente por ahora no incluira producto esta tratando de armar sucursal de bilbao, en 2 meses retomar conversacion</t>
  </si>
  <si>
    <t>Boti Jano zamora e hijos</t>
  </si>
  <si>
    <t>No dio respuesta</t>
  </si>
  <si>
    <t>Gran Refugio 1</t>
  </si>
  <si>
    <t>Visitar esta semana,abrio nvo local en pza egaña</t>
  </si>
  <si>
    <t>Gran Refugio 2</t>
  </si>
  <si>
    <t>Visitar esta semana</t>
  </si>
  <si>
    <t>Boti ex marta</t>
  </si>
  <si>
    <t>Cliente ya compra Cerveza, cliente ex Tamar</t>
  </si>
  <si>
    <t>La Burguesia</t>
  </si>
  <si>
    <t>Barrio Sta Magdalena</t>
  </si>
  <si>
    <t>Cliente de duelo fallecio su padre</t>
  </si>
  <si>
    <t>Club Chocolate</t>
  </si>
  <si>
    <t>Barrio Ballavista</t>
  </si>
  <si>
    <t>MG drinks botillerias</t>
  </si>
  <si>
    <t>Barrio Portugal</t>
  </si>
  <si>
    <t>Volver a visitar</t>
  </si>
  <si>
    <t>Okino sushi</t>
  </si>
  <si>
    <t>confirmar compra esta semana</t>
  </si>
  <si>
    <t>Botilleria Manquehue</t>
  </si>
  <si>
    <t>Manquehue</t>
  </si>
  <si>
    <t>Las Condes</t>
  </si>
  <si>
    <t>Botilleria El Africano</t>
  </si>
  <si>
    <t>Jose Joaquin prieto</t>
  </si>
  <si>
    <t>San Miguel</t>
  </si>
  <si>
    <t>Interesado</t>
  </si>
  <si>
    <t>visitar para resúesta</t>
  </si>
  <si>
    <t>Botilleria La Koka</t>
  </si>
  <si>
    <t>Juan antonio rios 9570</t>
  </si>
  <si>
    <t>San Ramon</t>
  </si>
  <si>
    <t>Visite cliente, quedamos en confirmar reunion esta semana</t>
  </si>
  <si>
    <t>Una Botilleria Mas</t>
  </si>
  <si>
    <t>Moneda</t>
  </si>
  <si>
    <t>Contactar para sacar pedido</t>
  </si>
  <si>
    <t>Hiperlicor</t>
  </si>
  <si>
    <t>Barrio Matta</t>
  </si>
  <si>
    <t>Volver a visitar para respuesta</t>
  </si>
  <si>
    <t>Botilleria Sedbita</t>
  </si>
  <si>
    <t>Reunion volver a confirmar</t>
  </si>
  <si>
    <t>Por el tercer tiempo</t>
  </si>
  <si>
    <t>Sierra bella</t>
  </si>
  <si>
    <t>Se realizo presentacion, visitar</t>
  </si>
  <si>
    <t>Roatan bar</t>
  </si>
  <si>
    <t>Cliente suspende reuniuon,confirmar</t>
  </si>
  <si>
    <t>Cliente genero compra revisar fecha de pago tiene 30 dias</t>
  </si>
  <si>
    <t>Cervezas del Mundo</t>
  </si>
  <si>
    <t>Barrio las industrias</t>
  </si>
  <si>
    <t>LaCisterna</t>
  </si>
  <si>
    <t>Botilleria La genovesa</t>
  </si>
  <si>
    <t>Seminario</t>
  </si>
  <si>
    <t>Cliente genero compra de promocion</t>
  </si>
  <si>
    <t>Botilleria Nva Modelo</t>
  </si>
  <si>
    <t>lv centenario</t>
  </si>
  <si>
    <t>Botilleria Don Fritz</t>
  </si>
  <si>
    <t>Copete Express</t>
  </si>
  <si>
    <t>ava las condes</t>
  </si>
  <si>
    <t>Reuniuon dia viernes</t>
  </si>
  <si>
    <t>Drinkit Liquor Store</t>
  </si>
  <si>
    <t>Luis Pasteur</t>
  </si>
  <si>
    <t>Top Drinks</t>
  </si>
  <si>
    <t>Irarrazaval</t>
  </si>
  <si>
    <t>Reunion primera semana agosto</t>
  </si>
  <si>
    <t>Supermercado 10</t>
  </si>
  <si>
    <t>La Dehesa</t>
  </si>
  <si>
    <t>Lo Barnechea</t>
  </si>
  <si>
    <t>Volver a contactar para confirmar reunion</t>
  </si>
  <si>
    <t>Julio Espinoza Boti</t>
  </si>
  <si>
    <t>Barrio Bellavista</t>
  </si>
  <si>
    <t>no le interesa ,baja venta en su local,no incluira nvo producto</t>
  </si>
  <si>
    <t>Claudio Abarca Botilleria</t>
  </si>
  <si>
    <t>Portugal</t>
  </si>
  <si>
    <t>Samntiago</t>
  </si>
  <si>
    <t>Reuniuon dia martes</t>
  </si>
  <si>
    <t>Julio Rosel</t>
  </si>
  <si>
    <t>Blas Barrientos Boti</t>
  </si>
  <si>
    <t>Reunion dia viernes</t>
  </si>
  <si>
    <t>Bombo Burguer</t>
  </si>
  <si>
    <t>Good Luck Pizza Drink</t>
  </si>
  <si>
    <t>Lira</t>
  </si>
  <si>
    <t>La Ofelia Restaurant bar</t>
  </si>
  <si>
    <t>Confirmar reunion</t>
  </si>
  <si>
    <t>Survenir Bar</t>
  </si>
  <si>
    <t>Visitamos con Tomas cliente,se genera instancia de ectividad con schop para fin de mes</t>
  </si>
  <si>
    <t>Isla Marin</t>
  </si>
  <si>
    <t>Play Bar</t>
  </si>
  <si>
    <t>Irarazaval</t>
  </si>
  <si>
    <t>Volver a contactar para reunion</t>
  </si>
  <si>
    <t>Don Juan Sangucheria</t>
  </si>
  <si>
    <t>Zona Latina</t>
  </si>
  <si>
    <t>volver a contactar</t>
  </si>
  <si>
    <t>Club Ambar</t>
  </si>
  <si>
    <t>Agendar reunion esta semana</t>
  </si>
  <si>
    <t>Don 70</t>
  </si>
  <si>
    <t>Espacio Carrascal</t>
  </si>
  <si>
    <t>Carrascal</t>
  </si>
  <si>
    <t>Quinta Normal</t>
  </si>
  <si>
    <t>Luisana</t>
  </si>
  <si>
    <t>Cliente ya probo producto,sacar pedido esta semana</t>
  </si>
  <si>
    <t>Moscowa Bar</t>
  </si>
  <si>
    <t>Tuvimols reunion con tomas , en donde pondremos enfriador, cliente pone la torre,inugura primera semana de agosto</t>
  </si>
  <si>
    <t>El Gusto Peruano</t>
  </si>
  <si>
    <t>Volver a agendar rteunion</t>
  </si>
  <si>
    <t>Rapid Boti</t>
  </si>
  <si>
    <t>Cliente ya probo producto,visitar para sacar pedido</t>
  </si>
  <si>
    <t>Boti La exotica</t>
  </si>
  <si>
    <t>Cliente ya con precios confirmar compra</t>
  </si>
  <si>
    <t>Boti California</t>
  </si>
  <si>
    <t>volver a visitar para respúesta de inclusion</t>
  </si>
  <si>
    <t>Boti Don Yoryio</t>
  </si>
  <si>
    <t>Cliente no le intresa precio,botilleria mas tardicional</t>
  </si>
  <si>
    <t>Boti Verde Claro</t>
  </si>
  <si>
    <t>Boti Sierra Bella</t>
  </si>
  <si>
    <t>reunion dia miercoles</t>
  </si>
  <si>
    <t>Boti Licorama</t>
  </si>
  <si>
    <t>respuesta esta semana</t>
  </si>
  <si>
    <t>Boti Punto de encuentro</t>
  </si>
  <si>
    <t>Boti Jorge Bichara</t>
  </si>
  <si>
    <t>Cliente suspendio reunion,volver a contactar</t>
  </si>
  <si>
    <t>Viva La Vida</t>
  </si>
  <si>
    <t>Cliente probo producto,volver a visitar para sacar pedido</t>
  </si>
  <si>
    <t>Cantina California</t>
  </si>
  <si>
    <t>Las Urbinas</t>
  </si>
  <si>
    <t>visitar por respuesta</t>
  </si>
  <si>
    <t>Liquidos 63 locales</t>
  </si>
  <si>
    <t>Holanda</t>
  </si>
  <si>
    <t>Cliente solicita informacion de la marca para generar proceso de inclusion en cadena de botillerias,tuve reunion con Benjamin Leiva y Juan Carlos Noguera,encargados de la categoria.</t>
  </si>
  <si>
    <t>La Cerveceria</t>
  </si>
  <si>
    <t>Santa magdalena</t>
  </si>
  <si>
    <t>Volver a visitar cliente para realizar reunion,cliente son dueños de bar La virgen, y otros</t>
  </si>
  <si>
    <t>On Tape Bar</t>
  </si>
  <si>
    <t>Holley</t>
  </si>
  <si>
    <t>Holler Bar</t>
  </si>
  <si>
    <t>Cliente realizo compra le gusto producto, pendiente capacitacion y activacion de marca</t>
  </si>
  <si>
    <t>Bar y Vuelvo</t>
  </si>
  <si>
    <t>Coordinar presentacion para esta semana</t>
  </si>
  <si>
    <t>Honesto Mike</t>
  </si>
  <si>
    <t>Los leones</t>
  </si>
  <si>
    <t>Tromba Pomodoro</t>
  </si>
  <si>
    <t>Miguel Claro</t>
  </si>
  <si>
    <t>Volver a genera reunion</t>
  </si>
  <si>
    <t>Patio Santa Isabel</t>
  </si>
  <si>
    <t>Santa Isabel</t>
  </si>
  <si>
    <t>Volver a agendar</t>
  </si>
  <si>
    <t>Infiltrados</t>
  </si>
  <si>
    <t>Reu nion suspendida</t>
  </si>
  <si>
    <t>Botilleria la esquina</t>
  </si>
  <si>
    <t>los leones</t>
  </si>
  <si>
    <t>Confirmar presentacion para jueves</t>
  </si>
  <si>
    <t>Ootyoya bar</t>
  </si>
  <si>
    <t>Reunion dia jueves</t>
  </si>
  <si>
    <t>Dgang restobar</t>
  </si>
  <si>
    <t>Tobalaba</t>
  </si>
  <si>
    <t>Contactar para reunion esta semana</t>
  </si>
  <si>
    <t>Club Manquehue</t>
  </si>
  <si>
    <t>Confirmar reunion con Ricardo Sasmany esta semana</t>
  </si>
  <si>
    <t>Distrito 04</t>
  </si>
  <si>
    <t>visitar por res´puesta</t>
  </si>
  <si>
    <t>Licoreria Tag</t>
  </si>
  <si>
    <t>Cliente genero compra de promocion,revisar pago</t>
  </si>
  <si>
    <t>Tropera bar</t>
  </si>
  <si>
    <t>Volver a contactar para- generar presentacion</t>
  </si>
  <si>
    <t>Social Restaurant</t>
  </si>
  <si>
    <t>Confirmar presentacion</t>
  </si>
  <si>
    <t>Black Kitchen</t>
  </si>
  <si>
    <t>Lasa Condes</t>
  </si>
  <si>
    <t>contactar</t>
  </si>
  <si>
    <t>La Santoria</t>
  </si>
  <si>
    <t>Barrio M montt</t>
  </si>
  <si>
    <t>se corrio reunion para esta semana</t>
  </si>
  <si>
    <t>Kyoko</t>
  </si>
  <si>
    <t>Volver a visitar para presentar producto</t>
  </si>
  <si>
    <t>Relativo Bruguer</t>
  </si>
  <si>
    <t>Principe de gales</t>
  </si>
  <si>
    <t>Lareina</t>
  </si>
  <si>
    <t>Reunion dia jueves,3 loc</t>
  </si>
  <si>
    <t>Sushi Ryge</t>
  </si>
  <si>
    <t>Lobeltran</t>
  </si>
  <si>
    <t>5 locales, reunion dia martes 23</t>
  </si>
  <si>
    <t>Jardin Malinkroft</t>
  </si>
  <si>
    <t>Los cobres</t>
  </si>
  <si>
    <t>Confirmar reunion dia miercoles</t>
  </si>
  <si>
    <t>Romaria Restaurant</t>
  </si>
  <si>
    <t>Zeratti bar</t>
  </si>
  <si>
    <t>Orregoluco</t>
  </si>
  <si>
    <t>Presentacion dia jueves</t>
  </si>
  <si>
    <t>Vitamin Bar</t>
  </si>
  <si>
    <t>Confirmar compra esta semana</t>
  </si>
  <si>
    <t>Club Subterraneo</t>
  </si>
  <si>
    <t>Bertazzo Restaurant</t>
  </si>
  <si>
    <t>volver a contactar para realizar presentacion</t>
  </si>
  <si>
    <t>Mi bar</t>
  </si>
  <si>
    <t>Presentacion dia miercoles</t>
  </si>
  <si>
    <t>Kantu</t>
  </si>
  <si>
    <t>Cantobar</t>
  </si>
  <si>
    <t>Confirmar reunion el martes</t>
  </si>
  <si>
    <t>Mitxuko sushi</t>
  </si>
  <si>
    <t>Confirmarv reunion</t>
  </si>
  <si>
    <t>Fairplay</t>
  </si>
  <si>
    <t>Santa Cevada</t>
  </si>
  <si>
    <t>Presentacion cerveza dia martes</t>
  </si>
  <si>
    <t>Irarrazabar</t>
  </si>
  <si>
    <t>Barrio ñuñoa</t>
  </si>
  <si>
    <t>Avatar sushi</t>
  </si>
  <si>
    <t>Bar local</t>
  </si>
  <si>
    <t>Boti todo el rato</t>
  </si>
  <si>
    <t>Da cesar Paolo restaurant</t>
  </si>
  <si>
    <t>Chiledrinks</t>
  </si>
  <si>
    <t>Cliente con 2 latas de stock en local irarrazaval</t>
  </si>
  <si>
    <t>El encuentro Restobar</t>
  </si>
  <si>
    <t>reunion dia viernes</t>
  </si>
  <si>
    <t>Restobar el muro</t>
  </si>
  <si>
    <t>Dany Paty boti</t>
  </si>
  <si>
    <t>Agua santa bar</t>
  </si>
  <si>
    <t>Rago Restobar</t>
  </si>
  <si>
    <t>Volver a contactar y coordinar reunion</t>
  </si>
  <si>
    <t>El volantin bar</t>
  </si>
  <si>
    <t>confirmar nva reunion</t>
  </si>
  <si>
    <t>Robata Gaku sushi</t>
  </si>
  <si>
    <t>Koari sushi</t>
  </si>
  <si>
    <t>Bambu sushi</t>
  </si>
  <si>
    <t>Kleine knepe</t>
  </si>
  <si>
    <t>Sajji restaurant</t>
  </si>
  <si>
    <t>Contactar por respuesta,cliente probo producto</t>
  </si>
  <si>
    <t>Barbudo bar</t>
  </si>
  <si>
    <t>Mister Fish</t>
  </si>
  <si>
    <t>Volver a contactar para presentacion</t>
  </si>
  <si>
    <t>lista antigua</t>
  </si>
  <si>
    <t>B2B 2025</t>
  </si>
  <si>
    <t>FORMATO</t>
  </si>
  <si>
    <t>PRODUCTO</t>
  </si>
  <si>
    <t>NETO</t>
  </si>
  <si>
    <t>BRUTO</t>
  </si>
  <si>
    <t>DESPACHO Y LOGISITCA</t>
  </si>
  <si>
    <t>TOTAL A PAGAR POR CLIENTE</t>
  </si>
  <si>
    <t>MARGEN</t>
  </si>
  <si>
    <t>TOTAL NETO</t>
  </si>
  <si>
    <t>TOTAL BRUTO</t>
  </si>
  <si>
    <t>UNITARIO BRUTO</t>
  </si>
  <si>
    <t>CAJA 12X LATA</t>
  </si>
  <si>
    <t>Sunny Waves</t>
  </si>
  <si>
    <t xml:space="preserve">Day Off </t>
  </si>
  <si>
    <t>Wild Pines</t>
  </si>
  <si>
    <t>Tropical Chill</t>
  </si>
  <si>
    <t>Red Passion</t>
  </si>
  <si>
    <t>Cosmic Walk</t>
  </si>
  <si>
    <t>Be Hoppy</t>
  </si>
  <si>
    <t>BARRIL 30L</t>
  </si>
  <si>
    <t>SUNNY WAVES</t>
  </si>
  <si>
    <t>LATAS X12</t>
  </si>
  <si>
    <t>TROPICAL CHILL</t>
  </si>
  <si>
    <t xml:space="preserve">DAY OFF </t>
  </si>
  <si>
    <t>WILD PINES</t>
  </si>
  <si>
    <t>RED PASSION</t>
  </si>
  <si>
    <t>COSMIC WALK</t>
  </si>
  <si>
    <t>BE HOPPY</t>
  </si>
  <si>
    <t>NO WORRIES</t>
  </si>
  <si>
    <t>2025 b2b</t>
  </si>
  <si>
    <t>precios brutos nuevos 2024</t>
  </si>
  <si>
    <t>PAGINA WEB</t>
  </si>
  <si>
    <t>PRECIO ACTUAL PROPUESTO</t>
  </si>
  <si>
    <t>DESPACHO</t>
  </si>
  <si>
    <t>A PAGAR</t>
  </si>
  <si>
    <t>IVA (despacho y neto)</t>
  </si>
  <si>
    <t>ILA (neto)</t>
  </si>
  <si>
    <t>total bruto unitario</t>
  </si>
  <si>
    <t>alza 5%</t>
  </si>
  <si>
    <t>NETO + DESPACHO</t>
  </si>
  <si>
    <t>UNITARIO BRUTO NUEVO</t>
  </si>
  <si>
    <t>UNITARIO BRUTO ANTIGUO</t>
  </si>
  <si>
    <t>12 pack</t>
  </si>
  <si>
    <t>PARA CASOS DE BOLETA</t>
  </si>
  <si>
    <t>BRUTO UNITARIO</t>
  </si>
  <si>
    <t>ANALISIS DISTRIBUIDOR</t>
  </si>
  <si>
    <t>12 pack bruto</t>
  </si>
  <si>
    <t>PRECIO B2B NETO</t>
  </si>
  <si>
    <t>PRECIO DISTRIBUIDOR NETO</t>
  </si>
  <si>
    <t>DESCUENTO</t>
  </si>
  <si>
    <t>COSTO NETO</t>
  </si>
  <si>
    <t>MARGEN X LATA</t>
  </si>
  <si>
    <t>MARGEN 15%</t>
  </si>
  <si>
    <t>despacho</t>
  </si>
  <si>
    <r>
      <rPr>
        <b/>
        <sz val="11"/>
        <color rgb="FFFFFFFF"/>
        <rFont val="Calibri"/>
      </rPr>
      <t xml:space="preserve">DARKSTORE / </t>
    </r>
    <r>
      <rPr>
        <b/>
        <u/>
        <sz val="11"/>
        <color rgb="FF1155CC"/>
        <rFont val="Calibri"/>
      </rPr>
      <t>SOKOS.CL</t>
    </r>
  </si>
  <si>
    <t>ENVIO</t>
  </si>
  <si>
    <t>Liquido</t>
  </si>
  <si>
    <t>Caja</t>
  </si>
  <si>
    <t>Lata</t>
  </si>
  <si>
    <t>Etiqueta</t>
  </si>
  <si>
    <t>Total</t>
  </si>
  <si>
    <t>COSTO</t>
  </si>
  <si>
    <t>PVP FINAL</t>
  </si>
  <si>
    <t>EXPRESS</t>
  </si>
  <si>
    <t>SAME DAY</t>
  </si>
  <si>
    <t>REGION</t>
  </si>
  <si>
    <t>ANALISIS DISTRIBUIDOR ARICA</t>
  </si>
  <si>
    <t xml:space="preserve">Costos/Precios </t>
  </si>
  <si>
    <t>10%merma</t>
  </si>
  <si>
    <t>10% app más alto que precio anterior</t>
  </si>
  <si>
    <t>Barriles (30L)</t>
  </si>
  <si>
    <t>Contenido neto</t>
  </si>
  <si>
    <t>Despacho</t>
  </si>
  <si>
    <t>IVA 19%</t>
  </si>
  <si>
    <t>ILA 20,5%</t>
  </si>
  <si>
    <t>Valor Neto ( sin despacho )</t>
  </si>
  <si>
    <t>Valor Neto (con despacho)</t>
  </si>
  <si>
    <t>ValorAPagarXCliente</t>
  </si>
  <si>
    <t xml:space="preserve">Margen </t>
  </si>
  <si>
    <t>Day Off</t>
  </si>
  <si>
    <t>**son como 145 pesos que paga extra cada schop el cliente</t>
  </si>
  <si>
    <t>ECOM</t>
  </si>
  <si>
    <t>No se paga IVA ni ILA</t>
  </si>
  <si>
    <t>4pack</t>
  </si>
  <si>
    <t>PVP final</t>
  </si>
  <si>
    <t xml:space="preserve">Latas (473cc) </t>
  </si>
  <si>
    <t>Packaging x4</t>
  </si>
  <si>
    <t>Contenido</t>
  </si>
  <si>
    <t>Costo Total x4</t>
  </si>
  <si>
    <t>% Margen</t>
  </si>
  <si>
    <t>Valor Margen</t>
  </si>
  <si>
    <t>ValorBruto4PACK</t>
  </si>
  <si>
    <t xml:space="preserve">PVP NUEVO sugerido </t>
  </si>
  <si>
    <t>PVP UNITARIO</t>
  </si>
  <si>
    <t>AUMENTO %</t>
  </si>
  <si>
    <t>SOKO'S MIX</t>
  </si>
  <si>
    <t>12pack</t>
  </si>
  <si>
    <t>Packaging x12</t>
  </si>
  <si>
    <t>Costo Total x12 BRUTO</t>
  </si>
  <si>
    <t>V. Venta / 12PACK</t>
  </si>
  <si>
    <t>packaging</t>
  </si>
  <si>
    <t>etiqueta</t>
  </si>
  <si>
    <t>lata</t>
  </si>
  <si>
    <t>contenido promedio</t>
  </si>
  <si>
    <t>fermentadores</t>
  </si>
  <si>
    <t>capacidad ferm</t>
  </si>
  <si>
    <t>capacidad max mensual</t>
  </si>
  <si>
    <t>**precios y costos netos</t>
  </si>
  <si>
    <t>Caso mes promedio 2023</t>
  </si>
  <si>
    <t>LATAS</t>
  </si>
  <si>
    <t>cantidad latas máximo</t>
  </si>
  <si>
    <t>BARRILES</t>
  </si>
  <si>
    <t>cantidad barriles máximo</t>
  </si>
  <si>
    <t>VENTAS ONLINE</t>
  </si>
  <si>
    <t>litros máximos mensuales</t>
  </si>
  <si>
    <t>promedio produccion</t>
  </si>
  <si>
    <t>INGRESO POR VENTA NETA</t>
  </si>
  <si>
    <t>despacho caja latas</t>
  </si>
  <si>
    <t>COSTO POR VENTA</t>
  </si>
  <si>
    <t>despacho barril</t>
  </si>
  <si>
    <t>GASTOS</t>
  </si>
  <si>
    <t>edarkstore</t>
  </si>
  <si>
    <t>IVA VENTA</t>
  </si>
  <si>
    <t>% variable shopify/mp</t>
  </si>
  <si>
    <t>ILA VENTA</t>
  </si>
  <si>
    <t>no incluye despacho gratis sobre 40.000</t>
  </si>
  <si>
    <t>Promedio descuento página web</t>
  </si>
  <si>
    <t>precio promedio barril</t>
  </si>
  <si>
    <t>precio promedio lata B2B</t>
  </si>
  <si>
    <t>precio promedio lata B2C</t>
  </si>
  <si>
    <t>Publicidad IG/FB mensual</t>
  </si>
  <si>
    <t>Despachos página promedio mensual</t>
  </si>
  <si>
    <t>Luz mensual</t>
  </si>
  <si>
    <t>Sueldo Maestro cervecero</t>
  </si>
  <si>
    <t>$1.2 M aprox a revisar</t>
  </si>
  <si>
    <t>pagar</t>
  </si>
  <si>
    <t>nico</t>
  </si>
  <si>
    <t>Sueldo Maestro Cervecero mensual</t>
  </si>
  <si>
    <t>Mejora Pagina Web</t>
  </si>
  <si>
    <t>$230 USD x mejora 1 Vez</t>
  </si>
  <si>
    <t>Avanzar</t>
  </si>
  <si>
    <t>Sueldo enlatador</t>
  </si>
  <si>
    <t>Impresora</t>
  </si>
  <si>
    <t>donde está?</t>
  </si>
  <si>
    <t>pagada</t>
  </si>
  <si>
    <t>Viajes mensual</t>
  </si>
  <si>
    <t>Barra Movil Eventos</t>
  </si>
  <si>
    <t>utilizarla en bar/activaciones</t>
  </si>
  <si>
    <t>Costo promedio latas</t>
  </si>
  <si>
    <t>Nuevo Estilo</t>
  </si>
  <si>
    <t>Lanzamiento Pomelo/Trigo</t>
  </si>
  <si>
    <t>Costo promedio barril</t>
  </si>
  <si>
    <t>Ilustracion</t>
  </si>
  <si>
    <t>Costo fijo página web</t>
  </si>
  <si>
    <t>Nombre</t>
  </si>
  <si>
    <t>Proponer</t>
  </si>
  <si>
    <t>Todos</t>
  </si>
  <si>
    <t>Calculo Planta Max</t>
  </si>
  <si>
    <t>utilizar para metas</t>
  </si>
  <si>
    <t>enviada</t>
  </si>
  <si>
    <t>EERR</t>
  </si>
  <si>
    <t>revision cierre mes + semanal</t>
  </si>
  <si>
    <t>todos los lunes</t>
  </si>
  <si>
    <t>Venta Enfriador + C02</t>
  </si>
  <si>
    <t>Bajar Precio</t>
  </si>
  <si>
    <t>Capital Semilla</t>
  </si>
  <si>
    <t>llenar documentos</t>
  </si>
  <si>
    <t>Cooler Muestras</t>
  </si>
  <si>
    <t>Brandear</t>
  </si>
  <si>
    <t>Listo y pagado</t>
  </si>
  <si>
    <t>Metas Ventas Mensual</t>
  </si>
  <si>
    <t>Nico manda ultimo Excel</t>
  </si>
  <si>
    <t>Definir metas</t>
  </si>
  <si>
    <t>Nuevos Clientes</t>
  </si>
  <si>
    <t>Enviar Listado Clientes CCU Botillerias</t>
  </si>
  <si>
    <t>Enfriador (2)</t>
  </si>
  <si>
    <t>Asignar Clientes (2)</t>
  </si>
  <si>
    <t>Cobro Das Bier</t>
  </si>
  <si>
    <t>Agotar Ultima Instacia con abogado</t>
  </si>
  <si>
    <t>status</t>
  </si>
  <si>
    <t>Ingreso PAC</t>
  </si>
  <si>
    <t>Tag Nuevo</t>
  </si>
  <si>
    <t>Envio Pendientes</t>
  </si>
  <si>
    <t>cada lunes junto con avance ventas</t>
  </si>
  <si>
    <t>Calculo break-even mensual</t>
  </si>
  <si>
    <t>Para calculo meta</t>
  </si>
  <si>
    <t>Calcular</t>
  </si>
  <si>
    <t>Concurso aniversario</t>
  </si>
  <si>
    <t>1 año SOKO'S</t>
  </si>
  <si>
    <t>BUSCAR PARTNER</t>
  </si>
  <si>
    <t>Tomas</t>
  </si>
  <si>
    <t>Orden Bodega</t>
  </si>
  <si>
    <t>Dejar estantes por estilo</t>
  </si>
  <si>
    <t>Propuesta sueldo Nico</t>
  </si>
  <si>
    <t>Hacer propuesta con fijo y variable</t>
  </si>
  <si>
    <t>Premios cerveza</t>
  </si>
  <si>
    <t>Beer world Awards</t>
  </si>
  <si>
    <t>Retomar activaciones sokos</t>
  </si>
  <si>
    <t>soko's sessions</t>
  </si>
  <si>
    <t>Volver Mailing</t>
  </si>
  <si>
    <t>Contratar plan mensual</t>
  </si>
  <si>
    <t>V.Packaging</t>
  </si>
  <si>
    <t>lata+etiqueta+packaging</t>
  </si>
  <si>
    <t>Fuente Belga</t>
  </si>
  <si>
    <t>Nombre Producto</t>
  </si>
  <si>
    <t>V.Prod / 375ml (sin IVA)</t>
  </si>
  <si>
    <t>V.Packaging Botellas</t>
  </si>
  <si>
    <t>V.Total / Botella (sin IVA)</t>
  </si>
  <si>
    <t>V. Venta / Botella</t>
  </si>
  <si>
    <t>ValorBrutoBotella</t>
  </si>
  <si>
    <t>C.Botellas</t>
  </si>
  <si>
    <t>V. Neto Caja12x</t>
  </si>
  <si>
    <t>V. Bruto Caja12x</t>
  </si>
  <si>
    <t>PVP Botella sugerido</t>
  </si>
  <si>
    <t>La Porteña (botellas)</t>
  </si>
  <si>
    <t>Evento Abuelo (96 unidades)</t>
  </si>
  <si>
    <t>Evento Abuelo (144 unidades)</t>
  </si>
  <si>
    <t>V.Prod / 473ml (sin IVA)</t>
  </si>
  <si>
    <t>V.Packaging Latas</t>
  </si>
  <si>
    <t>V.Total / Latas (sin IVA)</t>
  </si>
  <si>
    <t>V. Venta / Latas</t>
  </si>
  <si>
    <t>ValorBrutoLatas</t>
  </si>
  <si>
    <t>C.Latas</t>
  </si>
  <si>
    <t>Pícara</t>
  </si>
  <si>
    <t>La Barra Talagante</t>
  </si>
  <si>
    <t>La Porteña (latas)</t>
  </si>
  <si>
    <t>Empresa</t>
  </si>
  <si>
    <t>lugar de despachos</t>
  </si>
  <si>
    <t>contacto</t>
  </si>
  <si>
    <t>CACEEM EXPRESS</t>
  </si>
  <si>
    <t>Sur</t>
  </si>
  <si>
    <t>TALADRIZ</t>
  </si>
  <si>
    <t>LOS ANGELES, TEMUCO, VALDIVIA</t>
  </si>
  <si>
    <t xml:space="preserve">OSCAR TAPIA </t>
  </si>
  <si>
    <t>5ta region</t>
  </si>
  <si>
    <t>Transportes Villaroel</t>
  </si>
  <si>
    <t>Puerto Natales</t>
  </si>
  <si>
    <t>Transportes Monsalve</t>
  </si>
  <si>
    <t>Norte (Arica)</t>
  </si>
  <si>
    <t>Transportes Zona Sur</t>
  </si>
  <si>
    <t>Puerto Montt, Puerto Aysen, Coyahique,</t>
  </si>
  <si>
    <t>Paket Cargo</t>
  </si>
  <si>
    <t>San Felipe, Los Andes, Valparaiso, Quillota, Viña</t>
  </si>
  <si>
    <t>CHEVALIER</t>
  </si>
  <si>
    <t>Curicó, Talca, Linares, Chillan, San Carlos, Yungay, Concepción, Temuco</t>
  </si>
  <si>
    <t>Transcargo</t>
  </si>
  <si>
    <t>Punta Arenas, Natales y pto williams</t>
  </si>
  <si>
    <t>Varmontt</t>
  </si>
  <si>
    <t xml:space="preserve">Norte </t>
  </si>
  <si>
    <t>cliente</t>
  </si>
  <si>
    <t>lugar</t>
  </si>
  <si>
    <t>formato</t>
  </si>
  <si>
    <t>gestión</t>
  </si>
  <si>
    <t>La Casa del Abuelo Rio Bueno</t>
  </si>
  <si>
    <t>fisico</t>
  </si>
  <si>
    <t>Botilleria La Veci</t>
  </si>
  <si>
    <t>Bar Imperial Maipu</t>
  </si>
  <si>
    <t>Botilleria el descanso</t>
  </si>
  <si>
    <t>santiago wine club</t>
  </si>
  <si>
    <t>El que a chile vino</t>
  </si>
  <si>
    <t>ecom</t>
  </si>
  <si>
    <t>El destape Bar</t>
  </si>
  <si>
    <t>m montt</t>
  </si>
  <si>
    <t>Deposito Zapata</t>
  </si>
  <si>
    <t>av matta</t>
  </si>
  <si>
    <t>Donde la Negra</t>
  </si>
  <si>
    <t>ecom/fisico</t>
  </si>
  <si>
    <t>chachan</t>
  </si>
  <si>
    <t>provi</t>
  </si>
  <si>
    <t>Le Birra</t>
  </si>
  <si>
    <t>vitacura</t>
  </si>
  <si>
    <t>se le entregó muestra</t>
  </si>
  <si>
    <t>Lupulos Bar</t>
  </si>
  <si>
    <t>Buin</t>
  </si>
  <si>
    <t>Fisico/ecom</t>
  </si>
  <si>
    <t>La birreria</t>
  </si>
  <si>
    <t>Huechuraba</t>
  </si>
  <si>
    <t>Fisico</t>
  </si>
  <si>
    <t>Cervezas. Del mundo</t>
  </si>
  <si>
    <t>La cisterna</t>
  </si>
  <si>
    <t>La botica del barrio</t>
  </si>
  <si>
    <t>La florida</t>
  </si>
  <si>
    <t>Oh My Beer</t>
  </si>
  <si>
    <t>Botillería Los Dominicos</t>
  </si>
  <si>
    <t>Los Dominicos</t>
  </si>
  <si>
    <t>La Cantera</t>
  </si>
  <si>
    <t>Botilleria Toledo</t>
  </si>
  <si>
    <t>maipu</t>
  </si>
  <si>
    <t>lilybull botilleria</t>
  </si>
  <si>
    <t>bar 60</t>
  </si>
  <si>
    <t>buin</t>
  </si>
  <si>
    <t>Satvico</t>
  </si>
  <si>
    <t>La Madriguera</t>
  </si>
  <si>
    <t>rancagua / conce</t>
  </si>
  <si>
    <t>TPM</t>
  </si>
  <si>
    <t>varios locales RM</t>
  </si>
  <si>
    <t>hubo conversaciones</t>
  </si>
  <si>
    <t>Rustico Brewpub</t>
  </si>
  <si>
    <t>botilleria los tres</t>
  </si>
  <si>
    <t>macul y ñuñoa</t>
  </si>
  <si>
    <t xml:space="preserve">El Ranchito </t>
  </si>
  <si>
    <t>huechuraba</t>
  </si>
  <si>
    <t>Se les entregó cerveza. Estaban interesados</t>
  </si>
  <si>
    <t>Liquidos</t>
  </si>
  <si>
    <t>varios RM</t>
  </si>
  <si>
    <t>Copeteexpress</t>
  </si>
  <si>
    <t>El Español</t>
  </si>
  <si>
    <t>físico</t>
  </si>
  <si>
    <t>(Sólo contenido Líquido)</t>
  </si>
  <si>
    <t>Cerveza</t>
  </si>
  <si>
    <t>Estilo</t>
  </si>
  <si>
    <t>Costo neto litro (0% pérdida)</t>
  </si>
  <si>
    <t>Costo neto litro (10% pérdida)</t>
  </si>
  <si>
    <t>Costo neto litro (20% pérdida)</t>
  </si>
  <si>
    <t>Costo neto lata 473cc (0% pérdida)</t>
  </si>
  <si>
    <t>Costo neto lata 473cc  (10% pérdida)</t>
  </si>
  <si>
    <t>Costo neto lata 473cc  (20% pérdida)</t>
  </si>
  <si>
    <t>Costo neto barril 29 Lts</t>
  </si>
  <si>
    <t>Fecha Actualización</t>
  </si>
  <si>
    <t>Blonde</t>
  </si>
  <si>
    <t>American  Pale Ale</t>
  </si>
  <si>
    <t>American IPA</t>
  </si>
  <si>
    <t>Hazy IPA</t>
  </si>
  <si>
    <t>Fruit Beer</t>
  </si>
  <si>
    <t>Belgian Dark Strong Ale</t>
  </si>
  <si>
    <t>Hoppy Blonde</t>
  </si>
  <si>
    <t>Ginger Blonde</t>
  </si>
  <si>
    <t>Promedio Lt</t>
  </si>
  <si>
    <t>Promedio lata</t>
  </si>
  <si>
    <t>Costos por variedad SÍ consideran:</t>
  </si>
  <si>
    <t>Malta y molienda malta</t>
  </si>
  <si>
    <t>Lúpulo</t>
  </si>
  <si>
    <t>Levadura</t>
  </si>
  <si>
    <t>Clarificante</t>
  </si>
  <si>
    <t>Otros insumos (frambuesa, jengibre, etc)</t>
  </si>
  <si>
    <t>Gas</t>
  </si>
  <si>
    <t>Azúcar envasado</t>
  </si>
  <si>
    <t>Ayudante envasado</t>
  </si>
  <si>
    <t>Traslado (auto Boris)</t>
  </si>
  <si>
    <t>Insumos menores (guantes, lavalozas, etc)</t>
  </si>
  <si>
    <t>Costos por vaiedad NO consideran:</t>
  </si>
  <si>
    <t>Etiqueta Fecha</t>
  </si>
  <si>
    <t>Gasto Luz</t>
  </si>
  <si>
    <t>Agua</t>
  </si>
  <si>
    <t>BARRA MOVIL SOKO'S</t>
  </si>
  <si>
    <t>** considerar 1 hr por barril</t>
  </si>
  <si>
    <t>1 barril blonde</t>
  </si>
  <si>
    <t>1 barril hazy/red</t>
  </si>
  <si>
    <t>2 barriles mixto</t>
  </si>
  <si>
    <t>** 60 vasos por barril</t>
  </si>
  <si>
    <t>precio servicio</t>
  </si>
  <si>
    <t>** variable el costo bencina/tag</t>
  </si>
  <si>
    <t>precio barril</t>
  </si>
  <si>
    <t>** precios netos</t>
  </si>
  <si>
    <t>costo servicio</t>
  </si>
  <si>
    <t>costo barril</t>
  </si>
  <si>
    <t>costo en CO2</t>
  </si>
  <si>
    <t>costo en vasos</t>
  </si>
  <si>
    <t>costo en bencina/tag</t>
  </si>
  <si>
    <t>Margen bruto total</t>
  </si>
  <si>
    <t>N° Batch</t>
  </si>
  <si>
    <t>Fecha Cocción</t>
  </si>
  <si>
    <t>Fecha Envasado</t>
  </si>
  <si>
    <t>Alcohol</t>
  </si>
  <si>
    <t>Litros envasados</t>
  </si>
  <si>
    <t>Latas envasadas</t>
  </si>
  <si>
    <t>Barriles Envasados</t>
  </si>
  <si>
    <t>Blonde Ale</t>
  </si>
  <si>
    <t>American Pale Ale</t>
  </si>
  <si>
    <t>Litros trimestrales por variedad</t>
  </si>
  <si>
    <t>Trimestre</t>
  </si>
  <si>
    <t>Litros totales trimestre</t>
  </si>
  <si>
    <t>ene-feb-mar 22</t>
  </si>
  <si>
    <t>abr-may-jun 22</t>
  </si>
  <si>
    <t>jul-ago-sep-22</t>
  </si>
  <si>
    <t>oct-nov-dic 22</t>
  </si>
  <si>
    <t>ene-feb-mar 23</t>
  </si>
  <si>
    <t>abr-may-jun 23</t>
  </si>
  <si>
    <t>jul-ago-sep-23</t>
  </si>
  <si>
    <t>oct-nov-dic 23</t>
  </si>
  <si>
    <t>Totales por año</t>
  </si>
  <si>
    <t>Total a la 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</si>
</sst>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&quot;$&quot;#,##0"/>
    <numFmt numFmtId="165" formatCode="dd\-mm\-yy"/>
    <numFmt numFmtId="166" formatCode="d/m/yyyy"/>
    <numFmt numFmtId="167" formatCode="mm\-dd\-yy"/>
    <numFmt numFmtId="168" formatCode="d/m/yy"/>
    <numFmt numFmtId="169" formatCode="d\-m\-yyyy"/>
    <numFmt numFmtId="170" formatCode="dd/mm/yyyy"/>
    <numFmt numFmtId="171" formatCode="dd/mm/yy"/>
    <numFmt numFmtId="172" formatCode="dd/mm"/>
    <numFmt numFmtId="173" formatCode="dd\-mm"/>
    <numFmt numFmtId="174" formatCode="d\-m\-yy"/>
    <numFmt numFmtId="175" formatCode="dd\-mm\-yyyy"/>
    <numFmt numFmtId="176" formatCode="mm\-dd\-yyyy"/>
    <numFmt numFmtId="177" formatCode="&quot;$&quot;#,##0.00"/>
    <numFmt numFmtId="178" formatCode="0.0%"/>
    <numFmt numFmtId="179" formatCode="mmm\-d"/>
    <numFmt numFmtId="180" formatCode="dd\-mmm\-yy"/>
  </numFmts>
  <fonts count="46">
    <font>
      <sz val="11"/>
      <color theme="1"/>
      <name val="Calibri"/>
      <scheme val="minor"/>
    </font>
    <font>
      <b/>
      <sz val="11"/>
      <color rgb="FFFFFFFF"/>
      <name val="Calibri"/>
    </font>
    <font>
      <b/>
      <sz val="11"/>
      <color theme="1"/>
      <name val="Calibri"/>
      <scheme val="minor"/>
    </font>
    <font>
      <sz val="11"/>
      <color rgb="FF222222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  <scheme val="minor"/>
    </font>
    <font>
      <u/>
      <sz val="11"/>
      <color rgb="FF0000FF"/>
      <name val="Calibri"/>
    </font>
    <font>
      <sz val="11"/>
      <color rgb="FF000000"/>
      <name val="Calibri"/>
    </font>
    <font>
      <b/>
      <sz val="16"/>
      <color rgb="FFFFFFFF"/>
      <name val="Calibri"/>
    </font>
    <font>
      <sz val="11"/>
      <name val="Calibri"/>
    </font>
    <font>
      <b/>
      <sz val="11"/>
      <color rgb="FF000000"/>
      <name val="Calibri"/>
    </font>
    <font>
      <b/>
      <sz val="12"/>
      <color rgb="FF38761D"/>
      <name val="Calibri"/>
    </font>
    <font>
      <b/>
      <sz val="12"/>
      <color rgb="FF548235"/>
      <name val="Calibri"/>
    </font>
    <font>
      <b/>
      <sz val="12"/>
      <color rgb="FFFF0000"/>
      <name val="Calibri"/>
    </font>
    <font>
      <i/>
      <sz val="11"/>
      <color rgb="FF000000"/>
      <name val="Calibri"/>
    </font>
    <font>
      <sz val="11"/>
      <color rgb="FF434343"/>
      <name val="Calibri"/>
    </font>
    <font>
      <b/>
      <sz val="12"/>
      <color theme="1"/>
      <name val="Roboto"/>
    </font>
    <font>
      <sz val="11"/>
      <color rgb="FF000000"/>
      <name val="Docs-Calibri"/>
    </font>
    <font>
      <b/>
      <sz val="11"/>
      <color theme="1"/>
      <name val="Calibri"/>
    </font>
    <font>
      <b/>
      <sz val="12"/>
      <color rgb="FFFFFFFF"/>
      <name val="Calibri"/>
      <scheme val="minor"/>
    </font>
    <font>
      <b/>
      <sz val="12"/>
      <color theme="1"/>
      <name val="Calibri"/>
      <scheme val="minor"/>
    </font>
    <font>
      <b/>
      <sz val="11"/>
      <color rgb="FFFFFFFF"/>
      <name val="Calibri"/>
      <scheme val="minor"/>
    </font>
    <font>
      <b/>
      <sz val="8"/>
      <color rgb="FF000000"/>
      <name val="Calibri"/>
    </font>
    <font>
      <sz val="8"/>
      <color rgb="FF000000"/>
      <name val="Calibri"/>
    </font>
    <font>
      <b/>
      <sz val="11"/>
      <color rgb="FF000000"/>
      <name val="Calibri"/>
      <scheme val="minor"/>
    </font>
    <font>
      <b/>
      <i/>
      <sz val="11"/>
      <color theme="1"/>
      <name val="Calibri"/>
      <scheme val="minor"/>
    </font>
    <font>
      <b/>
      <sz val="17"/>
      <color theme="1"/>
      <name val="Calibri"/>
      <scheme val="minor"/>
    </font>
    <font>
      <b/>
      <u/>
      <sz val="11"/>
      <color rgb="FFFFFFFF"/>
      <name val="Calibri"/>
    </font>
    <font>
      <b/>
      <sz val="11"/>
      <color rgb="FF434343"/>
      <name val="Calibri"/>
      <scheme val="minor"/>
    </font>
    <font>
      <b/>
      <sz val="11"/>
      <color rgb="FF0000FF"/>
      <name val="Calibri"/>
      <scheme val="minor"/>
    </font>
    <font>
      <i/>
      <sz val="11"/>
      <color theme="1"/>
      <name val="Calibri"/>
      <scheme val="minor"/>
    </font>
    <font>
      <i/>
      <sz val="8"/>
      <color theme="1"/>
      <name val="Calibri"/>
      <scheme val="minor"/>
    </font>
    <font>
      <i/>
      <sz val="11"/>
      <color rgb="FFFFFFFF"/>
      <name val="Calibri"/>
      <scheme val="minor"/>
    </font>
    <font>
      <sz val="7"/>
      <color theme="1"/>
      <name val="Calibri"/>
      <scheme val="minor"/>
    </font>
    <font>
      <i/>
      <sz val="9"/>
      <color theme="1"/>
      <name val="Calibri"/>
      <scheme val="minor"/>
    </font>
    <font>
      <b/>
      <i/>
      <sz val="11"/>
      <color theme="4"/>
      <name val="Calibri"/>
      <scheme val="minor"/>
    </font>
    <font>
      <b/>
      <sz val="11"/>
      <color rgb="FFFF0000"/>
      <name val="Calibri"/>
      <scheme val="minor"/>
    </font>
    <font>
      <b/>
      <i/>
      <sz val="11"/>
      <color rgb="FF0070C0"/>
      <name val="Calibri"/>
      <scheme val="minor"/>
    </font>
    <font>
      <i/>
      <sz val="11"/>
      <color theme="0"/>
      <name val="Calibri"/>
      <scheme val="minor"/>
    </font>
    <font>
      <i/>
      <sz val="11"/>
      <color rgb="FFB7B7B7"/>
      <name val="Calibri"/>
      <scheme val="minor"/>
    </font>
    <font>
      <sz val="6"/>
      <color theme="1"/>
      <name val="Calibri"/>
      <scheme val="minor"/>
    </font>
    <font>
      <sz val="11"/>
      <color rgb="FFFF0000"/>
      <name val="Calibri"/>
      <scheme val="minor"/>
    </font>
    <font>
      <sz val="11"/>
      <color rgb="FFFF9900"/>
      <name val="Calibri"/>
      <scheme val="minor"/>
    </font>
    <font>
      <u/>
      <sz val="11"/>
      <color rgb="FF1155CC"/>
      <name val="Calibri"/>
    </font>
    <font>
      <b/>
      <u/>
      <sz val="11"/>
      <color rgb="FF1155CC"/>
      <name val="Calibri"/>
    </font>
  </fonts>
  <fills count="50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D9E1F2"/>
        <bgColor rgb="FFD9E1F2"/>
      </patternFill>
    </fill>
    <fill>
      <patternFill patternType="solid">
        <fgColor rgb="FF00B050"/>
        <bgColor rgb="FF00B050"/>
      </patternFill>
    </fill>
    <fill>
      <patternFill patternType="solid">
        <fgColor rgb="FFC6E0B4"/>
        <bgColor rgb="FFC6E0B4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0D0D0D"/>
        <bgColor rgb="FF0D0D0D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A64D79"/>
        <bgColor rgb="FFA64D79"/>
      </patternFill>
    </fill>
    <fill>
      <patternFill patternType="solid">
        <fgColor rgb="FF1155CC"/>
        <bgColor rgb="FF1155CC"/>
      </patternFill>
    </fill>
    <fill>
      <patternFill patternType="solid">
        <fgColor rgb="FFC8D2DF"/>
        <bgColor rgb="FFC8D2DF"/>
      </patternFill>
    </fill>
    <fill>
      <patternFill patternType="solid">
        <fgColor rgb="FF667FA1"/>
        <bgColor rgb="FF667FA1"/>
      </patternFill>
    </fill>
    <fill>
      <patternFill patternType="solid">
        <fgColor rgb="FFCEDFAF"/>
        <bgColor rgb="FFCEDFAF"/>
      </patternFill>
    </fill>
    <fill>
      <patternFill patternType="solid">
        <fgColor rgb="FFFCE5D1"/>
        <bgColor rgb="FFFCE5D1"/>
      </patternFill>
    </fill>
    <fill>
      <patternFill patternType="solid">
        <fgColor rgb="FFC1B2D1"/>
        <bgColor rgb="FFC1B2D1"/>
      </patternFill>
    </fill>
    <fill>
      <patternFill patternType="solid">
        <fgColor rgb="FFD3EAF1"/>
        <bgColor rgb="FFD3EAF1"/>
      </patternFill>
    </fill>
    <fill>
      <patternFill patternType="solid">
        <fgColor rgb="FFF7B37E"/>
        <bgColor rgb="FFF7B37E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9900FF"/>
        <bgColor rgb="FF9900FF"/>
      </patternFill>
    </fill>
    <fill>
      <patternFill patternType="solid">
        <fgColor rgb="FFFFD966"/>
        <bgColor rgb="FFFFD966"/>
      </patternFill>
    </fill>
    <fill>
      <patternFill patternType="solid">
        <fgColor rgb="FF0000FF"/>
        <bgColor rgb="FF0000FF"/>
      </patternFill>
    </fill>
    <fill>
      <patternFill patternType="solid">
        <fgColor theme="8"/>
        <bgColor theme="8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00FFFF"/>
        <bgColor rgb="FF00FFFF"/>
      </patternFill>
    </fill>
    <fill>
      <patternFill patternType="solid">
        <fgColor rgb="FFCC0000"/>
        <bgColor rgb="FFCC0000"/>
      </patternFill>
    </fill>
    <fill>
      <patternFill patternType="solid">
        <fgColor rgb="FFEFEFEF"/>
        <bgColor rgb="FFEFEFEF"/>
      </patternFill>
    </fill>
    <fill>
      <patternFill patternType="solid">
        <fgColor rgb="FF92D050"/>
        <bgColor rgb="FF92D050"/>
      </patternFill>
    </fill>
    <fill>
      <patternFill patternType="solid">
        <fgColor rgb="FFED7D31"/>
        <bgColor rgb="FFED7D31"/>
      </patternFill>
    </fill>
    <fill>
      <patternFill patternType="solid">
        <fgColor rgb="FFFCE4D6"/>
        <bgColor rgb="FFFCE4D6"/>
      </patternFill>
    </fill>
    <fill>
      <patternFill patternType="solid">
        <fgColor rgb="FFFFFF66"/>
        <bgColor rgb="FFFFFF66"/>
      </patternFill>
    </fill>
    <fill>
      <patternFill patternType="solid">
        <fgColor rgb="FF366092"/>
        <bgColor rgb="FF366092"/>
      </patternFill>
    </fill>
    <fill>
      <patternFill patternType="solid">
        <fgColor rgb="FF008000"/>
        <bgColor rgb="FF008000"/>
      </patternFill>
    </fill>
    <fill>
      <patternFill patternType="solid">
        <fgColor rgb="FF00CC99"/>
        <bgColor rgb="FF00CC99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/>
      <top style="thin">
        <color rgb="FF9A9A9A"/>
      </top>
      <bottom style="thin">
        <color rgb="FF9A9A9A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0" xfId="0" applyFont="1" applyFill="1"/>
    <xf numFmtId="0" fontId="3" fillId="3" borderId="3" xfId="0" applyFont="1" applyFill="1" applyBorder="1"/>
    <xf numFmtId="0" fontId="3" fillId="3" borderId="4" xfId="0" applyFont="1" applyFill="1" applyBorder="1"/>
    <xf numFmtId="0" fontId="4" fillId="3" borderId="0" xfId="0" applyFont="1" applyFill="1"/>
    <xf numFmtId="0" fontId="4" fillId="0" borderId="1" xfId="0" applyFont="1" applyBorder="1"/>
    <xf numFmtId="0" fontId="5" fillId="3" borderId="1" xfId="0" applyFont="1" applyFill="1" applyBorder="1"/>
    <xf numFmtId="0" fontId="2" fillId="4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4" fillId="5" borderId="0" xfId="0" applyFont="1" applyFill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8" fillId="0" borderId="0" xfId="0" applyFont="1" applyAlignment="1">
      <alignment horizontal="left"/>
    </xf>
    <xf numFmtId="0" fontId="8" fillId="0" borderId="0" xfId="0" applyFont="1"/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9" fontId="12" fillId="8" borderId="4" xfId="0" applyNumberFormat="1" applyFont="1" applyFill="1" applyBorder="1" applyAlignment="1">
      <alignment horizontal="center"/>
    </xf>
    <xf numFmtId="9" fontId="13" fillId="8" borderId="4" xfId="0" applyNumberFormat="1" applyFont="1" applyFill="1" applyBorder="1" applyAlignment="1">
      <alignment horizontal="center"/>
    </xf>
    <xf numFmtId="9" fontId="14" fillId="8" borderId="4" xfId="0" applyNumberFormat="1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164" fontId="11" fillId="6" borderId="4" xfId="0" applyNumberFormat="1" applyFont="1" applyFill="1" applyBorder="1"/>
    <xf numFmtId="164" fontId="11" fillId="8" borderId="1" xfId="0" applyNumberFormat="1" applyFont="1" applyFill="1" applyBorder="1" applyAlignment="1">
      <alignment horizontal="center"/>
    </xf>
    <xf numFmtId="0" fontId="1" fillId="2" borderId="3" xfId="0" applyFont="1" applyFill="1" applyBorder="1"/>
    <xf numFmtId="0" fontId="15" fillId="0" borderId="3" xfId="0" applyFont="1" applyBorder="1" applyAlignment="1">
      <alignment horizontal="right"/>
    </xf>
    <xf numFmtId="164" fontId="8" fillId="0" borderId="4" xfId="0" applyNumberFormat="1" applyFont="1" applyBorder="1"/>
    <xf numFmtId="10" fontId="8" fillId="0" borderId="4" xfId="0" applyNumberFormat="1" applyFont="1" applyBorder="1"/>
    <xf numFmtId="164" fontId="8" fillId="0" borderId="1" xfId="0" applyNumberFormat="1" applyFont="1" applyBorder="1"/>
    <xf numFmtId="164" fontId="8" fillId="0" borderId="3" xfId="0" applyNumberFormat="1" applyFont="1" applyBorder="1"/>
    <xf numFmtId="164" fontId="11" fillId="0" borderId="1" xfId="0" applyNumberFormat="1" applyFont="1" applyBorder="1"/>
    <xf numFmtId="164" fontId="11" fillId="0" borderId="3" xfId="0" applyNumberFormat="1" applyFont="1" applyBorder="1"/>
    <xf numFmtId="0" fontId="8" fillId="9" borderId="4" xfId="0" applyFont="1" applyFill="1" applyBorder="1"/>
    <xf numFmtId="164" fontId="8" fillId="9" borderId="4" xfId="0" applyNumberFormat="1" applyFont="1" applyFill="1" applyBorder="1"/>
    <xf numFmtId="164" fontId="8" fillId="9" borderId="3" xfId="0" applyNumberFormat="1" applyFont="1" applyFill="1" applyBorder="1"/>
    <xf numFmtId="0" fontId="8" fillId="9" borderId="3" xfId="0" applyFont="1" applyFill="1" applyBorder="1"/>
    <xf numFmtId="0" fontId="8" fillId="0" borderId="4" xfId="0" applyFont="1" applyBorder="1"/>
    <xf numFmtId="164" fontId="8" fillId="0" borderId="2" xfId="0" applyNumberFormat="1" applyFont="1" applyBorder="1"/>
    <xf numFmtId="0" fontId="8" fillId="0" borderId="3" xfId="0" applyFont="1" applyBorder="1"/>
    <xf numFmtId="0" fontId="8" fillId="11" borderId="4" xfId="0" applyFont="1" applyFill="1" applyBorder="1"/>
    <xf numFmtId="0" fontId="8" fillId="6" borderId="4" xfId="0" applyFont="1" applyFill="1" applyBorder="1"/>
    <xf numFmtId="0" fontId="11" fillId="6" borderId="4" xfId="0" applyFont="1" applyFill="1" applyBorder="1"/>
    <xf numFmtId="164" fontId="8" fillId="0" borderId="10" xfId="0" applyNumberFormat="1" applyFont="1" applyBorder="1"/>
    <xf numFmtId="0" fontId="8" fillId="0" borderId="4" xfId="0" applyFont="1" applyBorder="1" applyAlignment="1">
      <alignment horizontal="center"/>
    </xf>
    <xf numFmtId="0" fontId="15" fillId="0" borderId="1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164" fontId="8" fillId="0" borderId="0" xfId="0" applyNumberFormat="1" applyFont="1" applyAlignment="1">
      <alignment horizontal="right"/>
    </xf>
    <xf numFmtId="9" fontId="8" fillId="0" borderId="4" xfId="0" applyNumberFormat="1" applyFont="1" applyBorder="1" applyAlignment="1">
      <alignment horizontal="right"/>
    </xf>
    <xf numFmtId="0" fontId="2" fillId="0" borderId="0" xfId="0" applyFont="1"/>
    <xf numFmtId="0" fontId="2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164" fontId="11" fillId="8" borderId="4" xfId="0" applyNumberFormat="1" applyFont="1" applyFill="1" applyBorder="1" applyAlignment="1">
      <alignment horizontal="center"/>
    </xf>
    <xf numFmtId="0" fontId="8" fillId="12" borderId="4" xfId="0" applyFont="1" applyFill="1" applyBorder="1"/>
    <xf numFmtId="164" fontId="8" fillId="0" borderId="4" xfId="0" applyNumberFormat="1" applyFont="1" applyBorder="1" applyAlignment="1">
      <alignment horizontal="center"/>
    </xf>
    <xf numFmtId="164" fontId="16" fillId="9" borderId="4" xfId="0" applyNumberFormat="1" applyFont="1" applyFill="1" applyBorder="1"/>
    <xf numFmtId="0" fontId="11" fillId="1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1" fillId="1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6" fontId="4" fillId="0" borderId="1" xfId="0" applyNumberFormat="1" applyFont="1" applyBorder="1"/>
    <xf numFmtId="0" fontId="8" fillId="0" borderId="1" xfId="0" applyFont="1" applyBorder="1"/>
    <xf numFmtId="0" fontId="8" fillId="3" borderId="1" xfId="0" applyFont="1" applyFill="1" applyBorder="1" applyAlignment="1">
      <alignment horizontal="center"/>
    </xf>
    <xf numFmtId="167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5" fillId="0" borderId="1" xfId="0" applyFont="1" applyBorder="1"/>
    <xf numFmtId="164" fontId="6" fillId="0" borderId="1" xfId="0" applyNumberFormat="1" applyFont="1" applyBorder="1" applyAlignment="1">
      <alignment horizontal="center"/>
    </xf>
    <xf numFmtId="168" fontId="4" fillId="0" borderId="1" xfId="0" applyNumberFormat="1" applyFont="1" applyBorder="1"/>
    <xf numFmtId="0" fontId="17" fillId="0" borderId="0" xfId="0" applyFont="1"/>
    <xf numFmtId="0" fontId="18" fillId="3" borderId="0" xfId="0" applyFont="1" applyFill="1" applyAlignment="1">
      <alignment horizontal="center"/>
    </xf>
    <xf numFmtId="169" fontId="8" fillId="0" borderId="1" xfId="0" applyNumberFormat="1" applyFont="1" applyBorder="1" applyAlignment="1">
      <alignment horizontal="center"/>
    </xf>
    <xf numFmtId="0" fontId="2" fillId="0" borderId="1" xfId="0" applyFont="1" applyBorder="1"/>
    <xf numFmtId="170" fontId="4" fillId="0" borderId="1" xfId="0" applyNumberFormat="1" applyFont="1" applyBorder="1"/>
    <xf numFmtId="171" fontId="4" fillId="0" borderId="1" xfId="0" applyNumberFormat="1" applyFont="1" applyBorder="1"/>
    <xf numFmtId="165" fontId="4" fillId="0" borderId="1" xfId="0" applyNumberFormat="1" applyFont="1" applyBorder="1"/>
    <xf numFmtId="171" fontId="4" fillId="0" borderId="0" xfId="0" applyNumberFormat="1" applyFont="1"/>
    <xf numFmtId="172" fontId="4" fillId="0" borderId="1" xfId="0" applyNumberFormat="1" applyFont="1" applyBorder="1"/>
    <xf numFmtId="173" fontId="4" fillId="0" borderId="1" xfId="0" applyNumberFormat="1" applyFont="1" applyBorder="1"/>
    <xf numFmtId="0" fontId="4" fillId="0" borderId="0" xfId="0" applyFont="1"/>
    <xf numFmtId="165" fontId="5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74" fontId="4" fillId="0" borderId="1" xfId="0" applyNumberFormat="1" applyFont="1" applyBorder="1"/>
    <xf numFmtId="3" fontId="4" fillId="0" borderId="1" xfId="0" applyNumberFormat="1" applyFont="1" applyBorder="1" applyAlignment="1">
      <alignment horizontal="center"/>
    </xf>
    <xf numFmtId="0" fontId="4" fillId="15" borderId="1" xfId="0" applyFont="1" applyFill="1" applyBorder="1"/>
    <xf numFmtId="164" fontId="4" fillId="3" borderId="1" xfId="0" applyNumberFormat="1" applyFont="1" applyFill="1" applyBorder="1" applyAlignment="1">
      <alignment horizontal="center"/>
    </xf>
    <xf numFmtId="9" fontId="4" fillId="0" borderId="1" xfId="0" applyNumberFormat="1" applyFont="1" applyBorder="1"/>
    <xf numFmtId="174" fontId="8" fillId="0" borderId="1" xfId="0" applyNumberFormat="1" applyFont="1" applyBorder="1" applyAlignment="1">
      <alignment horizontal="center"/>
    </xf>
    <xf numFmtId="175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176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4" fillId="16" borderId="1" xfId="0" applyFont="1" applyFill="1" applyBorder="1"/>
    <xf numFmtId="168" fontId="8" fillId="0" borderId="1" xfId="0" applyNumberFormat="1" applyFont="1" applyBorder="1" applyAlignment="1">
      <alignment horizontal="center"/>
    </xf>
    <xf numFmtId="164" fontId="8" fillId="11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5" fillId="0" borderId="0" xfId="0" applyFont="1"/>
    <xf numFmtId="164" fontId="19" fillId="0" borderId="1" xfId="0" applyNumberFormat="1" applyFont="1" applyBorder="1" applyAlignment="1">
      <alignment horizontal="center"/>
    </xf>
    <xf numFmtId="0" fontId="2" fillId="17" borderId="1" xfId="0" applyFont="1" applyFill="1" applyBorder="1"/>
    <xf numFmtId="164" fontId="4" fillId="18" borderId="1" xfId="0" applyNumberFormat="1" applyFont="1" applyFill="1" applyBorder="1"/>
    <xf numFmtId="177" fontId="4" fillId="0" borderId="0" xfId="0" applyNumberFormat="1" applyFont="1"/>
    <xf numFmtId="0" fontId="21" fillId="10" borderId="15" xfId="0" applyFont="1" applyFill="1" applyBorder="1" applyAlignment="1">
      <alignment horizontal="center"/>
    </xf>
    <xf numFmtId="0" fontId="21" fillId="10" borderId="16" xfId="0" applyFont="1" applyFill="1" applyBorder="1" applyAlignment="1">
      <alignment horizontal="center"/>
    </xf>
    <xf numFmtId="0" fontId="21" fillId="20" borderId="17" xfId="0" applyFont="1" applyFill="1" applyBorder="1" applyAlignment="1">
      <alignment horizontal="center"/>
    </xf>
    <xf numFmtId="0" fontId="21" fillId="20" borderId="18" xfId="0" applyFont="1" applyFill="1" applyBorder="1" applyAlignment="1">
      <alignment horizontal="center"/>
    </xf>
    <xf numFmtId="0" fontId="21" fillId="20" borderId="19" xfId="0" applyFont="1" applyFill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4" fillId="0" borderId="30" xfId="0" applyFont="1" applyBorder="1"/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5" xfId="0" applyFont="1" applyBorder="1"/>
    <xf numFmtId="0" fontId="4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2" fillId="0" borderId="35" xfId="0" applyFont="1" applyBorder="1"/>
    <xf numFmtId="0" fontId="2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20" xfId="0" applyFont="1" applyBorder="1"/>
    <xf numFmtId="0" fontId="4" fillId="0" borderId="43" xfId="0" applyFont="1" applyBorder="1" applyAlignment="1">
      <alignment horizontal="center"/>
    </xf>
    <xf numFmtId="0" fontId="22" fillId="21" borderId="17" xfId="0" applyFont="1" applyFill="1" applyBorder="1" applyAlignment="1">
      <alignment horizontal="center"/>
    </xf>
    <xf numFmtId="0" fontId="22" fillId="21" borderId="18" xfId="0" applyFont="1" applyFill="1" applyBorder="1" applyAlignment="1">
      <alignment horizontal="center"/>
    </xf>
    <xf numFmtId="0" fontId="22" fillId="21" borderId="49" xfId="0" applyFont="1" applyFill="1" applyBorder="1" applyAlignment="1">
      <alignment horizontal="center"/>
    </xf>
    <xf numFmtId="0" fontId="22" fillId="21" borderId="19" xfId="0" applyFont="1" applyFill="1" applyBorder="1" applyAlignment="1">
      <alignment horizontal="center"/>
    </xf>
    <xf numFmtId="0" fontId="4" fillId="0" borderId="23" xfId="0" applyFont="1" applyBorder="1"/>
    <xf numFmtId="0" fontId="4" fillId="0" borderId="3" xfId="0" applyFont="1" applyBorder="1"/>
    <xf numFmtId="49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0" fontId="4" fillId="0" borderId="29" xfId="0" applyFont="1" applyBorder="1"/>
    <xf numFmtId="164" fontId="4" fillId="0" borderId="27" xfId="0" applyNumberFormat="1" applyFont="1" applyBorder="1" applyAlignment="1">
      <alignment horizontal="center"/>
    </xf>
    <xf numFmtId="164" fontId="4" fillId="0" borderId="28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/>
    <xf numFmtId="0" fontId="2" fillId="0" borderId="0" xfId="0" applyFont="1" applyAlignment="1">
      <alignment horizontal="center"/>
    </xf>
    <xf numFmtId="164" fontId="4" fillId="0" borderId="27" xfId="0" applyNumberFormat="1" applyFont="1" applyBorder="1"/>
    <xf numFmtId="164" fontId="4" fillId="0" borderId="28" xfId="0" applyNumberFormat="1" applyFont="1" applyBorder="1"/>
    <xf numFmtId="0" fontId="4" fillId="0" borderId="48" xfId="0" applyFont="1" applyBorder="1"/>
    <xf numFmtId="0" fontId="4" fillId="0" borderId="47" xfId="0" applyFont="1" applyBorder="1"/>
    <xf numFmtId="164" fontId="4" fillId="0" borderId="47" xfId="0" applyNumberFormat="1" applyFont="1" applyBorder="1"/>
    <xf numFmtId="164" fontId="4" fillId="0" borderId="45" xfId="0" applyNumberFormat="1" applyFont="1" applyBorder="1"/>
    <xf numFmtId="164" fontId="4" fillId="0" borderId="46" xfId="0" applyNumberFormat="1" applyFont="1" applyBorder="1"/>
    <xf numFmtId="0" fontId="22" fillId="22" borderId="17" xfId="0" applyFont="1" applyFill="1" applyBorder="1" applyAlignment="1">
      <alignment horizontal="center"/>
    </xf>
    <xf numFmtId="0" fontId="22" fillId="22" borderId="18" xfId="0" applyFont="1" applyFill="1" applyBorder="1" applyAlignment="1">
      <alignment horizontal="center"/>
    </xf>
    <xf numFmtId="0" fontId="22" fillId="22" borderId="19" xfId="0" applyFont="1" applyFill="1" applyBorder="1" applyAlignment="1">
      <alignment horizontal="center"/>
    </xf>
    <xf numFmtId="0" fontId="4" fillId="0" borderId="33" xfId="0" applyFont="1" applyBorder="1"/>
    <xf numFmtId="0" fontId="4" fillId="0" borderId="50" xfId="0" applyFont="1" applyBorder="1"/>
    <xf numFmtId="0" fontId="4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56" xfId="0" applyFont="1" applyBorder="1"/>
    <xf numFmtId="0" fontId="23" fillId="2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4" fillId="0" borderId="1" xfId="0" applyFont="1" applyBorder="1"/>
    <xf numFmtId="0" fontId="24" fillId="24" borderId="1" xfId="0" applyFont="1" applyFill="1" applyBorder="1"/>
    <xf numFmtId="0" fontId="24" fillId="0" borderId="57" xfId="0" applyFont="1" applyBorder="1"/>
    <xf numFmtId="0" fontId="4" fillId="0" borderId="58" xfId="0" applyFont="1" applyBorder="1"/>
    <xf numFmtId="0" fontId="24" fillId="25" borderId="1" xfId="0" applyFont="1" applyFill="1" applyBorder="1"/>
    <xf numFmtId="0" fontId="4" fillId="0" borderId="59" xfId="0" applyFont="1" applyBorder="1"/>
    <xf numFmtId="0" fontId="24" fillId="26" borderId="1" xfId="0" applyFont="1" applyFill="1" applyBorder="1"/>
    <xf numFmtId="0" fontId="24" fillId="27" borderId="1" xfId="0" applyFont="1" applyFill="1" applyBorder="1"/>
    <xf numFmtId="0" fontId="24" fillId="28" borderId="1" xfId="0" applyFont="1" applyFill="1" applyBorder="1"/>
    <xf numFmtId="0" fontId="24" fillId="23" borderId="1" xfId="0" applyFont="1" applyFill="1" applyBorder="1"/>
    <xf numFmtId="0" fontId="24" fillId="29" borderId="1" xfId="0" applyFont="1" applyFill="1" applyBorder="1"/>
    <xf numFmtId="0" fontId="4" fillId="0" borderId="60" xfId="0" applyFont="1" applyBorder="1"/>
    <xf numFmtId="0" fontId="4" fillId="0" borderId="61" xfId="0" applyFont="1" applyBorder="1"/>
    <xf numFmtId="0" fontId="4" fillId="0" borderId="11" xfId="0" applyFont="1" applyBorder="1"/>
    <xf numFmtId="0" fontId="25" fillId="3" borderId="0" xfId="0" applyFont="1" applyFill="1" applyAlignment="1">
      <alignment horizontal="center"/>
    </xf>
    <xf numFmtId="0" fontId="25" fillId="13" borderId="0" xfId="0" applyFont="1" applyFill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62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32" xfId="0" applyFont="1" applyFill="1" applyBorder="1" applyAlignment="1">
      <alignment horizontal="center"/>
    </xf>
    <xf numFmtId="0" fontId="4" fillId="14" borderId="5" xfId="0" applyFont="1" applyFill="1" applyBorder="1" applyAlignment="1">
      <alignment horizontal="center"/>
    </xf>
    <xf numFmtId="164" fontId="4" fillId="14" borderId="6" xfId="0" applyNumberFormat="1" applyFont="1" applyFill="1" applyBorder="1" applyAlignment="1">
      <alignment horizontal="center"/>
    </xf>
    <xf numFmtId="10" fontId="4" fillId="0" borderId="32" xfId="0" applyNumberFormat="1" applyFont="1" applyBorder="1"/>
    <xf numFmtId="164" fontId="4" fillId="14" borderId="7" xfId="0" applyNumberFormat="1" applyFont="1" applyFill="1" applyBorder="1" applyAlignment="1">
      <alignment horizontal="center"/>
    </xf>
    <xf numFmtId="177" fontId="4" fillId="14" borderId="0" xfId="0" applyNumberFormat="1" applyFont="1" applyFill="1" applyAlignment="1">
      <alignment horizontal="center"/>
    </xf>
    <xf numFmtId="164" fontId="4" fillId="14" borderId="32" xfId="0" applyNumberFormat="1" applyFont="1" applyFill="1" applyBorder="1" applyAlignment="1">
      <alignment horizontal="center"/>
    </xf>
    <xf numFmtId="177" fontId="4" fillId="14" borderId="10" xfId="0" applyNumberFormat="1" applyFont="1" applyFill="1" applyBorder="1" applyAlignment="1">
      <alignment horizontal="center"/>
    </xf>
    <xf numFmtId="0" fontId="4" fillId="14" borderId="63" xfId="0" applyFont="1" applyFill="1" applyBorder="1" applyAlignment="1">
      <alignment horizontal="center"/>
    </xf>
    <xf numFmtId="164" fontId="4" fillId="14" borderId="0" xfId="0" applyNumberFormat="1" applyFont="1" applyFill="1" applyAlignment="1">
      <alignment horizontal="center"/>
    </xf>
    <xf numFmtId="10" fontId="4" fillId="0" borderId="11" xfId="0" applyNumberFormat="1" applyFont="1" applyBorder="1"/>
    <xf numFmtId="164" fontId="4" fillId="14" borderId="10" xfId="0" applyNumberFormat="1" applyFont="1" applyFill="1" applyBorder="1" applyAlignment="1">
      <alignment horizontal="center"/>
    </xf>
    <xf numFmtId="164" fontId="4" fillId="14" borderId="11" xfId="0" applyNumberFormat="1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164" fontId="4" fillId="14" borderId="9" xfId="0" applyNumberFormat="1" applyFont="1" applyFill="1" applyBorder="1" applyAlignment="1">
      <alignment horizontal="center"/>
    </xf>
    <xf numFmtId="10" fontId="4" fillId="0" borderId="3" xfId="0" applyNumberFormat="1" applyFont="1" applyBorder="1"/>
    <xf numFmtId="164" fontId="4" fillId="14" borderId="4" xfId="0" applyNumberFormat="1" applyFont="1" applyFill="1" applyBorder="1" applyAlignment="1">
      <alignment horizontal="center"/>
    </xf>
    <xf numFmtId="164" fontId="4" fillId="14" borderId="3" xfId="0" applyNumberFormat="1" applyFont="1" applyFill="1" applyBorder="1" applyAlignment="1">
      <alignment horizontal="center"/>
    </xf>
    <xf numFmtId="0" fontId="4" fillId="0" borderId="63" xfId="0" applyFont="1" applyBorder="1"/>
    <xf numFmtId="164" fontId="4" fillId="14" borderId="5" xfId="0" applyNumberFormat="1" applyFont="1" applyFill="1" applyBorder="1" applyAlignment="1">
      <alignment horizontal="center"/>
    </xf>
    <xf numFmtId="164" fontId="4" fillId="14" borderId="63" xfId="0" applyNumberFormat="1" applyFont="1" applyFill="1" applyBorder="1" applyAlignment="1">
      <alignment horizontal="center"/>
    </xf>
    <xf numFmtId="164" fontId="4" fillId="0" borderId="0" xfId="0" applyNumberFormat="1" applyFont="1"/>
    <xf numFmtId="164" fontId="4" fillId="14" borderId="8" xfId="0" applyNumberFormat="1" applyFont="1" applyFill="1" applyBorder="1" applyAlignment="1">
      <alignment horizontal="center"/>
    </xf>
    <xf numFmtId="0" fontId="2" fillId="31" borderId="1" xfId="0" applyFont="1" applyFill="1" applyBorder="1" applyAlignment="1">
      <alignment horizontal="center"/>
    </xf>
    <xf numFmtId="0" fontId="25" fillId="13" borderId="32" xfId="0" applyFont="1" applyFill="1" applyBorder="1" applyAlignment="1">
      <alignment horizontal="center"/>
    </xf>
    <xf numFmtId="0" fontId="25" fillId="13" borderId="1" xfId="0" applyFont="1" applyFill="1" applyBorder="1" applyAlignment="1">
      <alignment horizontal="center"/>
    </xf>
    <xf numFmtId="10" fontId="4" fillId="0" borderId="1" xfId="0" applyNumberFormat="1" applyFont="1" applyBorder="1"/>
    <xf numFmtId="164" fontId="4" fillId="0" borderId="10" xfId="0" applyNumberFormat="1" applyFont="1" applyBorder="1"/>
    <xf numFmtId="164" fontId="4" fillId="0" borderId="32" xfId="0" applyNumberFormat="1" applyFont="1" applyBorder="1"/>
    <xf numFmtId="0" fontId="26" fillId="31" borderId="5" xfId="0" applyFont="1" applyFill="1" applyBorder="1" applyAlignment="1">
      <alignment horizontal="center"/>
    </xf>
    <xf numFmtId="164" fontId="4" fillId="0" borderId="63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11" xfId="0" applyNumberFormat="1" applyFont="1" applyBorder="1"/>
    <xf numFmtId="0" fontId="26" fillId="31" borderId="63" xfId="0" applyFont="1" applyFill="1" applyBorder="1" applyAlignment="1">
      <alignment horizontal="center"/>
    </xf>
    <xf numFmtId="164" fontId="4" fillId="0" borderId="9" xfId="0" applyNumberFormat="1" applyFont="1" applyBorder="1"/>
    <xf numFmtId="164" fontId="4" fillId="0" borderId="4" xfId="0" applyNumberFormat="1" applyFont="1" applyBorder="1"/>
    <xf numFmtId="164" fontId="4" fillId="0" borderId="3" xfId="0" applyNumberFormat="1" applyFont="1" applyBorder="1"/>
    <xf numFmtId="0" fontId="26" fillId="31" borderId="8" xfId="0" applyFont="1" applyFill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27" fillId="0" borderId="0" xfId="0" applyFont="1"/>
    <xf numFmtId="164" fontId="4" fillId="0" borderId="7" xfId="0" applyNumberFormat="1" applyFont="1" applyBorder="1"/>
    <xf numFmtId="10" fontId="4" fillId="0" borderId="0" xfId="0" applyNumberFormat="1" applyFont="1"/>
    <xf numFmtId="10" fontId="4" fillId="0" borderId="7" xfId="0" applyNumberFormat="1" applyFont="1" applyBorder="1"/>
    <xf numFmtId="10" fontId="4" fillId="0" borderId="10" xfId="0" applyNumberFormat="1" applyFont="1" applyBorder="1"/>
    <xf numFmtId="164" fontId="2" fillId="15" borderId="11" xfId="0" applyNumberFormat="1" applyFont="1" applyFill="1" applyBorder="1" applyAlignment="1">
      <alignment horizontal="center"/>
    </xf>
    <xf numFmtId="10" fontId="4" fillId="0" borderId="9" xfId="0" applyNumberFormat="1" applyFont="1" applyBorder="1"/>
    <xf numFmtId="10" fontId="4" fillId="0" borderId="4" xfId="0" applyNumberFormat="1" applyFont="1" applyBorder="1"/>
    <xf numFmtId="0" fontId="25" fillId="33" borderId="0" xfId="0" applyFont="1" applyFill="1" applyAlignment="1">
      <alignment horizontal="center"/>
    </xf>
    <xf numFmtId="164" fontId="2" fillId="0" borderId="0" xfId="0" applyNumberFormat="1" applyFont="1"/>
    <xf numFmtId="9" fontId="4" fillId="0" borderId="0" xfId="0" applyNumberFormat="1" applyFont="1"/>
    <xf numFmtId="164" fontId="29" fillId="0" borderId="0" xfId="0" applyNumberFormat="1" applyFont="1"/>
    <xf numFmtId="164" fontId="30" fillId="0" borderId="0" xfId="0" applyNumberFormat="1" applyFont="1" applyAlignment="1">
      <alignment horizontal="center" vertical="center"/>
    </xf>
    <xf numFmtId="0" fontId="31" fillId="0" borderId="0" xfId="0" applyFont="1"/>
    <xf numFmtId="178" fontId="31" fillId="0" borderId="0" xfId="0" applyNumberFormat="1" applyFont="1"/>
    <xf numFmtId="0" fontId="4" fillId="14" borderId="11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32" fillId="0" borderId="0" xfId="0" applyFont="1"/>
    <xf numFmtId="0" fontId="2" fillId="20" borderId="0" xfId="0" applyFont="1" applyFill="1"/>
    <xf numFmtId="0" fontId="33" fillId="35" borderId="0" xfId="0" applyFont="1" applyFill="1" applyAlignment="1">
      <alignment horizontal="center"/>
    </xf>
    <xf numFmtId="0" fontId="19" fillId="13" borderId="1" xfId="0" applyFont="1" applyFill="1" applyBorder="1" applyAlignment="1">
      <alignment horizontal="center"/>
    </xf>
    <xf numFmtId="9" fontId="2" fillId="0" borderId="0" xfId="0" applyNumberFormat="1" applyFont="1"/>
    <xf numFmtId="10" fontId="2" fillId="0" borderId="0" xfId="0" applyNumberFormat="1" applyFont="1"/>
    <xf numFmtId="178" fontId="2" fillId="0" borderId="0" xfId="0" applyNumberFormat="1" applyFont="1"/>
    <xf numFmtId="0" fontId="19" fillId="36" borderId="3" xfId="0" applyFont="1" applyFill="1" applyBorder="1" applyAlignment="1">
      <alignment horizontal="center"/>
    </xf>
    <xf numFmtId="0" fontId="19" fillId="37" borderId="64" xfId="0" applyFont="1" applyFill="1" applyBorder="1" applyAlignment="1">
      <alignment horizontal="center"/>
    </xf>
    <xf numFmtId="0" fontId="19" fillId="38" borderId="64" xfId="0" applyFont="1" applyFill="1" applyBorder="1" applyAlignment="1">
      <alignment horizontal="center"/>
    </xf>
    <xf numFmtId="0" fontId="34" fillId="0" borderId="0" xfId="0" applyFont="1"/>
    <xf numFmtId="178" fontId="4" fillId="0" borderId="0" xfId="0" applyNumberFormat="1" applyFont="1"/>
    <xf numFmtId="0" fontId="19" fillId="39" borderId="3" xfId="0" applyFont="1" applyFill="1" applyBorder="1" applyAlignment="1">
      <alignment horizontal="center"/>
    </xf>
    <xf numFmtId="3" fontId="4" fillId="0" borderId="0" xfId="0" applyNumberFormat="1" applyFont="1"/>
    <xf numFmtId="0" fontId="1" fillId="9" borderId="10" xfId="0" applyFont="1" applyFill="1" applyBorder="1" applyAlignment="1">
      <alignment horizontal="center"/>
    </xf>
    <xf numFmtId="0" fontId="1" fillId="30" borderId="10" xfId="0" applyFont="1" applyFill="1" applyBorder="1" applyAlignment="1">
      <alignment horizontal="center"/>
    </xf>
    <xf numFmtId="0" fontId="26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7" fillId="0" borderId="0" xfId="0" applyFont="1" applyAlignment="1">
      <alignment horizontal="center"/>
    </xf>
    <xf numFmtId="164" fontId="37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178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8" fillId="0" borderId="0" xfId="0" applyFont="1"/>
    <xf numFmtId="0" fontId="39" fillId="35" borderId="0" xfId="0" applyFont="1" applyFill="1" applyAlignment="1">
      <alignment horizontal="center"/>
    </xf>
    <xf numFmtId="10" fontId="4" fillId="0" borderId="0" xfId="0" applyNumberFormat="1" applyFont="1" applyAlignment="1">
      <alignment horizontal="center"/>
    </xf>
    <xf numFmtId="1" fontId="4" fillId="0" borderId="0" xfId="0" applyNumberFormat="1" applyFont="1"/>
    <xf numFmtId="9" fontId="4" fillId="0" borderId="63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0" fontId="31" fillId="0" borderId="63" xfId="0" applyFont="1" applyBorder="1" applyAlignment="1">
      <alignment horizontal="center"/>
    </xf>
    <xf numFmtId="3" fontId="4" fillId="0" borderId="10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9" fontId="4" fillId="0" borderId="10" xfId="0" applyNumberFormat="1" applyFont="1" applyBorder="1" applyAlignment="1">
      <alignment horizontal="center"/>
    </xf>
    <xf numFmtId="0" fontId="40" fillId="0" borderId="63" xfId="0" applyFont="1" applyBorder="1" applyAlignment="1">
      <alignment horizontal="center"/>
    </xf>
    <xf numFmtId="164" fontId="40" fillId="0" borderId="10" xfId="0" applyNumberFormat="1" applyFont="1" applyBorder="1" applyAlignment="1">
      <alignment horizontal="center"/>
    </xf>
    <xf numFmtId="178" fontId="4" fillId="0" borderId="10" xfId="0" applyNumberFormat="1" applyFont="1" applyBorder="1" applyAlignment="1">
      <alignment horizontal="center"/>
    </xf>
    <xf numFmtId="0" fontId="2" fillId="40" borderId="27" xfId="0" applyFont="1" applyFill="1" applyBorder="1" applyAlignment="1">
      <alignment horizontal="center"/>
    </xf>
    <xf numFmtId="164" fontId="2" fillId="40" borderId="2" xfId="0" applyNumberFormat="1" applyFont="1" applyFill="1" applyBorder="1" applyAlignment="1">
      <alignment horizontal="center"/>
    </xf>
    <xf numFmtId="164" fontId="41" fillId="0" borderId="0" xfId="0" applyNumberFormat="1" applyFont="1"/>
    <xf numFmtId="10" fontId="4" fillId="0" borderId="10" xfId="0" applyNumberFormat="1" applyFont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8" fillId="3" borderId="3" xfId="0" applyFont="1" applyFill="1" applyBorder="1"/>
    <xf numFmtId="0" fontId="8" fillId="3" borderId="4" xfId="0" applyFont="1" applyFill="1" applyBorder="1"/>
    <xf numFmtId="164" fontId="8" fillId="3" borderId="4" xfId="0" applyNumberFormat="1" applyFont="1" applyFill="1" applyBorder="1"/>
    <xf numFmtId="179" fontId="8" fillId="3" borderId="4" xfId="0" applyNumberFormat="1" applyFont="1" applyFill="1" applyBorder="1" applyAlignment="1">
      <alignment horizontal="center"/>
    </xf>
    <xf numFmtId="179" fontId="8" fillId="3" borderId="4" xfId="0" applyNumberFormat="1" applyFont="1" applyFill="1" applyBorder="1"/>
    <xf numFmtId="0" fontId="31" fillId="0" borderId="8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2" fillId="41" borderId="0" xfId="0" applyFont="1" applyFill="1"/>
    <xf numFmtId="0" fontId="1" fillId="42" borderId="0" xfId="0" applyFont="1" applyFill="1" applyAlignment="1">
      <alignment horizontal="center"/>
    </xf>
    <xf numFmtId="0" fontId="8" fillId="43" borderId="0" xfId="0" applyFont="1" applyFill="1" applyAlignment="1">
      <alignment horizontal="center"/>
    </xf>
    <xf numFmtId="164" fontId="8" fillId="43" borderId="0" xfId="0" applyNumberFormat="1" applyFont="1" applyFill="1" applyAlignment="1">
      <alignment horizontal="center"/>
    </xf>
    <xf numFmtId="9" fontId="8" fillId="43" borderId="0" xfId="0" applyNumberFormat="1" applyFont="1" applyFill="1" applyAlignment="1">
      <alignment horizontal="center"/>
    </xf>
    <xf numFmtId="0" fontId="42" fillId="0" borderId="0" xfId="0" applyFont="1"/>
    <xf numFmtId="0" fontId="43" fillId="0" borderId="0" xfId="0" applyFont="1"/>
    <xf numFmtId="0" fontId="2" fillId="0" borderId="0" xfId="0" applyFont="1" applyAlignment="1">
      <alignment wrapText="1"/>
    </xf>
    <xf numFmtId="164" fontId="2" fillId="0" borderId="1" xfId="0" applyNumberFormat="1" applyFont="1" applyBorder="1"/>
    <xf numFmtId="174" fontId="4" fillId="0" borderId="0" xfId="0" applyNumberFormat="1" applyFont="1"/>
    <xf numFmtId="0" fontId="1" fillId="30" borderId="1" xfId="0" applyFont="1" applyFill="1" applyBorder="1" applyAlignment="1">
      <alignment horizontal="center"/>
    </xf>
    <xf numFmtId="0" fontId="11" fillId="33" borderId="1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164" fontId="31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8" fillId="0" borderId="0" xfId="0" applyFont="1" applyAlignment="1">
      <alignment horizontal="right"/>
    </xf>
    <xf numFmtId="0" fontId="11" fillId="44" borderId="1" xfId="0" applyFont="1" applyFill="1" applyBorder="1"/>
    <xf numFmtId="0" fontId="11" fillId="45" borderId="2" xfId="0" applyFont="1" applyFill="1" applyBorder="1"/>
    <xf numFmtId="0" fontId="11" fillId="46" borderId="2" xfId="0" applyFont="1" applyFill="1" applyBorder="1"/>
    <xf numFmtId="0" fontId="11" fillId="47" borderId="2" xfId="0" applyFont="1" applyFill="1" applyBorder="1"/>
    <xf numFmtId="0" fontId="1" fillId="39" borderId="2" xfId="0" applyFont="1" applyFill="1" applyBorder="1"/>
    <xf numFmtId="0" fontId="1" fillId="9" borderId="2" xfId="0" applyFont="1" applyFill="1" applyBorder="1"/>
    <xf numFmtId="0" fontId="1" fillId="48" borderId="2" xfId="0" applyFont="1" applyFill="1" applyBorder="1"/>
    <xf numFmtId="0" fontId="11" fillId="44" borderId="2" xfId="0" applyFont="1" applyFill="1" applyBorder="1"/>
    <xf numFmtId="15" fontId="8" fillId="0" borderId="2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2" xfId="0" applyFont="1" applyBorder="1"/>
    <xf numFmtId="0" fontId="8" fillId="0" borderId="3" xfId="0" applyFont="1" applyBorder="1" applyAlignment="1">
      <alignment horizontal="center"/>
    </xf>
    <xf numFmtId="0" fontId="11" fillId="44" borderId="4" xfId="0" applyFont="1" applyFill="1" applyBorder="1"/>
    <xf numFmtId="15" fontId="8" fillId="0" borderId="4" xfId="0" applyNumberFormat="1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11" fillId="45" borderId="4" xfId="0" applyFont="1" applyFill="1" applyBorder="1"/>
    <xf numFmtId="180" fontId="8" fillId="0" borderId="4" xfId="0" applyNumberFormat="1" applyFont="1" applyBorder="1" applyAlignment="1">
      <alignment horizontal="right"/>
    </xf>
    <xf numFmtId="0" fontId="11" fillId="46" borderId="4" xfId="0" applyFont="1" applyFill="1" applyBorder="1"/>
    <xf numFmtId="179" fontId="8" fillId="0" borderId="3" xfId="0" applyNumberFormat="1" applyFont="1" applyBorder="1" applyAlignment="1">
      <alignment horizontal="right"/>
    </xf>
    <xf numFmtId="0" fontId="11" fillId="47" borderId="4" xfId="0" applyFont="1" applyFill="1" applyBorder="1"/>
    <xf numFmtId="180" fontId="8" fillId="0" borderId="1" xfId="0" applyNumberFormat="1" applyFont="1" applyBorder="1" applyAlignment="1">
      <alignment horizontal="right"/>
    </xf>
    <xf numFmtId="0" fontId="1" fillId="39" borderId="4" xfId="0" applyFont="1" applyFill="1" applyBorder="1"/>
    <xf numFmtId="0" fontId="1" fillId="9" borderId="4" xfId="0" applyFont="1" applyFill="1" applyBorder="1"/>
    <xf numFmtId="0" fontId="11" fillId="44" borderId="3" xfId="0" applyFont="1" applyFill="1" applyBorder="1"/>
    <xf numFmtId="0" fontId="1" fillId="48" borderId="4" xfId="0" applyFont="1" applyFill="1" applyBorder="1"/>
    <xf numFmtId="15" fontId="8" fillId="0" borderId="1" xfId="0" applyNumberFormat="1" applyFont="1" applyBorder="1" applyAlignment="1">
      <alignment horizontal="right"/>
    </xf>
    <xf numFmtId="180" fontId="8" fillId="0" borderId="2" xfId="0" applyNumberFormat="1" applyFont="1" applyBorder="1" applyAlignment="1">
      <alignment horizontal="right"/>
    </xf>
    <xf numFmtId="3" fontId="8" fillId="0" borderId="4" xfId="0" applyNumberFormat="1" applyFont="1" applyBorder="1"/>
    <xf numFmtId="3" fontId="8" fillId="0" borderId="2" xfId="0" applyNumberFormat="1" applyFont="1" applyBorder="1"/>
    <xf numFmtId="0" fontId="11" fillId="47" borderId="1" xfId="0" applyFont="1" applyFill="1" applyBorder="1"/>
    <xf numFmtId="0" fontId="1" fillId="48" borderId="3" xfId="0" applyFont="1" applyFill="1" applyBorder="1"/>
    <xf numFmtId="0" fontId="1" fillId="9" borderId="3" xfId="0" applyFont="1" applyFill="1" applyBorder="1"/>
    <xf numFmtId="3" fontId="8" fillId="0" borderId="0" xfId="0" applyNumberFormat="1" applyFont="1"/>
    <xf numFmtId="0" fontId="8" fillId="49" borderId="1" xfId="0" applyFont="1" applyFill="1" applyBorder="1" applyAlignment="1">
      <alignment horizontal="center"/>
    </xf>
    <xf numFmtId="165" fontId="8" fillId="49" borderId="1" xfId="0" applyNumberFormat="1" applyFont="1" applyFill="1" applyBorder="1" applyAlignment="1">
      <alignment horizontal="center"/>
    </xf>
    <xf numFmtId="164" fontId="8" fillId="49" borderId="1" xfId="0" applyNumberFormat="1" applyFont="1" applyFill="1" applyBorder="1" applyAlignment="1">
      <alignment horizontal="center"/>
    </xf>
    <xf numFmtId="0" fontId="5" fillId="49" borderId="1" xfId="0" applyFont="1" applyFill="1" applyBorder="1" applyAlignment="1">
      <alignment horizontal="center"/>
    </xf>
    <xf numFmtId="0" fontId="4" fillId="49" borderId="1" xfId="0" applyFont="1" applyFill="1" applyBorder="1"/>
    <xf numFmtId="166" fontId="4" fillId="49" borderId="1" xfId="0" applyNumberFormat="1" applyFont="1" applyFill="1" applyBorder="1"/>
    <xf numFmtId="0" fontId="0" fillId="49" borderId="0" xfId="0" applyFill="1"/>
    <xf numFmtId="0" fontId="4" fillId="49" borderId="1" xfId="0" applyFont="1" applyFill="1" applyBorder="1" applyAlignment="1">
      <alignment horizontal="center"/>
    </xf>
    <xf numFmtId="165" fontId="5" fillId="49" borderId="1" xfId="0" applyNumberFormat="1" applyFont="1" applyFill="1" applyBorder="1" applyAlignment="1">
      <alignment horizontal="center"/>
    </xf>
    <xf numFmtId="164" fontId="4" fillId="49" borderId="1" xfId="0" applyNumberFormat="1" applyFont="1" applyFill="1" applyBorder="1" applyAlignment="1">
      <alignment horizontal="center"/>
    </xf>
    <xf numFmtId="0" fontId="11" fillId="10" borderId="3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7" fillId="0" borderId="0" xfId="0" applyFont="1"/>
    <xf numFmtId="0" fontId="22" fillId="32" borderId="0" xfId="0" applyFont="1" applyFill="1" applyAlignment="1">
      <alignment horizontal="center"/>
    </xf>
    <xf numFmtId="0" fontId="22" fillId="30" borderId="0" xfId="0" applyFont="1" applyFill="1" applyAlignment="1">
      <alignment horizontal="center"/>
    </xf>
    <xf numFmtId="0" fontId="22" fillId="34" borderId="0" xfId="0" applyFont="1" applyFill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/>
    </xf>
    <xf numFmtId="0" fontId="23" fillId="23" borderId="53" xfId="0" applyFont="1" applyFill="1" applyBorder="1" applyAlignment="1">
      <alignment horizontal="center"/>
    </xf>
    <xf numFmtId="0" fontId="2" fillId="30" borderId="63" xfId="0" applyFont="1" applyFill="1" applyBorder="1" applyAlignment="1">
      <alignment horizontal="center" vertical="center"/>
    </xf>
    <xf numFmtId="0" fontId="2" fillId="15" borderId="63" xfId="0" applyFont="1" applyFill="1" applyBorder="1" applyAlignment="1">
      <alignment horizontal="center" vertical="center"/>
    </xf>
    <xf numFmtId="0" fontId="2" fillId="13" borderId="27" xfId="0" applyFont="1" applyFill="1" applyBorder="1" applyAlignment="1">
      <alignment horizontal="center"/>
    </xf>
    <xf numFmtId="0" fontId="25" fillId="13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0" fontId="28" fillId="30" borderId="0" xfId="0" applyFont="1" applyFill="1" applyAlignment="1">
      <alignment horizontal="center"/>
    </xf>
    <xf numFmtId="0" fontId="22" fillId="30" borderId="0" xfId="0" applyFont="1" applyFill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6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0" fillId="0" borderId="6" xfId="0" applyFont="1" applyBorder="1" applyAlignment="1"/>
    <xf numFmtId="0" fontId="10" fillId="0" borderId="7" xfId="0" applyFont="1" applyBorder="1" applyAlignment="1"/>
    <xf numFmtId="0" fontId="10" fillId="0" borderId="8" xfId="0" applyFont="1" applyBorder="1" applyAlignment="1"/>
    <xf numFmtId="0" fontId="10" fillId="0" borderId="9" xfId="0" applyFont="1" applyBorder="1" applyAlignment="1"/>
    <xf numFmtId="0" fontId="10" fillId="0" borderId="4" xfId="0" applyFont="1" applyBorder="1" applyAlignment="1"/>
    <xf numFmtId="0" fontId="10" fillId="0" borderId="13" xfId="0" applyFont="1" applyBorder="1" applyAlignment="1"/>
    <xf numFmtId="0" fontId="10" fillId="0" borderId="14" xfId="0" applyFont="1" applyBorder="1" applyAlignment="1"/>
    <xf numFmtId="0" fontId="10" fillId="0" borderId="24" xfId="0" applyFont="1" applyBorder="1" applyAlignment="1"/>
    <xf numFmtId="0" fontId="10" fillId="0" borderId="34" xfId="0" applyFont="1" applyBorder="1" applyAlignment="1"/>
    <xf numFmtId="0" fontId="10" fillId="0" borderId="54" xfId="0" applyFont="1" applyBorder="1" applyAlignment="1"/>
    <xf numFmtId="0" fontId="10" fillId="0" borderId="55" xfId="0" applyFont="1" applyBorder="1" applyAlignment="1"/>
    <xf numFmtId="0" fontId="10" fillId="0" borderId="62" xfId="0" applyFont="1" applyBorder="1" applyAlignment="1"/>
    <xf numFmtId="0" fontId="10" fillId="0" borderId="2" xfId="0" applyFont="1" applyBorder="1" applyAlignment="1"/>
    <xf numFmtId="0" fontId="0" fillId="0" borderId="0" xfId="0" applyAlignment="1"/>
    <xf numFmtId="0" fontId="10" fillId="0" borderId="63" xfId="0" applyFont="1" applyBorder="1" applyAlignment="1"/>
    <xf numFmtId="0" fontId="8" fillId="0" borderId="0" xfId="0" applyFont="1" applyAlignment="1"/>
    <xf numFmtId="0" fontId="10" fillId="0" borderId="11" xfId="0" applyFont="1" applyBorder="1" applyAlignment="1"/>
    <xf numFmtId="0" fontId="10" fillId="0" borderId="3" xfId="0" applyFont="1" applyBorder="1" applyAlignment="1"/>
  </cellXfs>
  <cellStyles count="1">
    <cellStyle name="Normal" xfId="0" builtinId="0"/>
  </cellStyles>
  <dxfs count="14">
    <dxf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  <color rgb="FFFFFF00"/>
      </font>
      <fill>
        <patternFill patternType="solid">
          <fgColor rgb="FF000000"/>
          <bgColor rgb="FF000000"/>
        </patternFill>
      </fill>
    </dxf>
    <dxf>
      <font>
        <b/>
      </font>
      <fill>
        <patternFill patternType="solid">
          <fgColor rgb="FF741B47"/>
          <bgColor rgb="FF741B47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  <color rgb="FFFFFF00"/>
      </font>
      <fill>
        <patternFill patternType="solid">
          <fgColor rgb="FF000000"/>
          <bgColor rgb="FF000000"/>
        </patternFill>
      </fill>
    </dxf>
    <dxf>
      <font>
        <b/>
      </font>
      <fill>
        <patternFill patternType="solid">
          <fgColor rgb="FF741B47"/>
          <bgColor rgb="FF741B47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609600" cy="7334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609600" cy="7334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://sokos.c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tapia203@hotmail.com" TargetMode="External"/><Relationship Id="rId2" Type="http://schemas.openxmlformats.org/officeDocument/2006/relationships/hyperlink" Target="mailto:contacto@portalvoy.cl" TargetMode="External"/><Relationship Id="rId1" Type="http://schemas.openxmlformats.org/officeDocument/2006/relationships/hyperlink" Target="http://thedealer.c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promo.cl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70"/>
  <sheetViews>
    <sheetView workbookViewId="0">
      <pane ySplit="1" topLeftCell="B2" activePane="bottomLeft" state="frozen"/>
      <selection pane="bottomLeft" activeCell="B3" sqref="B3"/>
    </sheetView>
  </sheetViews>
  <sheetFormatPr defaultColWidth="14.42578125" defaultRowHeight="15" customHeight="1"/>
  <cols>
    <col min="1" max="1" width="25.28515625" customWidth="1"/>
    <col min="2" max="2" width="61.5703125" customWidth="1"/>
    <col min="3" max="3" width="63" customWidth="1"/>
    <col min="5" max="5" width="9.8554687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3"/>
    </row>
    <row r="2" spans="1:5">
      <c r="A2" s="4" t="s">
        <v>4</v>
      </c>
      <c r="B2" s="5" t="s">
        <v>5</v>
      </c>
      <c r="C2" s="5" t="s">
        <v>6</v>
      </c>
      <c r="D2" s="5" t="s">
        <v>7</v>
      </c>
      <c r="E2" s="6"/>
    </row>
    <row r="3" spans="1:5">
      <c r="A3" s="4" t="s">
        <v>8</v>
      </c>
      <c r="B3" s="5" t="s">
        <v>9</v>
      </c>
      <c r="C3" s="5" t="s">
        <v>10</v>
      </c>
      <c r="D3" s="5" t="s">
        <v>11</v>
      </c>
      <c r="E3" s="6"/>
    </row>
    <row r="4" spans="1:5">
      <c r="A4" s="4" t="s">
        <v>12</v>
      </c>
      <c r="B4" s="5" t="s">
        <v>13</v>
      </c>
      <c r="C4" s="5" t="s">
        <v>0</v>
      </c>
      <c r="D4" s="5" t="s">
        <v>14</v>
      </c>
      <c r="E4" s="6"/>
    </row>
    <row r="5" spans="1:5">
      <c r="A5" s="4" t="s">
        <v>15</v>
      </c>
      <c r="B5" s="5" t="s">
        <v>16</v>
      </c>
      <c r="C5" s="5" t="s">
        <v>17</v>
      </c>
      <c r="D5" s="5" t="s">
        <v>11</v>
      </c>
      <c r="E5" s="6"/>
    </row>
    <row r="6" spans="1:5">
      <c r="A6" s="4" t="s">
        <v>18</v>
      </c>
      <c r="B6" s="5" t="s">
        <v>19</v>
      </c>
      <c r="C6" s="5" t="s">
        <v>20</v>
      </c>
      <c r="D6" s="5" t="s">
        <v>11</v>
      </c>
      <c r="E6" s="6"/>
    </row>
    <row r="7" spans="1:5">
      <c r="A7" s="4" t="s">
        <v>21</v>
      </c>
      <c r="B7" s="5" t="s">
        <v>22</v>
      </c>
      <c r="C7" s="5" t="s">
        <v>23</v>
      </c>
      <c r="D7" s="5" t="s">
        <v>24</v>
      </c>
      <c r="E7" s="6"/>
    </row>
    <row r="8" spans="1:5">
      <c r="A8" s="4" t="s">
        <v>25</v>
      </c>
      <c r="B8" s="5" t="s">
        <v>26</v>
      </c>
      <c r="C8" s="5" t="s">
        <v>0</v>
      </c>
      <c r="D8" s="5" t="s">
        <v>11</v>
      </c>
      <c r="E8" s="6"/>
    </row>
    <row r="9" spans="1:5">
      <c r="A9" s="4" t="s">
        <v>27</v>
      </c>
      <c r="B9" s="5" t="s">
        <v>28</v>
      </c>
      <c r="C9" s="5" t="s">
        <v>29</v>
      </c>
      <c r="D9" s="5" t="s">
        <v>11</v>
      </c>
      <c r="E9" s="6"/>
    </row>
    <row r="10" spans="1:5">
      <c r="A10" s="4" t="s">
        <v>30</v>
      </c>
      <c r="B10" s="5" t="s">
        <v>31</v>
      </c>
      <c r="C10" s="5" t="s">
        <v>32</v>
      </c>
      <c r="D10" s="5" t="s">
        <v>11</v>
      </c>
      <c r="E10" s="6"/>
    </row>
    <row r="11" spans="1:5">
      <c r="A11" s="4" t="s">
        <v>33</v>
      </c>
      <c r="B11" s="5" t="s">
        <v>34</v>
      </c>
      <c r="C11" s="5" t="s">
        <v>35</v>
      </c>
      <c r="D11" s="5" t="s">
        <v>11</v>
      </c>
      <c r="E11" s="6"/>
    </row>
    <row r="12" spans="1:5">
      <c r="A12" s="4" t="s">
        <v>36</v>
      </c>
      <c r="B12" s="5" t="s">
        <v>19</v>
      </c>
      <c r="C12" s="5" t="s">
        <v>37</v>
      </c>
      <c r="D12" s="5" t="s">
        <v>38</v>
      </c>
      <c r="E12" s="6"/>
    </row>
    <row r="13" spans="1:5">
      <c r="A13" s="4" t="s">
        <v>39</v>
      </c>
      <c r="B13" s="5" t="s">
        <v>40</v>
      </c>
      <c r="C13" s="5" t="s">
        <v>41</v>
      </c>
      <c r="D13" s="5" t="s">
        <v>11</v>
      </c>
      <c r="E13" s="6"/>
    </row>
    <row r="14" spans="1:5">
      <c r="A14" s="7" t="s">
        <v>42</v>
      </c>
      <c r="B14" s="8" t="s">
        <v>43</v>
      </c>
      <c r="C14" s="7" t="s">
        <v>0</v>
      </c>
      <c r="D14" s="7" t="s">
        <v>7</v>
      </c>
      <c r="E14" s="6"/>
    </row>
    <row r="15" spans="1:5">
      <c r="A15" s="7" t="s">
        <v>44</v>
      </c>
      <c r="B15" s="8" t="s">
        <v>45</v>
      </c>
      <c r="C15" s="7" t="s">
        <v>0</v>
      </c>
      <c r="D15" s="7" t="s">
        <v>7</v>
      </c>
      <c r="E15" s="6"/>
    </row>
    <row r="16" spans="1:5">
      <c r="A16" s="7" t="s">
        <v>46</v>
      </c>
      <c r="B16" s="8" t="s">
        <v>47</v>
      </c>
      <c r="C16" s="7" t="s">
        <v>0</v>
      </c>
      <c r="D16" s="7" t="s">
        <v>7</v>
      </c>
      <c r="E16" s="6"/>
    </row>
    <row r="17" spans="1:5">
      <c r="A17" s="7" t="s">
        <v>48</v>
      </c>
      <c r="B17" s="8" t="s">
        <v>49</v>
      </c>
      <c r="C17" s="7" t="s">
        <v>50</v>
      </c>
      <c r="D17" s="7" t="s">
        <v>11</v>
      </c>
      <c r="E17" s="6"/>
    </row>
    <row r="18" spans="1:5">
      <c r="E18" s="6"/>
    </row>
    <row r="19" spans="1:5">
      <c r="E19" s="6"/>
    </row>
    <row r="20" spans="1:5">
      <c r="E20" s="6"/>
    </row>
    <row r="21" spans="1:5">
      <c r="E21" s="6"/>
    </row>
    <row r="22" spans="1:5">
      <c r="E22" s="6"/>
    </row>
    <row r="23" spans="1:5">
      <c r="E23" s="6"/>
    </row>
    <row r="24" spans="1:5">
      <c r="E24" s="6"/>
    </row>
    <row r="25" spans="1:5">
      <c r="E25" s="6"/>
    </row>
    <row r="26" spans="1:5">
      <c r="E26" s="6"/>
    </row>
    <row r="27" spans="1:5">
      <c r="E27" s="6"/>
    </row>
    <row r="28" spans="1:5">
      <c r="E28" s="6"/>
    </row>
    <row r="29" spans="1:5">
      <c r="E29" s="6"/>
    </row>
    <row r="30" spans="1:5">
      <c r="E30" s="6"/>
    </row>
    <row r="31" spans="1:5">
      <c r="E31" s="6"/>
    </row>
    <row r="32" spans="1:5">
      <c r="E32" s="6"/>
    </row>
    <row r="33" spans="5:5">
      <c r="E33" s="6"/>
    </row>
    <row r="34" spans="5:5">
      <c r="E34" s="6"/>
    </row>
    <row r="35" spans="5:5">
      <c r="E35" s="6"/>
    </row>
    <row r="36" spans="5:5">
      <c r="E36" s="6"/>
    </row>
    <row r="37" spans="5:5">
      <c r="E37" s="6"/>
    </row>
    <row r="38" spans="5:5">
      <c r="E38" s="6"/>
    </row>
    <row r="39" spans="5:5">
      <c r="E39" s="6"/>
    </row>
    <row r="40" spans="5:5">
      <c r="E40" s="6"/>
    </row>
    <row r="41" spans="5:5">
      <c r="E41" s="6"/>
    </row>
    <row r="42" spans="5:5">
      <c r="E42" s="6"/>
    </row>
    <row r="43" spans="5:5">
      <c r="E43" s="6"/>
    </row>
    <row r="44" spans="5:5">
      <c r="E44" s="6"/>
    </row>
    <row r="45" spans="5:5">
      <c r="E45" s="6"/>
    </row>
    <row r="46" spans="5:5">
      <c r="E46" s="6"/>
    </row>
    <row r="47" spans="5:5">
      <c r="E47" s="6"/>
    </row>
    <row r="48" spans="5:5">
      <c r="E48" s="6"/>
    </row>
    <row r="49" spans="5:5">
      <c r="E49" s="6"/>
    </row>
    <row r="50" spans="5:5">
      <c r="E50" s="6"/>
    </row>
    <row r="51" spans="5:5">
      <c r="E51" s="6"/>
    </row>
    <row r="52" spans="5:5">
      <c r="E52" s="6"/>
    </row>
    <row r="53" spans="5:5">
      <c r="E53" s="6"/>
    </row>
    <row r="54" spans="5:5">
      <c r="E54" s="6"/>
    </row>
    <row r="55" spans="5:5">
      <c r="E55" s="6"/>
    </row>
    <row r="56" spans="5:5">
      <c r="E56" s="6"/>
    </row>
    <row r="57" spans="5:5">
      <c r="E57" s="6"/>
    </row>
    <row r="58" spans="5:5">
      <c r="E58" s="6"/>
    </row>
    <row r="59" spans="5:5">
      <c r="E59" s="6"/>
    </row>
    <row r="60" spans="5:5">
      <c r="E60" s="6"/>
    </row>
    <row r="61" spans="5:5">
      <c r="E61" s="6"/>
    </row>
    <row r="62" spans="5:5">
      <c r="E62" s="6"/>
    </row>
    <row r="63" spans="5:5">
      <c r="E63" s="6"/>
    </row>
    <row r="64" spans="5:5">
      <c r="E64" s="6"/>
    </row>
    <row r="65" spans="5:5">
      <c r="E65" s="6"/>
    </row>
    <row r="66" spans="5:5">
      <c r="E66" s="6"/>
    </row>
    <row r="67" spans="5:5">
      <c r="E67" s="6"/>
    </row>
    <row r="68" spans="5:5">
      <c r="E68" s="6"/>
    </row>
    <row r="69" spans="5:5">
      <c r="E69" s="6"/>
    </row>
    <row r="70" spans="5:5">
      <c r="E70" s="6"/>
    </row>
    <row r="71" spans="5:5">
      <c r="E71" s="6"/>
    </row>
    <row r="72" spans="5:5">
      <c r="E72" s="6"/>
    </row>
    <row r="73" spans="5:5">
      <c r="E73" s="6"/>
    </row>
    <row r="74" spans="5:5">
      <c r="E74" s="6"/>
    </row>
    <row r="75" spans="5:5">
      <c r="E75" s="6"/>
    </row>
    <row r="76" spans="5:5">
      <c r="E76" s="6"/>
    </row>
    <row r="77" spans="5:5">
      <c r="E77" s="6"/>
    </row>
    <row r="78" spans="5:5">
      <c r="E78" s="6"/>
    </row>
    <row r="79" spans="5:5">
      <c r="E79" s="6"/>
    </row>
    <row r="80" spans="5:5">
      <c r="E80" s="6"/>
    </row>
    <row r="81" spans="5:5">
      <c r="E81" s="6"/>
    </row>
    <row r="82" spans="5:5">
      <c r="E82" s="6"/>
    </row>
    <row r="83" spans="5:5">
      <c r="E83" s="6"/>
    </row>
    <row r="84" spans="5:5">
      <c r="E84" s="6"/>
    </row>
    <row r="85" spans="5:5">
      <c r="E85" s="6"/>
    </row>
    <row r="86" spans="5:5">
      <c r="E86" s="6"/>
    </row>
    <row r="87" spans="5:5">
      <c r="E87" s="6"/>
    </row>
    <row r="88" spans="5:5">
      <c r="E88" s="6"/>
    </row>
    <row r="89" spans="5:5">
      <c r="E89" s="6"/>
    </row>
    <row r="90" spans="5:5">
      <c r="E90" s="6"/>
    </row>
    <row r="91" spans="5:5">
      <c r="E91" s="6"/>
    </row>
    <row r="92" spans="5:5">
      <c r="E92" s="6"/>
    </row>
    <row r="93" spans="5:5">
      <c r="E93" s="6"/>
    </row>
    <row r="94" spans="5:5">
      <c r="E94" s="6"/>
    </row>
    <row r="95" spans="5:5">
      <c r="E95" s="6"/>
    </row>
    <row r="96" spans="5:5">
      <c r="E96" s="6"/>
    </row>
    <row r="97" spans="5:5">
      <c r="E97" s="6"/>
    </row>
    <row r="98" spans="5:5">
      <c r="E98" s="6"/>
    </row>
    <row r="99" spans="5:5">
      <c r="E99" s="6"/>
    </row>
    <row r="100" spans="5:5">
      <c r="E100" s="6"/>
    </row>
    <row r="101" spans="5:5">
      <c r="E101" s="6"/>
    </row>
    <row r="102" spans="5:5">
      <c r="E102" s="6"/>
    </row>
    <row r="103" spans="5:5">
      <c r="E103" s="6"/>
    </row>
    <row r="104" spans="5:5">
      <c r="E104" s="6"/>
    </row>
    <row r="105" spans="5:5">
      <c r="E105" s="6"/>
    </row>
    <row r="106" spans="5:5">
      <c r="E106" s="6"/>
    </row>
    <row r="107" spans="5:5">
      <c r="E107" s="6"/>
    </row>
    <row r="108" spans="5:5">
      <c r="E108" s="6"/>
    </row>
    <row r="109" spans="5:5">
      <c r="E109" s="6"/>
    </row>
    <row r="110" spans="5:5">
      <c r="E110" s="6"/>
    </row>
    <row r="111" spans="5:5">
      <c r="E111" s="6"/>
    </row>
    <row r="112" spans="5:5">
      <c r="E112" s="6"/>
    </row>
    <row r="113" spans="5:5">
      <c r="E113" s="6"/>
    </row>
    <row r="114" spans="5:5">
      <c r="E114" s="6"/>
    </row>
    <row r="115" spans="5:5">
      <c r="E115" s="6"/>
    </row>
    <row r="116" spans="5:5">
      <c r="E116" s="6"/>
    </row>
    <row r="117" spans="5:5">
      <c r="E117" s="6"/>
    </row>
    <row r="118" spans="5:5">
      <c r="E118" s="6"/>
    </row>
    <row r="119" spans="5:5">
      <c r="E119" s="6"/>
    </row>
    <row r="120" spans="5:5">
      <c r="E120" s="6"/>
    </row>
    <row r="121" spans="5:5">
      <c r="E121" s="6"/>
    </row>
    <row r="122" spans="5:5">
      <c r="E122" s="6"/>
    </row>
    <row r="123" spans="5:5">
      <c r="E123" s="6"/>
    </row>
    <row r="124" spans="5:5">
      <c r="E124" s="6"/>
    </row>
    <row r="125" spans="5:5">
      <c r="E125" s="6"/>
    </row>
    <row r="126" spans="5:5">
      <c r="E126" s="6"/>
    </row>
    <row r="127" spans="5:5">
      <c r="E127" s="6"/>
    </row>
    <row r="128" spans="5:5">
      <c r="E128" s="6"/>
    </row>
    <row r="129" spans="5:5">
      <c r="E129" s="6"/>
    </row>
    <row r="130" spans="5:5">
      <c r="E130" s="6"/>
    </row>
    <row r="131" spans="5:5">
      <c r="E131" s="6"/>
    </row>
    <row r="132" spans="5:5">
      <c r="E132" s="6"/>
    </row>
    <row r="133" spans="5:5">
      <c r="E133" s="6"/>
    </row>
    <row r="134" spans="5:5">
      <c r="E134" s="6"/>
    </row>
    <row r="135" spans="5:5">
      <c r="E135" s="6"/>
    </row>
    <row r="136" spans="5:5">
      <c r="E136" s="6"/>
    </row>
    <row r="137" spans="5:5">
      <c r="E137" s="6"/>
    </row>
    <row r="138" spans="5:5">
      <c r="E138" s="6"/>
    </row>
    <row r="139" spans="5:5">
      <c r="E139" s="6"/>
    </row>
    <row r="140" spans="5:5">
      <c r="E140" s="6"/>
    </row>
    <row r="141" spans="5:5">
      <c r="E141" s="6"/>
    </row>
    <row r="142" spans="5:5">
      <c r="E142" s="6"/>
    </row>
    <row r="143" spans="5:5">
      <c r="E143" s="6"/>
    </row>
    <row r="144" spans="5:5">
      <c r="E144" s="6"/>
    </row>
    <row r="145" spans="5:5">
      <c r="E145" s="6"/>
    </row>
    <row r="146" spans="5:5">
      <c r="E146" s="6"/>
    </row>
    <row r="147" spans="5:5">
      <c r="E147" s="6"/>
    </row>
    <row r="148" spans="5:5">
      <c r="E148" s="6"/>
    </row>
    <row r="149" spans="5:5">
      <c r="E149" s="6"/>
    </row>
    <row r="150" spans="5:5">
      <c r="E150" s="6"/>
    </row>
    <row r="151" spans="5:5">
      <c r="E151" s="6"/>
    </row>
    <row r="152" spans="5:5">
      <c r="E152" s="6"/>
    </row>
    <row r="153" spans="5:5">
      <c r="E153" s="6"/>
    </row>
    <row r="154" spans="5:5">
      <c r="E154" s="6"/>
    </row>
    <row r="155" spans="5:5">
      <c r="E155" s="6"/>
    </row>
    <row r="156" spans="5:5">
      <c r="E156" s="6"/>
    </row>
    <row r="157" spans="5:5">
      <c r="E157" s="6"/>
    </row>
    <row r="158" spans="5:5">
      <c r="E158" s="6"/>
    </row>
    <row r="159" spans="5:5">
      <c r="E159" s="6"/>
    </row>
    <row r="160" spans="5:5">
      <c r="E160" s="6"/>
    </row>
    <row r="161" spans="5:5">
      <c r="E161" s="6"/>
    </row>
    <row r="162" spans="5:5">
      <c r="E162" s="6"/>
    </row>
    <row r="163" spans="5:5">
      <c r="E163" s="6"/>
    </row>
    <row r="164" spans="5:5">
      <c r="E164" s="6"/>
    </row>
    <row r="165" spans="5:5">
      <c r="E165" s="6"/>
    </row>
    <row r="166" spans="5:5">
      <c r="E166" s="6"/>
    </row>
    <row r="167" spans="5:5">
      <c r="E167" s="6"/>
    </row>
    <row r="168" spans="5:5">
      <c r="E168" s="6"/>
    </row>
    <row r="169" spans="5:5">
      <c r="E169" s="6"/>
    </row>
    <row r="170" spans="5:5">
      <c r="E170" s="6"/>
    </row>
    <row r="171" spans="5:5">
      <c r="E171" s="6"/>
    </row>
    <row r="172" spans="5:5">
      <c r="E172" s="6"/>
    </row>
    <row r="173" spans="5:5">
      <c r="E173" s="6"/>
    </row>
    <row r="174" spans="5:5">
      <c r="E174" s="6"/>
    </row>
    <row r="175" spans="5:5">
      <c r="E175" s="6"/>
    </row>
    <row r="176" spans="5:5">
      <c r="E176" s="6"/>
    </row>
    <row r="177" spans="5:5">
      <c r="E177" s="6"/>
    </row>
    <row r="178" spans="5:5">
      <c r="E178" s="6"/>
    </row>
    <row r="179" spans="5:5">
      <c r="E179" s="6"/>
    </row>
    <row r="180" spans="5:5">
      <c r="E180" s="6"/>
    </row>
    <row r="181" spans="5:5">
      <c r="E181" s="6"/>
    </row>
    <row r="182" spans="5:5">
      <c r="E182" s="6"/>
    </row>
    <row r="183" spans="5:5">
      <c r="E183" s="6"/>
    </row>
    <row r="184" spans="5:5">
      <c r="E184" s="6"/>
    </row>
    <row r="185" spans="5:5">
      <c r="E185" s="6"/>
    </row>
    <row r="186" spans="5:5">
      <c r="E186" s="6"/>
    </row>
    <row r="187" spans="5:5">
      <c r="E187" s="6"/>
    </row>
    <row r="188" spans="5:5">
      <c r="E188" s="6"/>
    </row>
    <row r="189" spans="5:5">
      <c r="E189" s="6"/>
    </row>
    <row r="190" spans="5:5">
      <c r="E190" s="6"/>
    </row>
    <row r="191" spans="5:5">
      <c r="E191" s="6"/>
    </row>
    <row r="192" spans="5:5">
      <c r="E192" s="6"/>
    </row>
    <row r="193" spans="5:5">
      <c r="E193" s="6"/>
    </row>
    <row r="194" spans="5:5">
      <c r="E194" s="6"/>
    </row>
    <row r="195" spans="5:5">
      <c r="E195" s="6"/>
    </row>
    <row r="196" spans="5:5">
      <c r="E196" s="6"/>
    </row>
    <row r="197" spans="5:5">
      <c r="E197" s="6"/>
    </row>
    <row r="198" spans="5:5">
      <c r="E198" s="6"/>
    </row>
    <row r="199" spans="5:5">
      <c r="E199" s="6"/>
    </row>
    <row r="200" spans="5:5">
      <c r="E200" s="6"/>
    </row>
    <row r="201" spans="5:5">
      <c r="E201" s="6"/>
    </row>
    <row r="202" spans="5:5">
      <c r="E202" s="6"/>
    </row>
    <row r="203" spans="5:5">
      <c r="E203" s="6"/>
    </row>
    <row r="204" spans="5:5">
      <c r="E204" s="6"/>
    </row>
    <row r="205" spans="5:5">
      <c r="E205" s="6"/>
    </row>
    <row r="206" spans="5:5">
      <c r="E206" s="6"/>
    </row>
    <row r="207" spans="5:5">
      <c r="E207" s="6"/>
    </row>
    <row r="208" spans="5:5">
      <c r="E208" s="6"/>
    </row>
    <row r="209" spans="5:5">
      <c r="E209" s="6"/>
    </row>
    <row r="210" spans="5:5">
      <c r="E210" s="6"/>
    </row>
    <row r="211" spans="5:5">
      <c r="E211" s="6"/>
    </row>
    <row r="212" spans="5:5">
      <c r="E212" s="6"/>
    </row>
    <row r="213" spans="5:5">
      <c r="E213" s="6"/>
    </row>
    <row r="214" spans="5:5">
      <c r="E214" s="6"/>
    </row>
    <row r="215" spans="5:5">
      <c r="E215" s="6"/>
    </row>
    <row r="216" spans="5:5">
      <c r="E216" s="6"/>
    </row>
    <row r="217" spans="5:5">
      <c r="E217" s="6"/>
    </row>
    <row r="218" spans="5:5">
      <c r="E218" s="6"/>
    </row>
    <row r="219" spans="5:5">
      <c r="E219" s="6"/>
    </row>
    <row r="220" spans="5:5">
      <c r="E220" s="6"/>
    </row>
    <row r="221" spans="5:5">
      <c r="E221" s="6"/>
    </row>
    <row r="222" spans="5:5">
      <c r="E222" s="6"/>
    </row>
    <row r="223" spans="5:5">
      <c r="E223" s="6"/>
    </row>
    <row r="224" spans="5:5">
      <c r="E224" s="6"/>
    </row>
    <row r="225" spans="5:5">
      <c r="E225" s="6"/>
    </row>
    <row r="226" spans="5:5">
      <c r="E226" s="6"/>
    </row>
    <row r="227" spans="5:5">
      <c r="E227" s="6"/>
    </row>
    <row r="228" spans="5:5">
      <c r="E228" s="6"/>
    </row>
    <row r="229" spans="5:5">
      <c r="E229" s="6"/>
    </row>
    <row r="230" spans="5:5">
      <c r="E230" s="6"/>
    </row>
    <row r="231" spans="5:5">
      <c r="E231" s="6"/>
    </row>
    <row r="232" spans="5:5">
      <c r="E232" s="6"/>
    </row>
    <row r="233" spans="5:5">
      <c r="E233" s="6"/>
    </row>
    <row r="234" spans="5:5">
      <c r="E234" s="6"/>
    </row>
    <row r="235" spans="5:5">
      <c r="E235" s="6"/>
    </row>
    <row r="236" spans="5:5">
      <c r="E236" s="6"/>
    </row>
    <row r="237" spans="5:5">
      <c r="E237" s="6"/>
    </row>
    <row r="238" spans="5:5">
      <c r="E238" s="6"/>
    </row>
    <row r="239" spans="5:5">
      <c r="E239" s="6"/>
    </row>
    <row r="240" spans="5:5">
      <c r="E240" s="6"/>
    </row>
    <row r="241" spans="5:5">
      <c r="E241" s="6"/>
    </row>
    <row r="242" spans="5:5">
      <c r="E242" s="6"/>
    </row>
    <row r="243" spans="5:5">
      <c r="E243" s="6"/>
    </row>
    <row r="244" spans="5:5">
      <c r="E244" s="6"/>
    </row>
    <row r="245" spans="5:5">
      <c r="E245" s="6"/>
    </row>
    <row r="246" spans="5:5">
      <c r="E246" s="6"/>
    </row>
    <row r="247" spans="5:5">
      <c r="E247" s="6"/>
    </row>
    <row r="248" spans="5:5">
      <c r="E248" s="6"/>
    </row>
    <row r="249" spans="5:5">
      <c r="E249" s="6"/>
    </row>
    <row r="250" spans="5:5">
      <c r="E250" s="6"/>
    </row>
    <row r="251" spans="5:5">
      <c r="E251" s="6"/>
    </row>
    <row r="252" spans="5:5">
      <c r="E252" s="6"/>
    </row>
    <row r="253" spans="5:5">
      <c r="E253" s="6"/>
    </row>
    <row r="254" spans="5:5">
      <c r="E254" s="6"/>
    </row>
    <row r="255" spans="5:5">
      <c r="E255" s="6"/>
    </row>
    <row r="256" spans="5:5">
      <c r="E256" s="6"/>
    </row>
    <row r="257" spans="5:5">
      <c r="E257" s="6"/>
    </row>
    <row r="258" spans="5:5">
      <c r="E258" s="6"/>
    </row>
    <row r="259" spans="5:5">
      <c r="E259" s="6"/>
    </row>
    <row r="260" spans="5:5">
      <c r="E260" s="6"/>
    </row>
    <row r="261" spans="5:5">
      <c r="E261" s="6"/>
    </row>
    <row r="262" spans="5:5">
      <c r="E262" s="6"/>
    </row>
    <row r="263" spans="5:5">
      <c r="E263" s="6"/>
    </row>
    <row r="264" spans="5:5">
      <c r="E264" s="6"/>
    </row>
    <row r="265" spans="5:5">
      <c r="E265" s="6"/>
    </row>
    <row r="266" spans="5:5">
      <c r="E266" s="6"/>
    </row>
    <row r="267" spans="5:5">
      <c r="E267" s="6"/>
    </row>
    <row r="268" spans="5:5">
      <c r="E268" s="6"/>
    </row>
    <row r="269" spans="5:5">
      <c r="E269" s="6"/>
    </row>
    <row r="270" spans="5:5">
      <c r="E270" s="6"/>
    </row>
    <row r="271" spans="5:5">
      <c r="E271" s="6"/>
    </row>
    <row r="272" spans="5:5">
      <c r="E272" s="6"/>
    </row>
    <row r="273" spans="5:5">
      <c r="E273" s="6"/>
    </row>
    <row r="274" spans="5:5">
      <c r="E274" s="6"/>
    </row>
    <row r="275" spans="5:5">
      <c r="E275" s="6"/>
    </row>
    <row r="276" spans="5:5">
      <c r="E276" s="6"/>
    </row>
    <row r="277" spans="5:5">
      <c r="E277" s="6"/>
    </row>
    <row r="278" spans="5:5">
      <c r="E278" s="6"/>
    </row>
    <row r="279" spans="5:5">
      <c r="E279" s="6"/>
    </row>
    <row r="280" spans="5:5">
      <c r="E280" s="6"/>
    </row>
    <row r="281" spans="5:5">
      <c r="E281" s="6"/>
    </row>
    <row r="282" spans="5:5">
      <c r="E282" s="6"/>
    </row>
    <row r="283" spans="5:5">
      <c r="E283" s="6"/>
    </row>
    <row r="284" spans="5:5">
      <c r="E284" s="6"/>
    </row>
    <row r="285" spans="5:5">
      <c r="E285" s="6"/>
    </row>
    <row r="286" spans="5:5">
      <c r="E286" s="6"/>
    </row>
    <row r="287" spans="5:5">
      <c r="E287" s="6"/>
    </row>
    <row r="288" spans="5:5">
      <c r="E288" s="6"/>
    </row>
    <row r="289" spans="5:5">
      <c r="E289" s="6"/>
    </row>
    <row r="290" spans="5:5">
      <c r="E290" s="6"/>
    </row>
    <row r="291" spans="5:5">
      <c r="E291" s="6"/>
    </row>
    <row r="292" spans="5:5">
      <c r="E292" s="6"/>
    </row>
    <row r="293" spans="5:5">
      <c r="E293" s="6"/>
    </row>
    <row r="294" spans="5:5">
      <c r="E294" s="6"/>
    </row>
    <row r="295" spans="5:5">
      <c r="E295" s="6"/>
    </row>
    <row r="296" spans="5:5">
      <c r="E296" s="6"/>
    </row>
    <row r="297" spans="5:5">
      <c r="E297" s="6"/>
    </row>
    <row r="298" spans="5:5">
      <c r="E298" s="6"/>
    </row>
    <row r="299" spans="5:5">
      <c r="E299" s="6"/>
    </row>
    <row r="300" spans="5:5">
      <c r="E300" s="6"/>
    </row>
    <row r="301" spans="5:5">
      <c r="E301" s="6"/>
    </row>
    <row r="302" spans="5:5">
      <c r="E302" s="6"/>
    </row>
    <row r="303" spans="5:5">
      <c r="E303" s="6"/>
    </row>
    <row r="304" spans="5:5">
      <c r="E304" s="6"/>
    </row>
    <row r="305" spans="5:5">
      <c r="E305" s="6"/>
    </row>
    <row r="306" spans="5:5">
      <c r="E306" s="6"/>
    </row>
    <row r="307" spans="5:5">
      <c r="E307" s="6"/>
    </row>
    <row r="308" spans="5:5">
      <c r="E308" s="6"/>
    </row>
    <row r="309" spans="5:5">
      <c r="E309" s="6"/>
    </row>
    <row r="310" spans="5:5">
      <c r="E310" s="6"/>
    </row>
    <row r="311" spans="5:5">
      <c r="E311" s="6"/>
    </row>
    <row r="312" spans="5:5">
      <c r="E312" s="6"/>
    </row>
    <row r="313" spans="5:5">
      <c r="E313" s="6"/>
    </row>
    <row r="314" spans="5:5">
      <c r="E314" s="6"/>
    </row>
    <row r="315" spans="5:5">
      <c r="E315" s="6"/>
    </row>
    <row r="316" spans="5:5">
      <c r="E316" s="6"/>
    </row>
    <row r="317" spans="5:5">
      <c r="E317" s="6"/>
    </row>
    <row r="318" spans="5:5">
      <c r="E318" s="6"/>
    </row>
    <row r="319" spans="5:5">
      <c r="E319" s="6"/>
    </row>
    <row r="320" spans="5:5">
      <c r="E320" s="6"/>
    </row>
    <row r="321" spans="5:5">
      <c r="E321" s="6"/>
    </row>
    <row r="322" spans="5:5">
      <c r="E322" s="6"/>
    </row>
    <row r="323" spans="5:5">
      <c r="E323" s="6"/>
    </row>
    <row r="324" spans="5:5">
      <c r="E324" s="6"/>
    </row>
    <row r="325" spans="5:5">
      <c r="E325" s="6"/>
    </row>
    <row r="326" spans="5:5">
      <c r="E326" s="6"/>
    </row>
    <row r="327" spans="5:5">
      <c r="E327" s="6"/>
    </row>
    <row r="328" spans="5:5">
      <c r="E328" s="6"/>
    </row>
    <row r="329" spans="5:5">
      <c r="E329" s="6"/>
    </row>
    <row r="330" spans="5:5">
      <c r="E330" s="6"/>
    </row>
    <row r="331" spans="5:5">
      <c r="E331" s="6"/>
    </row>
    <row r="332" spans="5:5">
      <c r="E332" s="6"/>
    </row>
    <row r="333" spans="5:5">
      <c r="E333" s="6"/>
    </row>
    <row r="334" spans="5:5">
      <c r="E334" s="6"/>
    </row>
    <row r="335" spans="5:5">
      <c r="E335" s="6"/>
    </row>
    <row r="336" spans="5:5">
      <c r="E336" s="6"/>
    </row>
    <row r="337" spans="5:5">
      <c r="E337" s="6"/>
    </row>
    <row r="338" spans="5:5">
      <c r="E338" s="6"/>
    </row>
    <row r="339" spans="5:5">
      <c r="E339" s="6"/>
    </row>
    <row r="340" spans="5:5">
      <c r="E340" s="6"/>
    </row>
    <row r="341" spans="5:5">
      <c r="E341" s="6"/>
    </row>
    <row r="342" spans="5:5">
      <c r="E342" s="6"/>
    </row>
    <row r="343" spans="5:5">
      <c r="E343" s="6"/>
    </row>
    <row r="344" spans="5:5">
      <c r="E344" s="6"/>
    </row>
    <row r="345" spans="5:5">
      <c r="E345" s="6"/>
    </row>
    <row r="346" spans="5:5">
      <c r="E346" s="6"/>
    </row>
    <row r="347" spans="5:5">
      <c r="E347" s="6"/>
    </row>
    <row r="348" spans="5:5">
      <c r="E348" s="6"/>
    </row>
    <row r="349" spans="5:5">
      <c r="E349" s="6"/>
    </row>
    <row r="350" spans="5:5">
      <c r="E350" s="6"/>
    </row>
    <row r="351" spans="5:5">
      <c r="E351" s="6"/>
    </row>
    <row r="352" spans="5:5">
      <c r="E352" s="6"/>
    </row>
    <row r="353" spans="5:5">
      <c r="E353" s="6"/>
    </row>
    <row r="354" spans="5:5">
      <c r="E354" s="6"/>
    </row>
    <row r="355" spans="5:5">
      <c r="E355" s="6"/>
    </row>
    <row r="356" spans="5:5">
      <c r="E356" s="6"/>
    </row>
    <row r="357" spans="5:5">
      <c r="E357" s="6"/>
    </row>
    <row r="358" spans="5:5">
      <c r="E358" s="6"/>
    </row>
    <row r="359" spans="5:5">
      <c r="E359" s="6"/>
    </row>
    <row r="360" spans="5:5">
      <c r="E360" s="6"/>
    </row>
    <row r="361" spans="5:5">
      <c r="E361" s="6"/>
    </row>
    <row r="362" spans="5:5">
      <c r="E362" s="6"/>
    </row>
    <row r="363" spans="5:5">
      <c r="E363" s="6"/>
    </row>
    <row r="364" spans="5:5">
      <c r="E364" s="6"/>
    </row>
    <row r="365" spans="5:5">
      <c r="E365" s="6"/>
    </row>
    <row r="366" spans="5:5">
      <c r="E366" s="6"/>
    </row>
    <row r="367" spans="5:5">
      <c r="E367" s="6"/>
    </row>
    <row r="368" spans="5:5">
      <c r="E368" s="6"/>
    </row>
    <row r="369" spans="5:5">
      <c r="E369" s="6"/>
    </row>
    <row r="370" spans="5:5">
      <c r="E370" s="6"/>
    </row>
    <row r="371" spans="5:5">
      <c r="E371" s="6"/>
    </row>
    <row r="372" spans="5:5">
      <c r="E372" s="6"/>
    </row>
    <row r="373" spans="5:5">
      <c r="E373" s="6"/>
    </row>
    <row r="374" spans="5:5">
      <c r="E374" s="6"/>
    </row>
    <row r="375" spans="5:5">
      <c r="E375" s="6"/>
    </row>
    <row r="376" spans="5:5">
      <c r="E376" s="6"/>
    </row>
    <row r="377" spans="5:5">
      <c r="E377" s="6"/>
    </row>
    <row r="378" spans="5:5">
      <c r="E378" s="6"/>
    </row>
    <row r="379" spans="5:5">
      <c r="E379" s="6"/>
    </row>
    <row r="380" spans="5:5">
      <c r="E380" s="6"/>
    </row>
    <row r="381" spans="5:5">
      <c r="E381" s="6"/>
    </row>
    <row r="382" spans="5:5">
      <c r="E382" s="6"/>
    </row>
    <row r="383" spans="5:5">
      <c r="E383" s="6"/>
    </row>
    <row r="384" spans="5:5">
      <c r="E384" s="6"/>
    </row>
    <row r="385" spans="5:5">
      <c r="E385" s="6"/>
    </row>
    <row r="386" spans="5:5">
      <c r="E386" s="6"/>
    </row>
    <row r="387" spans="5:5">
      <c r="E387" s="6"/>
    </row>
    <row r="388" spans="5:5">
      <c r="E388" s="6"/>
    </row>
    <row r="389" spans="5:5">
      <c r="E389" s="6"/>
    </row>
    <row r="390" spans="5:5">
      <c r="E390" s="6"/>
    </row>
    <row r="391" spans="5:5">
      <c r="E391" s="6"/>
    </row>
    <row r="392" spans="5:5">
      <c r="E392" s="6"/>
    </row>
    <row r="393" spans="5:5">
      <c r="E393" s="6"/>
    </row>
    <row r="394" spans="5:5">
      <c r="E394" s="6"/>
    </row>
    <row r="395" spans="5:5">
      <c r="E395" s="6"/>
    </row>
    <row r="396" spans="5:5">
      <c r="E396" s="6"/>
    </row>
    <row r="397" spans="5:5">
      <c r="E397" s="6"/>
    </row>
    <row r="398" spans="5:5">
      <c r="E398" s="6"/>
    </row>
    <row r="399" spans="5:5">
      <c r="E399" s="6"/>
    </row>
    <row r="400" spans="5:5">
      <c r="E400" s="6"/>
    </row>
    <row r="401" spans="5:5">
      <c r="E401" s="6"/>
    </row>
    <row r="402" spans="5:5">
      <c r="E402" s="6"/>
    </row>
    <row r="403" spans="5:5">
      <c r="E403" s="6"/>
    </row>
    <row r="404" spans="5:5">
      <c r="E404" s="6"/>
    </row>
    <row r="405" spans="5:5">
      <c r="E405" s="6"/>
    </row>
    <row r="406" spans="5:5">
      <c r="E406" s="6"/>
    </row>
    <row r="407" spans="5:5">
      <c r="E407" s="6"/>
    </row>
    <row r="408" spans="5:5">
      <c r="E408" s="6"/>
    </row>
    <row r="409" spans="5:5">
      <c r="E409" s="6"/>
    </row>
    <row r="410" spans="5:5">
      <c r="E410" s="6"/>
    </row>
    <row r="411" spans="5:5">
      <c r="E411" s="6"/>
    </row>
    <row r="412" spans="5:5">
      <c r="E412" s="6"/>
    </row>
    <row r="413" spans="5:5">
      <c r="E413" s="6"/>
    </row>
    <row r="414" spans="5:5">
      <c r="E414" s="6"/>
    </row>
    <row r="415" spans="5:5">
      <c r="E415" s="6"/>
    </row>
    <row r="416" spans="5:5">
      <c r="E416" s="6"/>
    </row>
    <row r="417" spans="5:5">
      <c r="E417" s="6"/>
    </row>
    <row r="418" spans="5:5">
      <c r="E418" s="6"/>
    </row>
    <row r="419" spans="5:5">
      <c r="E419" s="6"/>
    </row>
    <row r="420" spans="5:5">
      <c r="E420" s="6"/>
    </row>
    <row r="421" spans="5:5">
      <c r="E421" s="6"/>
    </row>
    <row r="422" spans="5:5">
      <c r="E422" s="6"/>
    </row>
    <row r="423" spans="5:5">
      <c r="E423" s="6"/>
    </row>
    <row r="424" spans="5:5">
      <c r="E424" s="6"/>
    </row>
    <row r="425" spans="5:5">
      <c r="E425" s="6"/>
    </row>
    <row r="426" spans="5:5">
      <c r="E426" s="6"/>
    </row>
    <row r="427" spans="5:5">
      <c r="E427" s="6"/>
    </row>
    <row r="428" spans="5:5">
      <c r="E428" s="6"/>
    </row>
    <row r="429" spans="5:5">
      <c r="E429" s="6"/>
    </row>
    <row r="430" spans="5:5">
      <c r="E430" s="6"/>
    </row>
    <row r="431" spans="5:5">
      <c r="E431" s="6"/>
    </row>
    <row r="432" spans="5:5">
      <c r="E432" s="6"/>
    </row>
    <row r="433" spans="5:5">
      <c r="E433" s="6"/>
    </row>
    <row r="434" spans="5:5">
      <c r="E434" s="6"/>
    </row>
    <row r="435" spans="5:5">
      <c r="E435" s="6"/>
    </row>
    <row r="436" spans="5:5">
      <c r="E436" s="6"/>
    </row>
    <row r="437" spans="5:5">
      <c r="E437" s="6"/>
    </row>
    <row r="438" spans="5:5">
      <c r="E438" s="6"/>
    </row>
    <row r="439" spans="5:5">
      <c r="E439" s="6"/>
    </row>
    <row r="440" spans="5:5">
      <c r="E440" s="6"/>
    </row>
    <row r="441" spans="5:5">
      <c r="E441" s="6"/>
    </row>
    <row r="442" spans="5:5">
      <c r="E442" s="6"/>
    </row>
    <row r="443" spans="5:5">
      <c r="E443" s="6"/>
    </row>
    <row r="444" spans="5:5">
      <c r="E444" s="6"/>
    </row>
    <row r="445" spans="5:5">
      <c r="E445" s="6"/>
    </row>
    <row r="446" spans="5:5">
      <c r="E446" s="6"/>
    </row>
    <row r="447" spans="5:5">
      <c r="E447" s="6"/>
    </row>
    <row r="448" spans="5:5">
      <c r="E448" s="6"/>
    </row>
    <row r="449" spans="5:5">
      <c r="E449" s="6"/>
    </row>
    <row r="450" spans="5:5">
      <c r="E450" s="6"/>
    </row>
    <row r="451" spans="5:5">
      <c r="E451" s="6"/>
    </row>
    <row r="452" spans="5:5">
      <c r="E452" s="6"/>
    </row>
    <row r="453" spans="5:5">
      <c r="E453" s="6"/>
    </row>
    <row r="454" spans="5:5">
      <c r="E454" s="6"/>
    </row>
    <row r="455" spans="5:5">
      <c r="E455" s="6"/>
    </row>
    <row r="456" spans="5:5">
      <c r="E456" s="6"/>
    </row>
    <row r="457" spans="5:5">
      <c r="E457" s="6"/>
    </row>
    <row r="458" spans="5:5">
      <c r="E458" s="6"/>
    </row>
    <row r="459" spans="5:5">
      <c r="E459" s="6"/>
    </row>
    <row r="460" spans="5:5">
      <c r="E460" s="6"/>
    </row>
    <row r="461" spans="5:5">
      <c r="E461" s="6"/>
    </row>
    <row r="462" spans="5:5">
      <c r="E462" s="6"/>
    </row>
    <row r="463" spans="5:5">
      <c r="E463" s="6"/>
    </row>
    <row r="464" spans="5:5">
      <c r="E464" s="6"/>
    </row>
    <row r="465" spans="5:5">
      <c r="E465" s="6"/>
    </row>
    <row r="466" spans="5:5">
      <c r="E466" s="6"/>
    </row>
    <row r="467" spans="5:5">
      <c r="E467" s="6"/>
    </row>
    <row r="468" spans="5:5">
      <c r="E468" s="6"/>
    </row>
    <row r="469" spans="5:5">
      <c r="E469" s="6"/>
    </row>
    <row r="470" spans="5:5">
      <c r="E470" s="6"/>
    </row>
    <row r="471" spans="5:5">
      <c r="E471" s="6"/>
    </row>
    <row r="472" spans="5:5">
      <c r="E472" s="6"/>
    </row>
    <row r="473" spans="5:5">
      <c r="E473" s="6"/>
    </row>
    <row r="474" spans="5:5">
      <c r="E474" s="6"/>
    </row>
    <row r="475" spans="5:5">
      <c r="E475" s="6"/>
    </row>
    <row r="476" spans="5:5">
      <c r="E476" s="6"/>
    </row>
    <row r="477" spans="5:5">
      <c r="E477" s="6"/>
    </row>
    <row r="478" spans="5:5">
      <c r="E478" s="6"/>
    </row>
    <row r="479" spans="5:5">
      <c r="E479" s="6"/>
    </row>
    <row r="480" spans="5:5">
      <c r="E480" s="6"/>
    </row>
    <row r="481" spans="5:5">
      <c r="E481" s="6"/>
    </row>
    <row r="482" spans="5:5">
      <c r="E482" s="6"/>
    </row>
    <row r="483" spans="5:5">
      <c r="E483" s="6"/>
    </row>
    <row r="484" spans="5:5">
      <c r="E484" s="6"/>
    </row>
    <row r="485" spans="5:5">
      <c r="E485" s="6"/>
    </row>
    <row r="486" spans="5:5">
      <c r="E486" s="6"/>
    </row>
    <row r="487" spans="5:5">
      <c r="E487" s="6"/>
    </row>
    <row r="488" spans="5:5">
      <c r="E488" s="6"/>
    </row>
    <row r="489" spans="5:5">
      <c r="E489" s="6"/>
    </row>
    <row r="490" spans="5:5">
      <c r="E490" s="6"/>
    </row>
    <row r="491" spans="5:5">
      <c r="E491" s="6"/>
    </row>
    <row r="492" spans="5:5">
      <c r="E492" s="6"/>
    </row>
    <row r="493" spans="5:5">
      <c r="E493" s="6"/>
    </row>
    <row r="494" spans="5:5">
      <c r="E494" s="6"/>
    </row>
    <row r="495" spans="5:5">
      <c r="E495" s="6"/>
    </row>
    <row r="496" spans="5:5">
      <c r="E496" s="6"/>
    </row>
    <row r="497" spans="5:5">
      <c r="E497" s="6"/>
    </row>
    <row r="498" spans="5:5">
      <c r="E498" s="6"/>
    </row>
    <row r="499" spans="5:5">
      <c r="E499" s="6"/>
    </row>
    <row r="500" spans="5:5">
      <c r="E500" s="6"/>
    </row>
    <row r="501" spans="5:5">
      <c r="E501" s="6"/>
    </row>
    <row r="502" spans="5:5">
      <c r="E502" s="6"/>
    </row>
    <row r="503" spans="5:5">
      <c r="E503" s="6"/>
    </row>
    <row r="504" spans="5:5">
      <c r="E504" s="6"/>
    </row>
    <row r="505" spans="5:5">
      <c r="E505" s="6"/>
    </row>
    <row r="506" spans="5:5">
      <c r="E506" s="6"/>
    </row>
    <row r="507" spans="5:5">
      <c r="E507" s="6"/>
    </row>
    <row r="508" spans="5:5">
      <c r="E508" s="6"/>
    </row>
    <row r="509" spans="5:5">
      <c r="E509" s="6"/>
    </row>
    <row r="510" spans="5:5">
      <c r="E510" s="6"/>
    </row>
    <row r="511" spans="5:5">
      <c r="E511" s="6"/>
    </row>
    <row r="512" spans="5:5">
      <c r="E512" s="6"/>
    </row>
    <row r="513" spans="5:5">
      <c r="E513" s="6"/>
    </row>
    <row r="514" spans="5:5">
      <c r="E514" s="6"/>
    </row>
    <row r="515" spans="5:5">
      <c r="E515" s="6"/>
    </row>
    <row r="516" spans="5:5">
      <c r="E516" s="6"/>
    </row>
    <row r="517" spans="5:5">
      <c r="E517" s="6"/>
    </row>
    <row r="518" spans="5:5">
      <c r="E518" s="6"/>
    </row>
    <row r="519" spans="5:5">
      <c r="E519" s="6"/>
    </row>
    <row r="520" spans="5:5">
      <c r="E520" s="6"/>
    </row>
    <row r="521" spans="5:5">
      <c r="E521" s="6"/>
    </row>
    <row r="522" spans="5:5">
      <c r="E522" s="6"/>
    </row>
    <row r="523" spans="5:5">
      <c r="E523" s="6"/>
    </row>
    <row r="524" spans="5:5">
      <c r="E524" s="6"/>
    </row>
    <row r="525" spans="5:5">
      <c r="E525" s="6"/>
    </row>
    <row r="526" spans="5:5">
      <c r="E526" s="6"/>
    </row>
    <row r="527" spans="5:5">
      <c r="E527" s="6"/>
    </row>
    <row r="528" spans="5:5">
      <c r="E528" s="6"/>
    </row>
    <row r="529" spans="5:5">
      <c r="E529" s="6"/>
    </row>
    <row r="530" spans="5:5">
      <c r="E530" s="6"/>
    </row>
    <row r="531" spans="5:5">
      <c r="E531" s="6"/>
    </row>
    <row r="532" spans="5:5">
      <c r="E532" s="6"/>
    </row>
    <row r="533" spans="5:5">
      <c r="E533" s="6"/>
    </row>
    <row r="534" spans="5:5">
      <c r="E534" s="6"/>
    </row>
    <row r="535" spans="5:5">
      <c r="E535" s="6"/>
    </row>
    <row r="536" spans="5:5">
      <c r="E536" s="6"/>
    </row>
    <row r="537" spans="5:5">
      <c r="E537" s="6"/>
    </row>
    <row r="538" spans="5:5">
      <c r="E538" s="6"/>
    </row>
    <row r="539" spans="5:5">
      <c r="E539" s="6"/>
    </row>
    <row r="540" spans="5:5">
      <c r="E540" s="6"/>
    </row>
    <row r="541" spans="5:5">
      <c r="E541" s="6"/>
    </row>
    <row r="542" spans="5:5">
      <c r="E542" s="6"/>
    </row>
    <row r="543" spans="5:5">
      <c r="E543" s="6"/>
    </row>
    <row r="544" spans="5:5">
      <c r="E544" s="6"/>
    </row>
    <row r="545" spans="5:5">
      <c r="E545" s="6"/>
    </row>
    <row r="546" spans="5:5">
      <c r="E546" s="6"/>
    </row>
    <row r="547" spans="5:5">
      <c r="E547" s="6"/>
    </row>
    <row r="548" spans="5:5">
      <c r="E548" s="6"/>
    </row>
    <row r="549" spans="5:5">
      <c r="E549" s="6"/>
    </row>
    <row r="550" spans="5:5">
      <c r="E550" s="6"/>
    </row>
    <row r="551" spans="5:5">
      <c r="E551" s="6"/>
    </row>
    <row r="552" spans="5:5">
      <c r="E552" s="6"/>
    </row>
    <row r="553" spans="5:5">
      <c r="E553" s="6"/>
    </row>
    <row r="554" spans="5:5">
      <c r="E554" s="6"/>
    </row>
    <row r="555" spans="5:5">
      <c r="E555" s="6"/>
    </row>
    <row r="556" spans="5:5">
      <c r="E556" s="6"/>
    </row>
    <row r="557" spans="5:5">
      <c r="E557" s="6"/>
    </row>
    <row r="558" spans="5:5">
      <c r="E558" s="6"/>
    </row>
    <row r="559" spans="5:5">
      <c r="E559" s="6"/>
    </row>
    <row r="560" spans="5:5">
      <c r="E560" s="6"/>
    </row>
    <row r="561" spans="5:5">
      <c r="E561" s="6"/>
    </row>
    <row r="562" spans="5:5">
      <c r="E562" s="6"/>
    </row>
    <row r="563" spans="5:5">
      <c r="E563" s="6"/>
    </row>
    <row r="564" spans="5:5">
      <c r="E564" s="6"/>
    </row>
    <row r="565" spans="5:5">
      <c r="E565" s="6"/>
    </row>
    <row r="566" spans="5:5">
      <c r="E566" s="6"/>
    </row>
    <row r="567" spans="5:5">
      <c r="E567" s="6"/>
    </row>
    <row r="568" spans="5:5">
      <c r="E568" s="6"/>
    </row>
    <row r="569" spans="5:5">
      <c r="E569" s="6"/>
    </row>
    <row r="570" spans="5:5">
      <c r="E570" s="6"/>
    </row>
    <row r="571" spans="5:5">
      <c r="E571" s="6"/>
    </row>
    <row r="572" spans="5:5">
      <c r="E572" s="6"/>
    </row>
    <row r="573" spans="5:5">
      <c r="E573" s="6"/>
    </row>
    <row r="574" spans="5:5">
      <c r="E574" s="6"/>
    </row>
    <row r="575" spans="5:5">
      <c r="E575" s="6"/>
    </row>
    <row r="576" spans="5:5">
      <c r="E576" s="6"/>
    </row>
    <row r="577" spans="5:5">
      <c r="E577" s="6"/>
    </row>
    <row r="578" spans="5:5">
      <c r="E578" s="6"/>
    </row>
    <row r="579" spans="5:5">
      <c r="E579" s="6"/>
    </row>
    <row r="580" spans="5:5">
      <c r="E580" s="6"/>
    </row>
    <row r="581" spans="5:5">
      <c r="E581" s="6"/>
    </row>
    <row r="582" spans="5:5">
      <c r="E582" s="6"/>
    </row>
    <row r="583" spans="5:5">
      <c r="E583" s="6"/>
    </row>
    <row r="584" spans="5:5">
      <c r="E584" s="6"/>
    </row>
    <row r="585" spans="5:5">
      <c r="E585" s="6"/>
    </row>
    <row r="586" spans="5:5">
      <c r="E586" s="6"/>
    </row>
    <row r="587" spans="5:5">
      <c r="E587" s="6"/>
    </row>
    <row r="588" spans="5:5">
      <c r="E588" s="6"/>
    </row>
    <row r="589" spans="5:5">
      <c r="E589" s="6"/>
    </row>
    <row r="590" spans="5:5">
      <c r="E590" s="6"/>
    </row>
    <row r="591" spans="5:5">
      <c r="E591" s="6"/>
    </row>
    <row r="592" spans="5:5">
      <c r="E592" s="6"/>
    </row>
    <row r="593" spans="5:5">
      <c r="E593" s="6"/>
    </row>
    <row r="594" spans="5:5">
      <c r="E594" s="6"/>
    </row>
    <row r="595" spans="5:5">
      <c r="E595" s="6"/>
    </row>
    <row r="596" spans="5:5">
      <c r="E596" s="6"/>
    </row>
    <row r="597" spans="5:5">
      <c r="E597" s="6"/>
    </row>
    <row r="598" spans="5:5">
      <c r="E598" s="6"/>
    </row>
    <row r="599" spans="5:5">
      <c r="E599" s="6"/>
    </row>
    <row r="600" spans="5:5">
      <c r="E600" s="6"/>
    </row>
    <row r="601" spans="5:5">
      <c r="E601" s="6"/>
    </row>
    <row r="602" spans="5:5">
      <c r="E602" s="6"/>
    </row>
    <row r="603" spans="5:5">
      <c r="E603" s="6"/>
    </row>
    <row r="604" spans="5:5">
      <c r="E604" s="6"/>
    </row>
    <row r="605" spans="5:5">
      <c r="E605" s="6"/>
    </row>
    <row r="606" spans="5:5">
      <c r="E606" s="6"/>
    </row>
    <row r="607" spans="5:5">
      <c r="E607" s="6"/>
    </row>
    <row r="608" spans="5:5">
      <c r="E608" s="6"/>
    </row>
    <row r="609" spans="5:5">
      <c r="E609" s="6"/>
    </row>
    <row r="610" spans="5:5">
      <c r="E610" s="6"/>
    </row>
    <row r="611" spans="5:5">
      <c r="E611" s="6"/>
    </row>
    <row r="612" spans="5:5">
      <c r="E612" s="6"/>
    </row>
    <row r="613" spans="5:5">
      <c r="E613" s="6"/>
    </row>
    <row r="614" spans="5:5">
      <c r="E614" s="6"/>
    </row>
    <row r="615" spans="5:5">
      <c r="E615" s="6"/>
    </row>
    <row r="616" spans="5:5">
      <c r="E616" s="6"/>
    </row>
    <row r="617" spans="5:5">
      <c r="E617" s="6"/>
    </row>
    <row r="618" spans="5:5">
      <c r="E618" s="6"/>
    </row>
    <row r="619" spans="5:5">
      <c r="E619" s="6"/>
    </row>
    <row r="620" spans="5:5">
      <c r="E620" s="6"/>
    </row>
    <row r="621" spans="5:5">
      <c r="E621" s="6"/>
    </row>
    <row r="622" spans="5:5">
      <c r="E622" s="6"/>
    </row>
    <row r="623" spans="5:5">
      <c r="E623" s="6"/>
    </row>
    <row r="624" spans="5:5">
      <c r="E624" s="6"/>
    </row>
    <row r="625" spans="5:5">
      <c r="E625" s="6"/>
    </row>
    <row r="626" spans="5:5">
      <c r="E626" s="6"/>
    </row>
    <row r="627" spans="5:5">
      <c r="E627" s="6"/>
    </row>
    <row r="628" spans="5:5">
      <c r="E628" s="6"/>
    </row>
    <row r="629" spans="5:5">
      <c r="E629" s="6"/>
    </row>
    <row r="630" spans="5:5">
      <c r="E630" s="6"/>
    </row>
    <row r="631" spans="5:5">
      <c r="E631" s="6"/>
    </row>
    <row r="632" spans="5:5">
      <c r="E632" s="6"/>
    </row>
    <row r="633" spans="5:5">
      <c r="E633" s="6"/>
    </row>
    <row r="634" spans="5:5">
      <c r="E634" s="6"/>
    </row>
    <row r="635" spans="5:5">
      <c r="E635" s="6"/>
    </row>
    <row r="636" spans="5:5">
      <c r="E636" s="6"/>
    </row>
    <row r="637" spans="5:5">
      <c r="E637" s="6"/>
    </row>
    <row r="638" spans="5:5">
      <c r="E638" s="6"/>
    </row>
    <row r="639" spans="5:5">
      <c r="E639" s="6"/>
    </row>
    <row r="640" spans="5:5">
      <c r="E640" s="6"/>
    </row>
    <row r="641" spans="5:5">
      <c r="E641" s="6"/>
    </row>
    <row r="642" spans="5:5">
      <c r="E642" s="6"/>
    </row>
    <row r="643" spans="5:5">
      <c r="E643" s="6"/>
    </row>
    <row r="644" spans="5:5">
      <c r="E644" s="6"/>
    </row>
    <row r="645" spans="5:5">
      <c r="E645" s="6"/>
    </row>
    <row r="646" spans="5:5">
      <c r="E646" s="6"/>
    </row>
    <row r="647" spans="5:5">
      <c r="E647" s="6"/>
    </row>
    <row r="648" spans="5:5">
      <c r="E648" s="6"/>
    </row>
    <row r="649" spans="5:5">
      <c r="E649" s="6"/>
    </row>
    <row r="650" spans="5:5">
      <c r="E650" s="6"/>
    </row>
    <row r="651" spans="5:5">
      <c r="E651" s="6"/>
    </row>
    <row r="652" spans="5:5">
      <c r="E652" s="6"/>
    </row>
    <row r="653" spans="5:5">
      <c r="E653" s="6"/>
    </row>
    <row r="654" spans="5:5">
      <c r="E654" s="6"/>
    </row>
    <row r="655" spans="5:5">
      <c r="E655" s="6"/>
    </row>
    <row r="656" spans="5:5">
      <c r="E656" s="6"/>
    </row>
    <row r="657" spans="5:5">
      <c r="E657" s="6"/>
    </row>
    <row r="658" spans="5:5">
      <c r="E658" s="6"/>
    </row>
    <row r="659" spans="5:5">
      <c r="E659" s="6"/>
    </row>
    <row r="660" spans="5:5">
      <c r="E660" s="6"/>
    </row>
    <row r="661" spans="5:5">
      <c r="E661" s="6"/>
    </row>
    <row r="662" spans="5:5">
      <c r="E662" s="6"/>
    </row>
    <row r="663" spans="5:5">
      <c r="E663" s="6"/>
    </row>
    <row r="664" spans="5:5">
      <c r="E664" s="6"/>
    </row>
    <row r="665" spans="5:5">
      <c r="E665" s="6"/>
    </row>
    <row r="666" spans="5:5">
      <c r="E666" s="6"/>
    </row>
    <row r="667" spans="5:5">
      <c r="E667" s="6"/>
    </row>
    <row r="668" spans="5:5">
      <c r="E668" s="6"/>
    </row>
    <row r="669" spans="5:5">
      <c r="E669" s="6"/>
    </row>
    <row r="670" spans="5:5">
      <c r="E670" s="6"/>
    </row>
    <row r="671" spans="5:5">
      <c r="E671" s="6"/>
    </row>
    <row r="672" spans="5:5">
      <c r="E672" s="6"/>
    </row>
    <row r="673" spans="5:5">
      <c r="E673" s="6"/>
    </row>
    <row r="674" spans="5:5">
      <c r="E674" s="6"/>
    </row>
    <row r="675" spans="5:5">
      <c r="E675" s="6"/>
    </row>
    <row r="676" spans="5:5">
      <c r="E676" s="6"/>
    </row>
    <row r="677" spans="5:5">
      <c r="E677" s="6"/>
    </row>
    <row r="678" spans="5:5">
      <c r="E678" s="6"/>
    </row>
    <row r="679" spans="5:5">
      <c r="E679" s="6"/>
    </row>
    <row r="680" spans="5:5">
      <c r="E680" s="6"/>
    </row>
    <row r="681" spans="5:5">
      <c r="E681" s="6"/>
    </row>
    <row r="682" spans="5:5">
      <c r="E682" s="6"/>
    </row>
    <row r="683" spans="5:5">
      <c r="E683" s="6"/>
    </row>
    <row r="684" spans="5:5">
      <c r="E684" s="6"/>
    </row>
    <row r="685" spans="5:5">
      <c r="E685" s="6"/>
    </row>
    <row r="686" spans="5:5">
      <c r="E686" s="6"/>
    </row>
    <row r="687" spans="5:5">
      <c r="E687" s="6"/>
    </row>
    <row r="688" spans="5:5">
      <c r="E688" s="6"/>
    </row>
    <row r="689" spans="5:5">
      <c r="E689" s="6"/>
    </row>
    <row r="690" spans="5:5">
      <c r="E690" s="6"/>
    </row>
    <row r="691" spans="5:5">
      <c r="E691" s="6"/>
    </row>
    <row r="692" spans="5:5">
      <c r="E692" s="6"/>
    </row>
    <row r="693" spans="5:5">
      <c r="E693" s="6"/>
    </row>
    <row r="694" spans="5:5">
      <c r="E694" s="6"/>
    </row>
    <row r="695" spans="5:5">
      <c r="E695" s="6"/>
    </row>
    <row r="696" spans="5:5">
      <c r="E696" s="6"/>
    </row>
    <row r="697" spans="5:5">
      <c r="E697" s="6"/>
    </row>
    <row r="698" spans="5:5">
      <c r="E698" s="6"/>
    </row>
    <row r="699" spans="5:5">
      <c r="E699" s="6"/>
    </row>
    <row r="700" spans="5:5">
      <c r="E700" s="6"/>
    </row>
    <row r="701" spans="5:5">
      <c r="E701" s="6"/>
    </row>
    <row r="702" spans="5:5">
      <c r="E702" s="6"/>
    </row>
    <row r="703" spans="5:5">
      <c r="E703" s="6"/>
    </row>
    <row r="704" spans="5:5">
      <c r="E704" s="6"/>
    </row>
    <row r="705" spans="5:5">
      <c r="E705" s="6"/>
    </row>
    <row r="706" spans="5:5">
      <c r="E706" s="6"/>
    </row>
    <row r="707" spans="5:5">
      <c r="E707" s="6"/>
    </row>
    <row r="708" spans="5:5">
      <c r="E708" s="6"/>
    </row>
    <row r="709" spans="5:5">
      <c r="E709" s="6"/>
    </row>
    <row r="710" spans="5:5">
      <c r="E710" s="6"/>
    </row>
    <row r="711" spans="5:5">
      <c r="E711" s="6"/>
    </row>
    <row r="712" spans="5:5">
      <c r="E712" s="6"/>
    </row>
    <row r="713" spans="5:5">
      <c r="E713" s="6"/>
    </row>
    <row r="714" spans="5:5">
      <c r="E714" s="6"/>
    </row>
    <row r="715" spans="5:5">
      <c r="E715" s="6"/>
    </row>
    <row r="716" spans="5:5">
      <c r="E716" s="6"/>
    </row>
    <row r="717" spans="5:5">
      <c r="E717" s="6"/>
    </row>
    <row r="718" spans="5:5">
      <c r="E718" s="6"/>
    </row>
    <row r="719" spans="5:5">
      <c r="E719" s="6"/>
    </row>
    <row r="720" spans="5:5">
      <c r="E720" s="6"/>
    </row>
    <row r="721" spans="5:5">
      <c r="E721" s="6"/>
    </row>
    <row r="722" spans="5:5">
      <c r="E722" s="6"/>
    </row>
    <row r="723" spans="5:5">
      <c r="E723" s="6"/>
    </row>
    <row r="724" spans="5:5">
      <c r="E724" s="6"/>
    </row>
    <row r="725" spans="5:5">
      <c r="E725" s="6"/>
    </row>
    <row r="726" spans="5:5">
      <c r="E726" s="6"/>
    </row>
    <row r="727" spans="5:5">
      <c r="E727" s="6"/>
    </row>
    <row r="728" spans="5:5">
      <c r="E728" s="6"/>
    </row>
    <row r="729" spans="5:5">
      <c r="E729" s="6"/>
    </row>
    <row r="730" spans="5:5">
      <c r="E730" s="6"/>
    </row>
    <row r="731" spans="5:5">
      <c r="E731" s="6"/>
    </row>
    <row r="732" spans="5:5">
      <c r="E732" s="6"/>
    </row>
    <row r="733" spans="5:5">
      <c r="E733" s="6"/>
    </row>
    <row r="734" spans="5:5">
      <c r="E734" s="6"/>
    </row>
    <row r="735" spans="5:5">
      <c r="E735" s="6"/>
    </row>
    <row r="736" spans="5:5">
      <c r="E736" s="6"/>
    </row>
    <row r="737" spans="5:5">
      <c r="E737" s="6"/>
    </row>
    <row r="738" spans="5:5">
      <c r="E738" s="6"/>
    </row>
    <row r="739" spans="5:5">
      <c r="E739" s="6"/>
    </row>
    <row r="740" spans="5:5">
      <c r="E740" s="6"/>
    </row>
    <row r="741" spans="5:5">
      <c r="E741" s="6"/>
    </row>
    <row r="742" spans="5:5">
      <c r="E742" s="6"/>
    </row>
    <row r="743" spans="5:5">
      <c r="E743" s="6"/>
    </row>
    <row r="744" spans="5:5">
      <c r="E744" s="6"/>
    </row>
    <row r="745" spans="5:5">
      <c r="E745" s="6"/>
    </row>
    <row r="746" spans="5:5">
      <c r="E746" s="6"/>
    </row>
    <row r="747" spans="5:5">
      <c r="E747" s="6"/>
    </row>
    <row r="748" spans="5:5">
      <c r="E748" s="6"/>
    </row>
    <row r="749" spans="5:5">
      <c r="E749" s="6"/>
    </row>
    <row r="750" spans="5:5">
      <c r="E750" s="6"/>
    </row>
    <row r="751" spans="5:5">
      <c r="E751" s="6"/>
    </row>
    <row r="752" spans="5:5">
      <c r="E752" s="6"/>
    </row>
    <row r="753" spans="5:5">
      <c r="E753" s="6"/>
    </row>
    <row r="754" spans="5:5">
      <c r="E754" s="6"/>
    </row>
    <row r="755" spans="5:5">
      <c r="E755" s="6"/>
    </row>
    <row r="756" spans="5:5">
      <c r="E756" s="6"/>
    </row>
    <row r="757" spans="5:5">
      <c r="E757" s="6"/>
    </row>
    <row r="758" spans="5:5">
      <c r="E758" s="6"/>
    </row>
    <row r="759" spans="5:5">
      <c r="E759" s="6"/>
    </row>
    <row r="760" spans="5:5">
      <c r="E760" s="6"/>
    </row>
    <row r="761" spans="5:5">
      <c r="E761" s="6"/>
    </row>
    <row r="762" spans="5:5">
      <c r="E762" s="6"/>
    </row>
    <row r="763" spans="5:5">
      <c r="E763" s="6"/>
    </row>
    <row r="764" spans="5:5">
      <c r="E764" s="6"/>
    </row>
    <row r="765" spans="5:5">
      <c r="E765" s="6"/>
    </row>
    <row r="766" spans="5:5">
      <c r="E766" s="6"/>
    </row>
    <row r="767" spans="5:5">
      <c r="E767" s="6"/>
    </row>
    <row r="768" spans="5:5">
      <c r="E768" s="6"/>
    </row>
    <row r="769" spans="5:5">
      <c r="E769" s="6"/>
    </row>
    <row r="770" spans="5:5">
      <c r="E770" s="6"/>
    </row>
    <row r="771" spans="5:5">
      <c r="E771" s="6"/>
    </row>
    <row r="772" spans="5:5">
      <c r="E772" s="6"/>
    </row>
    <row r="773" spans="5:5">
      <c r="E773" s="6"/>
    </row>
    <row r="774" spans="5:5">
      <c r="E774" s="6"/>
    </row>
    <row r="775" spans="5:5">
      <c r="E775" s="6"/>
    </row>
    <row r="776" spans="5:5">
      <c r="E776" s="6"/>
    </row>
    <row r="777" spans="5:5">
      <c r="E777" s="6"/>
    </row>
    <row r="778" spans="5:5">
      <c r="E778" s="6"/>
    </row>
    <row r="779" spans="5:5">
      <c r="E779" s="6"/>
    </row>
    <row r="780" spans="5:5">
      <c r="E780" s="6"/>
    </row>
    <row r="781" spans="5:5">
      <c r="E781" s="6"/>
    </row>
    <row r="782" spans="5:5">
      <c r="E782" s="6"/>
    </row>
    <row r="783" spans="5:5">
      <c r="E783" s="6"/>
    </row>
    <row r="784" spans="5:5">
      <c r="E784" s="6"/>
    </row>
    <row r="785" spans="5:5">
      <c r="E785" s="6"/>
    </row>
    <row r="786" spans="5:5">
      <c r="E786" s="6"/>
    </row>
    <row r="787" spans="5:5">
      <c r="E787" s="6"/>
    </row>
    <row r="788" spans="5:5">
      <c r="E788" s="6"/>
    </row>
    <row r="789" spans="5:5">
      <c r="E789" s="6"/>
    </row>
    <row r="790" spans="5:5">
      <c r="E790" s="6"/>
    </row>
    <row r="791" spans="5:5">
      <c r="E791" s="6"/>
    </row>
    <row r="792" spans="5:5">
      <c r="E792" s="6"/>
    </row>
    <row r="793" spans="5:5">
      <c r="E793" s="6"/>
    </row>
    <row r="794" spans="5:5">
      <c r="E794" s="6"/>
    </row>
    <row r="795" spans="5:5">
      <c r="E795" s="6"/>
    </row>
    <row r="796" spans="5:5">
      <c r="E796" s="6"/>
    </row>
    <row r="797" spans="5:5">
      <c r="E797" s="6"/>
    </row>
    <row r="798" spans="5:5">
      <c r="E798" s="6"/>
    </row>
    <row r="799" spans="5:5">
      <c r="E799" s="6"/>
    </row>
    <row r="800" spans="5:5">
      <c r="E800" s="6"/>
    </row>
    <row r="801" spans="5:5">
      <c r="E801" s="6"/>
    </row>
    <row r="802" spans="5:5">
      <c r="E802" s="6"/>
    </row>
    <row r="803" spans="5:5">
      <c r="E803" s="6"/>
    </row>
    <row r="804" spans="5:5">
      <c r="E804" s="6"/>
    </row>
    <row r="805" spans="5:5">
      <c r="E805" s="6"/>
    </row>
    <row r="806" spans="5:5">
      <c r="E806" s="6"/>
    </row>
    <row r="807" spans="5:5">
      <c r="E807" s="6"/>
    </row>
    <row r="808" spans="5:5">
      <c r="E808" s="6"/>
    </row>
    <row r="809" spans="5:5">
      <c r="E809" s="6"/>
    </row>
    <row r="810" spans="5:5">
      <c r="E810" s="6"/>
    </row>
    <row r="811" spans="5:5">
      <c r="E811" s="6"/>
    </row>
    <row r="812" spans="5:5">
      <c r="E812" s="6"/>
    </row>
    <row r="813" spans="5:5">
      <c r="E813" s="6"/>
    </row>
    <row r="814" spans="5:5">
      <c r="E814" s="6"/>
    </row>
    <row r="815" spans="5:5">
      <c r="E815" s="6"/>
    </row>
    <row r="816" spans="5:5">
      <c r="E816" s="6"/>
    </row>
    <row r="817" spans="5:5">
      <c r="E817" s="6"/>
    </row>
    <row r="818" spans="5:5">
      <c r="E818" s="6"/>
    </row>
    <row r="819" spans="5:5">
      <c r="E819" s="6"/>
    </row>
    <row r="820" spans="5:5">
      <c r="E820" s="6"/>
    </row>
    <row r="821" spans="5:5">
      <c r="E821" s="6"/>
    </row>
    <row r="822" spans="5:5">
      <c r="E822" s="6"/>
    </row>
    <row r="823" spans="5:5">
      <c r="E823" s="6"/>
    </row>
    <row r="824" spans="5:5">
      <c r="E824" s="6"/>
    </row>
    <row r="825" spans="5:5">
      <c r="E825" s="6"/>
    </row>
    <row r="826" spans="5:5">
      <c r="E826" s="6"/>
    </row>
    <row r="827" spans="5:5">
      <c r="E827" s="6"/>
    </row>
    <row r="828" spans="5:5">
      <c r="E828" s="6"/>
    </row>
    <row r="829" spans="5:5">
      <c r="E829" s="6"/>
    </row>
    <row r="830" spans="5:5">
      <c r="E830" s="6"/>
    </row>
    <row r="831" spans="5:5">
      <c r="E831" s="6"/>
    </row>
    <row r="832" spans="5:5">
      <c r="E832" s="6"/>
    </row>
    <row r="833" spans="5:5">
      <c r="E833" s="6"/>
    </row>
    <row r="834" spans="5:5">
      <c r="E834" s="6"/>
    </row>
    <row r="835" spans="5:5">
      <c r="E835" s="6"/>
    </row>
    <row r="836" spans="5:5">
      <c r="E836" s="6"/>
    </row>
    <row r="837" spans="5:5">
      <c r="E837" s="6"/>
    </row>
    <row r="838" spans="5:5">
      <c r="E838" s="6"/>
    </row>
    <row r="839" spans="5:5">
      <c r="E839" s="6"/>
    </row>
    <row r="840" spans="5:5">
      <c r="E840" s="6"/>
    </row>
    <row r="841" spans="5:5">
      <c r="E841" s="6"/>
    </row>
    <row r="842" spans="5:5">
      <c r="E842" s="6"/>
    </row>
    <row r="843" spans="5:5">
      <c r="E843" s="6"/>
    </row>
    <row r="844" spans="5:5">
      <c r="E844" s="6"/>
    </row>
    <row r="845" spans="5:5">
      <c r="E845" s="6"/>
    </row>
    <row r="846" spans="5:5">
      <c r="E846" s="6"/>
    </row>
    <row r="847" spans="5:5">
      <c r="E847" s="6"/>
    </row>
    <row r="848" spans="5:5">
      <c r="E848" s="6"/>
    </row>
    <row r="849" spans="5:5">
      <c r="E849" s="6"/>
    </row>
    <row r="850" spans="5:5">
      <c r="E850" s="6"/>
    </row>
    <row r="851" spans="5:5">
      <c r="E851" s="6"/>
    </row>
    <row r="852" spans="5:5">
      <c r="E852" s="6"/>
    </row>
    <row r="853" spans="5:5">
      <c r="E853" s="6"/>
    </row>
    <row r="854" spans="5:5">
      <c r="E854" s="6"/>
    </row>
    <row r="855" spans="5:5">
      <c r="E855" s="6"/>
    </row>
    <row r="856" spans="5:5">
      <c r="E856" s="6"/>
    </row>
    <row r="857" spans="5:5">
      <c r="E857" s="6"/>
    </row>
    <row r="858" spans="5:5">
      <c r="E858" s="6"/>
    </row>
    <row r="859" spans="5:5">
      <c r="E859" s="6"/>
    </row>
    <row r="860" spans="5:5">
      <c r="E860" s="6"/>
    </row>
    <row r="861" spans="5:5">
      <c r="E861" s="6"/>
    </row>
    <row r="862" spans="5:5">
      <c r="E862" s="6"/>
    </row>
    <row r="863" spans="5:5">
      <c r="E863" s="6"/>
    </row>
    <row r="864" spans="5:5">
      <c r="E864" s="6"/>
    </row>
    <row r="865" spans="5:5">
      <c r="E865" s="6"/>
    </row>
    <row r="866" spans="5:5">
      <c r="E866" s="6"/>
    </row>
    <row r="867" spans="5:5">
      <c r="E867" s="6"/>
    </row>
    <row r="868" spans="5:5">
      <c r="E868" s="6"/>
    </row>
    <row r="869" spans="5:5">
      <c r="E869" s="6"/>
    </row>
    <row r="870" spans="5:5">
      <c r="E870" s="6"/>
    </row>
    <row r="871" spans="5:5">
      <c r="E871" s="6"/>
    </row>
    <row r="872" spans="5:5">
      <c r="E872" s="6"/>
    </row>
    <row r="873" spans="5:5">
      <c r="E873" s="6"/>
    </row>
    <row r="874" spans="5:5">
      <c r="E874" s="6"/>
    </row>
    <row r="875" spans="5:5">
      <c r="E875" s="6"/>
    </row>
    <row r="876" spans="5:5">
      <c r="E876" s="6"/>
    </row>
    <row r="877" spans="5:5">
      <c r="E877" s="6"/>
    </row>
    <row r="878" spans="5:5">
      <c r="E878" s="6"/>
    </row>
    <row r="879" spans="5:5">
      <c r="E879" s="6"/>
    </row>
    <row r="880" spans="5:5">
      <c r="E880" s="6"/>
    </row>
    <row r="881" spans="5:5">
      <c r="E881" s="6"/>
    </row>
    <row r="882" spans="5:5">
      <c r="E882" s="6"/>
    </row>
    <row r="883" spans="5:5">
      <c r="E883" s="6"/>
    </row>
    <row r="884" spans="5:5">
      <c r="E884" s="6"/>
    </row>
    <row r="885" spans="5:5">
      <c r="E885" s="6"/>
    </row>
    <row r="886" spans="5:5">
      <c r="E886" s="6"/>
    </row>
    <row r="887" spans="5:5">
      <c r="E887" s="6"/>
    </row>
    <row r="888" spans="5:5">
      <c r="E888" s="6"/>
    </row>
    <row r="889" spans="5:5">
      <c r="E889" s="6"/>
    </row>
    <row r="890" spans="5:5">
      <c r="E890" s="6"/>
    </row>
    <row r="891" spans="5:5">
      <c r="E891" s="6"/>
    </row>
    <row r="892" spans="5:5">
      <c r="E892" s="6"/>
    </row>
    <row r="893" spans="5:5">
      <c r="E893" s="6"/>
    </row>
    <row r="894" spans="5:5">
      <c r="E894" s="6"/>
    </row>
    <row r="895" spans="5:5">
      <c r="E895" s="6"/>
    </row>
    <row r="896" spans="5:5">
      <c r="E896" s="6"/>
    </row>
    <row r="897" spans="5:5">
      <c r="E897" s="6"/>
    </row>
    <row r="898" spans="5:5">
      <c r="E898" s="6"/>
    </row>
    <row r="899" spans="5:5">
      <c r="E899" s="6"/>
    </row>
    <row r="900" spans="5:5">
      <c r="E900" s="6"/>
    </row>
    <row r="901" spans="5:5">
      <c r="E901" s="6"/>
    </row>
    <row r="902" spans="5:5">
      <c r="E902" s="6"/>
    </row>
    <row r="903" spans="5:5">
      <c r="E903" s="6"/>
    </row>
    <row r="904" spans="5:5">
      <c r="E904" s="6"/>
    </row>
    <row r="905" spans="5:5">
      <c r="E905" s="6"/>
    </row>
    <row r="906" spans="5:5">
      <c r="E906" s="6"/>
    </row>
    <row r="907" spans="5:5">
      <c r="E907" s="6"/>
    </row>
    <row r="908" spans="5:5">
      <c r="E908" s="6"/>
    </row>
    <row r="909" spans="5:5">
      <c r="E909" s="6"/>
    </row>
    <row r="910" spans="5:5">
      <c r="E910" s="6"/>
    </row>
    <row r="911" spans="5:5">
      <c r="E911" s="6"/>
    </row>
    <row r="912" spans="5:5">
      <c r="E912" s="6"/>
    </row>
    <row r="913" spans="5:5">
      <c r="E913" s="6"/>
    </row>
    <row r="914" spans="5:5">
      <c r="E914" s="6"/>
    </row>
    <row r="915" spans="5:5">
      <c r="E915" s="6"/>
    </row>
    <row r="916" spans="5:5">
      <c r="E916" s="6"/>
    </row>
    <row r="917" spans="5:5">
      <c r="E917" s="6"/>
    </row>
    <row r="918" spans="5:5">
      <c r="E918" s="6"/>
    </row>
    <row r="919" spans="5:5">
      <c r="E919" s="6"/>
    </row>
    <row r="920" spans="5:5">
      <c r="E920" s="6"/>
    </row>
    <row r="921" spans="5:5">
      <c r="E921" s="6"/>
    </row>
    <row r="922" spans="5:5">
      <c r="E922" s="6"/>
    </row>
    <row r="923" spans="5:5">
      <c r="E923" s="6"/>
    </row>
    <row r="924" spans="5:5">
      <c r="E924" s="6"/>
    </row>
    <row r="925" spans="5:5">
      <c r="E925" s="6"/>
    </row>
    <row r="926" spans="5:5">
      <c r="E926" s="6"/>
    </row>
    <row r="927" spans="5:5">
      <c r="E927" s="6"/>
    </row>
    <row r="928" spans="5:5">
      <c r="E928" s="6"/>
    </row>
    <row r="929" spans="5:5">
      <c r="E929" s="6"/>
    </row>
    <row r="930" spans="5:5">
      <c r="E930" s="6"/>
    </row>
    <row r="931" spans="5:5">
      <c r="E931" s="6"/>
    </row>
    <row r="932" spans="5:5">
      <c r="E932" s="6"/>
    </row>
    <row r="933" spans="5:5">
      <c r="E933" s="6"/>
    </row>
    <row r="934" spans="5:5">
      <c r="E934" s="6"/>
    </row>
    <row r="935" spans="5:5">
      <c r="E935" s="6"/>
    </row>
    <row r="936" spans="5:5">
      <c r="E936" s="6"/>
    </row>
    <row r="937" spans="5:5">
      <c r="E937" s="6"/>
    </row>
    <row r="938" spans="5:5">
      <c r="E938" s="6"/>
    </row>
    <row r="939" spans="5:5">
      <c r="E939" s="6"/>
    </row>
    <row r="940" spans="5:5">
      <c r="E940" s="6"/>
    </row>
    <row r="941" spans="5:5">
      <c r="E941" s="6"/>
    </row>
    <row r="942" spans="5:5">
      <c r="E942" s="6"/>
    </row>
    <row r="943" spans="5:5">
      <c r="E943" s="6"/>
    </row>
    <row r="944" spans="5:5">
      <c r="E944" s="6"/>
    </row>
    <row r="945" spans="5:5">
      <c r="E945" s="6"/>
    </row>
    <row r="946" spans="5:5">
      <c r="E946" s="6"/>
    </row>
    <row r="947" spans="5:5">
      <c r="E947" s="6"/>
    </row>
    <row r="948" spans="5:5">
      <c r="E948" s="6"/>
    </row>
    <row r="949" spans="5:5">
      <c r="E949" s="6"/>
    </row>
    <row r="950" spans="5:5">
      <c r="E950" s="6"/>
    </row>
    <row r="951" spans="5:5">
      <c r="E951" s="6"/>
    </row>
    <row r="952" spans="5:5">
      <c r="E952" s="6"/>
    </row>
    <row r="953" spans="5:5">
      <c r="E953" s="6"/>
    </row>
    <row r="954" spans="5:5">
      <c r="E954" s="6"/>
    </row>
    <row r="955" spans="5:5">
      <c r="E955" s="6"/>
    </row>
    <row r="956" spans="5:5">
      <c r="E956" s="6"/>
    </row>
    <row r="957" spans="5:5">
      <c r="E957" s="6"/>
    </row>
    <row r="958" spans="5:5">
      <c r="E958" s="6"/>
    </row>
    <row r="959" spans="5:5">
      <c r="E959" s="6"/>
    </row>
    <row r="960" spans="5:5">
      <c r="E960" s="6"/>
    </row>
    <row r="961" spans="5:5">
      <c r="E961" s="6"/>
    </row>
    <row r="962" spans="5:5">
      <c r="E962" s="6"/>
    </row>
    <row r="963" spans="5:5">
      <c r="E963" s="6"/>
    </row>
    <row r="964" spans="5:5">
      <c r="E964" s="6"/>
    </row>
    <row r="965" spans="5:5">
      <c r="E965" s="6"/>
    </row>
    <row r="966" spans="5:5">
      <c r="E966" s="6"/>
    </row>
    <row r="967" spans="5:5">
      <c r="E967" s="6"/>
    </row>
    <row r="968" spans="5:5">
      <c r="E968" s="6"/>
    </row>
    <row r="969" spans="5:5">
      <c r="E969" s="6"/>
    </row>
    <row r="970" spans="5:5">
      <c r="E970" s="6"/>
    </row>
  </sheetData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15"/>
  <sheetViews>
    <sheetView showGridLines="0" workbookViewId="0"/>
  </sheetViews>
  <sheetFormatPr defaultColWidth="14.42578125" defaultRowHeight="15" customHeight="1"/>
  <cols>
    <col min="2" max="2" width="20.28515625" customWidth="1"/>
  </cols>
  <sheetData>
    <row r="1" spans="1:12">
      <c r="C1" s="391" t="s">
        <v>1450</v>
      </c>
      <c r="D1" s="412"/>
      <c r="E1" s="412"/>
      <c r="F1" s="413"/>
      <c r="G1" s="391" t="s">
        <v>1451</v>
      </c>
      <c r="H1" s="412"/>
      <c r="I1" s="413"/>
      <c r="J1" s="391" t="s">
        <v>1452</v>
      </c>
      <c r="K1" s="412"/>
      <c r="L1" s="413"/>
    </row>
    <row r="2" spans="1:12">
      <c r="B2" s="115" t="s">
        <v>1453</v>
      </c>
      <c r="C2" s="116" t="s">
        <v>1454</v>
      </c>
      <c r="D2" s="117" t="s">
        <v>1455</v>
      </c>
      <c r="E2" s="118" t="s">
        <v>1456</v>
      </c>
      <c r="F2" s="119" t="s">
        <v>1457</v>
      </c>
      <c r="G2" s="117" t="s">
        <v>1455</v>
      </c>
      <c r="H2" s="118" t="s">
        <v>1456</v>
      </c>
      <c r="I2" s="119" t="s">
        <v>1457</v>
      </c>
      <c r="J2" s="117" t="s">
        <v>1455</v>
      </c>
      <c r="K2" s="118" t="s">
        <v>1456</v>
      </c>
      <c r="L2" s="119" t="s">
        <v>1457</v>
      </c>
    </row>
    <row r="3" spans="1:12">
      <c r="A3" s="390" t="s">
        <v>11</v>
      </c>
      <c r="B3" s="120" t="s">
        <v>1458</v>
      </c>
      <c r="C3" s="121" t="s">
        <v>1459</v>
      </c>
      <c r="D3" s="122"/>
      <c r="E3" s="123"/>
      <c r="F3" s="124"/>
      <c r="G3" s="122"/>
      <c r="H3" s="125"/>
      <c r="I3" s="124"/>
      <c r="J3" s="126"/>
      <c r="K3" s="125"/>
      <c r="L3" s="124"/>
    </row>
    <row r="4" spans="1:12">
      <c r="A4" s="414"/>
      <c r="B4" s="127" t="s">
        <v>1460</v>
      </c>
      <c r="C4" s="128" t="s">
        <v>1461</v>
      </c>
      <c r="D4" s="129"/>
      <c r="E4" s="130"/>
      <c r="F4" s="131"/>
      <c r="G4" s="129"/>
      <c r="H4" s="14"/>
      <c r="I4" s="131"/>
      <c r="J4" s="132"/>
      <c r="K4" s="14"/>
      <c r="L4" s="131"/>
    </row>
    <row r="5" spans="1:12">
      <c r="A5" s="414"/>
      <c r="B5" s="133" t="s">
        <v>1462</v>
      </c>
      <c r="C5" s="134">
        <v>2</v>
      </c>
      <c r="D5" s="129"/>
      <c r="E5" s="130"/>
      <c r="F5" s="131"/>
      <c r="G5" s="129"/>
      <c r="H5" s="14"/>
      <c r="I5" s="131"/>
      <c r="J5" s="132"/>
      <c r="K5" s="14"/>
      <c r="L5" s="131"/>
    </row>
    <row r="6" spans="1:12">
      <c r="A6" s="414"/>
      <c r="B6" s="133" t="s">
        <v>1463</v>
      </c>
      <c r="C6" s="134">
        <v>4</v>
      </c>
      <c r="D6" s="129"/>
      <c r="E6" s="130"/>
      <c r="F6" s="131"/>
      <c r="G6" s="129"/>
      <c r="H6" s="14"/>
      <c r="I6" s="131"/>
      <c r="J6" s="132"/>
      <c r="K6" s="14"/>
      <c r="L6" s="131"/>
    </row>
    <row r="7" spans="1:12">
      <c r="A7" s="414"/>
      <c r="B7" s="127" t="s">
        <v>1464</v>
      </c>
      <c r="C7" s="128" t="s">
        <v>1465</v>
      </c>
      <c r="D7" s="129"/>
      <c r="E7" s="130"/>
      <c r="F7" s="131"/>
      <c r="G7" s="129"/>
      <c r="H7" s="14"/>
      <c r="I7" s="131"/>
      <c r="J7" s="132"/>
      <c r="K7" s="14"/>
      <c r="L7" s="131"/>
    </row>
    <row r="8" spans="1:12">
      <c r="A8" s="414"/>
      <c r="B8" s="135" t="s">
        <v>1466</v>
      </c>
      <c r="C8" s="128" t="s">
        <v>1465</v>
      </c>
      <c r="D8" s="136"/>
      <c r="E8" s="137"/>
      <c r="F8" s="138"/>
      <c r="G8" s="136"/>
      <c r="H8" s="139"/>
      <c r="I8" s="138"/>
      <c r="J8" s="140"/>
      <c r="K8" s="139"/>
      <c r="L8" s="138"/>
    </row>
    <row r="9" spans="1:12">
      <c r="A9" s="415"/>
      <c r="B9" s="141" t="s">
        <v>1467</v>
      </c>
      <c r="C9" s="142" t="s">
        <v>1468</v>
      </c>
      <c r="D9" s="136"/>
      <c r="E9" s="137"/>
      <c r="F9" s="138"/>
      <c r="G9" s="136"/>
      <c r="H9" s="139"/>
      <c r="I9" s="138"/>
      <c r="J9" s="140"/>
      <c r="K9" s="139"/>
      <c r="L9" s="138"/>
    </row>
    <row r="10" spans="1:12">
      <c r="A10" s="390" t="s">
        <v>1469</v>
      </c>
      <c r="B10" s="120" t="s">
        <v>1470</v>
      </c>
      <c r="C10" s="143" t="s">
        <v>1471</v>
      </c>
      <c r="D10" s="144"/>
      <c r="E10" s="145"/>
      <c r="F10" s="146"/>
      <c r="G10" s="144"/>
      <c r="H10" s="147"/>
      <c r="I10" s="146"/>
      <c r="J10" s="148"/>
      <c r="K10" s="147"/>
      <c r="L10" s="146"/>
    </row>
    <row r="11" spans="1:12">
      <c r="A11" s="414"/>
      <c r="B11" s="133" t="s">
        <v>1472</v>
      </c>
      <c r="C11" s="134" t="s">
        <v>1471</v>
      </c>
      <c r="D11" s="129"/>
      <c r="E11" s="130"/>
      <c r="F11" s="131"/>
      <c r="G11" s="129"/>
      <c r="H11" s="14"/>
      <c r="I11" s="131"/>
      <c r="J11" s="132"/>
      <c r="K11" s="14"/>
      <c r="L11" s="131"/>
    </row>
    <row r="12" spans="1:12">
      <c r="A12" s="414"/>
      <c r="B12" s="127" t="s">
        <v>1460</v>
      </c>
      <c r="C12" s="128" t="s">
        <v>1461</v>
      </c>
      <c r="D12" s="136"/>
      <c r="E12" s="137"/>
      <c r="F12" s="138"/>
      <c r="G12" s="136"/>
      <c r="H12" s="139"/>
      <c r="I12" s="138"/>
      <c r="J12" s="140"/>
      <c r="K12" s="139"/>
      <c r="L12" s="138"/>
    </row>
    <row r="13" spans="1:12">
      <c r="A13" s="415"/>
      <c r="B13" s="149" t="s">
        <v>1462</v>
      </c>
      <c r="C13" s="150">
        <v>3</v>
      </c>
      <c r="D13" s="151"/>
      <c r="E13" s="152"/>
      <c r="F13" s="153"/>
      <c r="G13" s="151"/>
      <c r="H13" s="154"/>
      <c r="I13" s="153"/>
      <c r="J13" s="155"/>
      <c r="K13" s="154"/>
      <c r="L13" s="153"/>
    </row>
    <row r="14" spans="1:12">
      <c r="A14" s="390" t="s">
        <v>7</v>
      </c>
      <c r="B14" s="156" t="s">
        <v>1473</v>
      </c>
      <c r="C14" s="128" t="s">
        <v>1465</v>
      </c>
      <c r="D14" s="122"/>
      <c r="E14" s="123"/>
      <c r="F14" s="124"/>
      <c r="G14" s="122"/>
      <c r="H14" s="125"/>
      <c r="I14" s="124"/>
      <c r="J14" s="126"/>
      <c r="K14" s="125"/>
      <c r="L14" s="124"/>
    </row>
    <row r="15" spans="1:12">
      <c r="A15" s="415"/>
      <c r="B15" s="141" t="s">
        <v>1474</v>
      </c>
      <c r="C15" s="157" t="s">
        <v>1475</v>
      </c>
      <c r="D15" s="151"/>
      <c r="E15" s="152"/>
      <c r="F15" s="153"/>
      <c r="G15" s="151"/>
      <c r="H15" s="154"/>
      <c r="I15" s="153"/>
      <c r="J15" s="155"/>
      <c r="K15" s="154"/>
      <c r="L15" s="153"/>
    </row>
  </sheetData>
  <mergeCells count="6">
    <mergeCell ref="A14:A15"/>
    <mergeCell ref="C1:F1"/>
    <mergeCell ref="G1:I1"/>
    <mergeCell ref="J1:L1"/>
    <mergeCell ref="A3:A9"/>
    <mergeCell ref="A10:A13"/>
  </mergeCells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N22"/>
  <sheetViews>
    <sheetView showGridLines="0" workbookViewId="0"/>
  </sheetViews>
  <sheetFormatPr defaultColWidth="14.42578125" defaultRowHeight="15" customHeight="1"/>
  <cols>
    <col min="1" max="1" width="25.140625" customWidth="1"/>
    <col min="2" max="2" width="17.85546875" customWidth="1"/>
    <col min="4" max="4" width="29.42578125" customWidth="1"/>
    <col min="6" max="7" width="15.7109375" customWidth="1"/>
  </cols>
  <sheetData>
    <row r="1" spans="1:14">
      <c r="A1" s="158" t="s">
        <v>1476</v>
      </c>
      <c r="B1" s="159" t="s">
        <v>1477</v>
      </c>
      <c r="C1" s="159" t="s">
        <v>1478</v>
      </c>
      <c r="D1" s="159" t="s">
        <v>1479</v>
      </c>
      <c r="E1" s="159" t="s">
        <v>1480</v>
      </c>
      <c r="F1" s="160" t="s">
        <v>1481</v>
      </c>
      <c r="G1" s="161" t="s">
        <v>2</v>
      </c>
    </row>
    <row r="2" spans="1:14">
      <c r="A2" s="162" t="s">
        <v>1482</v>
      </c>
      <c r="B2" s="163" t="s">
        <v>984</v>
      </c>
      <c r="C2" s="164" t="s">
        <v>1483</v>
      </c>
      <c r="D2" s="164" t="s">
        <v>1484</v>
      </c>
      <c r="E2" s="165">
        <v>1184358</v>
      </c>
      <c r="F2" s="166">
        <v>0</v>
      </c>
      <c r="G2" s="167" t="s">
        <v>1485</v>
      </c>
    </row>
    <row r="3" spans="1:14">
      <c r="A3" s="168" t="s">
        <v>1486</v>
      </c>
      <c r="B3" s="7" t="s">
        <v>984</v>
      </c>
      <c r="C3" s="14">
        <v>30</v>
      </c>
      <c r="D3" s="14" t="s">
        <v>1487</v>
      </c>
      <c r="E3" s="76"/>
      <c r="F3" s="169">
        <v>0</v>
      </c>
      <c r="G3" s="170" t="s">
        <v>1410</v>
      </c>
    </row>
    <row r="4" spans="1:14">
      <c r="A4" s="168" t="s">
        <v>1488</v>
      </c>
      <c r="B4" s="7" t="s">
        <v>985</v>
      </c>
      <c r="C4" s="14"/>
      <c r="D4" s="14" t="s">
        <v>1489</v>
      </c>
      <c r="E4" s="76"/>
      <c r="F4" s="169">
        <v>0</v>
      </c>
      <c r="G4" s="170" t="s">
        <v>1490</v>
      </c>
    </row>
    <row r="5" spans="1:14">
      <c r="A5" s="168" t="s">
        <v>1491</v>
      </c>
      <c r="B5" s="7" t="s">
        <v>986</v>
      </c>
      <c r="C5" s="14">
        <v>18</v>
      </c>
      <c r="D5" s="14" t="s">
        <v>1492</v>
      </c>
      <c r="E5" s="76">
        <v>300000</v>
      </c>
      <c r="F5" s="169">
        <v>0</v>
      </c>
      <c r="G5" s="170" t="s">
        <v>1398</v>
      </c>
    </row>
    <row r="6" spans="1:14">
      <c r="A6" s="168" t="s">
        <v>1493</v>
      </c>
      <c r="B6" s="7" t="s">
        <v>989</v>
      </c>
      <c r="C6" s="171" t="s">
        <v>1494</v>
      </c>
      <c r="D6" s="171" t="s">
        <v>1495</v>
      </c>
      <c r="E6" s="76"/>
      <c r="F6" s="169">
        <v>1000000</v>
      </c>
      <c r="G6" s="170" t="s">
        <v>1496</v>
      </c>
    </row>
    <row r="7" spans="1:14">
      <c r="A7" s="168" t="s">
        <v>1497</v>
      </c>
      <c r="B7" s="7" t="s">
        <v>1498</v>
      </c>
      <c r="C7" s="14"/>
      <c r="D7" s="14" t="s">
        <v>1487</v>
      </c>
      <c r="E7" s="76"/>
      <c r="F7" s="169">
        <v>0</v>
      </c>
      <c r="G7" s="170" t="s">
        <v>1490</v>
      </c>
    </row>
    <row r="8" spans="1:14">
      <c r="A8" s="168" t="s">
        <v>1499</v>
      </c>
      <c r="B8" s="7" t="s">
        <v>990</v>
      </c>
      <c r="C8" s="14">
        <v>23</v>
      </c>
      <c r="D8" s="14" t="s">
        <v>1500</v>
      </c>
      <c r="E8" s="76">
        <v>550000</v>
      </c>
      <c r="F8" s="169">
        <v>0</v>
      </c>
      <c r="G8" s="170" t="s">
        <v>1496</v>
      </c>
    </row>
    <row r="9" spans="1:14">
      <c r="A9" s="168" t="s">
        <v>1501</v>
      </c>
      <c r="B9" s="7" t="s">
        <v>986</v>
      </c>
      <c r="C9" s="14" t="s">
        <v>1502</v>
      </c>
      <c r="D9" s="14" t="s">
        <v>1503</v>
      </c>
      <c r="E9" s="172"/>
      <c r="F9" s="169">
        <f>160000*4*1.19</f>
        <v>761600</v>
      </c>
      <c r="G9" s="170" t="s">
        <v>1504</v>
      </c>
      <c r="I9" s="56"/>
      <c r="J9" s="173"/>
      <c r="K9" s="173"/>
      <c r="L9" s="173"/>
      <c r="M9" s="173"/>
      <c r="N9" s="173"/>
    </row>
    <row r="10" spans="1:14">
      <c r="A10" s="168" t="s">
        <v>1505</v>
      </c>
      <c r="B10" s="7" t="s">
        <v>987</v>
      </c>
      <c r="C10" s="7">
        <v>1</v>
      </c>
      <c r="D10" s="14" t="s">
        <v>1506</v>
      </c>
      <c r="E10" s="76">
        <v>190000</v>
      </c>
      <c r="F10" s="174">
        <v>0</v>
      </c>
      <c r="G10" s="170" t="s">
        <v>1398</v>
      </c>
      <c r="J10" s="15"/>
      <c r="K10" s="15"/>
      <c r="L10" s="15"/>
      <c r="M10" s="15"/>
      <c r="N10" s="15"/>
    </row>
    <row r="11" spans="1:14">
      <c r="A11" s="168" t="s">
        <v>1331</v>
      </c>
      <c r="B11" s="7" t="s">
        <v>990</v>
      </c>
      <c r="C11" s="14" t="s">
        <v>1507</v>
      </c>
      <c r="D11" s="14" t="s">
        <v>1508</v>
      </c>
      <c r="E11" s="76"/>
      <c r="F11" s="174"/>
      <c r="G11" s="175"/>
    </row>
    <row r="12" spans="1:14">
      <c r="A12" s="168"/>
      <c r="B12" s="7"/>
      <c r="C12" s="7"/>
      <c r="D12" s="7"/>
      <c r="E12" s="172"/>
      <c r="F12" s="174"/>
      <c r="G12" s="175"/>
    </row>
    <row r="13" spans="1:14">
      <c r="A13" s="168"/>
      <c r="B13" s="7"/>
      <c r="C13" s="7"/>
      <c r="D13" s="7"/>
      <c r="E13" s="172"/>
      <c r="F13" s="174"/>
      <c r="G13" s="175"/>
    </row>
    <row r="14" spans="1:14">
      <c r="A14" s="168"/>
      <c r="B14" s="7"/>
      <c r="C14" s="7"/>
      <c r="D14" s="7"/>
      <c r="E14" s="172"/>
      <c r="F14" s="174"/>
      <c r="G14" s="175"/>
    </row>
    <row r="15" spans="1:14">
      <c r="A15" s="168"/>
      <c r="B15" s="7"/>
      <c r="C15" s="7"/>
      <c r="D15" s="7"/>
      <c r="E15" s="172"/>
      <c r="F15" s="174"/>
      <c r="G15" s="175"/>
    </row>
    <row r="16" spans="1:14">
      <c r="A16" s="168"/>
      <c r="B16" s="7"/>
      <c r="C16" s="7"/>
      <c r="D16" s="7"/>
      <c r="E16" s="172"/>
      <c r="F16" s="174"/>
      <c r="G16" s="175"/>
    </row>
    <row r="17" spans="1:7">
      <c r="A17" s="168"/>
      <c r="B17" s="7"/>
      <c r="C17" s="7"/>
      <c r="D17" s="7"/>
      <c r="E17" s="172"/>
      <c r="F17" s="174"/>
      <c r="G17" s="175"/>
    </row>
    <row r="18" spans="1:7">
      <c r="A18" s="168"/>
      <c r="B18" s="7"/>
      <c r="C18" s="7"/>
      <c r="D18" s="7"/>
      <c r="E18" s="172"/>
      <c r="F18" s="174"/>
      <c r="G18" s="175"/>
    </row>
    <row r="19" spans="1:7">
      <c r="A19" s="168"/>
      <c r="B19" s="7"/>
      <c r="C19" s="7"/>
      <c r="D19" s="7"/>
      <c r="E19" s="172"/>
      <c r="F19" s="174"/>
      <c r="G19" s="175"/>
    </row>
    <row r="20" spans="1:7">
      <c r="A20" s="168"/>
      <c r="B20" s="7"/>
      <c r="C20" s="7"/>
      <c r="D20" s="7"/>
      <c r="E20" s="172"/>
      <c r="F20" s="174"/>
      <c r="G20" s="175"/>
    </row>
    <row r="21" spans="1:7">
      <c r="A21" s="168"/>
      <c r="B21" s="7"/>
      <c r="C21" s="7"/>
      <c r="D21" s="7"/>
      <c r="E21" s="172"/>
      <c r="F21" s="174"/>
      <c r="G21" s="175"/>
    </row>
    <row r="22" spans="1:7">
      <c r="A22" s="176"/>
      <c r="B22" s="177"/>
      <c r="C22" s="177"/>
      <c r="D22" s="177"/>
      <c r="E22" s="178"/>
      <c r="F22" s="179"/>
      <c r="G22" s="180"/>
    </row>
  </sheetData>
  <pageMargins left="0" right="0" top="0" bottom="0" header="0" footer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19"/>
  <sheetViews>
    <sheetView showGridLines="0" workbookViewId="0"/>
  </sheetViews>
  <sheetFormatPr defaultColWidth="14.42578125" defaultRowHeight="15" customHeight="1"/>
  <cols>
    <col min="1" max="1" width="20" customWidth="1"/>
    <col min="2" max="2" width="38.5703125" customWidth="1"/>
  </cols>
  <sheetData>
    <row r="1" spans="1:4">
      <c r="A1" s="181" t="s">
        <v>1509</v>
      </c>
      <c r="B1" s="182" t="s">
        <v>2</v>
      </c>
      <c r="C1" s="182" t="s">
        <v>1510</v>
      </c>
      <c r="D1" s="183" t="s">
        <v>1511</v>
      </c>
    </row>
    <row r="2" spans="1:4">
      <c r="A2" s="162" t="s">
        <v>1512</v>
      </c>
      <c r="B2" s="125" t="s">
        <v>1513</v>
      </c>
      <c r="C2" s="125" t="s">
        <v>1514</v>
      </c>
      <c r="D2" s="124" t="s">
        <v>1514</v>
      </c>
    </row>
    <row r="3" spans="1:4">
      <c r="A3" s="168" t="s">
        <v>1515</v>
      </c>
      <c r="B3" s="14" t="s">
        <v>1516</v>
      </c>
      <c r="C3" s="14"/>
      <c r="D3" s="131"/>
    </row>
    <row r="4" spans="1:4">
      <c r="A4" s="168" t="s">
        <v>1517</v>
      </c>
      <c r="B4" s="14" t="s">
        <v>1518</v>
      </c>
      <c r="C4" s="14"/>
      <c r="D4" s="131"/>
    </row>
    <row r="5" spans="1:4">
      <c r="A5" s="168" t="s">
        <v>1519</v>
      </c>
      <c r="B5" s="14" t="s">
        <v>50</v>
      </c>
      <c r="C5" s="14"/>
      <c r="D5" s="131"/>
    </row>
    <row r="6" spans="1:4">
      <c r="A6" s="168" t="s">
        <v>1520</v>
      </c>
      <c r="B6" s="14" t="s">
        <v>1521</v>
      </c>
      <c r="C6" s="14"/>
      <c r="D6" s="131"/>
    </row>
    <row r="7" spans="1:4">
      <c r="A7" s="168" t="s">
        <v>1203</v>
      </c>
      <c r="B7" s="14" t="s">
        <v>1522</v>
      </c>
      <c r="C7" s="14" t="s">
        <v>1523</v>
      </c>
      <c r="D7" s="131"/>
    </row>
    <row r="8" spans="1:4">
      <c r="A8" s="168" t="s">
        <v>1524</v>
      </c>
      <c r="B8" s="14" t="s">
        <v>1525</v>
      </c>
      <c r="C8" s="14"/>
      <c r="D8" s="131"/>
    </row>
    <row r="9" spans="1:4">
      <c r="A9" s="168" t="s">
        <v>1526</v>
      </c>
      <c r="B9" s="14" t="s">
        <v>1527</v>
      </c>
      <c r="C9" s="14"/>
      <c r="D9" s="131"/>
    </row>
    <row r="10" spans="1:4">
      <c r="A10" s="168" t="s">
        <v>1077</v>
      </c>
      <c r="B10" s="14" t="s">
        <v>1528</v>
      </c>
      <c r="C10" s="14"/>
      <c r="D10" s="131"/>
    </row>
    <row r="11" spans="1:4">
      <c r="A11" s="168" t="s">
        <v>1529</v>
      </c>
      <c r="B11" s="14" t="s">
        <v>1530</v>
      </c>
      <c r="C11" s="14"/>
      <c r="D11" s="131"/>
    </row>
    <row r="12" spans="1:4">
      <c r="A12" s="168" t="s">
        <v>1531</v>
      </c>
      <c r="B12" s="14" t="s">
        <v>1532</v>
      </c>
      <c r="C12" s="14"/>
      <c r="D12" s="131"/>
    </row>
    <row r="13" spans="1:4">
      <c r="A13" s="168" t="s">
        <v>1533</v>
      </c>
      <c r="B13" s="14" t="s">
        <v>1534</v>
      </c>
      <c r="C13" s="14"/>
      <c r="D13" s="131"/>
    </row>
    <row r="14" spans="1:4">
      <c r="A14" s="168" t="s">
        <v>729</v>
      </c>
      <c r="B14" s="14" t="s">
        <v>1535</v>
      </c>
      <c r="C14" s="14"/>
      <c r="D14" s="131"/>
    </row>
    <row r="15" spans="1:4">
      <c r="A15" s="168" t="s">
        <v>283</v>
      </c>
      <c r="B15" s="14" t="s">
        <v>1535</v>
      </c>
      <c r="C15" s="14"/>
      <c r="D15" s="131"/>
    </row>
    <row r="16" spans="1:4">
      <c r="A16" s="168" t="s">
        <v>1536</v>
      </c>
      <c r="B16" s="14" t="s">
        <v>1535</v>
      </c>
      <c r="C16" s="14"/>
      <c r="D16" s="131"/>
    </row>
    <row r="17" spans="1:4">
      <c r="A17" s="184" t="s">
        <v>1053</v>
      </c>
      <c r="B17" s="139" t="s">
        <v>1537</v>
      </c>
      <c r="C17" s="139"/>
      <c r="D17" s="138"/>
    </row>
    <row r="18" spans="1:4">
      <c r="A18" s="176" t="s">
        <v>1538</v>
      </c>
      <c r="B18" s="154" t="s">
        <v>1539</v>
      </c>
      <c r="C18" s="154"/>
      <c r="D18" s="153"/>
    </row>
    <row r="19" spans="1:4" hidden="1">
      <c r="A19" s="185" t="s">
        <v>283</v>
      </c>
      <c r="B19" s="186"/>
      <c r="C19" s="186"/>
      <c r="D19" s="187"/>
    </row>
  </sheetData>
  <autoFilter ref="A1:D18" xr:uid="{00000000-0009-0000-0000-00000A000000}"/>
  <pageMargins left="0" right="0" top="0" bottom="0" header="0" footer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127"/>
  <sheetViews>
    <sheetView workbookViewId="0"/>
  </sheetViews>
  <sheetFormatPr defaultColWidth="14.42578125" defaultRowHeight="15" customHeight="1"/>
  <cols>
    <col min="5" max="5" width="113.42578125" customWidth="1"/>
  </cols>
  <sheetData>
    <row r="1" spans="1:26">
      <c r="A1" s="392" t="s">
        <v>1540</v>
      </c>
      <c r="B1" s="416"/>
      <c r="C1" s="416"/>
      <c r="D1" s="416"/>
      <c r="E1" s="417"/>
      <c r="F1" s="188"/>
    </row>
    <row r="2" spans="1:26">
      <c r="A2" s="189" t="s">
        <v>1541</v>
      </c>
      <c r="B2" s="189" t="s">
        <v>1542</v>
      </c>
      <c r="C2" s="189" t="s">
        <v>1543</v>
      </c>
      <c r="D2" s="189" t="s">
        <v>1544</v>
      </c>
      <c r="E2" s="189" t="s">
        <v>1545</v>
      </c>
      <c r="F2" s="19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>
      <c r="A3" s="191" t="s">
        <v>1546</v>
      </c>
      <c r="B3" s="191" t="s">
        <v>1547</v>
      </c>
      <c r="C3" s="191" t="s">
        <v>1548</v>
      </c>
      <c r="D3" s="192" t="s">
        <v>1549</v>
      </c>
      <c r="E3" s="193" t="s">
        <v>1550</v>
      </c>
      <c r="F3" s="194"/>
    </row>
    <row r="4" spans="1:26">
      <c r="A4" s="191" t="s">
        <v>1551</v>
      </c>
      <c r="B4" s="191" t="s">
        <v>1552</v>
      </c>
      <c r="C4" s="191" t="s">
        <v>1553</v>
      </c>
      <c r="D4" s="195" t="s">
        <v>1554</v>
      </c>
      <c r="E4" s="193" t="s">
        <v>1555</v>
      </c>
      <c r="F4" s="196"/>
    </row>
    <row r="5" spans="1:26">
      <c r="A5" s="191" t="s">
        <v>1556</v>
      </c>
      <c r="B5" s="191" t="s">
        <v>1557</v>
      </c>
      <c r="C5" s="191" t="s">
        <v>1557</v>
      </c>
      <c r="D5" s="197" t="s">
        <v>1558</v>
      </c>
      <c r="E5" s="193" t="s">
        <v>1559</v>
      </c>
      <c r="F5" s="196"/>
    </row>
    <row r="6" spans="1:26">
      <c r="A6" s="191" t="s">
        <v>1560</v>
      </c>
      <c r="B6" s="191" t="s">
        <v>1561</v>
      </c>
      <c r="C6" s="191" t="s">
        <v>1553</v>
      </c>
      <c r="D6" s="198" t="s">
        <v>1562</v>
      </c>
      <c r="E6" s="193" t="s">
        <v>1563</v>
      </c>
      <c r="F6" s="196"/>
    </row>
    <row r="7" spans="1:26">
      <c r="A7" s="191" t="s">
        <v>1564</v>
      </c>
      <c r="B7" s="191" t="s">
        <v>1565</v>
      </c>
      <c r="C7" s="191" t="s">
        <v>1553</v>
      </c>
      <c r="D7" s="197" t="s">
        <v>1558</v>
      </c>
      <c r="E7" s="193" t="s">
        <v>1566</v>
      </c>
      <c r="F7" s="196"/>
    </row>
    <row r="8" spans="1:26">
      <c r="A8" s="191" t="s">
        <v>1567</v>
      </c>
      <c r="B8" s="191" t="s">
        <v>1552</v>
      </c>
      <c r="C8" s="191" t="s">
        <v>1553</v>
      </c>
      <c r="D8" s="198" t="s">
        <v>1562</v>
      </c>
      <c r="E8" s="193" t="s">
        <v>1568</v>
      </c>
      <c r="F8" s="196"/>
    </row>
    <row r="9" spans="1:26">
      <c r="A9" s="191" t="s">
        <v>1569</v>
      </c>
      <c r="B9" s="191" t="s">
        <v>1570</v>
      </c>
      <c r="C9" s="191" t="s">
        <v>1553</v>
      </c>
      <c r="D9" s="197" t="s">
        <v>1558</v>
      </c>
      <c r="E9" s="193" t="s">
        <v>1571</v>
      </c>
      <c r="F9" s="196"/>
    </row>
    <row r="10" spans="1:26">
      <c r="A10" s="191" t="s">
        <v>1572</v>
      </c>
      <c r="B10" s="191" t="s">
        <v>1552</v>
      </c>
      <c r="C10" s="191" t="s">
        <v>1553</v>
      </c>
      <c r="D10" s="195" t="s">
        <v>1554</v>
      </c>
      <c r="E10" s="193" t="s">
        <v>1568</v>
      </c>
      <c r="F10" s="196"/>
    </row>
    <row r="11" spans="1:26">
      <c r="A11" s="191" t="s">
        <v>1573</v>
      </c>
      <c r="B11" s="191" t="s">
        <v>1552</v>
      </c>
      <c r="C11" s="191" t="s">
        <v>1553</v>
      </c>
      <c r="D11" s="192" t="s">
        <v>1549</v>
      </c>
      <c r="E11" s="193" t="s">
        <v>1574</v>
      </c>
      <c r="F11" s="196"/>
    </row>
    <row r="12" spans="1:26">
      <c r="A12" s="191" t="s">
        <v>1575</v>
      </c>
      <c r="B12" s="191" t="s">
        <v>1576</v>
      </c>
      <c r="C12" s="191" t="s">
        <v>1577</v>
      </c>
      <c r="D12" s="199" t="s">
        <v>1578</v>
      </c>
      <c r="E12" s="193" t="s">
        <v>1579</v>
      </c>
      <c r="F12" s="196"/>
    </row>
    <row r="13" spans="1:26">
      <c r="A13" s="191" t="s">
        <v>1580</v>
      </c>
      <c r="B13" s="191" t="s">
        <v>1581</v>
      </c>
      <c r="C13" s="191" t="s">
        <v>1582</v>
      </c>
      <c r="D13" s="199" t="s">
        <v>1578</v>
      </c>
      <c r="E13" s="193" t="s">
        <v>1583</v>
      </c>
      <c r="F13" s="196"/>
    </row>
    <row r="14" spans="1:26">
      <c r="A14" s="191" t="s">
        <v>1584</v>
      </c>
      <c r="B14" s="191" t="s">
        <v>1581</v>
      </c>
      <c r="C14" s="191" t="s">
        <v>1582</v>
      </c>
      <c r="D14" s="195" t="s">
        <v>1554</v>
      </c>
      <c r="E14" s="193" t="s">
        <v>1585</v>
      </c>
      <c r="F14" s="196"/>
    </row>
    <row r="15" spans="1:26">
      <c r="A15" s="191" t="s">
        <v>1586</v>
      </c>
      <c r="B15" s="191" t="s">
        <v>1587</v>
      </c>
      <c r="C15" s="191" t="s">
        <v>1587</v>
      </c>
      <c r="D15" s="195" t="s">
        <v>1554</v>
      </c>
      <c r="E15" s="193" t="s">
        <v>1588</v>
      </c>
      <c r="F15" s="196"/>
    </row>
    <row r="16" spans="1:26">
      <c r="A16" s="191" t="s">
        <v>1589</v>
      </c>
      <c r="B16" s="191" t="s">
        <v>1590</v>
      </c>
      <c r="C16" s="191" t="s">
        <v>1553</v>
      </c>
      <c r="D16" s="198" t="s">
        <v>1562</v>
      </c>
      <c r="E16" s="193" t="s">
        <v>1591</v>
      </c>
      <c r="F16" s="196"/>
    </row>
    <row r="17" spans="1:6">
      <c r="A17" s="191" t="s">
        <v>1592</v>
      </c>
      <c r="B17" s="191" t="s">
        <v>1593</v>
      </c>
      <c r="C17" s="191" t="s">
        <v>1553</v>
      </c>
      <c r="D17" s="195" t="s">
        <v>1554</v>
      </c>
      <c r="E17" s="193" t="s">
        <v>1594</v>
      </c>
      <c r="F17" s="196"/>
    </row>
    <row r="18" spans="1:6">
      <c r="A18" s="191" t="s">
        <v>1595</v>
      </c>
      <c r="B18" s="191" t="s">
        <v>1587</v>
      </c>
      <c r="C18" s="191" t="s">
        <v>1587</v>
      </c>
      <c r="D18" s="195" t="s">
        <v>1554</v>
      </c>
      <c r="E18" s="193" t="s">
        <v>1596</v>
      </c>
      <c r="F18" s="196"/>
    </row>
    <row r="19" spans="1:6">
      <c r="A19" s="191" t="s">
        <v>1597</v>
      </c>
      <c r="B19" s="191" t="s">
        <v>1593</v>
      </c>
      <c r="C19" s="191" t="s">
        <v>1553</v>
      </c>
      <c r="D19" s="197" t="s">
        <v>1558</v>
      </c>
      <c r="E19" s="193" t="s">
        <v>1598</v>
      </c>
      <c r="F19" s="196"/>
    </row>
    <row r="20" spans="1:6">
      <c r="A20" s="191" t="s">
        <v>1599</v>
      </c>
      <c r="B20" s="191" t="s">
        <v>1593</v>
      </c>
      <c r="C20" s="191" t="s">
        <v>1553</v>
      </c>
      <c r="D20" s="197" t="s">
        <v>1558</v>
      </c>
      <c r="E20" s="193" t="s">
        <v>1600</v>
      </c>
      <c r="F20" s="196"/>
    </row>
    <row r="21" spans="1:6">
      <c r="A21" s="191" t="s">
        <v>1601</v>
      </c>
      <c r="B21" s="191" t="s">
        <v>1552</v>
      </c>
      <c r="C21" s="191" t="s">
        <v>1553</v>
      </c>
      <c r="D21" s="200" t="s">
        <v>1549</v>
      </c>
      <c r="E21" s="193" t="s">
        <v>1602</v>
      </c>
      <c r="F21" s="196"/>
    </row>
    <row r="22" spans="1:6">
      <c r="A22" s="191" t="s">
        <v>1603</v>
      </c>
      <c r="B22" s="191" t="s">
        <v>1604</v>
      </c>
      <c r="C22" s="191" t="s">
        <v>1553</v>
      </c>
      <c r="D22" s="197" t="s">
        <v>1558</v>
      </c>
      <c r="E22" s="193" t="s">
        <v>1605</v>
      </c>
      <c r="F22" s="196"/>
    </row>
    <row r="23" spans="1:6">
      <c r="A23" s="191" t="s">
        <v>1606</v>
      </c>
      <c r="B23" s="191" t="s">
        <v>1607</v>
      </c>
      <c r="C23" s="191" t="s">
        <v>1553</v>
      </c>
      <c r="D23" s="199" t="s">
        <v>1578</v>
      </c>
      <c r="E23" s="193" t="s">
        <v>1583</v>
      </c>
      <c r="F23" s="196"/>
    </row>
    <row r="24" spans="1:6">
      <c r="A24" s="191" t="s">
        <v>1608</v>
      </c>
      <c r="B24" s="191" t="s">
        <v>1609</v>
      </c>
      <c r="C24" s="191" t="s">
        <v>1577</v>
      </c>
      <c r="D24" s="199" t="s">
        <v>1578</v>
      </c>
      <c r="E24" s="193" t="s">
        <v>1610</v>
      </c>
      <c r="F24" s="196"/>
    </row>
    <row r="25" spans="1:6">
      <c r="A25" s="191" t="s">
        <v>1611</v>
      </c>
      <c r="B25" s="191" t="s">
        <v>1593</v>
      </c>
      <c r="C25" s="191" t="s">
        <v>1553</v>
      </c>
      <c r="D25" s="198" t="s">
        <v>1562</v>
      </c>
      <c r="E25" s="193" t="s">
        <v>1612</v>
      </c>
      <c r="F25" s="196"/>
    </row>
    <row r="26" spans="1:6">
      <c r="A26" s="191" t="s">
        <v>1613</v>
      </c>
      <c r="B26" s="191" t="s">
        <v>1614</v>
      </c>
      <c r="C26" s="191" t="s">
        <v>1615</v>
      </c>
      <c r="D26" s="197" t="s">
        <v>1558</v>
      </c>
      <c r="E26" s="193" t="s">
        <v>1579</v>
      </c>
      <c r="F26" s="196"/>
    </row>
    <row r="27" spans="1:6">
      <c r="A27" s="191" t="s">
        <v>1616</v>
      </c>
      <c r="B27" s="191" t="s">
        <v>1617</v>
      </c>
      <c r="C27" s="191" t="s">
        <v>1618</v>
      </c>
      <c r="D27" s="201" t="s">
        <v>1619</v>
      </c>
      <c r="E27" s="193" t="s">
        <v>1620</v>
      </c>
      <c r="F27" s="196"/>
    </row>
    <row r="28" spans="1:6">
      <c r="A28" s="191" t="s">
        <v>1621</v>
      </c>
      <c r="B28" s="191" t="s">
        <v>1622</v>
      </c>
      <c r="C28" s="191" t="s">
        <v>1623</v>
      </c>
      <c r="D28" s="199" t="s">
        <v>1578</v>
      </c>
      <c r="E28" s="193" t="s">
        <v>1624</v>
      </c>
      <c r="F28" s="196"/>
    </row>
    <row r="29" spans="1:6">
      <c r="A29" s="191" t="s">
        <v>1625</v>
      </c>
      <c r="B29" s="191" t="s">
        <v>1626</v>
      </c>
      <c r="C29" s="191" t="s">
        <v>1577</v>
      </c>
      <c r="D29" s="197" t="s">
        <v>1558</v>
      </c>
      <c r="E29" s="193" t="s">
        <v>1627</v>
      </c>
      <c r="F29" s="196"/>
    </row>
    <row r="30" spans="1:6">
      <c r="A30" s="191" t="s">
        <v>1628</v>
      </c>
      <c r="B30" s="191" t="s">
        <v>1629</v>
      </c>
      <c r="C30" s="191" t="s">
        <v>1577</v>
      </c>
      <c r="D30" s="198" t="s">
        <v>1562</v>
      </c>
      <c r="E30" s="193" t="s">
        <v>1630</v>
      </c>
      <c r="F30" s="196"/>
    </row>
    <row r="31" spans="1:6">
      <c r="A31" s="191" t="s">
        <v>1631</v>
      </c>
      <c r="B31" s="191" t="s">
        <v>1557</v>
      </c>
      <c r="C31" s="191" t="s">
        <v>1557</v>
      </c>
      <c r="D31" s="197" t="s">
        <v>1558</v>
      </c>
      <c r="E31" s="193" t="s">
        <v>1632</v>
      </c>
      <c r="F31" s="196"/>
    </row>
    <row r="32" spans="1:6">
      <c r="A32" s="191" t="s">
        <v>1633</v>
      </c>
      <c r="B32" s="191" t="s">
        <v>1634</v>
      </c>
      <c r="C32" s="191" t="s">
        <v>1548</v>
      </c>
      <c r="D32" s="198" t="s">
        <v>1562</v>
      </c>
      <c r="E32" s="193" t="s">
        <v>1635</v>
      </c>
      <c r="F32" s="196"/>
    </row>
    <row r="33" spans="1:6">
      <c r="A33" s="191" t="s">
        <v>1636</v>
      </c>
      <c r="B33" s="191" t="s">
        <v>1552</v>
      </c>
      <c r="C33" s="191" t="s">
        <v>1553</v>
      </c>
      <c r="D33" s="197" t="s">
        <v>1558</v>
      </c>
      <c r="E33" s="193" t="s">
        <v>1637</v>
      </c>
      <c r="F33" s="196"/>
    </row>
    <row r="34" spans="1:6">
      <c r="A34" s="191" t="s">
        <v>823</v>
      </c>
      <c r="B34" s="191" t="s">
        <v>1552</v>
      </c>
      <c r="C34" s="191" t="s">
        <v>1553</v>
      </c>
      <c r="D34" s="192" t="s">
        <v>1549</v>
      </c>
      <c r="E34" s="193" t="s">
        <v>1638</v>
      </c>
      <c r="F34" s="196"/>
    </row>
    <row r="35" spans="1:6">
      <c r="A35" s="191" t="s">
        <v>1639</v>
      </c>
      <c r="B35" s="191" t="s">
        <v>1640</v>
      </c>
      <c r="C35" s="191" t="s">
        <v>1641</v>
      </c>
      <c r="D35" s="197" t="s">
        <v>1558</v>
      </c>
      <c r="E35" s="193" t="s">
        <v>1559</v>
      </c>
      <c r="F35" s="196"/>
    </row>
    <row r="36" spans="1:6">
      <c r="A36" s="191" t="s">
        <v>1642</v>
      </c>
      <c r="B36" s="191" t="s">
        <v>1643</v>
      </c>
      <c r="C36" s="191" t="s">
        <v>1553</v>
      </c>
      <c r="D36" s="192" t="s">
        <v>1549</v>
      </c>
      <c r="E36" s="193" t="s">
        <v>1644</v>
      </c>
      <c r="F36" s="196"/>
    </row>
    <row r="37" spans="1:6">
      <c r="A37" s="191" t="s">
        <v>1645</v>
      </c>
      <c r="B37" s="191" t="s">
        <v>1646</v>
      </c>
      <c r="C37" s="191" t="s">
        <v>1615</v>
      </c>
      <c r="D37" s="199" t="s">
        <v>1578</v>
      </c>
      <c r="E37" s="193" t="s">
        <v>1579</v>
      </c>
      <c r="F37" s="196"/>
    </row>
    <row r="38" spans="1:6">
      <c r="A38" s="191" t="s">
        <v>1647</v>
      </c>
      <c r="B38" s="191" t="s">
        <v>1557</v>
      </c>
      <c r="C38" s="191" t="s">
        <v>1557</v>
      </c>
      <c r="D38" s="198" t="s">
        <v>1562</v>
      </c>
      <c r="E38" s="193" t="s">
        <v>1568</v>
      </c>
      <c r="F38" s="196"/>
    </row>
    <row r="39" spans="1:6">
      <c r="A39" s="191" t="s">
        <v>1648</v>
      </c>
      <c r="B39" s="191" t="s">
        <v>1649</v>
      </c>
      <c r="C39" s="191" t="s">
        <v>1615</v>
      </c>
      <c r="D39" s="201" t="s">
        <v>1619</v>
      </c>
      <c r="E39" s="193" t="s">
        <v>1650</v>
      </c>
      <c r="F39" s="196"/>
    </row>
    <row r="40" spans="1:6">
      <c r="A40" s="191" t="s">
        <v>1651</v>
      </c>
      <c r="B40" s="191" t="s">
        <v>1652</v>
      </c>
      <c r="C40" s="191" t="s">
        <v>1557</v>
      </c>
      <c r="D40" s="198" t="s">
        <v>1562</v>
      </c>
      <c r="E40" s="193" t="s">
        <v>1559</v>
      </c>
      <c r="F40" s="196"/>
    </row>
    <row r="41" spans="1:6">
      <c r="A41" s="191" t="s">
        <v>1653</v>
      </c>
      <c r="B41" s="191" t="s">
        <v>1654</v>
      </c>
      <c r="C41" s="191" t="s">
        <v>1582</v>
      </c>
      <c r="D41" s="198" t="s">
        <v>1562</v>
      </c>
      <c r="E41" s="193" t="s">
        <v>1655</v>
      </c>
      <c r="F41" s="196"/>
    </row>
    <row r="42" spans="1:6">
      <c r="A42" s="191" t="s">
        <v>1656</v>
      </c>
      <c r="B42" s="191" t="s">
        <v>1657</v>
      </c>
      <c r="C42" s="191" t="s">
        <v>1658</v>
      </c>
      <c r="D42" s="199" t="s">
        <v>1578</v>
      </c>
      <c r="E42" s="193" t="s">
        <v>1659</v>
      </c>
      <c r="F42" s="196"/>
    </row>
    <row r="43" spans="1:6">
      <c r="A43" s="191" t="s">
        <v>1660</v>
      </c>
      <c r="B43" s="191" t="s">
        <v>1661</v>
      </c>
      <c r="C43" s="191" t="s">
        <v>1587</v>
      </c>
      <c r="D43" s="195" t="s">
        <v>1554</v>
      </c>
      <c r="E43" s="193" t="s">
        <v>1662</v>
      </c>
      <c r="F43" s="196"/>
    </row>
    <row r="44" spans="1:6">
      <c r="A44" s="191" t="s">
        <v>1663</v>
      </c>
      <c r="B44" s="191" t="s">
        <v>1664</v>
      </c>
      <c r="C44" s="191" t="s">
        <v>1665</v>
      </c>
      <c r="D44" s="198" t="s">
        <v>1562</v>
      </c>
      <c r="E44" s="193" t="s">
        <v>1666</v>
      </c>
      <c r="F44" s="196"/>
    </row>
    <row r="45" spans="1:6">
      <c r="A45" s="191" t="s">
        <v>1667</v>
      </c>
      <c r="B45" s="191" t="s">
        <v>1661</v>
      </c>
      <c r="C45" s="191" t="s">
        <v>1587</v>
      </c>
      <c r="D45" s="201" t="s">
        <v>1619</v>
      </c>
      <c r="E45" s="193" t="s">
        <v>1559</v>
      </c>
      <c r="F45" s="196"/>
    </row>
    <row r="46" spans="1:6">
      <c r="A46" s="191" t="s">
        <v>1668</v>
      </c>
      <c r="B46" s="191" t="s">
        <v>1661</v>
      </c>
      <c r="C46" s="191" t="s">
        <v>1587</v>
      </c>
      <c r="D46" s="198" t="s">
        <v>1562</v>
      </c>
      <c r="E46" s="193" t="s">
        <v>1669</v>
      </c>
      <c r="F46" s="196"/>
    </row>
    <row r="47" spans="1:6">
      <c r="A47" s="191" t="s">
        <v>1670</v>
      </c>
      <c r="B47" s="191" t="s">
        <v>1661</v>
      </c>
      <c r="C47" s="191" t="s">
        <v>1553</v>
      </c>
      <c r="D47" s="197" t="s">
        <v>1558</v>
      </c>
      <c r="E47" s="193" t="s">
        <v>1579</v>
      </c>
      <c r="F47" s="196"/>
    </row>
    <row r="48" spans="1:6">
      <c r="A48" s="191" t="s">
        <v>1671</v>
      </c>
      <c r="B48" s="191" t="s">
        <v>1672</v>
      </c>
      <c r="C48" s="191" t="s">
        <v>1577</v>
      </c>
      <c r="D48" s="198" t="s">
        <v>1562</v>
      </c>
      <c r="E48" s="193" t="s">
        <v>1610</v>
      </c>
      <c r="F48" s="196"/>
    </row>
    <row r="49" spans="1:6">
      <c r="A49" s="191" t="s">
        <v>1673</v>
      </c>
      <c r="B49" s="191" t="s">
        <v>1552</v>
      </c>
      <c r="C49" s="191" t="s">
        <v>1553</v>
      </c>
      <c r="D49" s="198" t="s">
        <v>1562</v>
      </c>
      <c r="E49" s="193" t="s">
        <v>1674</v>
      </c>
      <c r="F49" s="196"/>
    </row>
    <row r="50" spans="1:6">
      <c r="A50" s="191" t="s">
        <v>1675</v>
      </c>
      <c r="B50" s="191" t="s">
        <v>1552</v>
      </c>
      <c r="C50" s="191" t="s">
        <v>1553</v>
      </c>
      <c r="D50" s="198" t="s">
        <v>1562</v>
      </c>
      <c r="E50" s="193" t="s">
        <v>1676</v>
      </c>
      <c r="F50" s="196"/>
    </row>
    <row r="51" spans="1:6">
      <c r="A51" s="191" t="s">
        <v>1677</v>
      </c>
      <c r="B51" s="191" t="s">
        <v>1552</v>
      </c>
      <c r="C51" s="191" t="s">
        <v>1553</v>
      </c>
      <c r="D51" s="198" t="s">
        <v>1562</v>
      </c>
      <c r="E51" s="193" t="s">
        <v>1669</v>
      </c>
      <c r="F51" s="196"/>
    </row>
    <row r="52" spans="1:6">
      <c r="A52" s="191" t="s">
        <v>1678</v>
      </c>
      <c r="B52" s="191" t="s">
        <v>1679</v>
      </c>
      <c r="C52" s="191" t="s">
        <v>1582</v>
      </c>
      <c r="D52" s="197" t="s">
        <v>1558</v>
      </c>
      <c r="E52" s="193" t="s">
        <v>1680</v>
      </c>
      <c r="F52" s="196"/>
    </row>
    <row r="53" spans="1:6">
      <c r="A53" s="191" t="s">
        <v>1681</v>
      </c>
      <c r="B53" s="191" t="s">
        <v>1618</v>
      </c>
      <c r="C53" s="191" t="s">
        <v>1618</v>
      </c>
      <c r="D53" s="201" t="s">
        <v>1619</v>
      </c>
      <c r="E53" s="193" t="s">
        <v>1680</v>
      </c>
      <c r="F53" s="196"/>
    </row>
    <row r="54" spans="1:6">
      <c r="A54" s="191" t="s">
        <v>1682</v>
      </c>
      <c r="B54" s="191" t="s">
        <v>1661</v>
      </c>
      <c r="C54" s="191" t="s">
        <v>1587</v>
      </c>
      <c r="D54" s="199" t="s">
        <v>1578</v>
      </c>
      <c r="E54" s="193" t="s">
        <v>1683</v>
      </c>
      <c r="F54" s="196"/>
    </row>
    <row r="55" spans="1:6">
      <c r="A55" s="191" t="s">
        <v>1684</v>
      </c>
      <c r="B55" s="191" t="s">
        <v>1661</v>
      </c>
      <c r="C55" s="191" t="s">
        <v>1587</v>
      </c>
      <c r="D55" s="197" t="s">
        <v>1558</v>
      </c>
      <c r="E55" s="193" t="s">
        <v>1685</v>
      </c>
      <c r="F55" s="196"/>
    </row>
    <row r="56" spans="1:6">
      <c r="A56" s="191" t="s">
        <v>1686</v>
      </c>
      <c r="B56" s="191" t="s">
        <v>1661</v>
      </c>
      <c r="C56" s="191" t="s">
        <v>1587</v>
      </c>
      <c r="D56" s="201" t="s">
        <v>1619</v>
      </c>
      <c r="E56" s="191" t="s">
        <v>1610</v>
      </c>
      <c r="F56" s="202"/>
    </row>
    <row r="57" spans="1:6">
      <c r="A57" s="191" t="s">
        <v>1687</v>
      </c>
      <c r="B57" s="191" t="s">
        <v>1688</v>
      </c>
      <c r="C57" s="191" t="s">
        <v>1689</v>
      </c>
      <c r="D57" s="201" t="s">
        <v>1619</v>
      </c>
      <c r="E57" s="191" t="s">
        <v>1680</v>
      </c>
      <c r="F57" s="202"/>
    </row>
    <row r="58" spans="1:6">
      <c r="A58" s="191" t="s">
        <v>1690</v>
      </c>
      <c r="B58" s="191" t="s">
        <v>1590</v>
      </c>
      <c r="C58" s="191" t="s">
        <v>1577</v>
      </c>
      <c r="D58" s="198" t="s">
        <v>1562</v>
      </c>
      <c r="E58" s="191" t="s">
        <v>1691</v>
      </c>
      <c r="F58" s="202"/>
    </row>
    <row r="59" spans="1:6">
      <c r="A59" s="191" t="s">
        <v>1692</v>
      </c>
      <c r="B59" s="191" t="s">
        <v>1552</v>
      </c>
      <c r="C59" s="191" t="s">
        <v>1553</v>
      </c>
      <c r="D59" s="198" t="s">
        <v>1562</v>
      </c>
      <c r="E59" s="191" t="s">
        <v>1693</v>
      </c>
      <c r="F59" s="202"/>
    </row>
    <row r="60" spans="1:6">
      <c r="A60" s="191" t="s">
        <v>1694</v>
      </c>
      <c r="B60" s="191" t="s">
        <v>1552</v>
      </c>
      <c r="C60" s="191" t="s">
        <v>1553</v>
      </c>
      <c r="D60" s="199" t="s">
        <v>1578</v>
      </c>
      <c r="E60" s="191" t="s">
        <v>1695</v>
      </c>
      <c r="F60" s="202"/>
    </row>
    <row r="61" spans="1:6">
      <c r="A61" s="191" t="s">
        <v>1696</v>
      </c>
      <c r="B61" s="191" t="s">
        <v>1587</v>
      </c>
      <c r="C61" s="191" t="s">
        <v>1587</v>
      </c>
      <c r="D61" s="198" t="s">
        <v>1562</v>
      </c>
      <c r="E61" s="191" t="s">
        <v>1697</v>
      </c>
      <c r="F61" s="202"/>
    </row>
    <row r="62" spans="1:6">
      <c r="A62" s="191" t="s">
        <v>1698</v>
      </c>
      <c r="B62" s="191" t="s">
        <v>1587</v>
      </c>
      <c r="C62" s="191" t="s">
        <v>1587</v>
      </c>
      <c r="D62" s="198" t="s">
        <v>1562</v>
      </c>
      <c r="E62" s="191" t="s">
        <v>1699</v>
      </c>
      <c r="F62" s="202"/>
    </row>
    <row r="63" spans="1:6">
      <c r="A63" s="191" t="s">
        <v>1700</v>
      </c>
      <c r="B63" s="191" t="s">
        <v>1587</v>
      </c>
      <c r="C63" s="191" t="s">
        <v>1587</v>
      </c>
      <c r="D63" s="198" t="s">
        <v>1562</v>
      </c>
      <c r="E63" s="191" t="s">
        <v>1701</v>
      </c>
      <c r="F63" s="202"/>
    </row>
    <row r="64" spans="1:6">
      <c r="A64" s="191" t="s">
        <v>1702</v>
      </c>
      <c r="B64" s="191" t="s">
        <v>1587</v>
      </c>
      <c r="C64" s="191" t="s">
        <v>1587</v>
      </c>
      <c r="D64" s="195" t="s">
        <v>1554</v>
      </c>
      <c r="E64" s="191" t="s">
        <v>1703</v>
      </c>
      <c r="F64" s="202"/>
    </row>
    <row r="65" spans="1:6">
      <c r="A65" s="191" t="s">
        <v>1704</v>
      </c>
      <c r="B65" s="191" t="s">
        <v>1587</v>
      </c>
      <c r="C65" s="191" t="s">
        <v>1587</v>
      </c>
      <c r="D65" s="201" t="s">
        <v>1619</v>
      </c>
      <c r="E65" s="191" t="s">
        <v>1579</v>
      </c>
      <c r="F65" s="202"/>
    </row>
    <row r="66" spans="1:6">
      <c r="A66" s="191" t="s">
        <v>1705</v>
      </c>
      <c r="B66" s="191" t="s">
        <v>1587</v>
      </c>
      <c r="C66" s="191" t="s">
        <v>1587</v>
      </c>
      <c r="D66" s="201" t="s">
        <v>1619</v>
      </c>
      <c r="E66" s="191" t="s">
        <v>1706</v>
      </c>
      <c r="F66" s="202"/>
    </row>
    <row r="67" spans="1:6">
      <c r="A67" s="191" t="s">
        <v>1707</v>
      </c>
      <c r="B67" s="191" t="s">
        <v>1587</v>
      </c>
      <c r="C67" s="191" t="s">
        <v>1587</v>
      </c>
      <c r="D67" s="198" t="s">
        <v>1562</v>
      </c>
      <c r="E67" s="191" t="s">
        <v>1708</v>
      </c>
      <c r="F67" s="202"/>
    </row>
    <row r="68" spans="1:6">
      <c r="A68" s="191" t="s">
        <v>1709</v>
      </c>
      <c r="B68" s="191" t="s">
        <v>1587</v>
      </c>
      <c r="C68" s="191" t="s">
        <v>1587</v>
      </c>
      <c r="D68" s="201" t="s">
        <v>1619</v>
      </c>
      <c r="E68" s="191" t="s">
        <v>1680</v>
      </c>
      <c r="F68" s="202"/>
    </row>
    <row r="69" spans="1:6">
      <c r="A69" s="191" t="s">
        <v>1710</v>
      </c>
      <c r="B69" s="191" t="s">
        <v>1587</v>
      </c>
      <c r="C69" s="191" t="s">
        <v>1587</v>
      </c>
      <c r="D69" s="201" t="s">
        <v>1619</v>
      </c>
      <c r="E69" s="191" t="s">
        <v>1711</v>
      </c>
      <c r="F69" s="202"/>
    </row>
    <row r="70" spans="1:6">
      <c r="A70" s="191" t="s">
        <v>1712</v>
      </c>
      <c r="B70" s="191" t="s">
        <v>1661</v>
      </c>
      <c r="C70" s="191" t="s">
        <v>1587</v>
      </c>
      <c r="D70" s="198" t="s">
        <v>1562</v>
      </c>
      <c r="E70" s="191" t="s">
        <v>1713</v>
      </c>
      <c r="F70" s="202"/>
    </row>
    <row r="71" spans="1:6">
      <c r="A71" s="191" t="s">
        <v>1714</v>
      </c>
      <c r="B71" s="191" t="s">
        <v>1715</v>
      </c>
      <c r="C71" s="191" t="s">
        <v>1553</v>
      </c>
      <c r="D71" s="198" t="s">
        <v>1562</v>
      </c>
      <c r="E71" s="191" t="s">
        <v>1716</v>
      </c>
      <c r="F71" s="202"/>
    </row>
    <row r="72" spans="1:6">
      <c r="A72" s="191" t="s">
        <v>1717</v>
      </c>
      <c r="B72" s="191" t="s">
        <v>1718</v>
      </c>
      <c r="C72" s="191" t="s">
        <v>1553</v>
      </c>
      <c r="D72" s="197" t="s">
        <v>1558</v>
      </c>
      <c r="E72" s="191" t="s">
        <v>1719</v>
      </c>
      <c r="F72" s="202"/>
    </row>
    <row r="73" spans="1:6">
      <c r="A73" s="191" t="s">
        <v>1720</v>
      </c>
      <c r="B73" s="191" t="s">
        <v>1721</v>
      </c>
      <c r="C73" s="191" t="s">
        <v>1553</v>
      </c>
      <c r="D73" s="197" t="s">
        <v>1558</v>
      </c>
      <c r="E73" s="191" t="s">
        <v>1722</v>
      </c>
      <c r="F73" s="202"/>
    </row>
    <row r="74" spans="1:6">
      <c r="A74" s="191" t="s">
        <v>1723</v>
      </c>
      <c r="B74" s="191" t="s">
        <v>1724</v>
      </c>
      <c r="C74" s="191" t="s">
        <v>1553</v>
      </c>
      <c r="D74" s="198" t="s">
        <v>1562</v>
      </c>
      <c r="E74" s="191" t="s">
        <v>1610</v>
      </c>
      <c r="F74" s="202"/>
    </row>
    <row r="75" spans="1:6">
      <c r="A75" s="191" t="s">
        <v>1725</v>
      </c>
      <c r="B75" s="191" t="s">
        <v>1724</v>
      </c>
      <c r="C75" s="191" t="s">
        <v>1553</v>
      </c>
      <c r="D75" s="192" t="s">
        <v>1549</v>
      </c>
      <c r="E75" s="191" t="s">
        <v>1726</v>
      </c>
      <c r="F75" s="202"/>
    </row>
    <row r="76" spans="1:6">
      <c r="A76" s="191" t="s">
        <v>1727</v>
      </c>
      <c r="B76" s="191" t="s">
        <v>1724</v>
      </c>
      <c r="C76" s="191" t="s">
        <v>1553</v>
      </c>
      <c r="D76" s="201" t="s">
        <v>1619</v>
      </c>
      <c r="E76" s="191" t="s">
        <v>1728</v>
      </c>
      <c r="F76" s="202"/>
    </row>
    <row r="77" spans="1:6">
      <c r="A77" s="191" t="s">
        <v>1729</v>
      </c>
      <c r="B77" s="191" t="s">
        <v>1730</v>
      </c>
      <c r="C77" s="191" t="s">
        <v>1553</v>
      </c>
      <c r="D77" s="201" t="s">
        <v>1619</v>
      </c>
      <c r="E77" s="191" t="s">
        <v>1610</v>
      </c>
      <c r="F77" s="202"/>
    </row>
    <row r="78" spans="1:6">
      <c r="A78" s="191" t="s">
        <v>1731</v>
      </c>
      <c r="B78" s="191" t="s">
        <v>1732</v>
      </c>
      <c r="C78" s="191" t="s">
        <v>1553</v>
      </c>
      <c r="D78" s="201" t="s">
        <v>1619</v>
      </c>
      <c r="E78" s="191" t="s">
        <v>1733</v>
      </c>
      <c r="F78" s="202"/>
    </row>
    <row r="79" spans="1:6">
      <c r="A79" s="191" t="s">
        <v>1734</v>
      </c>
      <c r="B79" s="191" t="s">
        <v>1735</v>
      </c>
      <c r="C79" s="191" t="s">
        <v>1553</v>
      </c>
      <c r="D79" s="197" t="s">
        <v>1558</v>
      </c>
      <c r="E79" s="191" t="s">
        <v>1736</v>
      </c>
      <c r="F79" s="202"/>
    </row>
    <row r="80" spans="1:6">
      <c r="A80" s="191" t="s">
        <v>1737</v>
      </c>
      <c r="B80" s="191" t="s">
        <v>1557</v>
      </c>
      <c r="C80" s="191" t="s">
        <v>1557</v>
      </c>
      <c r="D80" s="197" t="s">
        <v>1558</v>
      </c>
      <c r="E80" s="191" t="s">
        <v>1738</v>
      </c>
      <c r="F80" s="202"/>
    </row>
    <row r="81" spans="1:6">
      <c r="A81" s="191" t="s">
        <v>1739</v>
      </c>
      <c r="B81" s="191" t="s">
        <v>1740</v>
      </c>
      <c r="C81" s="191" t="s">
        <v>1553</v>
      </c>
      <c r="D81" s="201" t="s">
        <v>1619</v>
      </c>
      <c r="E81" s="191" t="s">
        <v>1741</v>
      </c>
      <c r="F81" s="202"/>
    </row>
    <row r="82" spans="1:6">
      <c r="A82" s="191" t="s">
        <v>1742</v>
      </c>
      <c r="B82" s="191" t="s">
        <v>1553</v>
      </c>
      <c r="C82" s="191" t="s">
        <v>1553</v>
      </c>
      <c r="D82" s="201" t="s">
        <v>1619</v>
      </c>
      <c r="E82" s="191" t="s">
        <v>1743</v>
      </c>
      <c r="F82" s="202"/>
    </row>
    <row r="83" spans="1:6">
      <c r="A83" s="191" t="s">
        <v>1744</v>
      </c>
      <c r="B83" s="191" t="s">
        <v>1745</v>
      </c>
      <c r="C83" s="191" t="s">
        <v>1553</v>
      </c>
      <c r="D83" s="201" t="s">
        <v>1619</v>
      </c>
      <c r="E83" s="191" t="s">
        <v>1746</v>
      </c>
      <c r="F83" s="202"/>
    </row>
    <row r="84" spans="1:6">
      <c r="A84" s="191" t="s">
        <v>1747</v>
      </c>
      <c r="B84" s="191" t="s">
        <v>1557</v>
      </c>
      <c r="C84" s="191" t="s">
        <v>1557</v>
      </c>
      <c r="D84" s="197" t="s">
        <v>1558</v>
      </c>
      <c r="E84" s="191" t="s">
        <v>1748</v>
      </c>
      <c r="F84" s="202"/>
    </row>
    <row r="85" spans="1:6">
      <c r="A85" s="191" t="s">
        <v>1749</v>
      </c>
      <c r="B85" s="191" t="s">
        <v>1557</v>
      </c>
      <c r="C85" s="191" t="s">
        <v>1557</v>
      </c>
      <c r="D85" s="198" t="s">
        <v>1562</v>
      </c>
      <c r="E85" s="191" t="s">
        <v>1750</v>
      </c>
      <c r="F85" s="202"/>
    </row>
    <row r="86" spans="1:6">
      <c r="A86" s="191" t="s">
        <v>1751</v>
      </c>
      <c r="B86" s="191" t="s">
        <v>1552</v>
      </c>
      <c r="C86" s="191" t="s">
        <v>1553</v>
      </c>
      <c r="D86" s="192" t="s">
        <v>1549</v>
      </c>
      <c r="E86" s="191" t="s">
        <v>1752</v>
      </c>
      <c r="F86" s="202"/>
    </row>
    <row r="87" spans="1:6">
      <c r="A87" s="191" t="s">
        <v>1753</v>
      </c>
      <c r="B87" s="191" t="s">
        <v>1557</v>
      </c>
      <c r="C87" s="191" t="s">
        <v>1557</v>
      </c>
      <c r="D87" s="199" t="s">
        <v>1578</v>
      </c>
      <c r="E87" s="191" t="s">
        <v>1754</v>
      </c>
      <c r="F87" s="202"/>
    </row>
    <row r="88" spans="1:6">
      <c r="A88" s="191" t="s">
        <v>1755</v>
      </c>
      <c r="B88" s="191" t="s">
        <v>1557</v>
      </c>
      <c r="C88" s="191" t="s">
        <v>1557</v>
      </c>
      <c r="D88" s="199" t="s">
        <v>1578</v>
      </c>
      <c r="E88" s="191" t="s">
        <v>1756</v>
      </c>
      <c r="F88" s="202"/>
    </row>
    <row r="89" spans="1:6">
      <c r="A89" s="191" t="s">
        <v>1757</v>
      </c>
      <c r="B89" s="191" t="s">
        <v>1758</v>
      </c>
      <c r="C89" s="191" t="s">
        <v>1615</v>
      </c>
      <c r="D89" s="201" t="s">
        <v>1619</v>
      </c>
      <c r="E89" s="191" t="s">
        <v>1759</v>
      </c>
      <c r="F89" s="202"/>
    </row>
    <row r="90" spans="1:6">
      <c r="A90" s="191" t="s">
        <v>1760</v>
      </c>
      <c r="B90" s="191" t="s">
        <v>1761</v>
      </c>
      <c r="C90" s="191" t="s">
        <v>1553</v>
      </c>
      <c r="D90" s="201" t="s">
        <v>1619</v>
      </c>
      <c r="E90" s="191" t="s">
        <v>1762</v>
      </c>
      <c r="F90" s="202"/>
    </row>
    <row r="91" spans="1:6">
      <c r="A91" s="191" t="s">
        <v>1763</v>
      </c>
      <c r="B91" s="191" t="s">
        <v>1553</v>
      </c>
      <c r="C91" s="191" t="s">
        <v>1553</v>
      </c>
      <c r="D91" s="201" t="s">
        <v>1619</v>
      </c>
      <c r="E91" s="191" t="s">
        <v>1764</v>
      </c>
      <c r="F91" s="202"/>
    </row>
    <row r="92" spans="1:6">
      <c r="A92" s="191" t="s">
        <v>1765</v>
      </c>
      <c r="B92" s="191" t="s">
        <v>1766</v>
      </c>
      <c r="C92" s="191" t="s">
        <v>1767</v>
      </c>
      <c r="D92" s="201" t="s">
        <v>1619</v>
      </c>
      <c r="E92" s="191" t="s">
        <v>1768</v>
      </c>
      <c r="F92" s="202"/>
    </row>
    <row r="93" spans="1:6">
      <c r="A93" s="191" t="s">
        <v>1769</v>
      </c>
      <c r="B93" s="191" t="s">
        <v>1770</v>
      </c>
      <c r="C93" s="191" t="s">
        <v>1557</v>
      </c>
      <c r="D93" s="199" t="s">
        <v>1578</v>
      </c>
      <c r="E93" s="191" t="s">
        <v>1771</v>
      </c>
      <c r="F93" s="202"/>
    </row>
    <row r="94" spans="1:6">
      <c r="A94" s="191" t="s">
        <v>1772</v>
      </c>
      <c r="B94" s="191" t="s">
        <v>1773</v>
      </c>
      <c r="C94" s="191" t="s">
        <v>1557</v>
      </c>
      <c r="D94" s="197" t="s">
        <v>1558</v>
      </c>
      <c r="E94" s="191" t="s">
        <v>1774</v>
      </c>
      <c r="F94" s="202"/>
    </row>
    <row r="95" spans="1:6">
      <c r="A95" s="191" t="s">
        <v>1775</v>
      </c>
      <c r="B95" s="191" t="s">
        <v>1557</v>
      </c>
      <c r="C95" s="191" t="s">
        <v>1557</v>
      </c>
      <c r="D95" s="201" t="s">
        <v>1619</v>
      </c>
      <c r="E95" s="191" t="s">
        <v>1579</v>
      </c>
      <c r="F95" s="202"/>
    </row>
    <row r="96" spans="1:6">
      <c r="A96" s="191" t="s">
        <v>1776</v>
      </c>
      <c r="B96" s="191" t="s">
        <v>1777</v>
      </c>
      <c r="C96" s="191" t="s">
        <v>1553</v>
      </c>
      <c r="D96" s="197" t="s">
        <v>1558</v>
      </c>
      <c r="E96" s="191" t="s">
        <v>1778</v>
      </c>
      <c r="F96" s="202"/>
    </row>
    <row r="97" spans="1:6">
      <c r="A97" s="191" t="s">
        <v>1779</v>
      </c>
      <c r="B97" s="191" t="s">
        <v>1777</v>
      </c>
      <c r="C97" s="191" t="s">
        <v>1553</v>
      </c>
      <c r="D97" s="198" t="s">
        <v>1562</v>
      </c>
      <c r="E97" s="191" t="s">
        <v>1780</v>
      </c>
      <c r="F97" s="202"/>
    </row>
    <row r="98" spans="1:6">
      <c r="A98" s="191" t="s">
        <v>1781</v>
      </c>
      <c r="B98" s="191" t="s">
        <v>1777</v>
      </c>
      <c r="C98" s="191" t="s">
        <v>1553</v>
      </c>
      <c r="D98" s="201" t="s">
        <v>1619</v>
      </c>
      <c r="E98" s="191" t="s">
        <v>1674</v>
      </c>
      <c r="F98" s="202"/>
    </row>
    <row r="99" spans="1:6">
      <c r="A99" s="191" t="s">
        <v>1782</v>
      </c>
      <c r="B99" s="191" t="s">
        <v>1552</v>
      </c>
      <c r="C99" s="191" t="s">
        <v>1553</v>
      </c>
      <c r="D99" s="201" t="s">
        <v>1619</v>
      </c>
      <c r="E99" s="191" t="s">
        <v>1783</v>
      </c>
      <c r="F99" s="202"/>
    </row>
    <row r="100" spans="1:6">
      <c r="A100" s="191" t="s">
        <v>1784</v>
      </c>
      <c r="B100" s="191" t="s">
        <v>1552</v>
      </c>
      <c r="C100" s="191" t="s">
        <v>1553</v>
      </c>
      <c r="D100" s="201" t="s">
        <v>1619</v>
      </c>
      <c r="E100" s="191" t="s">
        <v>1785</v>
      </c>
      <c r="F100" s="202"/>
    </row>
    <row r="101" spans="1:6">
      <c r="A101" s="191" t="s">
        <v>1786</v>
      </c>
      <c r="B101" s="191" t="s">
        <v>1552</v>
      </c>
      <c r="C101" s="191" t="s">
        <v>1553</v>
      </c>
      <c r="D101" s="201" t="s">
        <v>1619</v>
      </c>
      <c r="E101" s="191" t="s">
        <v>1743</v>
      </c>
      <c r="F101" s="202"/>
    </row>
    <row r="102" spans="1:6">
      <c r="A102" s="191" t="s">
        <v>1787</v>
      </c>
      <c r="B102" s="191" t="s">
        <v>1552</v>
      </c>
      <c r="C102" s="191" t="s">
        <v>1553</v>
      </c>
      <c r="D102" s="197" t="s">
        <v>1558</v>
      </c>
      <c r="E102" s="191" t="s">
        <v>1788</v>
      </c>
      <c r="F102" s="202"/>
    </row>
    <row r="103" spans="1:6">
      <c r="A103" s="191" t="s">
        <v>1789</v>
      </c>
      <c r="B103" s="191" t="s">
        <v>1552</v>
      </c>
      <c r="C103" s="191" t="s">
        <v>1553</v>
      </c>
      <c r="D103" s="198" t="s">
        <v>1562</v>
      </c>
      <c r="E103" s="191" t="s">
        <v>1790</v>
      </c>
      <c r="F103" s="202"/>
    </row>
    <row r="104" spans="1:6">
      <c r="A104" s="191" t="s">
        <v>1791</v>
      </c>
      <c r="B104" s="191" t="s">
        <v>1552</v>
      </c>
      <c r="C104" s="191" t="s">
        <v>1553</v>
      </c>
      <c r="D104" s="201" t="s">
        <v>1619</v>
      </c>
      <c r="E104" s="191" t="s">
        <v>1783</v>
      </c>
      <c r="F104" s="202"/>
    </row>
    <row r="105" spans="1:6">
      <c r="A105" s="191" t="s">
        <v>1792</v>
      </c>
      <c r="B105" s="191" t="s">
        <v>1552</v>
      </c>
      <c r="C105" s="191" t="s">
        <v>1553</v>
      </c>
      <c r="D105" s="201" t="s">
        <v>1619</v>
      </c>
      <c r="E105" s="191" t="s">
        <v>1793</v>
      </c>
      <c r="F105" s="202"/>
    </row>
    <row r="106" spans="1:6">
      <c r="A106" s="191" t="s">
        <v>1794</v>
      </c>
      <c r="B106" s="191" t="s">
        <v>1795</v>
      </c>
      <c r="C106" s="191" t="s">
        <v>1582</v>
      </c>
      <c r="D106" s="201" t="s">
        <v>1619</v>
      </c>
      <c r="E106" s="191" t="s">
        <v>1559</v>
      </c>
      <c r="F106" s="202"/>
    </row>
    <row r="107" spans="1:6">
      <c r="A107" s="191" t="s">
        <v>1796</v>
      </c>
      <c r="B107" s="191" t="s">
        <v>1795</v>
      </c>
      <c r="C107" s="191" t="s">
        <v>1582</v>
      </c>
      <c r="D107" s="197" t="s">
        <v>1558</v>
      </c>
      <c r="E107" s="191" t="s">
        <v>1783</v>
      </c>
      <c r="F107" s="202"/>
    </row>
    <row r="108" spans="1:6">
      <c r="A108" s="191" t="s">
        <v>1797</v>
      </c>
      <c r="B108" s="191" t="s">
        <v>1795</v>
      </c>
      <c r="C108" s="191" t="s">
        <v>1582</v>
      </c>
      <c r="D108" s="198" t="s">
        <v>1562</v>
      </c>
      <c r="E108" s="191" t="s">
        <v>1780</v>
      </c>
      <c r="F108" s="202"/>
    </row>
    <row r="109" spans="1:6">
      <c r="A109" s="191" t="s">
        <v>1798</v>
      </c>
      <c r="B109" s="191" t="s">
        <v>1795</v>
      </c>
      <c r="C109" s="191" t="s">
        <v>1582</v>
      </c>
      <c r="D109" s="201" t="s">
        <v>1619</v>
      </c>
      <c r="E109" s="191" t="s">
        <v>1783</v>
      </c>
      <c r="F109" s="202"/>
    </row>
    <row r="110" spans="1:6">
      <c r="A110" s="191" t="s">
        <v>1799</v>
      </c>
      <c r="B110" s="191" t="s">
        <v>1795</v>
      </c>
      <c r="C110" s="191" t="s">
        <v>1582</v>
      </c>
      <c r="D110" s="199" t="s">
        <v>1578</v>
      </c>
      <c r="E110" s="191" t="s">
        <v>1783</v>
      </c>
      <c r="F110" s="202"/>
    </row>
    <row r="111" spans="1:6">
      <c r="A111" s="191" t="s">
        <v>1800</v>
      </c>
      <c r="B111" s="191" t="s">
        <v>1795</v>
      </c>
      <c r="C111" s="191" t="s">
        <v>1582</v>
      </c>
      <c r="D111" s="192" t="s">
        <v>1549</v>
      </c>
      <c r="E111" s="191" t="s">
        <v>1801</v>
      </c>
      <c r="F111" s="202"/>
    </row>
    <row r="112" spans="1:6">
      <c r="A112" s="191" t="s">
        <v>1802</v>
      </c>
      <c r="B112" s="191" t="s">
        <v>1795</v>
      </c>
      <c r="C112" s="191" t="s">
        <v>1582</v>
      </c>
      <c r="D112" s="201" t="s">
        <v>1619</v>
      </c>
      <c r="E112" s="191" t="s">
        <v>1803</v>
      </c>
      <c r="F112" s="202"/>
    </row>
    <row r="113" spans="1:7">
      <c r="A113" s="191" t="s">
        <v>1804</v>
      </c>
      <c r="B113" s="191" t="s">
        <v>1795</v>
      </c>
      <c r="C113" s="191" t="s">
        <v>1582</v>
      </c>
      <c r="D113" s="198" t="s">
        <v>1562</v>
      </c>
      <c r="E113" s="191" t="s">
        <v>1610</v>
      </c>
      <c r="F113" s="202"/>
    </row>
    <row r="114" spans="1:7">
      <c r="A114" s="191" t="s">
        <v>1805</v>
      </c>
      <c r="B114" s="191" t="s">
        <v>1795</v>
      </c>
      <c r="C114" s="191" t="s">
        <v>1582</v>
      </c>
      <c r="D114" s="201" t="s">
        <v>1619</v>
      </c>
      <c r="E114" s="191" t="s">
        <v>1785</v>
      </c>
      <c r="F114" s="202"/>
    </row>
    <row r="115" spans="1:7">
      <c r="A115" s="191" t="s">
        <v>1806</v>
      </c>
      <c r="B115" s="191" t="s">
        <v>1795</v>
      </c>
      <c r="C115" s="191" t="s">
        <v>1582</v>
      </c>
      <c r="D115" s="201" t="s">
        <v>1619</v>
      </c>
      <c r="E115" s="191" t="s">
        <v>1669</v>
      </c>
      <c r="F115" s="202"/>
    </row>
    <row r="116" spans="1:7">
      <c r="A116" s="191" t="s">
        <v>1807</v>
      </c>
      <c r="B116" s="191" t="s">
        <v>1795</v>
      </c>
      <c r="C116" s="191" t="s">
        <v>1582</v>
      </c>
      <c r="D116" s="199" t="s">
        <v>1578</v>
      </c>
      <c r="E116" s="191" t="s">
        <v>1808</v>
      </c>
      <c r="F116" s="202"/>
    </row>
    <row r="117" spans="1:7">
      <c r="A117" s="191" t="s">
        <v>1809</v>
      </c>
      <c r="B117" s="191" t="s">
        <v>1795</v>
      </c>
      <c r="C117" s="191" t="s">
        <v>1582</v>
      </c>
      <c r="D117" s="198" t="s">
        <v>1562</v>
      </c>
      <c r="E117" s="191" t="s">
        <v>1810</v>
      </c>
      <c r="F117" s="202"/>
    </row>
    <row r="118" spans="1:7">
      <c r="A118" s="191" t="s">
        <v>1811</v>
      </c>
      <c r="B118" s="191" t="s">
        <v>1593</v>
      </c>
      <c r="C118" s="191" t="s">
        <v>1553</v>
      </c>
      <c r="D118" s="201" t="s">
        <v>1619</v>
      </c>
      <c r="E118" s="191" t="s">
        <v>1808</v>
      </c>
      <c r="F118" s="202"/>
    </row>
    <row r="119" spans="1:7">
      <c r="A119" s="191" t="s">
        <v>1812</v>
      </c>
      <c r="B119" s="191" t="s">
        <v>1593</v>
      </c>
      <c r="C119" s="191" t="s">
        <v>1553</v>
      </c>
      <c r="D119" s="201" t="s">
        <v>1619</v>
      </c>
      <c r="E119" s="191" t="s">
        <v>1808</v>
      </c>
      <c r="F119" s="202"/>
    </row>
    <row r="120" spans="1:7">
      <c r="A120" s="191" t="s">
        <v>1813</v>
      </c>
      <c r="B120" s="191" t="s">
        <v>1593</v>
      </c>
      <c r="C120" s="191" t="s">
        <v>1553</v>
      </c>
      <c r="D120" s="201" t="s">
        <v>1619</v>
      </c>
      <c r="E120" s="191" t="s">
        <v>1808</v>
      </c>
      <c r="F120" s="202"/>
    </row>
    <row r="121" spans="1:7">
      <c r="A121" s="191" t="s">
        <v>1814</v>
      </c>
      <c r="B121" s="191" t="s">
        <v>1593</v>
      </c>
      <c r="C121" s="191" t="s">
        <v>1553</v>
      </c>
      <c r="D121" s="199" t="s">
        <v>1578</v>
      </c>
      <c r="E121" s="191" t="s">
        <v>1808</v>
      </c>
      <c r="F121" s="202"/>
    </row>
    <row r="122" spans="1:7">
      <c r="A122" s="191" t="s">
        <v>1815</v>
      </c>
      <c r="B122" s="191" t="s">
        <v>1593</v>
      </c>
      <c r="C122" s="191" t="s">
        <v>1553</v>
      </c>
      <c r="D122" s="201" t="s">
        <v>1619</v>
      </c>
      <c r="E122" s="191" t="s">
        <v>1816</v>
      </c>
      <c r="F122" s="202"/>
    </row>
    <row r="123" spans="1:7">
      <c r="A123" s="191" t="s">
        <v>1817</v>
      </c>
      <c r="B123" s="191" t="s">
        <v>1593</v>
      </c>
      <c r="C123" s="191" t="s">
        <v>1553</v>
      </c>
      <c r="D123" s="201" t="s">
        <v>1619</v>
      </c>
      <c r="E123" s="191" t="s">
        <v>1785</v>
      </c>
      <c r="F123" s="202"/>
    </row>
    <row r="124" spans="1:7">
      <c r="A124" s="191" t="s">
        <v>1818</v>
      </c>
      <c r="B124" s="191" t="s">
        <v>1593</v>
      </c>
      <c r="C124" s="191" t="s">
        <v>1553</v>
      </c>
      <c r="D124" s="199" t="s">
        <v>1578</v>
      </c>
      <c r="E124" s="191" t="s">
        <v>1819</v>
      </c>
      <c r="F124" s="202"/>
    </row>
    <row r="125" spans="1:7">
      <c r="A125" s="7"/>
      <c r="B125" s="7"/>
      <c r="C125" s="7"/>
      <c r="D125" s="7"/>
      <c r="E125" s="7"/>
      <c r="F125" s="202"/>
    </row>
    <row r="126" spans="1:7">
      <c r="A126" s="7"/>
      <c r="B126" s="7"/>
      <c r="C126" s="7"/>
      <c r="D126" s="7"/>
      <c r="E126" s="7"/>
      <c r="F126" s="203"/>
      <c r="G126" s="204"/>
    </row>
    <row r="127" spans="1:7">
      <c r="A127" s="7"/>
      <c r="B127" s="7"/>
      <c r="C127" s="7"/>
      <c r="D127" s="7"/>
      <c r="E127" s="7"/>
      <c r="F127" s="202"/>
    </row>
  </sheetData>
  <autoFilter ref="A2:Z124" xr:uid="{00000000-0009-0000-0000-00000B000000}"/>
  <mergeCells count="1">
    <mergeCell ref="A1:E1"/>
  </mergeCells>
  <pageMargins left="0" right="0" top="0" bottom="0" header="0" footer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H60"/>
  <sheetViews>
    <sheetView workbookViewId="0"/>
  </sheetViews>
  <sheetFormatPr defaultColWidth="14.42578125" defaultRowHeight="15" customHeight="1"/>
  <cols>
    <col min="1" max="1" width="17" hidden="1" customWidth="1"/>
    <col min="2" max="2" width="14.42578125" hidden="1"/>
    <col min="3" max="3" width="25.85546875" hidden="1" customWidth="1"/>
    <col min="4" max="5" width="14.42578125" hidden="1"/>
    <col min="6" max="7" width="21.140625" hidden="1" customWidth="1"/>
    <col min="8" max="8" width="25.85546875" hidden="1" customWidth="1"/>
    <col min="9" max="9" width="14.42578125" hidden="1"/>
    <col min="10" max="10" width="11.7109375" hidden="1" customWidth="1"/>
    <col min="11" max="11" width="14.140625" customWidth="1"/>
    <col min="13" max="13" width="16.28515625" customWidth="1"/>
    <col min="14" max="14" width="21.5703125" customWidth="1"/>
    <col min="15" max="15" width="13.140625" customWidth="1"/>
    <col min="16" max="16" width="21.5703125" customWidth="1"/>
    <col min="17" max="17" width="11.85546875" customWidth="1"/>
    <col min="18" max="18" width="14.85546875" customWidth="1"/>
    <col min="19" max="19" width="17.42578125" customWidth="1"/>
    <col min="20" max="20" width="25.85546875" customWidth="1"/>
    <col min="21" max="23" width="17.28515625" customWidth="1"/>
    <col min="24" max="24" width="15.42578125" customWidth="1"/>
    <col min="25" max="25" width="21.5703125" customWidth="1"/>
    <col min="26" max="26" width="15" customWidth="1"/>
    <col min="27" max="27" width="23.140625" customWidth="1"/>
    <col min="28" max="28" width="25.140625" customWidth="1"/>
    <col min="29" max="29" width="9.140625" customWidth="1"/>
    <col min="30" max="30" width="12.5703125" customWidth="1"/>
    <col min="31" max="31" width="24.5703125" customWidth="1"/>
    <col min="32" max="32" width="17.85546875" customWidth="1"/>
    <col min="33" max="34" width="24.28515625" customWidth="1"/>
  </cols>
  <sheetData>
    <row r="1" spans="1:34">
      <c r="A1" s="91" t="s">
        <v>1820</v>
      </c>
      <c r="M1" s="395" t="s">
        <v>1821</v>
      </c>
      <c r="N1" s="418"/>
      <c r="O1" s="418"/>
      <c r="P1" s="418"/>
      <c r="Q1" s="418"/>
      <c r="R1" s="419"/>
      <c r="S1" s="205"/>
      <c r="U1" s="396" t="s">
        <v>1821</v>
      </c>
      <c r="V1" s="420"/>
      <c r="W1" s="420"/>
      <c r="X1" s="420"/>
      <c r="Y1" s="420"/>
      <c r="Z1" s="420"/>
      <c r="AA1" s="420"/>
      <c r="AB1" s="420"/>
      <c r="AC1" s="205"/>
      <c r="AD1" s="205"/>
      <c r="AE1" s="205">
        <v>2025</v>
      </c>
      <c r="AF1" s="205"/>
      <c r="AG1" s="205"/>
      <c r="AH1" s="205"/>
    </row>
    <row r="2" spans="1:34">
      <c r="A2" s="207" t="s">
        <v>1822</v>
      </c>
      <c r="B2" s="208" t="s">
        <v>1823</v>
      </c>
      <c r="C2" s="208" t="s">
        <v>1824</v>
      </c>
      <c r="D2" s="208" t="s">
        <v>1028</v>
      </c>
      <c r="E2" s="208" t="s">
        <v>1027</v>
      </c>
      <c r="F2" s="208" t="s">
        <v>1825</v>
      </c>
      <c r="G2" s="208" t="s">
        <v>1826</v>
      </c>
      <c r="H2" s="209" t="s">
        <v>1827</v>
      </c>
      <c r="I2" s="210" t="s">
        <v>1828</v>
      </c>
      <c r="K2" s="209" t="s">
        <v>1822</v>
      </c>
      <c r="L2" s="210" t="s">
        <v>1823</v>
      </c>
      <c r="M2" s="210" t="s">
        <v>1824</v>
      </c>
      <c r="N2" s="210" t="s">
        <v>1028</v>
      </c>
      <c r="O2" s="210" t="s">
        <v>1027</v>
      </c>
      <c r="P2" s="210" t="s">
        <v>1826</v>
      </c>
      <c r="Q2" s="210" t="s">
        <v>1829</v>
      </c>
      <c r="R2" s="210" t="s">
        <v>1830</v>
      </c>
      <c r="S2" s="205"/>
      <c r="T2" s="209" t="s">
        <v>1822</v>
      </c>
      <c r="U2" s="210" t="s">
        <v>1823</v>
      </c>
      <c r="V2" s="207" t="s">
        <v>1824</v>
      </c>
      <c r="W2" s="207" t="s">
        <v>1028</v>
      </c>
      <c r="X2" s="211" t="s">
        <v>1027</v>
      </c>
      <c r="Y2" s="210" t="s">
        <v>1826</v>
      </c>
      <c r="Z2" s="210" t="s">
        <v>1829</v>
      </c>
      <c r="AA2" s="210" t="s">
        <v>1830</v>
      </c>
      <c r="AB2" s="209" t="s">
        <v>1831</v>
      </c>
      <c r="AC2" s="205"/>
      <c r="AD2" s="205"/>
      <c r="AE2" s="211" t="s">
        <v>1823</v>
      </c>
      <c r="AF2" s="209" t="s">
        <v>1831</v>
      </c>
      <c r="AG2" s="205"/>
      <c r="AH2" s="205"/>
    </row>
    <row r="3" spans="1:34" hidden="1">
      <c r="A3" s="393" t="s">
        <v>1832</v>
      </c>
      <c r="B3" s="212" t="s">
        <v>1833</v>
      </c>
      <c r="C3" s="213">
        <v>12860</v>
      </c>
      <c r="D3" s="213">
        <f t="shared" ref="D3:D8" si="0">C3*0.19</f>
        <v>2443.4</v>
      </c>
      <c r="E3" s="213">
        <f t="shared" ref="E3:E8" si="1">C3*0.205</f>
        <v>2636.2999999999997</v>
      </c>
      <c r="F3" s="213">
        <f t="shared" ref="F3:F8" si="2">C3+D3+E3</f>
        <v>17939.7</v>
      </c>
      <c r="G3" s="213">
        <v>4900</v>
      </c>
      <c r="H3" s="213">
        <f t="shared" ref="H3:H8" si="3">C3+D3+E3+(G3*1.19)</f>
        <v>23770.7</v>
      </c>
      <c r="I3" s="214">
        <v>0.58429054054054053</v>
      </c>
      <c r="K3" s="393" t="s">
        <v>1832</v>
      </c>
      <c r="L3" s="212" t="s">
        <v>1833</v>
      </c>
      <c r="M3" s="213">
        <v>13990</v>
      </c>
      <c r="N3" s="213">
        <f t="shared" ref="N3:N10" si="4">(M3+P3)*0.19</f>
        <v>4159.1000000000004</v>
      </c>
      <c r="O3" s="213">
        <f t="shared" ref="O3:O8" si="5">M3*0.205</f>
        <v>2867.95</v>
      </c>
      <c r="P3" s="213">
        <v>7900</v>
      </c>
      <c r="Q3" s="213">
        <f t="shared" ref="Q3:Q10" si="6">M3+P3</f>
        <v>21890</v>
      </c>
      <c r="R3" s="215">
        <f t="shared" ref="R3:R10" si="7">M3+N3+O3+P3</f>
        <v>28917.05</v>
      </c>
      <c r="S3" s="216">
        <f t="shared" ref="S3:S10" si="8">R3/12</f>
        <v>2409.7541666666666</v>
      </c>
      <c r="T3" s="393" t="s">
        <v>1832</v>
      </c>
      <c r="U3" s="212" t="s">
        <v>1833</v>
      </c>
      <c r="V3" s="217">
        <v>13990</v>
      </c>
      <c r="W3" s="217">
        <f t="shared" ref="W3:W10" si="9">(V3+Y3)*0.19</f>
        <v>4159.1000000000004</v>
      </c>
      <c r="X3" s="217">
        <f t="shared" ref="X3:X8" si="10">V3*0.205</f>
        <v>2867.95</v>
      </c>
      <c r="Y3" s="213">
        <v>7900</v>
      </c>
      <c r="Z3" s="213">
        <f t="shared" ref="Z3:Z10" si="11">V3+Y3</f>
        <v>21890</v>
      </c>
      <c r="AA3" s="215">
        <f t="shared" ref="AA3:AA10" si="12">V3+W3+X3+Y3</f>
        <v>28917.05</v>
      </c>
      <c r="AB3" s="216"/>
      <c r="AC3" s="216"/>
      <c r="AD3" s="216"/>
      <c r="AE3" s="212" t="s">
        <v>1833</v>
      </c>
      <c r="AF3" s="218"/>
      <c r="AG3" s="216"/>
      <c r="AH3" s="216"/>
    </row>
    <row r="4" spans="1:34" hidden="1">
      <c r="A4" s="421"/>
      <c r="B4" s="219" t="s">
        <v>1834</v>
      </c>
      <c r="C4" s="220">
        <v>12860</v>
      </c>
      <c r="D4" s="220">
        <f t="shared" si="0"/>
        <v>2443.4</v>
      </c>
      <c r="E4" s="220">
        <f t="shared" si="1"/>
        <v>2636.2999999999997</v>
      </c>
      <c r="F4" s="220">
        <f t="shared" si="2"/>
        <v>17939.7</v>
      </c>
      <c r="G4" s="220">
        <v>4900</v>
      </c>
      <c r="H4" s="220">
        <f t="shared" si="3"/>
        <v>23770.7</v>
      </c>
      <c r="I4" s="221">
        <v>0.54819819819819815</v>
      </c>
      <c r="K4" s="421"/>
      <c r="L4" s="219" t="s">
        <v>1834</v>
      </c>
      <c r="M4" s="220">
        <v>13990</v>
      </c>
      <c r="N4" s="220">
        <f t="shared" si="4"/>
        <v>4159.1000000000004</v>
      </c>
      <c r="O4" s="220">
        <f t="shared" si="5"/>
        <v>2867.95</v>
      </c>
      <c r="P4" s="220">
        <v>7900</v>
      </c>
      <c r="Q4" s="220">
        <f t="shared" si="6"/>
        <v>21890</v>
      </c>
      <c r="R4" s="222">
        <f t="shared" si="7"/>
        <v>28917.05</v>
      </c>
      <c r="S4" s="216">
        <f t="shared" si="8"/>
        <v>2409.7541666666666</v>
      </c>
      <c r="T4" s="421"/>
      <c r="U4" s="219" t="s">
        <v>1834</v>
      </c>
      <c r="V4" s="223">
        <v>13990</v>
      </c>
      <c r="W4" s="223">
        <f t="shared" si="9"/>
        <v>4159.1000000000004</v>
      </c>
      <c r="X4" s="223">
        <f t="shared" si="10"/>
        <v>2867.95</v>
      </c>
      <c r="Y4" s="220">
        <v>7900</v>
      </c>
      <c r="Z4" s="220">
        <f t="shared" si="11"/>
        <v>21890</v>
      </c>
      <c r="AA4" s="222">
        <f t="shared" si="12"/>
        <v>28917.05</v>
      </c>
      <c r="AB4" s="216"/>
      <c r="AC4" s="216"/>
      <c r="AD4" s="216"/>
      <c r="AE4" s="219" t="s">
        <v>1834</v>
      </c>
      <c r="AF4" s="218"/>
      <c r="AG4" s="216"/>
      <c r="AH4" s="216"/>
    </row>
    <row r="5" spans="1:34" hidden="1">
      <c r="A5" s="421"/>
      <c r="B5" s="219" t="s">
        <v>1835</v>
      </c>
      <c r="C5" s="220">
        <v>15500</v>
      </c>
      <c r="D5" s="220">
        <f t="shared" si="0"/>
        <v>2945</v>
      </c>
      <c r="E5" s="220">
        <f t="shared" si="1"/>
        <v>3177.5</v>
      </c>
      <c r="F5" s="220">
        <f t="shared" si="2"/>
        <v>21622.5</v>
      </c>
      <c r="G5" s="220">
        <v>4900</v>
      </c>
      <c r="H5" s="220">
        <f t="shared" si="3"/>
        <v>27453.5</v>
      </c>
      <c r="I5" s="221">
        <v>0.4602941176470588</v>
      </c>
      <c r="K5" s="421"/>
      <c r="L5" s="219" t="s">
        <v>1835</v>
      </c>
      <c r="M5" s="220">
        <v>16990</v>
      </c>
      <c r="N5" s="220">
        <f t="shared" si="4"/>
        <v>4729.1000000000004</v>
      </c>
      <c r="O5" s="220">
        <f t="shared" si="5"/>
        <v>3482.95</v>
      </c>
      <c r="P5" s="220">
        <v>7900</v>
      </c>
      <c r="Q5" s="220">
        <f t="shared" si="6"/>
        <v>24890</v>
      </c>
      <c r="R5" s="222">
        <f t="shared" si="7"/>
        <v>33102.050000000003</v>
      </c>
      <c r="S5" s="216">
        <f t="shared" si="8"/>
        <v>2758.5041666666671</v>
      </c>
      <c r="T5" s="421"/>
      <c r="U5" s="219" t="s">
        <v>1835</v>
      </c>
      <c r="V5" s="223">
        <v>16990</v>
      </c>
      <c r="W5" s="223">
        <f t="shared" si="9"/>
        <v>4729.1000000000004</v>
      </c>
      <c r="X5" s="223">
        <f t="shared" si="10"/>
        <v>3482.95</v>
      </c>
      <c r="Y5" s="220">
        <v>7900</v>
      </c>
      <c r="Z5" s="220">
        <f t="shared" si="11"/>
        <v>24890</v>
      </c>
      <c r="AA5" s="222">
        <f t="shared" si="12"/>
        <v>33102.050000000003</v>
      </c>
      <c r="AB5" s="216"/>
      <c r="AC5" s="216"/>
      <c r="AD5" s="216"/>
      <c r="AE5" s="219" t="s">
        <v>1835</v>
      </c>
      <c r="AF5" s="218"/>
      <c r="AG5" s="216"/>
      <c r="AH5" s="216"/>
    </row>
    <row r="6" spans="1:34" hidden="1">
      <c r="A6" s="421"/>
      <c r="B6" s="219" t="s">
        <v>1836</v>
      </c>
      <c r="C6" s="220">
        <v>16600</v>
      </c>
      <c r="D6" s="220">
        <f t="shared" si="0"/>
        <v>3154</v>
      </c>
      <c r="E6" s="220">
        <f t="shared" si="1"/>
        <v>3403</v>
      </c>
      <c r="F6" s="220">
        <f t="shared" si="2"/>
        <v>23157</v>
      </c>
      <c r="G6" s="220">
        <v>4900</v>
      </c>
      <c r="H6" s="220">
        <f t="shared" si="3"/>
        <v>28988</v>
      </c>
      <c r="I6" s="221">
        <v>0.46153488372093021</v>
      </c>
      <c r="K6" s="421"/>
      <c r="L6" s="219" t="s">
        <v>1836</v>
      </c>
      <c r="M6" s="220">
        <v>17990</v>
      </c>
      <c r="N6" s="220">
        <f t="shared" si="4"/>
        <v>4919.1000000000004</v>
      </c>
      <c r="O6" s="220">
        <f t="shared" si="5"/>
        <v>3687.95</v>
      </c>
      <c r="P6" s="220">
        <v>7900</v>
      </c>
      <c r="Q6" s="220">
        <f t="shared" si="6"/>
        <v>25890</v>
      </c>
      <c r="R6" s="222">
        <f t="shared" si="7"/>
        <v>34497.050000000003</v>
      </c>
      <c r="S6" s="216">
        <f t="shared" si="8"/>
        <v>2874.7541666666671</v>
      </c>
      <c r="T6" s="421"/>
      <c r="U6" s="219" t="s">
        <v>1836</v>
      </c>
      <c r="V6" s="223">
        <v>17990</v>
      </c>
      <c r="W6" s="223">
        <f t="shared" si="9"/>
        <v>4919.1000000000004</v>
      </c>
      <c r="X6" s="223">
        <f t="shared" si="10"/>
        <v>3687.95</v>
      </c>
      <c r="Y6" s="220">
        <v>7900</v>
      </c>
      <c r="Z6" s="220">
        <f t="shared" si="11"/>
        <v>25890</v>
      </c>
      <c r="AA6" s="222">
        <f t="shared" si="12"/>
        <v>34497.050000000003</v>
      </c>
      <c r="AB6" s="216"/>
      <c r="AC6" s="216"/>
      <c r="AD6" s="216"/>
      <c r="AE6" s="219" t="s">
        <v>1836</v>
      </c>
      <c r="AF6" s="218"/>
      <c r="AG6" s="216"/>
      <c r="AH6" s="216"/>
    </row>
    <row r="7" spans="1:34" hidden="1">
      <c r="A7" s="421"/>
      <c r="B7" s="219" t="s">
        <v>1837</v>
      </c>
      <c r="C7" s="220">
        <v>16600</v>
      </c>
      <c r="D7" s="220">
        <f t="shared" si="0"/>
        <v>3154</v>
      </c>
      <c r="E7" s="220">
        <f t="shared" si="1"/>
        <v>3403</v>
      </c>
      <c r="F7" s="220">
        <f t="shared" si="2"/>
        <v>23157</v>
      </c>
      <c r="G7" s="220">
        <v>4900</v>
      </c>
      <c r="H7" s="220">
        <f t="shared" si="3"/>
        <v>28988</v>
      </c>
      <c r="I7" s="221">
        <v>0.45013953488372094</v>
      </c>
      <c r="K7" s="421"/>
      <c r="L7" s="219" t="s">
        <v>1837</v>
      </c>
      <c r="M7" s="220">
        <v>17990</v>
      </c>
      <c r="N7" s="220">
        <f t="shared" si="4"/>
        <v>4919.1000000000004</v>
      </c>
      <c r="O7" s="220">
        <f t="shared" si="5"/>
        <v>3687.95</v>
      </c>
      <c r="P7" s="220">
        <v>7900</v>
      </c>
      <c r="Q7" s="220">
        <f t="shared" si="6"/>
        <v>25890</v>
      </c>
      <c r="R7" s="222">
        <f t="shared" si="7"/>
        <v>34497.050000000003</v>
      </c>
      <c r="S7" s="216">
        <f t="shared" si="8"/>
        <v>2874.7541666666671</v>
      </c>
      <c r="T7" s="421"/>
      <c r="U7" s="219" t="s">
        <v>1837</v>
      </c>
      <c r="V7" s="223">
        <v>17990</v>
      </c>
      <c r="W7" s="223">
        <f t="shared" si="9"/>
        <v>4919.1000000000004</v>
      </c>
      <c r="X7" s="223">
        <f t="shared" si="10"/>
        <v>3687.95</v>
      </c>
      <c r="Y7" s="220">
        <v>7900</v>
      </c>
      <c r="Z7" s="220">
        <f t="shared" si="11"/>
        <v>25890</v>
      </c>
      <c r="AA7" s="222">
        <f t="shared" si="12"/>
        <v>34497.050000000003</v>
      </c>
      <c r="AB7" s="216"/>
      <c r="AC7" s="216"/>
      <c r="AD7" s="216"/>
      <c r="AE7" s="219" t="s">
        <v>1837</v>
      </c>
      <c r="AF7" s="218"/>
      <c r="AG7" s="216"/>
      <c r="AH7" s="216"/>
    </row>
    <row r="8" spans="1:34" hidden="1">
      <c r="A8" s="421"/>
      <c r="B8" s="219" t="s">
        <v>1838</v>
      </c>
      <c r="C8" s="220">
        <v>15500</v>
      </c>
      <c r="D8" s="220">
        <f t="shared" si="0"/>
        <v>2945</v>
      </c>
      <c r="E8" s="220">
        <f t="shared" si="1"/>
        <v>3177.5</v>
      </c>
      <c r="F8" s="220">
        <f t="shared" si="2"/>
        <v>21622.5</v>
      </c>
      <c r="G8" s="220">
        <v>4900</v>
      </c>
      <c r="H8" s="220">
        <f t="shared" si="3"/>
        <v>27453.5</v>
      </c>
      <c r="I8" s="221">
        <v>0.58460784313725489</v>
      </c>
      <c r="K8" s="421"/>
      <c r="L8" s="219" t="s">
        <v>1838</v>
      </c>
      <c r="M8" s="220">
        <v>16990</v>
      </c>
      <c r="N8" s="220">
        <f t="shared" si="4"/>
        <v>4729.1000000000004</v>
      </c>
      <c r="O8" s="220">
        <f t="shared" si="5"/>
        <v>3482.95</v>
      </c>
      <c r="P8" s="220">
        <v>7900</v>
      </c>
      <c r="Q8" s="220">
        <f t="shared" si="6"/>
        <v>24890</v>
      </c>
      <c r="R8" s="222">
        <f t="shared" si="7"/>
        <v>33102.050000000003</v>
      </c>
      <c r="S8" s="216">
        <f t="shared" si="8"/>
        <v>2758.5041666666671</v>
      </c>
      <c r="T8" s="421"/>
      <c r="U8" s="219" t="s">
        <v>1838</v>
      </c>
      <c r="V8" s="223">
        <v>16990</v>
      </c>
      <c r="W8" s="223">
        <f t="shared" si="9"/>
        <v>4729.1000000000004</v>
      </c>
      <c r="X8" s="223">
        <f t="shared" si="10"/>
        <v>3482.95</v>
      </c>
      <c r="Y8" s="220">
        <v>7900</v>
      </c>
      <c r="Z8" s="220">
        <f t="shared" si="11"/>
        <v>24890</v>
      </c>
      <c r="AA8" s="222">
        <f t="shared" si="12"/>
        <v>33102.050000000003</v>
      </c>
      <c r="AB8" s="216"/>
      <c r="AC8" s="216"/>
      <c r="AD8" s="216"/>
      <c r="AE8" s="219" t="s">
        <v>1838</v>
      </c>
      <c r="AF8" s="218"/>
      <c r="AG8" s="216"/>
      <c r="AH8" s="216"/>
    </row>
    <row r="9" spans="1:34" hidden="1">
      <c r="A9" s="421"/>
      <c r="B9" s="219"/>
      <c r="C9" s="220"/>
      <c r="D9" s="220"/>
      <c r="E9" s="220"/>
      <c r="F9" s="220"/>
      <c r="G9" s="220"/>
      <c r="H9" s="220"/>
      <c r="I9" s="221"/>
      <c r="K9" s="421"/>
      <c r="L9" s="219" t="s">
        <v>1839</v>
      </c>
      <c r="M9" s="220">
        <v>14990</v>
      </c>
      <c r="N9" s="220">
        <f t="shared" si="4"/>
        <v>4349.1000000000004</v>
      </c>
      <c r="O9" s="220">
        <v>2768.1149999999998</v>
      </c>
      <c r="P9" s="220">
        <v>7900</v>
      </c>
      <c r="Q9" s="220">
        <f t="shared" si="6"/>
        <v>22890</v>
      </c>
      <c r="R9" s="222">
        <f t="shared" si="7"/>
        <v>30007.214999999997</v>
      </c>
      <c r="S9" s="216">
        <f t="shared" si="8"/>
        <v>2500.6012499999997</v>
      </c>
      <c r="T9" s="421"/>
      <c r="U9" s="219" t="s">
        <v>1839</v>
      </c>
      <c r="V9" s="223">
        <v>14990</v>
      </c>
      <c r="W9" s="223">
        <f t="shared" si="9"/>
        <v>4349.1000000000004</v>
      </c>
      <c r="X9" s="223">
        <v>2768.1149999999998</v>
      </c>
      <c r="Y9" s="220">
        <v>7900</v>
      </c>
      <c r="Z9" s="220">
        <f t="shared" si="11"/>
        <v>22890</v>
      </c>
      <c r="AA9" s="222">
        <f t="shared" si="12"/>
        <v>30007.214999999997</v>
      </c>
      <c r="AB9" s="216"/>
      <c r="AC9" s="216"/>
      <c r="AD9" s="216"/>
      <c r="AE9" s="219" t="s">
        <v>1839</v>
      </c>
      <c r="AF9" s="218"/>
      <c r="AG9" s="216"/>
      <c r="AH9" s="216"/>
    </row>
    <row r="10" spans="1:34" hidden="1">
      <c r="A10" s="409"/>
      <c r="B10" s="224" t="s">
        <v>1839</v>
      </c>
      <c r="C10" s="225"/>
      <c r="D10" s="225"/>
      <c r="E10" s="225"/>
      <c r="F10" s="225"/>
      <c r="G10" s="225"/>
      <c r="H10" s="225"/>
      <c r="I10" s="226"/>
      <c r="K10" s="409"/>
      <c r="L10" s="224" t="s">
        <v>4</v>
      </c>
      <c r="M10" s="225">
        <v>16990</v>
      </c>
      <c r="N10" s="225">
        <f t="shared" si="4"/>
        <v>4729.1000000000004</v>
      </c>
      <c r="O10" s="225">
        <v>2768.1149999999998</v>
      </c>
      <c r="P10" s="225">
        <v>7900</v>
      </c>
      <c r="Q10" s="225">
        <f t="shared" si="6"/>
        <v>24890</v>
      </c>
      <c r="R10" s="227">
        <f t="shared" si="7"/>
        <v>32387.214999999997</v>
      </c>
      <c r="S10" s="216">
        <f t="shared" si="8"/>
        <v>2698.9345833333332</v>
      </c>
      <c r="T10" s="409"/>
      <c r="U10" s="224" t="s">
        <v>4</v>
      </c>
      <c r="V10" s="228">
        <v>16990</v>
      </c>
      <c r="W10" s="228">
        <f t="shared" si="9"/>
        <v>4729.1000000000004</v>
      </c>
      <c r="X10" s="228">
        <v>2768.1149999999998</v>
      </c>
      <c r="Y10" s="225">
        <v>7900</v>
      </c>
      <c r="Z10" s="225">
        <f t="shared" si="11"/>
        <v>24890</v>
      </c>
      <c r="AA10" s="227">
        <f t="shared" si="12"/>
        <v>32387.214999999997</v>
      </c>
      <c r="AB10" s="216"/>
      <c r="AC10" s="216"/>
      <c r="AD10" s="216"/>
      <c r="AE10" s="224" t="s">
        <v>4</v>
      </c>
      <c r="AF10" s="218"/>
      <c r="AG10" s="216"/>
      <c r="AH10" s="216"/>
    </row>
    <row r="11" spans="1:34" hidden="1">
      <c r="Q11" s="220"/>
      <c r="S11" s="220"/>
      <c r="V11" s="204"/>
      <c r="W11" s="204"/>
      <c r="X11" s="204"/>
      <c r="Z11" s="220"/>
      <c r="AB11" s="220"/>
      <c r="AC11" s="220"/>
      <c r="AD11" s="220"/>
      <c r="AE11" s="229"/>
      <c r="AF11" s="222"/>
      <c r="AG11" s="220"/>
      <c r="AH11" s="220"/>
    </row>
    <row r="12" spans="1:34">
      <c r="A12" s="393" t="s">
        <v>1840</v>
      </c>
      <c r="B12" s="212" t="s">
        <v>1841</v>
      </c>
      <c r="C12" s="213">
        <v>43000</v>
      </c>
      <c r="D12" s="213">
        <f t="shared" ref="D12:D17" si="13">C12*0.19</f>
        <v>8170</v>
      </c>
      <c r="E12" s="213">
        <f t="shared" ref="E12:E17" si="14">C12*0.205</f>
        <v>8815</v>
      </c>
      <c r="F12" s="213">
        <f t="shared" ref="F12:F17" si="15">C12+D12+E12</f>
        <v>59985</v>
      </c>
      <c r="G12" s="215">
        <v>19900</v>
      </c>
      <c r="H12" s="217">
        <f t="shared" ref="H12:H17" si="16">C12+D12+E12+(G12*1.19)</f>
        <v>83666</v>
      </c>
      <c r="I12" s="214">
        <v>0.7801271860095389</v>
      </c>
      <c r="K12" s="393" t="s">
        <v>1840</v>
      </c>
      <c r="L12" s="212" t="s">
        <v>1841</v>
      </c>
      <c r="M12" s="213">
        <v>30000</v>
      </c>
      <c r="N12" s="213">
        <f t="shared" ref="N12:N19" si="17">M12*0.19+P12*0.19</f>
        <v>14421</v>
      </c>
      <c r="O12" s="213">
        <f t="shared" ref="O12:O19" si="18">M12*0.205</f>
        <v>6150</v>
      </c>
      <c r="P12" s="213">
        <v>45900</v>
      </c>
      <c r="Q12" s="213">
        <f t="shared" ref="Q12:Q19" si="19">M12+P12</f>
        <v>75900</v>
      </c>
      <c r="R12" s="215">
        <f t="shared" ref="R12:R19" si="20">M12+N12+O12+P12</f>
        <v>96471</v>
      </c>
      <c r="T12" s="394" t="s">
        <v>1842</v>
      </c>
      <c r="U12" s="212" t="s">
        <v>1841</v>
      </c>
      <c r="V12" s="223">
        <v>13990</v>
      </c>
      <c r="W12" s="223">
        <f t="shared" ref="W12:W19" si="21">V12*0.19+Y12*0.19</f>
        <v>4159.1000000000004</v>
      </c>
      <c r="X12" s="230">
        <f t="shared" ref="X12:X19" si="22">V12*0.205</f>
        <v>2867.95</v>
      </c>
      <c r="Y12" s="217">
        <v>7900</v>
      </c>
      <c r="Z12" s="217">
        <f t="shared" ref="Z12:Z19" si="23">V12+Y12</f>
        <v>21890</v>
      </c>
      <c r="AA12" s="215">
        <f t="shared" ref="AA12:AA19" si="24">V12+W12+X12+Y12</f>
        <v>28917.05</v>
      </c>
      <c r="AB12" s="222">
        <f t="shared" ref="AB12:AB19" si="25">AA12/12</f>
        <v>2409.7541666666666</v>
      </c>
      <c r="AE12" s="212" t="s">
        <v>1841</v>
      </c>
      <c r="AF12" s="222">
        <v>2409.7541666666666</v>
      </c>
    </row>
    <row r="13" spans="1:34">
      <c r="A13" s="421"/>
      <c r="B13" s="219" t="s">
        <v>1843</v>
      </c>
      <c r="C13" s="220">
        <v>57000</v>
      </c>
      <c r="D13" s="220">
        <f t="shared" si="13"/>
        <v>10830</v>
      </c>
      <c r="E13" s="220">
        <f t="shared" si="14"/>
        <v>11685</v>
      </c>
      <c r="F13" s="220">
        <f t="shared" si="15"/>
        <v>79515</v>
      </c>
      <c r="G13" s="222">
        <v>19900</v>
      </c>
      <c r="H13" s="223">
        <f t="shared" si="16"/>
        <v>103196</v>
      </c>
      <c r="I13" s="221">
        <v>0.53185955786736017</v>
      </c>
      <c r="K13" s="421"/>
      <c r="L13" s="219" t="s">
        <v>1843</v>
      </c>
      <c r="M13" s="220">
        <v>45000</v>
      </c>
      <c r="N13" s="220">
        <f t="shared" si="17"/>
        <v>17271</v>
      </c>
      <c r="O13" s="220">
        <f t="shared" si="18"/>
        <v>9225</v>
      </c>
      <c r="P13" s="220">
        <v>45900</v>
      </c>
      <c r="Q13" s="220">
        <f t="shared" si="19"/>
        <v>90900</v>
      </c>
      <c r="R13" s="222">
        <f t="shared" si="20"/>
        <v>117396</v>
      </c>
      <c r="T13" s="421"/>
      <c r="U13" s="219" t="s">
        <v>1843</v>
      </c>
      <c r="V13" s="223">
        <v>17990</v>
      </c>
      <c r="W13" s="223">
        <f t="shared" si="21"/>
        <v>4919.1000000000004</v>
      </c>
      <c r="X13" s="231">
        <f t="shared" si="22"/>
        <v>3687.95</v>
      </c>
      <c r="Y13" s="223">
        <v>7900</v>
      </c>
      <c r="Z13" s="223">
        <f t="shared" si="23"/>
        <v>25890</v>
      </c>
      <c r="AA13" s="222">
        <f t="shared" si="24"/>
        <v>34497.050000000003</v>
      </c>
      <c r="AB13" s="222">
        <f t="shared" si="25"/>
        <v>2874.7541666666671</v>
      </c>
      <c r="AE13" s="219" t="s">
        <v>1843</v>
      </c>
      <c r="AF13" s="222">
        <v>2874.7541666666671</v>
      </c>
    </row>
    <row r="14" spans="1:34">
      <c r="A14" s="421"/>
      <c r="B14" s="219" t="s">
        <v>1844</v>
      </c>
      <c r="C14" s="220">
        <v>45000</v>
      </c>
      <c r="D14" s="220">
        <f t="shared" si="13"/>
        <v>8550</v>
      </c>
      <c r="E14" s="220">
        <f t="shared" si="14"/>
        <v>9225</v>
      </c>
      <c r="F14" s="220">
        <f t="shared" si="15"/>
        <v>62775</v>
      </c>
      <c r="G14" s="222">
        <v>19900</v>
      </c>
      <c r="H14" s="223">
        <f t="shared" si="16"/>
        <v>86456</v>
      </c>
      <c r="I14" s="221"/>
      <c r="K14" s="421"/>
      <c r="L14" s="219" t="s">
        <v>1844</v>
      </c>
      <c r="M14" s="220">
        <v>30000</v>
      </c>
      <c r="N14" s="220">
        <f t="shared" si="17"/>
        <v>14421</v>
      </c>
      <c r="O14" s="220">
        <f t="shared" si="18"/>
        <v>6150</v>
      </c>
      <c r="P14" s="220">
        <v>45900</v>
      </c>
      <c r="Q14" s="220">
        <f t="shared" si="19"/>
        <v>75900</v>
      </c>
      <c r="R14" s="222">
        <f t="shared" si="20"/>
        <v>96471</v>
      </c>
      <c r="T14" s="421"/>
      <c r="U14" s="219" t="s">
        <v>1844</v>
      </c>
      <c r="V14" s="223">
        <v>13990</v>
      </c>
      <c r="W14" s="223">
        <f t="shared" si="21"/>
        <v>4159.1000000000004</v>
      </c>
      <c r="X14" s="231">
        <f t="shared" si="22"/>
        <v>2867.95</v>
      </c>
      <c r="Y14" s="223">
        <v>7900</v>
      </c>
      <c r="Z14" s="223">
        <f t="shared" si="23"/>
        <v>21890</v>
      </c>
      <c r="AA14" s="222">
        <f t="shared" si="24"/>
        <v>28917.05</v>
      </c>
      <c r="AB14" s="222">
        <f t="shared" si="25"/>
        <v>2409.7541666666666</v>
      </c>
      <c r="AE14" s="219" t="s">
        <v>1844</v>
      </c>
      <c r="AF14" s="222">
        <v>2409.7541666666666</v>
      </c>
    </row>
    <row r="15" spans="1:34">
      <c r="A15" s="421"/>
      <c r="B15" s="231" t="s">
        <v>1845</v>
      </c>
      <c r="C15" s="220">
        <v>52000</v>
      </c>
      <c r="D15" s="220">
        <f t="shared" si="13"/>
        <v>9880</v>
      </c>
      <c r="E15" s="220">
        <f t="shared" si="14"/>
        <v>10660</v>
      </c>
      <c r="F15" s="220">
        <f t="shared" si="15"/>
        <v>72540</v>
      </c>
      <c r="G15" s="220">
        <v>19900</v>
      </c>
      <c r="H15" s="223">
        <f t="shared" si="16"/>
        <v>96221</v>
      </c>
      <c r="I15" s="221"/>
      <c r="K15" s="421"/>
      <c r="L15" s="219" t="s">
        <v>1845</v>
      </c>
      <c r="M15" s="220">
        <v>39000</v>
      </c>
      <c r="N15" s="220">
        <f t="shared" si="17"/>
        <v>16131</v>
      </c>
      <c r="O15" s="220">
        <f t="shared" si="18"/>
        <v>7994.9999999999991</v>
      </c>
      <c r="P15" s="220">
        <v>45900</v>
      </c>
      <c r="Q15" s="220">
        <f t="shared" si="19"/>
        <v>84900</v>
      </c>
      <c r="R15" s="222">
        <f t="shared" si="20"/>
        <v>109026</v>
      </c>
      <c r="T15" s="421"/>
      <c r="U15" s="219" t="s">
        <v>1845</v>
      </c>
      <c r="V15" s="223">
        <v>16990</v>
      </c>
      <c r="W15" s="223">
        <f t="shared" si="21"/>
        <v>4729.1000000000004</v>
      </c>
      <c r="X15" s="231">
        <f t="shared" si="22"/>
        <v>3482.95</v>
      </c>
      <c r="Y15" s="223">
        <v>7900</v>
      </c>
      <c r="Z15" s="223">
        <f t="shared" si="23"/>
        <v>24890</v>
      </c>
      <c r="AA15" s="222">
        <f t="shared" si="24"/>
        <v>33102.050000000003</v>
      </c>
      <c r="AB15" s="222">
        <f t="shared" si="25"/>
        <v>2758.5041666666671</v>
      </c>
      <c r="AE15" s="219" t="s">
        <v>1845</v>
      </c>
      <c r="AF15" s="222">
        <v>2758.5041666666671</v>
      </c>
    </row>
    <row r="16" spans="1:34">
      <c r="A16" s="421"/>
      <c r="B16" s="231" t="s">
        <v>1846</v>
      </c>
      <c r="C16" s="220">
        <v>57000</v>
      </c>
      <c r="D16" s="220">
        <f t="shared" si="13"/>
        <v>10830</v>
      </c>
      <c r="E16" s="220">
        <f t="shared" si="14"/>
        <v>11685</v>
      </c>
      <c r="F16" s="220">
        <f t="shared" si="15"/>
        <v>79515</v>
      </c>
      <c r="G16" s="220">
        <v>19900</v>
      </c>
      <c r="H16" s="223">
        <f t="shared" si="16"/>
        <v>103196</v>
      </c>
      <c r="I16" s="221">
        <v>0.56657997399219762</v>
      </c>
      <c r="K16" s="421"/>
      <c r="L16" s="219" t="s">
        <v>1846</v>
      </c>
      <c r="M16" s="220">
        <v>45000</v>
      </c>
      <c r="N16" s="220">
        <f t="shared" si="17"/>
        <v>17271</v>
      </c>
      <c r="O16" s="220">
        <f t="shared" si="18"/>
        <v>9225</v>
      </c>
      <c r="P16" s="220">
        <v>45900</v>
      </c>
      <c r="Q16" s="220">
        <f t="shared" si="19"/>
        <v>90900</v>
      </c>
      <c r="R16" s="222">
        <f t="shared" si="20"/>
        <v>117396</v>
      </c>
      <c r="T16" s="421"/>
      <c r="U16" s="219" t="s">
        <v>1846</v>
      </c>
      <c r="V16" s="223">
        <v>17990</v>
      </c>
      <c r="W16" s="223">
        <f t="shared" si="21"/>
        <v>4919.1000000000004</v>
      </c>
      <c r="X16" s="231">
        <f t="shared" si="22"/>
        <v>3687.95</v>
      </c>
      <c r="Y16" s="223">
        <v>7900</v>
      </c>
      <c r="Z16" s="223">
        <f t="shared" si="23"/>
        <v>25890</v>
      </c>
      <c r="AA16" s="222">
        <f t="shared" si="24"/>
        <v>34497.050000000003</v>
      </c>
      <c r="AB16" s="222">
        <f t="shared" si="25"/>
        <v>2874.7541666666671</v>
      </c>
      <c r="AE16" s="219" t="s">
        <v>1846</v>
      </c>
      <c r="AF16" s="222">
        <v>2874.7541666666671</v>
      </c>
    </row>
    <row r="17" spans="1:34">
      <c r="A17" s="421"/>
      <c r="B17" s="231" t="s">
        <v>1847</v>
      </c>
      <c r="C17" s="220">
        <v>52000</v>
      </c>
      <c r="D17" s="220">
        <f t="shared" si="13"/>
        <v>9880</v>
      </c>
      <c r="E17" s="220">
        <f t="shared" si="14"/>
        <v>10660</v>
      </c>
      <c r="F17" s="220">
        <f t="shared" si="15"/>
        <v>72540</v>
      </c>
      <c r="G17" s="220">
        <v>19900</v>
      </c>
      <c r="H17" s="223">
        <f t="shared" si="16"/>
        <v>96221</v>
      </c>
      <c r="I17" s="221">
        <v>0.56657997399219762</v>
      </c>
      <c r="K17" s="421"/>
      <c r="L17" s="219" t="s">
        <v>1847</v>
      </c>
      <c r="M17" s="220">
        <v>39000</v>
      </c>
      <c r="N17" s="220">
        <f t="shared" si="17"/>
        <v>16131</v>
      </c>
      <c r="O17" s="220">
        <f t="shared" si="18"/>
        <v>7994.9999999999991</v>
      </c>
      <c r="P17" s="220">
        <v>45900</v>
      </c>
      <c r="Q17" s="220">
        <f t="shared" si="19"/>
        <v>84900</v>
      </c>
      <c r="R17" s="222">
        <f t="shared" si="20"/>
        <v>109026</v>
      </c>
      <c r="T17" s="421"/>
      <c r="U17" s="219" t="s">
        <v>1847</v>
      </c>
      <c r="V17" s="223">
        <v>16990</v>
      </c>
      <c r="W17" s="223">
        <f t="shared" si="21"/>
        <v>4729.1000000000004</v>
      </c>
      <c r="X17" s="231">
        <f t="shared" si="22"/>
        <v>3482.95</v>
      </c>
      <c r="Y17" s="223">
        <v>7900</v>
      </c>
      <c r="Z17" s="223">
        <f t="shared" si="23"/>
        <v>24890</v>
      </c>
      <c r="AA17" s="222">
        <f t="shared" si="24"/>
        <v>33102.050000000003</v>
      </c>
      <c r="AB17" s="222">
        <f t="shared" si="25"/>
        <v>2758.5041666666671</v>
      </c>
      <c r="AE17" s="219" t="s">
        <v>1847</v>
      </c>
      <c r="AF17" s="222">
        <v>2758.5041666666671</v>
      </c>
    </row>
    <row r="18" spans="1:34">
      <c r="A18" s="421"/>
      <c r="B18" s="231"/>
      <c r="C18" s="220"/>
      <c r="D18" s="220"/>
      <c r="E18" s="220"/>
      <c r="F18" s="220"/>
      <c r="G18" s="220"/>
      <c r="H18" s="223"/>
      <c r="I18" s="221"/>
      <c r="J18" s="232"/>
      <c r="K18" s="421"/>
      <c r="L18" s="219" t="s">
        <v>1848</v>
      </c>
      <c r="M18" s="220">
        <v>35000</v>
      </c>
      <c r="N18" s="220">
        <f t="shared" si="17"/>
        <v>15371</v>
      </c>
      <c r="O18" s="220">
        <f t="shared" si="18"/>
        <v>7175</v>
      </c>
      <c r="P18" s="220">
        <v>45900</v>
      </c>
      <c r="Q18" s="220">
        <f t="shared" si="19"/>
        <v>80900</v>
      </c>
      <c r="R18" s="222">
        <f t="shared" si="20"/>
        <v>103446</v>
      </c>
      <c r="T18" s="421"/>
      <c r="U18" s="219" t="s">
        <v>1848</v>
      </c>
      <c r="V18" s="223">
        <v>14990</v>
      </c>
      <c r="W18" s="223">
        <f t="shared" si="21"/>
        <v>4349.1000000000004</v>
      </c>
      <c r="X18" s="231">
        <f t="shared" si="22"/>
        <v>3072.95</v>
      </c>
      <c r="Y18" s="223">
        <v>7900</v>
      </c>
      <c r="Z18" s="223">
        <f t="shared" si="23"/>
        <v>22890</v>
      </c>
      <c r="AA18" s="222">
        <f t="shared" si="24"/>
        <v>30312.05</v>
      </c>
      <c r="AB18" s="222">
        <f t="shared" si="25"/>
        <v>2526.0041666666666</v>
      </c>
      <c r="AE18" s="219" t="s">
        <v>1848</v>
      </c>
      <c r="AF18" s="222">
        <v>2526.0041666666666</v>
      </c>
    </row>
    <row r="19" spans="1:34">
      <c r="A19" s="409"/>
      <c r="B19" s="233" t="s">
        <v>1848</v>
      </c>
      <c r="C19" s="225">
        <v>45000</v>
      </c>
      <c r="D19" s="225">
        <f>C19*0.19</f>
        <v>8550</v>
      </c>
      <c r="E19" s="225">
        <f>C19*0.205</f>
        <v>9225</v>
      </c>
      <c r="F19" s="225">
        <f>C19+D19+E19</f>
        <v>62775</v>
      </c>
      <c r="G19" s="225">
        <v>19900</v>
      </c>
      <c r="H19" s="228">
        <f>C19+D19+E19+(G19*1.19)</f>
        <v>86456</v>
      </c>
      <c r="I19" s="226">
        <v>0.56657997399219762</v>
      </c>
      <c r="J19" s="232"/>
      <c r="K19" s="409"/>
      <c r="L19" s="224" t="s">
        <v>1849</v>
      </c>
      <c r="M19" s="225">
        <v>39000</v>
      </c>
      <c r="N19" s="225">
        <f t="shared" si="17"/>
        <v>16131</v>
      </c>
      <c r="O19" s="225">
        <f t="shared" si="18"/>
        <v>7994.9999999999991</v>
      </c>
      <c r="P19" s="225">
        <v>45900</v>
      </c>
      <c r="Q19" s="225">
        <f t="shared" si="19"/>
        <v>84900</v>
      </c>
      <c r="R19" s="227">
        <f t="shared" si="20"/>
        <v>109026</v>
      </c>
      <c r="T19" s="409"/>
      <c r="U19" s="224" t="s">
        <v>1849</v>
      </c>
      <c r="V19" s="228">
        <v>16990</v>
      </c>
      <c r="W19" s="228">
        <f t="shared" si="21"/>
        <v>4729.1000000000004</v>
      </c>
      <c r="X19" s="233">
        <f t="shared" si="22"/>
        <v>3482.95</v>
      </c>
      <c r="Y19" s="228">
        <v>7900</v>
      </c>
      <c r="Z19" s="228">
        <f t="shared" si="23"/>
        <v>24890</v>
      </c>
      <c r="AA19" s="227">
        <f t="shared" si="24"/>
        <v>33102.050000000003</v>
      </c>
      <c r="AB19" s="227">
        <f t="shared" si="25"/>
        <v>2758.5041666666671</v>
      </c>
      <c r="AE19" s="224" t="s">
        <v>1849</v>
      </c>
      <c r="AF19" s="227">
        <v>2758.5041666666671</v>
      </c>
    </row>
    <row r="20" spans="1:34">
      <c r="A20" s="232"/>
      <c r="G20" s="232"/>
      <c r="H20" s="232"/>
      <c r="I20" s="232"/>
      <c r="J20" s="232"/>
      <c r="Q20" s="232"/>
      <c r="R20" s="232"/>
      <c r="V20" s="232"/>
    </row>
    <row r="21" spans="1:34">
      <c r="A21" s="232"/>
      <c r="G21" s="232"/>
      <c r="H21" s="232"/>
      <c r="I21" s="232"/>
      <c r="J21" s="232"/>
      <c r="V21" s="232"/>
    </row>
    <row r="22" spans="1:34">
      <c r="A22" s="232"/>
      <c r="G22" s="232"/>
      <c r="H22" s="232"/>
      <c r="I22" s="232"/>
      <c r="J22" s="232"/>
      <c r="V22" s="232"/>
    </row>
    <row r="23" spans="1:34">
      <c r="A23" s="232"/>
      <c r="G23" s="232"/>
      <c r="H23" s="232"/>
      <c r="I23" s="232"/>
      <c r="J23" s="232"/>
      <c r="V23" s="232"/>
    </row>
    <row r="24" spans="1:34">
      <c r="A24" s="232"/>
      <c r="G24" s="232"/>
      <c r="H24" s="232"/>
      <c r="I24" s="232"/>
      <c r="J24" s="232"/>
      <c r="V24" s="232"/>
    </row>
    <row r="25" spans="1:34">
      <c r="A25" s="232"/>
      <c r="G25" s="232"/>
      <c r="H25" s="232"/>
      <c r="I25" s="232"/>
      <c r="J25" s="232"/>
      <c r="V25" s="232"/>
    </row>
    <row r="26" spans="1:34">
      <c r="A26" s="232"/>
      <c r="G26" s="232"/>
      <c r="V26" s="232"/>
    </row>
    <row r="27" spans="1:34">
      <c r="A27" s="232"/>
      <c r="G27" s="232"/>
      <c r="L27" s="91" t="s">
        <v>1850</v>
      </c>
      <c r="V27" s="232"/>
      <c r="AE27" s="91" t="s">
        <v>1851</v>
      </c>
    </row>
    <row r="28" spans="1:34">
      <c r="A28" s="232"/>
      <c r="B28" s="232"/>
      <c r="C28" s="232"/>
      <c r="D28" s="232"/>
      <c r="E28" s="232"/>
      <c r="F28" s="232"/>
      <c r="G28" s="232"/>
    </row>
    <row r="29" spans="1:34">
      <c r="A29" s="232"/>
      <c r="B29" s="234" t="s">
        <v>1852</v>
      </c>
      <c r="C29" s="234" t="s">
        <v>1853</v>
      </c>
      <c r="D29" s="234" t="s">
        <v>1854</v>
      </c>
      <c r="E29" s="234" t="s">
        <v>1855</v>
      </c>
      <c r="F29" s="234" t="s">
        <v>1828</v>
      </c>
      <c r="G29" s="232"/>
      <c r="L29" s="211" t="s">
        <v>1823</v>
      </c>
      <c r="M29" s="210" t="s">
        <v>1824</v>
      </c>
      <c r="N29" s="210" t="s">
        <v>1856</v>
      </c>
      <c r="O29" s="210" t="s">
        <v>1857</v>
      </c>
      <c r="P29" s="210" t="s">
        <v>1826</v>
      </c>
      <c r="Q29" s="210" t="s">
        <v>1829</v>
      </c>
      <c r="R29" s="209" t="s">
        <v>1830</v>
      </c>
      <c r="S29" s="209" t="s">
        <v>1858</v>
      </c>
      <c r="T29" s="209" t="s">
        <v>1859</v>
      </c>
      <c r="V29" s="207" t="s">
        <v>1823</v>
      </c>
      <c r="W29" s="207" t="s">
        <v>1860</v>
      </c>
      <c r="X29" s="207" t="s">
        <v>1028</v>
      </c>
      <c r="Y29" s="207" t="s">
        <v>1027</v>
      </c>
      <c r="Z29" s="207" t="s">
        <v>1830</v>
      </c>
      <c r="AA29" s="207" t="s">
        <v>1861</v>
      </c>
      <c r="AB29" s="207" t="s">
        <v>1862</v>
      </c>
      <c r="AE29" s="235" t="s">
        <v>1823</v>
      </c>
      <c r="AF29" s="236" t="s">
        <v>1858</v>
      </c>
      <c r="AG29" s="236" t="s">
        <v>1863</v>
      </c>
      <c r="AH29" s="206"/>
    </row>
    <row r="30" spans="1:34">
      <c r="A30" s="232"/>
      <c r="B30" s="76" t="s">
        <v>1833</v>
      </c>
      <c r="C30" s="76">
        <v>23900</v>
      </c>
      <c r="D30" s="76">
        <v>3500</v>
      </c>
      <c r="E30" s="76">
        <f t="shared" ref="E30:E35" si="26">C30+D30</f>
        <v>27400</v>
      </c>
      <c r="F30" s="237">
        <f>(C30-7383)/C30</f>
        <v>0.69108786610878659</v>
      </c>
      <c r="G30" s="232">
        <f t="shared" ref="G30:G35" si="27">C30/12</f>
        <v>1991.6666666666667</v>
      </c>
      <c r="L30" s="212" t="s">
        <v>1833</v>
      </c>
      <c r="M30" s="213">
        <v>13580</v>
      </c>
      <c r="N30" s="213">
        <f t="shared" ref="N30:N36" si="28">(M30+P30)*0.19</f>
        <v>3891.2</v>
      </c>
      <c r="O30" s="213">
        <f t="shared" ref="O30:O35" si="29">M30*0.205</f>
        <v>2783.8999999999996</v>
      </c>
      <c r="P30" s="213">
        <v>6900</v>
      </c>
      <c r="Q30" s="213">
        <f t="shared" ref="Q30:Q36" si="30">M30+P30</f>
        <v>20480</v>
      </c>
      <c r="R30" s="232">
        <f t="shared" ref="R30:R36" si="31">Q30+N30+O30</f>
        <v>27155.1</v>
      </c>
      <c r="S30" s="238">
        <f t="shared" ref="S30:S36" si="32">R30/12</f>
        <v>2262.9249999999997</v>
      </c>
      <c r="T30" s="239">
        <f t="shared" ref="T30:T36" si="33">Q30*1.05</f>
        <v>21504</v>
      </c>
      <c r="U30" s="232">
        <f t="shared" ref="U30:U36" si="34">(T30+N30+O30)/12</f>
        <v>2348.2583333333332</v>
      </c>
      <c r="V30" s="240" t="s">
        <v>1833</v>
      </c>
      <c r="W30" s="241">
        <f t="shared" ref="W30:W36" si="35">Q30*1.05</f>
        <v>21504</v>
      </c>
      <c r="X30" s="242">
        <f t="shared" ref="X30:X36" si="36">W30*0.19</f>
        <v>4085.76</v>
      </c>
      <c r="Y30" s="242">
        <f t="shared" ref="Y30:Y36" si="37">(W30-5900)*0.205</f>
        <v>3198.8199999999997</v>
      </c>
      <c r="Z30" s="242">
        <f t="shared" ref="Z30:Z36" si="38">W30+Y30+X30</f>
        <v>28788.58</v>
      </c>
      <c r="AA30" s="242">
        <f t="shared" ref="AA30:AA36" si="39">Z30/12</f>
        <v>2399.0483333333336</v>
      </c>
      <c r="AB30" s="222">
        <v>2163.7583333333332</v>
      </c>
      <c r="AE30" s="212" t="s">
        <v>1833</v>
      </c>
      <c r="AF30" s="223">
        <f t="shared" ref="AF30:AF36" si="40">U30/12</f>
        <v>195.68819444444443</v>
      </c>
      <c r="AG30" s="223">
        <f t="shared" ref="AG30:AG36" si="41">AF30*12</f>
        <v>2348.2583333333332</v>
      </c>
      <c r="AH30" s="220">
        <f>AG30+AG35+AG32+(AG33*0.795)+12000</f>
        <v>21986.774562500003</v>
      </c>
    </row>
    <row r="31" spans="1:34">
      <c r="B31" s="76" t="s">
        <v>1834</v>
      </c>
      <c r="C31" s="76">
        <v>24900</v>
      </c>
      <c r="D31" s="76">
        <v>3500</v>
      </c>
      <c r="E31" s="76">
        <f t="shared" si="26"/>
        <v>28400</v>
      </c>
      <c r="F31" s="237">
        <f>(C31-8024)/C31</f>
        <v>0.67775100401606425</v>
      </c>
      <c r="G31" s="232">
        <f t="shared" si="27"/>
        <v>2075</v>
      </c>
      <c r="L31" s="219" t="s">
        <v>1834</v>
      </c>
      <c r="M31" s="220">
        <v>13580</v>
      </c>
      <c r="N31" s="220">
        <f t="shared" si="28"/>
        <v>3891.2</v>
      </c>
      <c r="O31" s="220">
        <f t="shared" si="29"/>
        <v>2783.8999999999996</v>
      </c>
      <c r="P31" s="220">
        <v>6900</v>
      </c>
      <c r="Q31" s="220">
        <f t="shared" si="30"/>
        <v>20480</v>
      </c>
      <c r="R31" s="232">
        <f t="shared" si="31"/>
        <v>27155.1</v>
      </c>
      <c r="S31" s="238">
        <f t="shared" si="32"/>
        <v>2262.9249999999997</v>
      </c>
      <c r="T31" s="243">
        <f t="shared" si="33"/>
        <v>21504</v>
      </c>
      <c r="U31" s="232">
        <f t="shared" si="34"/>
        <v>2348.2583333333332</v>
      </c>
      <c r="V31" s="244" t="s">
        <v>1834</v>
      </c>
      <c r="W31" s="241">
        <f t="shared" si="35"/>
        <v>21504</v>
      </c>
      <c r="X31" s="242">
        <f t="shared" si="36"/>
        <v>4085.76</v>
      </c>
      <c r="Y31" s="242">
        <f t="shared" si="37"/>
        <v>3198.8199999999997</v>
      </c>
      <c r="Z31" s="242">
        <f t="shared" si="38"/>
        <v>28788.58</v>
      </c>
      <c r="AA31" s="242">
        <f t="shared" si="39"/>
        <v>2399.0483333333336</v>
      </c>
      <c r="AB31" s="222">
        <v>2163.7583333333332</v>
      </c>
      <c r="AE31" s="219" t="s">
        <v>1834</v>
      </c>
      <c r="AF31" s="223">
        <f t="shared" si="40"/>
        <v>195.68819444444443</v>
      </c>
      <c r="AG31" s="223">
        <f t="shared" si="41"/>
        <v>2348.2583333333332</v>
      </c>
      <c r="AH31" s="220"/>
    </row>
    <row r="32" spans="1:34">
      <c r="B32" s="76" t="s">
        <v>1835</v>
      </c>
      <c r="C32" s="76">
        <v>25900</v>
      </c>
      <c r="D32" s="76">
        <v>3500</v>
      </c>
      <c r="E32" s="76">
        <f t="shared" si="26"/>
        <v>29400</v>
      </c>
      <c r="F32" s="237">
        <f>(C32-11010)/C32</f>
        <v>0.57490347490347493</v>
      </c>
      <c r="G32" s="232">
        <f t="shared" si="27"/>
        <v>2158.3333333333335</v>
      </c>
      <c r="L32" s="219" t="s">
        <v>1835</v>
      </c>
      <c r="M32" s="220">
        <v>16490</v>
      </c>
      <c r="N32" s="220">
        <f t="shared" si="28"/>
        <v>4444.1000000000004</v>
      </c>
      <c r="O32" s="220">
        <f t="shared" si="29"/>
        <v>3380.45</v>
      </c>
      <c r="P32" s="220">
        <v>6900</v>
      </c>
      <c r="Q32" s="220">
        <f t="shared" si="30"/>
        <v>23390</v>
      </c>
      <c r="R32" s="232">
        <f t="shared" si="31"/>
        <v>31214.55</v>
      </c>
      <c r="S32" s="238">
        <f t="shared" si="32"/>
        <v>2601.2125000000001</v>
      </c>
      <c r="T32" s="243">
        <f t="shared" si="33"/>
        <v>24559.5</v>
      </c>
      <c r="U32" s="232">
        <f t="shared" si="34"/>
        <v>2698.6708333333331</v>
      </c>
      <c r="V32" s="244" t="s">
        <v>1835</v>
      </c>
      <c r="W32" s="241">
        <f t="shared" si="35"/>
        <v>24559.5</v>
      </c>
      <c r="X32" s="242">
        <f t="shared" si="36"/>
        <v>4666.3050000000003</v>
      </c>
      <c r="Y32" s="242">
        <f t="shared" si="37"/>
        <v>3825.1974999999998</v>
      </c>
      <c r="Z32" s="242">
        <f t="shared" si="38"/>
        <v>33051.002500000002</v>
      </c>
      <c r="AA32" s="242">
        <f t="shared" si="39"/>
        <v>2754.2502083333334</v>
      </c>
      <c r="AB32" s="222">
        <v>2502.0458333333331</v>
      </c>
      <c r="AE32" s="219" t="s">
        <v>1835</v>
      </c>
      <c r="AF32" s="223">
        <f t="shared" si="40"/>
        <v>224.8892361111111</v>
      </c>
      <c r="AG32" s="223">
        <f t="shared" si="41"/>
        <v>2698.6708333333331</v>
      </c>
      <c r="AH32" s="220"/>
    </row>
    <row r="33" spans="2:34">
      <c r="B33" s="76" t="s">
        <v>1836</v>
      </c>
      <c r="C33" s="76">
        <v>27900</v>
      </c>
      <c r="D33" s="76">
        <v>3500</v>
      </c>
      <c r="E33" s="76">
        <f t="shared" si="26"/>
        <v>31400</v>
      </c>
      <c r="F33" s="237">
        <f>(C33-11577)/C33</f>
        <v>0.58505376344086024</v>
      </c>
      <c r="G33" s="232">
        <f t="shared" si="27"/>
        <v>2325</v>
      </c>
      <c r="L33" s="219" t="s">
        <v>1836</v>
      </c>
      <c r="M33" s="220">
        <f>24390-6900</f>
        <v>17490</v>
      </c>
      <c r="N33" s="220">
        <f t="shared" si="28"/>
        <v>4634.1000000000004</v>
      </c>
      <c r="O33" s="220">
        <f t="shared" si="29"/>
        <v>3585.45</v>
      </c>
      <c r="P33" s="220">
        <v>6900</v>
      </c>
      <c r="Q33" s="220">
        <f t="shared" si="30"/>
        <v>24390</v>
      </c>
      <c r="R33" s="232">
        <f t="shared" si="31"/>
        <v>32609.55</v>
      </c>
      <c r="S33" s="238">
        <f t="shared" si="32"/>
        <v>2717.4625000000001</v>
      </c>
      <c r="T33" s="243">
        <f t="shared" si="33"/>
        <v>25609.5</v>
      </c>
      <c r="U33" s="232">
        <f t="shared" si="34"/>
        <v>2819.0874999999996</v>
      </c>
      <c r="V33" s="244" t="s">
        <v>1836</v>
      </c>
      <c r="W33" s="241">
        <f t="shared" si="35"/>
        <v>25609.5</v>
      </c>
      <c r="X33" s="242">
        <f t="shared" si="36"/>
        <v>4865.8050000000003</v>
      </c>
      <c r="Y33" s="242">
        <f t="shared" si="37"/>
        <v>4040.4474999999998</v>
      </c>
      <c r="Z33" s="242">
        <f t="shared" si="38"/>
        <v>34515.752500000002</v>
      </c>
      <c r="AA33" s="242">
        <f t="shared" si="39"/>
        <v>2876.3127083333334</v>
      </c>
      <c r="AB33" s="222">
        <v>2618.2958333333331</v>
      </c>
      <c r="AE33" s="219" t="s">
        <v>1836</v>
      </c>
      <c r="AF33" s="223">
        <f t="shared" si="40"/>
        <v>234.9239583333333</v>
      </c>
      <c r="AG33" s="223">
        <f t="shared" si="41"/>
        <v>2819.0874999999996</v>
      </c>
      <c r="AH33" s="220"/>
    </row>
    <row r="34" spans="2:34">
      <c r="B34" s="76" t="s">
        <v>1837</v>
      </c>
      <c r="C34" s="76">
        <v>27900</v>
      </c>
      <c r="D34" s="76">
        <v>3500</v>
      </c>
      <c r="E34" s="76">
        <f t="shared" si="26"/>
        <v>31400</v>
      </c>
      <c r="F34" s="237">
        <f>(C34-11822)/C34</f>
        <v>0.57627240143369174</v>
      </c>
      <c r="G34" s="232">
        <f t="shared" si="27"/>
        <v>2325</v>
      </c>
      <c r="L34" s="219" t="s">
        <v>1837</v>
      </c>
      <c r="M34" s="220">
        <v>17490</v>
      </c>
      <c r="N34" s="220">
        <f t="shared" si="28"/>
        <v>4634.1000000000004</v>
      </c>
      <c r="O34" s="220">
        <f t="shared" si="29"/>
        <v>3585.45</v>
      </c>
      <c r="P34" s="220">
        <v>6900</v>
      </c>
      <c r="Q34" s="220">
        <f t="shared" si="30"/>
        <v>24390</v>
      </c>
      <c r="R34" s="232">
        <f t="shared" si="31"/>
        <v>32609.55</v>
      </c>
      <c r="S34" s="238">
        <f t="shared" si="32"/>
        <v>2717.4625000000001</v>
      </c>
      <c r="T34" s="243">
        <f t="shared" si="33"/>
        <v>25609.5</v>
      </c>
      <c r="U34" s="232">
        <f t="shared" si="34"/>
        <v>2819.0874999999996</v>
      </c>
      <c r="V34" s="244" t="s">
        <v>1837</v>
      </c>
      <c r="W34" s="241">
        <f t="shared" si="35"/>
        <v>25609.5</v>
      </c>
      <c r="X34" s="242">
        <f t="shared" si="36"/>
        <v>4865.8050000000003</v>
      </c>
      <c r="Y34" s="242">
        <f t="shared" si="37"/>
        <v>4040.4474999999998</v>
      </c>
      <c r="Z34" s="242">
        <f t="shared" si="38"/>
        <v>34515.752500000002</v>
      </c>
      <c r="AA34" s="242">
        <f t="shared" si="39"/>
        <v>2876.3127083333334</v>
      </c>
      <c r="AB34" s="222">
        <v>2618.2958333333331</v>
      </c>
      <c r="AE34" s="219" t="s">
        <v>1837</v>
      </c>
      <c r="AF34" s="223">
        <f t="shared" si="40"/>
        <v>234.9239583333333</v>
      </c>
      <c r="AG34" s="223">
        <f t="shared" si="41"/>
        <v>2819.0874999999996</v>
      </c>
      <c r="AH34" s="220"/>
    </row>
    <row r="35" spans="2:34">
      <c r="B35" s="76" t="s">
        <v>1838</v>
      </c>
      <c r="C35" s="76">
        <v>25900</v>
      </c>
      <c r="D35" s="76">
        <v>3500</v>
      </c>
      <c r="E35" s="76">
        <f t="shared" si="26"/>
        <v>29400</v>
      </c>
      <c r="F35" s="237">
        <f>(C35-8474)/C35</f>
        <v>0.67281853281853277</v>
      </c>
      <c r="G35" s="232">
        <f t="shared" si="27"/>
        <v>2158.3333333333335</v>
      </c>
      <c r="L35" s="219" t="s">
        <v>1838</v>
      </c>
      <c r="M35" s="220">
        <v>16490</v>
      </c>
      <c r="N35" s="220">
        <f t="shared" si="28"/>
        <v>4444.1000000000004</v>
      </c>
      <c r="O35" s="220">
        <f t="shared" si="29"/>
        <v>3380.45</v>
      </c>
      <c r="P35" s="220">
        <v>6900</v>
      </c>
      <c r="Q35" s="220">
        <f t="shared" si="30"/>
        <v>23390</v>
      </c>
      <c r="R35" s="232">
        <f t="shared" si="31"/>
        <v>31214.55</v>
      </c>
      <c r="S35" s="238">
        <f t="shared" si="32"/>
        <v>2601.2125000000001</v>
      </c>
      <c r="T35" s="243">
        <f t="shared" si="33"/>
        <v>24559.5</v>
      </c>
      <c r="U35" s="232">
        <f t="shared" si="34"/>
        <v>2698.6708333333331</v>
      </c>
      <c r="V35" s="244" t="s">
        <v>1838</v>
      </c>
      <c r="W35" s="241">
        <f t="shared" si="35"/>
        <v>24559.5</v>
      </c>
      <c r="X35" s="242">
        <f t="shared" si="36"/>
        <v>4666.3050000000003</v>
      </c>
      <c r="Y35" s="242">
        <f t="shared" si="37"/>
        <v>3825.1974999999998</v>
      </c>
      <c r="Z35" s="242">
        <f t="shared" si="38"/>
        <v>33051.002500000002</v>
      </c>
      <c r="AA35" s="242">
        <f t="shared" si="39"/>
        <v>2754.2502083333334</v>
      </c>
      <c r="AB35" s="222">
        <v>2502.0458333333331</v>
      </c>
      <c r="AE35" s="219" t="s">
        <v>1838</v>
      </c>
      <c r="AF35" s="223">
        <f t="shared" si="40"/>
        <v>224.8892361111111</v>
      </c>
      <c r="AG35" s="223">
        <f t="shared" si="41"/>
        <v>2698.6708333333331</v>
      </c>
      <c r="AH35" s="220"/>
    </row>
    <row r="36" spans="2:34">
      <c r="L36" s="224" t="s">
        <v>1839</v>
      </c>
      <c r="M36" s="225">
        <v>14490</v>
      </c>
      <c r="N36" s="225">
        <f t="shared" si="28"/>
        <v>4064.1</v>
      </c>
      <c r="O36" s="225">
        <v>2768.1149999999998</v>
      </c>
      <c r="P36" s="225">
        <v>6900</v>
      </c>
      <c r="Q36" s="225">
        <f t="shared" si="30"/>
        <v>21390</v>
      </c>
      <c r="R36" s="245">
        <f t="shared" si="31"/>
        <v>28222.214999999997</v>
      </c>
      <c r="S36" s="246">
        <f t="shared" si="32"/>
        <v>2351.8512499999997</v>
      </c>
      <c r="T36" s="247">
        <f t="shared" si="33"/>
        <v>22459.5</v>
      </c>
      <c r="U36" s="232">
        <f t="shared" si="34"/>
        <v>2440.9762499999997</v>
      </c>
      <c r="V36" s="248" t="s">
        <v>1839</v>
      </c>
      <c r="W36" s="166">
        <f t="shared" si="35"/>
        <v>22459.5</v>
      </c>
      <c r="X36" s="249">
        <f t="shared" si="36"/>
        <v>4267.3050000000003</v>
      </c>
      <c r="Y36" s="249">
        <f t="shared" si="37"/>
        <v>3394.6974999999998</v>
      </c>
      <c r="Z36" s="249">
        <f t="shared" si="38"/>
        <v>30121.502499999999</v>
      </c>
      <c r="AA36" s="249">
        <f t="shared" si="39"/>
        <v>2510.1252083333334</v>
      </c>
      <c r="AB36" s="227">
        <v>2269.5458333333331</v>
      </c>
      <c r="AE36" s="224" t="s">
        <v>1839</v>
      </c>
      <c r="AF36" s="228">
        <f t="shared" si="40"/>
        <v>203.41468749999999</v>
      </c>
      <c r="AG36" s="223">
        <f t="shared" si="41"/>
        <v>2440.9762499999997</v>
      </c>
      <c r="AH36" s="220"/>
    </row>
    <row r="37" spans="2:34">
      <c r="P37" s="242"/>
      <c r="R37" s="242"/>
    </row>
    <row r="39" spans="2:34">
      <c r="L39" s="91" t="s">
        <v>1864</v>
      </c>
    </row>
    <row r="40" spans="2:34">
      <c r="L40" s="211" t="s">
        <v>1823</v>
      </c>
      <c r="M40" s="210" t="s">
        <v>1824</v>
      </c>
      <c r="N40" s="210" t="s">
        <v>1826</v>
      </c>
      <c r="O40" s="210" t="s">
        <v>1825</v>
      </c>
      <c r="P40" s="210" t="s">
        <v>1865</v>
      </c>
      <c r="R40" s="250" t="s">
        <v>1866</v>
      </c>
      <c r="AE40" s="235" t="s">
        <v>1823</v>
      </c>
      <c r="AF40" s="236" t="s">
        <v>1858</v>
      </c>
      <c r="AG40" s="236" t="s">
        <v>1867</v>
      </c>
    </row>
    <row r="41" spans="2:34">
      <c r="L41" s="212" t="s">
        <v>1833</v>
      </c>
      <c r="M41" s="215">
        <v>13580</v>
      </c>
      <c r="N41" s="213">
        <v>6900</v>
      </c>
      <c r="O41" s="239">
        <f t="shared" ref="O41:O47" si="42">(M41+N41)*1.19</f>
        <v>24371.199999999997</v>
      </c>
      <c r="P41" s="251">
        <f t="shared" ref="P41:P47" si="43">O41/12</f>
        <v>2030.9333333333332</v>
      </c>
      <c r="Q41" s="232">
        <f t="shared" ref="Q41:Q47" si="44">P41*0.95</f>
        <v>1929.3866666666663</v>
      </c>
      <c r="T41" s="252"/>
      <c r="AE41" s="212" t="s">
        <v>1833</v>
      </c>
      <c r="AF41" s="223">
        <v>2262.9249999999997</v>
      </c>
      <c r="AG41" s="223">
        <v>27155.1</v>
      </c>
    </row>
    <row r="42" spans="2:34">
      <c r="L42" s="219" t="s">
        <v>1834</v>
      </c>
      <c r="M42" s="222">
        <v>13580</v>
      </c>
      <c r="N42" s="220">
        <v>6900</v>
      </c>
      <c r="O42" s="243">
        <f t="shared" si="42"/>
        <v>24371.199999999997</v>
      </c>
      <c r="P42" s="238">
        <f t="shared" si="43"/>
        <v>2030.9333333333332</v>
      </c>
      <c r="Q42" s="232">
        <f t="shared" si="44"/>
        <v>1929.3866666666663</v>
      </c>
      <c r="R42" s="211" t="s">
        <v>1823</v>
      </c>
      <c r="S42" s="211" t="s">
        <v>1868</v>
      </c>
      <c r="T42" s="211" t="s">
        <v>1869</v>
      </c>
      <c r="U42" s="207" t="s">
        <v>1870</v>
      </c>
      <c r="V42" s="207" t="s">
        <v>1871</v>
      </c>
      <c r="W42" s="211" t="s">
        <v>1828</v>
      </c>
      <c r="X42" s="211" t="s">
        <v>1872</v>
      </c>
      <c r="Y42" s="211" t="s">
        <v>1873</v>
      </c>
      <c r="AE42" s="219" t="s">
        <v>1838</v>
      </c>
      <c r="AF42" s="223">
        <v>2601.2125000000001</v>
      </c>
      <c r="AG42" s="223">
        <v>31214.550000000003</v>
      </c>
    </row>
    <row r="43" spans="2:34">
      <c r="L43" s="219" t="s">
        <v>1835</v>
      </c>
      <c r="M43" s="222">
        <v>16490</v>
      </c>
      <c r="N43" s="220">
        <v>6900</v>
      </c>
      <c r="O43" s="243">
        <f t="shared" si="42"/>
        <v>27834.1</v>
      </c>
      <c r="P43" s="238">
        <f t="shared" si="43"/>
        <v>2319.5083333333332</v>
      </c>
      <c r="Q43" s="232">
        <f t="shared" si="44"/>
        <v>2203.5329166666666</v>
      </c>
      <c r="R43" s="212" t="s">
        <v>1833</v>
      </c>
      <c r="S43" s="213">
        <v>20454</v>
      </c>
      <c r="T43" s="213">
        <f t="shared" ref="T43:T49" si="45">V43/(1-W43)</f>
        <v>16893.763440860213</v>
      </c>
      <c r="U43" s="252">
        <f t="shared" ref="U43:U49" si="46">1-(T43/S43)</f>
        <v>0.17406065117530978</v>
      </c>
      <c r="V43" s="242">
        <v>10474.133333333331</v>
      </c>
      <c r="W43" s="253">
        <v>0.38</v>
      </c>
      <c r="X43" s="251">
        <f t="shared" ref="X43:X49" si="47">(T43-V43)/12</f>
        <v>534.96917562724013</v>
      </c>
      <c r="Y43" s="253">
        <v>0.36742762813544322</v>
      </c>
      <c r="Z43" s="114"/>
      <c r="AE43" s="219" t="s">
        <v>1835</v>
      </c>
      <c r="AF43" s="223">
        <v>2601.2125000000001</v>
      </c>
      <c r="AG43" s="223">
        <v>31214.550000000003</v>
      </c>
    </row>
    <row r="44" spans="2:34">
      <c r="L44" s="219" t="s">
        <v>1836</v>
      </c>
      <c r="M44" s="222">
        <v>17490</v>
      </c>
      <c r="N44" s="220">
        <v>6900</v>
      </c>
      <c r="O44" s="243">
        <f t="shared" si="42"/>
        <v>29024.1</v>
      </c>
      <c r="P44" s="238">
        <f t="shared" si="43"/>
        <v>2418.6749999999997</v>
      </c>
      <c r="Q44" s="232">
        <f t="shared" si="44"/>
        <v>2297.7412499999996</v>
      </c>
      <c r="R44" s="219" t="s">
        <v>1834</v>
      </c>
      <c r="S44" s="220">
        <v>20454</v>
      </c>
      <c r="T44" s="220">
        <f t="shared" si="45"/>
        <v>17423.333333333332</v>
      </c>
      <c r="U44" s="252">
        <f t="shared" si="46"/>
        <v>0.14816987712264929</v>
      </c>
      <c r="V44" s="242">
        <v>11150.933333333332</v>
      </c>
      <c r="W44" s="254">
        <v>0.36</v>
      </c>
      <c r="X44" s="238">
        <f t="shared" si="47"/>
        <v>522.69999999999993</v>
      </c>
      <c r="Y44" s="254">
        <v>0.3265531263840239</v>
      </c>
      <c r="Z44" s="252"/>
      <c r="AE44" s="219" t="s">
        <v>1836</v>
      </c>
      <c r="AF44" s="223">
        <f>2717.4625*0.795</f>
        <v>2160.3826875</v>
      </c>
      <c r="AG44" s="223">
        <f>32609.55*(1-0.205)</f>
        <v>25924.592250000002</v>
      </c>
    </row>
    <row r="45" spans="2:34">
      <c r="L45" s="219" t="s">
        <v>1837</v>
      </c>
      <c r="M45" s="222">
        <v>17490</v>
      </c>
      <c r="N45" s="220">
        <v>6900</v>
      </c>
      <c r="O45" s="243">
        <f t="shared" si="42"/>
        <v>29024.1</v>
      </c>
      <c r="P45" s="238">
        <f t="shared" si="43"/>
        <v>2418.6749999999997</v>
      </c>
      <c r="Q45" s="232">
        <f t="shared" si="44"/>
        <v>2297.7412499999996</v>
      </c>
      <c r="R45" s="219" t="s">
        <v>1835</v>
      </c>
      <c r="S45" s="220">
        <v>23509.5</v>
      </c>
      <c r="T45" s="220">
        <f t="shared" si="45"/>
        <v>19526.974358974359</v>
      </c>
      <c r="U45" s="252">
        <f t="shared" si="46"/>
        <v>0.16940069508180267</v>
      </c>
      <c r="V45" s="242">
        <v>12692.533333333333</v>
      </c>
      <c r="W45" s="254">
        <v>0.35</v>
      </c>
      <c r="X45" s="238">
        <f t="shared" si="47"/>
        <v>569.53675213675217</v>
      </c>
      <c r="Y45" s="254">
        <v>0.33307761693332988</v>
      </c>
      <c r="Z45" s="252"/>
      <c r="AE45" s="219" t="s">
        <v>1874</v>
      </c>
      <c r="AF45" s="223" t="s">
        <v>1043</v>
      </c>
      <c r="AG45" s="223">
        <v>12000</v>
      </c>
    </row>
    <row r="46" spans="2:34">
      <c r="L46" s="219" t="s">
        <v>1838</v>
      </c>
      <c r="M46" s="222">
        <v>16490</v>
      </c>
      <c r="N46" s="220">
        <v>6900</v>
      </c>
      <c r="O46" s="243">
        <f t="shared" si="42"/>
        <v>27834.1</v>
      </c>
      <c r="P46" s="238">
        <f t="shared" si="43"/>
        <v>2319.5083333333332</v>
      </c>
      <c r="Q46" s="232">
        <f t="shared" si="44"/>
        <v>2203.5329166666666</v>
      </c>
      <c r="R46" s="219" t="s">
        <v>1836</v>
      </c>
      <c r="S46" s="220">
        <v>24559.5</v>
      </c>
      <c r="T46" s="220">
        <f t="shared" si="45"/>
        <v>21817.254901960783</v>
      </c>
      <c r="U46" s="252">
        <f t="shared" si="46"/>
        <v>0.11165720385346678</v>
      </c>
      <c r="V46" s="242">
        <v>14835.733333333332</v>
      </c>
      <c r="W46" s="254">
        <v>0.32</v>
      </c>
      <c r="X46" s="238">
        <f t="shared" si="47"/>
        <v>581.79346405228762</v>
      </c>
      <c r="Y46" s="254">
        <v>0.25379205123691212</v>
      </c>
      <c r="Z46" s="252"/>
      <c r="AE46" s="219"/>
      <c r="AF46" s="223"/>
      <c r="AG46" s="255">
        <v>127508.79225000001</v>
      </c>
    </row>
    <row r="47" spans="2:34">
      <c r="L47" s="224" t="s">
        <v>1839</v>
      </c>
      <c r="M47" s="227">
        <v>14490</v>
      </c>
      <c r="N47" s="225">
        <v>6900</v>
      </c>
      <c r="O47" s="247">
        <f t="shared" si="42"/>
        <v>25454.1</v>
      </c>
      <c r="P47" s="246">
        <f t="shared" si="43"/>
        <v>2121.1749999999997</v>
      </c>
      <c r="Q47" s="232">
        <f t="shared" si="44"/>
        <v>2015.1162499999996</v>
      </c>
      <c r="R47" s="219" t="s">
        <v>1837</v>
      </c>
      <c r="S47" s="220">
        <v>24559.5</v>
      </c>
      <c r="T47" s="220">
        <f t="shared" si="45"/>
        <v>20375.124378109453</v>
      </c>
      <c r="U47" s="252">
        <f t="shared" si="46"/>
        <v>0.17037706882837789</v>
      </c>
      <c r="V47" s="242">
        <v>13651.333333333332</v>
      </c>
      <c r="W47" s="254">
        <v>0.33</v>
      </c>
      <c r="X47" s="238">
        <f t="shared" si="47"/>
        <v>560.31592039801001</v>
      </c>
      <c r="Y47" s="254">
        <v>0.31336502108325165</v>
      </c>
      <c r="Z47" s="252"/>
      <c r="AE47" s="224"/>
      <c r="AF47" s="228"/>
      <c r="AG47" s="223"/>
    </row>
    <row r="48" spans="2:34">
      <c r="R48" s="219" t="s">
        <v>1838</v>
      </c>
      <c r="S48" s="220">
        <v>23509.5</v>
      </c>
      <c r="T48" s="220">
        <f t="shared" si="45"/>
        <v>19405.311653116532</v>
      </c>
      <c r="U48" s="252">
        <f t="shared" si="46"/>
        <v>0.17457573946206717</v>
      </c>
      <c r="V48" s="242">
        <v>11934.266666666666</v>
      </c>
      <c r="W48" s="254">
        <v>0.38500000000000001</v>
      </c>
      <c r="X48" s="238">
        <f t="shared" si="47"/>
        <v>622.58708220415554</v>
      </c>
      <c r="Y48" s="254">
        <v>0.37292033383250578</v>
      </c>
      <c r="Z48" s="252"/>
    </row>
    <row r="49" spans="12:26">
      <c r="R49" s="224" t="s">
        <v>1839</v>
      </c>
      <c r="S49" s="225">
        <v>21409.5</v>
      </c>
      <c r="T49" s="225">
        <f t="shared" si="45"/>
        <v>17991.250000000004</v>
      </c>
      <c r="U49" s="256">
        <f t="shared" si="46"/>
        <v>0.15966043111702732</v>
      </c>
      <c r="V49" s="249">
        <v>11514.400000000001</v>
      </c>
      <c r="W49" s="257">
        <v>0.36</v>
      </c>
      <c r="X49" s="246">
        <f t="shared" si="47"/>
        <v>539.73750000000018</v>
      </c>
      <c r="Y49" s="257">
        <v>0.33563742318899104</v>
      </c>
      <c r="Z49" s="252"/>
    </row>
    <row r="50" spans="12:26">
      <c r="X50" s="252"/>
    </row>
    <row r="53" spans="12:26">
      <c r="L53" s="211" t="s">
        <v>1823</v>
      </c>
      <c r="M53" s="207" t="s">
        <v>1865</v>
      </c>
    </row>
    <row r="54" spans="12:26">
      <c r="L54" s="212" t="s">
        <v>1833</v>
      </c>
      <c r="M54" s="238">
        <v>1929.3866666666663</v>
      </c>
    </row>
    <row r="55" spans="12:26">
      <c r="L55" s="219" t="s">
        <v>1834</v>
      </c>
      <c r="M55" s="238">
        <v>1929.3866666666663</v>
      </c>
    </row>
    <row r="56" spans="12:26">
      <c r="L56" s="219" t="s">
        <v>1835</v>
      </c>
      <c r="M56" s="238">
        <v>2203.5329166666666</v>
      </c>
    </row>
    <row r="57" spans="12:26">
      <c r="L57" s="219" t="s">
        <v>1836</v>
      </c>
      <c r="M57" s="238">
        <v>2297.7412499999996</v>
      </c>
    </row>
    <row r="58" spans="12:26">
      <c r="L58" s="219" t="s">
        <v>1837</v>
      </c>
      <c r="M58" s="238">
        <v>2297.7412499999996</v>
      </c>
    </row>
    <row r="59" spans="12:26">
      <c r="L59" s="219" t="s">
        <v>1838</v>
      </c>
      <c r="M59" s="238">
        <v>2203.5329166666666</v>
      </c>
    </row>
    <row r="60" spans="12:26">
      <c r="L60" s="224" t="s">
        <v>1839</v>
      </c>
      <c r="M60" s="246">
        <v>2015.1162499999996</v>
      </c>
    </row>
  </sheetData>
  <mergeCells count="8">
    <mergeCell ref="A12:A19"/>
    <mergeCell ref="K12:K19"/>
    <mergeCell ref="T12:T19"/>
    <mergeCell ref="M1:R1"/>
    <mergeCell ref="U1:AB1"/>
    <mergeCell ref="A3:A10"/>
    <mergeCell ref="K3:K10"/>
    <mergeCell ref="T3:T10"/>
  </mergeCells>
  <pageMargins left="0" right="0" top="0" bottom="0" header="0" footer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H60"/>
  <sheetViews>
    <sheetView workbookViewId="0"/>
  </sheetViews>
  <sheetFormatPr defaultColWidth="14.42578125" defaultRowHeight="15" customHeight="1"/>
  <cols>
    <col min="1" max="1" width="17" hidden="1" customWidth="1"/>
    <col min="2" max="2" width="14.42578125" hidden="1"/>
    <col min="3" max="3" width="25.85546875" hidden="1" customWidth="1"/>
    <col min="4" max="5" width="14.42578125" hidden="1"/>
    <col min="6" max="7" width="21.140625" hidden="1" customWidth="1"/>
    <col min="8" max="8" width="25.85546875" hidden="1" customWidth="1"/>
    <col min="9" max="9" width="14.42578125" hidden="1"/>
    <col min="10" max="10" width="11.7109375" hidden="1" customWidth="1"/>
    <col min="11" max="11" width="14.140625" customWidth="1"/>
    <col min="13" max="13" width="16.28515625" customWidth="1"/>
    <col min="14" max="14" width="24.28515625" customWidth="1"/>
    <col min="15" max="15" width="13.140625" customWidth="1"/>
    <col min="16" max="17" width="21.5703125" customWidth="1"/>
    <col min="18" max="18" width="14.85546875" customWidth="1"/>
    <col min="19" max="19" width="17.42578125" customWidth="1"/>
    <col min="20" max="20" width="25.85546875" customWidth="1"/>
    <col min="21" max="23" width="17.28515625" customWidth="1"/>
    <col min="24" max="24" width="15.42578125" customWidth="1"/>
    <col min="25" max="25" width="13.28515625" hidden="1" customWidth="1"/>
    <col min="26" max="26" width="15" customWidth="1"/>
    <col min="27" max="27" width="23.140625" hidden="1" customWidth="1"/>
    <col min="28" max="28" width="25.140625" customWidth="1"/>
    <col min="29" max="29" width="9.140625" customWidth="1"/>
    <col min="30" max="30" width="12.5703125" customWidth="1"/>
    <col min="31" max="31" width="24.5703125" customWidth="1"/>
    <col min="32" max="32" width="17.85546875" customWidth="1"/>
    <col min="33" max="34" width="24.28515625" customWidth="1"/>
  </cols>
  <sheetData>
    <row r="1" spans="1:34">
      <c r="A1" s="91" t="s">
        <v>1820</v>
      </c>
      <c r="M1" s="395" t="s">
        <v>997</v>
      </c>
      <c r="N1" s="418"/>
      <c r="O1" s="418"/>
      <c r="P1" s="418"/>
      <c r="Q1" s="418"/>
      <c r="R1" s="419"/>
      <c r="S1" s="395" t="s">
        <v>997</v>
      </c>
      <c r="T1" s="418"/>
      <c r="U1" s="418"/>
      <c r="V1" s="418"/>
      <c r="W1" s="418"/>
      <c r="X1" s="419"/>
      <c r="AA1" s="386" t="s">
        <v>1828</v>
      </c>
      <c r="AB1" s="398" t="s">
        <v>1875</v>
      </c>
      <c r="AC1" s="420"/>
      <c r="AD1" s="420"/>
      <c r="AE1" s="399" t="s">
        <v>1876</v>
      </c>
      <c r="AF1" s="420"/>
      <c r="AG1" s="420"/>
      <c r="AH1" s="387"/>
    </row>
    <row r="2" spans="1:34">
      <c r="A2" s="207" t="s">
        <v>1822</v>
      </c>
      <c r="B2" s="208" t="s">
        <v>1823</v>
      </c>
      <c r="C2" s="208" t="s">
        <v>1824</v>
      </c>
      <c r="D2" s="208" t="s">
        <v>1028</v>
      </c>
      <c r="E2" s="208" t="s">
        <v>1027</v>
      </c>
      <c r="F2" s="208" t="s">
        <v>1825</v>
      </c>
      <c r="G2" s="208" t="s">
        <v>1826</v>
      </c>
      <c r="H2" s="209" t="s">
        <v>1827</v>
      </c>
      <c r="I2" s="210" t="s">
        <v>1828</v>
      </c>
      <c r="K2" s="209" t="s">
        <v>1822</v>
      </c>
      <c r="L2" s="210" t="s">
        <v>1823</v>
      </c>
      <c r="M2" s="210" t="s">
        <v>1824</v>
      </c>
      <c r="N2" s="210" t="s">
        <v>1028</v>
      </c>
      <c r="O2" s="210" t="s">
        <v>1027</v>
      </c>
      <c r="P2" s="210" t="s">
        <v>1826</v>
      </c>
      <c r="Q2" s="210" t="s">
        <v>1829</v>
      </c>
      <c r="R2" s="210" t="s">
        <v>1830</v>
      </c>
      <c r="S2" s="205"/>
      <c r="T2" s="258"/>
      <c r="U2" s="388"/>
      <c r="V2" s="388" t="s">
        <v>1877</v>
      </c>
      <c r="W2" s="388" t="s">
        <v>1878</v>
      </c>
      <c r="X2" s="388" t="s">
        <v>1879</v>
      </c>
      <c r="Y2" s="388" t="s">
        <v>1880</v>
      </c>
      <c r="Z2" s="388" t="s">
        <v>1881</v>
      </c>
      <c r="AA2" s="386"/>
      <c r="AB2" s="387" t="s">
        <v>1882</v>
      </c>
      <c r="AC2" s="399" t="s">
        <v>1883</v>
      </c>
      <c r="AD2" s="420"/>
      <c r="AE2" s="387" t="s">
        <v>1884</v>
      </c>
      <c r="AF2" s="387" t="s">
        <v>1885</v>
      </c>
      <c r="AG2" s="387" t="s">
        <v>1886</v>
      </c>
      <c r="AH2" s="387"/>
    </row>
    <row r="3" spans="1:34">
      <c r="A3" s="393" t="s">
        <v>1832</v>
      </c>
      <c r="B3" s="212" t="s">
        <v>1833</v>
      </c>
      <c r="C3" s="213">
        <v>12860</v>
      </c>
      <c r="D3" s="213">
        <f t="shared" ref="D3:D8" si="0">C3*0.19</f>
        <v>2443.4</v>
      </c>
      <c r="E3" s="213">
        <f t="shared" ref="E3:E8" si="1">C3*0.205</f>
        <v>2636.2999999999997</v>
      </c>
      <c r="F3" s="213">
        <f t="shared" ref="F3:F8" si="2">C3+D3+E3</f>
        <v>17939.7</v>
      </c>
      <c r="G3" s="213">
        <v>4900</v>
      </c>
      <c r="H3" s="213">
        <f t="shared" ref="H3:H8" si="3">C3+D3+E3+(G3*1.19)</f>
        <v>23770.7</v>
      </c>
      <c r="I3" s="214">
        <v>0.58429054054054053</v>
      </c>
      <c r="K3" s="393" t="s">
        <v>1832</v>
      </c>
      <c r="L3" s="212" t="s">
        <v>1833</v>
      </c>
      <c r="M3" s="213">
        <v>13580</v>
      </c>
      <c r="N3" s="213">
        <f t="shared" ref="N3:N9" si="4">(M3+P3)*0.19</f>
        <v>3891.2</v>
      </c>
      <c r="O3" s="213">
        <f t="shared" ref="O3:O8" si="5">M3*0.205</f>
        <v>2783.8999999999996</v>
      </c>
      <c r="P3" s="213">
        <v>6900</v>
      </c>
      <c r="Q3" s="213">
        <f t="shared" ref="Q3:Q9" si="6">M3+P3</f>
        <v>20480</v>
      </c>
      <c r="R3" s="215">
        <f t="shared" ref="R3:R9" si="7">M3+N3+O3+P3</f>
        <v>27155.1</v>
      </c>
      <c r="S3" s="216"/>
      <c r="T3" s="259"/>
      <c r="U3" s="232"/>
      <c r="V3" s="232">
        <v>4750.1333333333323</v>
      </c>
      <c r="W3" s="232">
        <v>575</v>
      </c>
      <c r="X3" s="232">
        <f t="shared" ref="X3:X9" si="8">270*12</f>
        <v>3240</v>
      </c>
      <c r="Y3" s="232">
        <f t="shared" ref="Y3:Y9" si="9">99.8*12</f>
        <v>1197.5999999999999</v>
      </c>
      <c r="Z3" s="259">
        <f t="shared" ref="Z3:Z9" si="10">V3+W3+X3+Y3</f>
        <v>9762.7333333333318</v>
      </c>
      <c r="AA3" s="260" t="e">
        <f t="shared" ref="AA3:AA9" si="11">(T3-Z3)/T3</f>
        <v>#DIV/0!</v>
      </c>
      <c r="AB3" s="260">
        <v>0.08</v>
      </c>
      <c r="AC3" s="261">
        <f t="shared" ref="AC3:AC9" si="12">T3*(1+AB3)</f>
        <v>0</v>
      </c>
      <c r="AD3" s="262">
        <v>24900</v>
      </c>
      <c r="AE3" s="397">
        <v>3800</v>
      </c>
      <c r="AF3" s="397">
        <v>2800</v>
      </c>
      <c r="AG3" s="232"/>
      <c r="AH3" s="232"/>
    </row>
    <row r="4" spans="1:34">
      <c r="A4" s="421"/>
      <c r="B4" s="219" t="s">
        <v>1834</v>
      </c>
      <c r="C4" s="220">
        <v>12860</v>
      </c>
      <c r="D4" s="220">
        <f t="shared" si="0"/>
        <v>2443.4</v>
      </c>
      <c r="E4" s="220">
        <f t="shared" si="1"/>
        <v>2636.2999999999997</v>
      </c>
      <c r="F4" s="220">
        <f t="shared" si="2"/>
        <v>17939.7</v>
      </c>
      <c r="G4" s="220">
        <v>4900</v>
      </c>
      <c r="H4" s="220">
        <f t="shared" si="3"/>
        <v>23770.7</v>
      </c>
      <c r="I4" s="221">
        <v>0.54819819819819815</v>
      </c>
      <c r="K4" s="421"/>
      <c r="L4" s="219" t="s">
        <v>1834</v>
      </c>
      <c r="M4" s="220">
        <v>13580</v>
      </c>
      <c r="N4" s="220">
        <f t="shared" si="4"/>
        <v>3891.2</v>
      </c>
      <c r="O4" s="220">
        <f t="shared" si="5"/>
        <v>2783.8999999999996</v>
      </c>
      <c r="P4" s="220">
        <v>6900</v>
      </c>
      <c r="Q4" s="220">
        <f t="shared" si="6"/>
        <v>20480</v>
      </c>
      <c r="R4" s="222">
        <f t="shared" si="7"/>
        <v>27155.1</v>
      </c>
      <c r="S4" s="216"/>
      <c r="T4" s="259"/>
      <c r="U4" s="232"/>
      <c r="V4" s="232">
        <v>5426.9333333333325</v>
      </c>
      <c r="W4" s="232">
        <v>575</v>
      </c>
      <c r="X4" s="232">
        <f t="shared" si="8"/>
        <v>3240</v>
      </c>
      <c r="Y4" s="232">
        <f t="shared" si="9"/>
        <v>1197.5999999999999</v>
      </c>
      <c r="Z4" s="259">
        <f t="shared" si="10"/>
        <v>10439.533333333333</v>
      </c>
      <c r="AA4" s="260" t="e">
        <f t="shared" si="11"/>
        <v>#DIV/0!</v>
      </c>
      <c r="AB4" s="260">
        <v>0.08</v>
      </c>
      <c r="AC4" s="261">
        <f t="shared" si="12"/>
        <v>0</v>
      </c>
      <c r="AD4" s="262">
        <v>24900</v>
      </c>
      <c r="AE4" s="420"/>
      <c r="AF4" s="420"/>
      <c r="AG4" s="232"/>
      <c r="AH4" s="232"/>
    </row>
    <row r="5" spans="1:34">
      <c r="A5" s="421"/>
      <c r="B5" s="219" t="s">
        <v>1835</v>
      </c>
      <c r="C5" s="220">
        <v>15500</v>
      </c>
      <c r="D5" s="220">
        <f t="shared" si="0"/>
        <v>2945</v>
      </c>
      <c r="E5" s="220">
        <f t="shared" si="1"/>
        <v>3177.5</v>
      </c>
      <c r="F5" s="220">
        <f t="shared" si="2"/>
        <v>21622.5</v>
      </c>
      <c r="G5" s="220">
        <v>4900</v>
      </c>
      <c r="H5" s="220">
        <f t="shared" si="3"/>
        <v>27453.5</v>
      </c>
      <c r="I5" s="221">
        <v>0.4602941176470588</v>
      </c>
      <c r="K5" s="421"/>
      <c r="L5" s="219" t="s">
        <v>1835</v>
      </c>
      <c r="M5" s="220">
        <v>16490</v>
      </c>
      <c r="N5" s="220">
        <f t="shared" si="4"/>
        <v>4444.1000000000004</v>
      </c>
      <c r="O5" s="220">
        <f t="shared" si="5"/>
        <v>3380.45</v>
      </c>
      <c r="P5" s="220">
        <v>6900</v>
      </c>
      <c r="Q5" s="220">
        <f t="shared" si="6"/>
        <v>23390</v>
      </c>
      <c r="R5" s="222">
        <f t="shared" si="7"/>
        <v>31214.55</v>
      </c>
      <c r="S5" s="216"/>
      <c r="T5" s="259"/>
      <c r="U5" s="232"/>
      <c r="V5" s="232">
        <v>6968.5333333333319</v>
      </c>
      <c r="W5" s="232">
        <v>575</v>
      </c>
      <c r="X5" s="232">
        <f t="shared" si="8"/>
        <v>3240</v>
      </c>
      <c r="Y5" s="232">
        <f t="shared" si="9"/>
        <v>1197.5999999999999</v>
      </c>
      <c r="Z5" s="259">
        <f t="shared" si="10"/>
        <v>11981.133333333333</v>
      </c>
      <c r="AA5" s="260" t="e">
        <f t="shared" si="11"/>
        <v>#DIV/0!</v>
      </c>
      <c r="AB5" s="260">
        <v>0.08</v>
      </c>
      <c r="AC5" s="261">
        <f t="shared" si="12"/>
        <v>0</v>
      </c>
      <c r="AD5" s="262">
        <v>25900</v>
      </c>
      <c r="AE5" s="420"/>
      <c r="AF5" s="420"/>
      <c r="AG5" s="232"/>
      <c r="AH5" s="232"/>
    </row>
    <row r="6" spans="1:34">
      <c r="A6" s="421"/>
      <c r="B6" s="219" t="s">
        <v>1836</v>
      </c>
      <c r="C6" s="220">
        <v>16600</v>
      </c>
      <c r="D6" s="220">
        <f t="shared" si="0"/>
        <v>3154</v>
      </c>
      <c r="E6" s="220">
        <f t="shared" si="1"/>
        <v>3403</v>
      </c>
      <c r="F6" s="220">
        <f t="shared" si="2"/>
        <v>23157</v>
      </c>
      <c r="G6" s="220">
        <v>4900</v>
      </c>
      <c r="H6" s="220">
        <f t="shared" si="3"/>
        <v>28988</v>
      </c>
      <c r="I6" s="221">
        <v>0.46153488372093021</v>
      </c>
      <c r="K6" s="421"/>
      <c r="L6" s="219" t="s">
        <v>1836</v>
      </c>
      <c r="M6" s="220">
        <v>17490</v>
      </c>
      <c r="N6" s="220">
        <f t="shared" si="4"/>
        <v>4634.1000000000004</v>
      </c>
      <c r="O6" s="220">
        <f t="shared" si="5"/>
        <v>3585.45</v>
      </c>
      <c r="P6" s="220">
        <v>6900</v>
      </c>
      <c r="Q6" s="220">
        <f t="shared" si="6"/>
        <v>24390</v>
      </c>
      <c r="R6" s="222">
        <f t="shared" si="7"/>
        <v>32609.55</v>
      </c>
      <c r="S6" s="216"/>
      <c r="T6" s="259"/>
      <c r="U6" s="232"/>
      <c r="V6" s="232">
        <v>9111.7333333333318</v>
      </c>
      <c r="W6" s="232">
        <v>575</v>
      </c>
      <c r="X6" s="232">
        <f t="shared" si="8"/>
        <v>3240</v>
      </c>
      <c r="Y6" s="232">
        <f t="shared" si="9"/>
        <v>1197.5999999999999</v>
      </c>
      <c r="Z6" s="259">
        <f t="shared" si="10"/>
        <v>14124.333333333332</v>
      </c>
      <c r="AA6" s="260" t="e">
        <f t="shared" si="11"/>
        <v>#DIV/0!</v>
      </c>
      <c r="AB6" s="260">
        <v>0.08</v>
      </c>
      <c r="AC6" s="261">
        <f t="shared" si="12"/>
        <v>0</v>
      </c>
      <c r="AD6" s="262">
        <v>28900</v>
      </c>
      <c r="AE6" s="420"/>
      <c r="AF6" s="420"/>
      <c r="AG6" s="232"/>
      <c r="AH6" s="232"/>
    </row>
    <row r="7" spans="1:34">
      <c r="A7" s="421"/>
      <c r="B7" s="219" t="s">
        <v>1837</v>
      </c>
      <c r="C7" s="220">
        <v>16600</v>
      </c>
      <c r="D7" s="220">
        <f t="shared" si="0"/>
        <v>3154</v>
      </c>
      <c r="E7" s="220">
        <f t="shared" si="1"/>
        <v>3403</v>
      </c>
      <c r="F7" s="220">
        <f t="shared" si="2"/>
        <v>23157</v>
      </c>
      <c r="G7" s="220">
        <v>4900</v>
      </c>
      <c r="H7" s="220">
        <f t="shared" si="3"/>
        <v>28988</v>
      </c>
      <c r="I7" s="221">
        <v>0.45013953488372094</v>
      </c>
      <c r="K7" s="421"/>
      <c r="L7" s="219" t="s">
        <v>1837</v>
      </c>
      <c r="M7" s="220">
        <v>17490</v>
      </c>
      <c r="N7" s="220">
        <f t="shared" si="4"/>
        <v>4634.1000000000004</v>
      </c>
      <c r="O7" s="220">
        <f t="shared" si="5"/>
        <v>3585.45</v>
      </c>
      <c r="P7" s="220">
        <v>6900</v>
      </c>
      <c r="Q7" s="220">
        <f t="shared" si="6"/>
        <v>24390</v>
      </c>
      <c r="R7" s="222">
        <f t="shared" si="7"/>
        <v>32609.55</v>
      </c>
      <c r="S7" s="216"/>
      <c r="T7" s="259"/>
      <c r="U7" s="232"/>
      <c r="V7" s="232">
        <v>7927.3333333333321</v>
      </c>
      <c r="W7" s="232">
        <v>575</v>
      </c>
      <c r="X7" s="232">
        <f t="shared" si="8"/>
        <v>3240</v>
      </c>
      <c r="Y7" s="232">
        <f t="shared" si="9"/>
        <v>1197.5999999999999</v>
      </c>
      <c r="Z7" s="259">
        <f t="shared" si="10"/>
        <v>12939.933333333332</v>
      </c>
      <c r="AA7" s="260" t="e">
        <f t="shared" si="11"/>
        <v>#DIV/0!</v>
      </c>
      <c r="AB7" s="260">
        <v>0.08</v>
      </c>
      <c r="AC7" s="261">
        <f t="shared" si="12"/>
        <v>0</v>
      </c>
      <c r="AD7" s="262">
        <v>28900</v>
      </c>
      <c r="AE7" s="420"/>
      <c r="AF7" s="420"/>
      <c r="AG7" s="232"/>
      <c r="AH7" s="232"/>
    </row>
    <row r="8" spans="1:34">
      <c r="A8" s="421"/>
      <c r="B8" s="219" t="s">
        <v>1838</v>
      </c>
      <c r="C8" s="220">
        <v>15500</v>
      </c>
      <c r="D8" s="220">
        <f t="shared" si="0"/>
        <v>2945</v>
      </c>
      <c r="E8" s="220">
        <f t="shared" si="1"/>
        <v>3177.5</v>
      </c>
      <c r="F8" s="220">
        <f t="shared" si="2"/>
        <v>21622.5</v>
      </c>
      <c r="G8" s="220">
        <v>4900</v>
      </c>
      <c r="H8" s="220">
        <f t="shared" si="3"/>
        <v>27453.5</v>
      </c>
      <c r="I8" s="221">
        <v>0.58460784313725489</v>
      </c>
      <c r="K8" s="421"/>
      <c r="L8" s="219" t="s">
        <v>1838</v>
      </c>
      <c r="M8" s="220">
        <v>16490</v>
      </c>
      <c r="N8" s="220">
        <f t="shared" si="4"/>
        <v>4444.1000000000004</v>
      </c>
      <c r="O8" s="220">
        <f t="shared" si="5"/>
        <v>3380.45</v>
      </c>
      <c r="P8" s="220">
        <v>6900</v>
      </c>
      <c r="Q8" s="220">
        <f t="shared" si="6"/>
        <v>23390</v>
      </c>
      <c r="R8" s="222">
        <f t="shared" si="7"/>
        <v>31214.55</v>
      </c>
      <c r="S8" s="216"/>
      <c r="T8" s="259"/>
      <c r="U8" s="232"/>
      <c r="V8" s="232">
        <v>6210.2666666666655</v>
      </c>
      <c r="W8" s="232">
        <v>575</v>
      </c>
      <c r="X8" s="232">
        <f t="shared" si="8"/>
        <v>3240</v>
      </c>
      <c r="Y8" s="232">
        <f t="shared" si="9"/>
        <v>1197.5999999999999</v>
      </c>
      <c r="Z8" s="259">
        <f t="shared" si="10"/>
        <v>11222.866666666667</v>
      </c>
      <c r="AA8" s="260" t="e">
        <f t="shared" si="11"/>
        <v>#DIV/0!</v>
      </c>
      <c r="AB8" s="260">
        <v>0.08</v>
      </c>
      <c r="AC8" s="261">
        <f t="shared" si="12"/>
        <v>0</v>
      </c>
      <c r="AD8" s="262">
        <v>25900</v>
      </c>
      <c r="AE8" s="420"/>
      <c r="AF8" s="420"/>
      <c r="AG8" s="232"/>
      <c r="AH8" s="232"/>
    </row>
    <row r="9" spans="1:34">
      <c r="A9" s="409"/>
      <c r="B9" s="224" t="s">
        <v>1839</v>
      </c>
      <c r="C9" s="225"/>
      <c r="D9" s="225"/>
      <c r="E9" s="225"/>
      <c r="F9" s="225"/>
      <c r="G9" s="225"/>
      <c r="H9" s="225"/>
      <c r="I9" s="226"/>
      <c r="K9" s="409"/>
      <c r="L9" s="224" t="s">
        <v>1839</v>
      </c>
      <c r="M9" s="225">
        <v>14490</v>
      </c>
      <c r="N9" s="225">
        <f t="shared" si="4"/>
        <v>4064.1</v>
      </c>
      <c r="O9" s="225">
        <v>2768.1149999999998</v>
      </c>
      <c r="P9" s="225">
        <v>6900</v>
      </c>
      <c r="Q9" s="225">
        <f t="shared" si="6"/>
        <v>21390</v>
      </c>
      <c r="R9" s="227">
        <f t="shared" si="7"/>
        <v>28222.214999999997</v>
      </c>
      <c r="S9" s="216"/>
      <c r="T9" s="259"/>
      <c r="U9" s="232"/>
      <c r="V9" s="232">
        <v>5790.4000000000005</v>
      </c>
      <c r="W9" s="232">
        <v>575</v>
      </c>
      <c r="X9" s="232">
        <f t="shared" si="8"/>
        <v>3240</v>
      </c>
      <c r="Y9" s="232">
        <f t="shared" si="9"/>
        <v>1197.5999999999999</v>
      </c>
      <c r="Z9" s="259">
        <f t="shared" si="10"/>
        <v>10803.000000000002</v>
      </c>
      <c r="AA9" s="260" t="e">
        <f t="shared" si="11"/>
        <v>#DIV/0!</v>
      </c>
      <c r="AB9" s="260">
        <v>0.08</v>
      </c>
      <c r="AC9" s="261">
        <f t="shared" si="12"/>
        <v>0</v>
      </c>
      <c r="AD9" s="262">
        <v>25900</v>
      </c>
      <c r="AE9" s="420"/>
      <c r="AF9" s="420"/>
      <c r="AG9" s="232"/>
      <c r="AH9" s="232"/>
    </row>
    <row r="10" spans="1:34">
      <c r="Q10" s="220"/>
      <c r="S10" s="220"/>
      <c r="X10" s="263"/>
      <c r="AD10" s="262">
        <v>27900</v>
      </c>
    </row>
    <row r="11" spans="1:34">
      <c r="A11" s="393" t="s">
        <v>1840</v>
      </c>
      <c r="B11" s="212" t="s">
        <v>1841</v>
      </c>
      <c r="C11" s="213">
        <v>43000</v>
      </c>
      <c r="D11" s="213">
        <f t="shared" ref="D11:D17" si="13">C11*0.19</f>
        <v>8170</v>
      </c>
      <c r="E11" s="213">
        <f t="shared" ref="E11:E17" si="14">C11*0.205</f>
        <v>8815</v>
      </c>
      <c r="F11" s="213">
        <f t="shared" ref="F11:F17" si="15">C11+D11+E11</f>
        <v>59985</v>
      </c>
      <c r="G11" s="215">
        <v>19900</v>
      </c>
      <c r="H11" s="217">
        <f t="shared" ref="H11:H17" si="16">C11+D11+E11+(G11*1.19)</f>
        <v>83666</v>
      </c>
      <c r="I11" s="214">
        <v>0.7801271860095389</v>
      </c>
      <c r="K11" s="393" t="s">
        <v>1840</v>
      </c>
      <c r="L11" s="212" t="s">
        <v>1841</v>
      </c>
      <c r="M11" s="213">
        <v>30000</v>
      </c>
      <c r="N11" s="213">
        <f t="shared" ref="N11:N17" si="17">M11*0.19+P11*0.19</f>
        <v>13281</v>
      </c>
      <c r="O11" s="213">
        <f t="shared" ref="O11:O17" si="18">M11*0.205</f>
        <v>6150</v>
      </c>
      <c r="P11" s="213">
        <v>39900</v>
      </c>
      <c r="Q11" s="213">
        <f t="shared" ref="Q11:Q17" si="19">M11+P11</f>
        <v>69900</v>
      </c>
      <c r="R11" s="215">
        <f t="shared" ref="R11:R17" si="20">M11+N11+O11+P11</f>
        <v>89331</v>
      </c>
      <c r="T11" s="212" t="s">
        <v>1841</v>
      </c>
      <c r="U11" s="251">
        <v>3000</v>
      </c>
      <c r="X11" s="264"/>
    </row>
    <row r="12" spans="1:34">
      <c r="A12" s="421"/>
      <c r="B12" s="219" t="s">
        <v>1843</v>
      </c>
      <c r="C12" s="220">
        <v>57000</v>
      </c>
      <c r="D12" s="220">
        <f t="shared" si="13"/>
        <v>10830</v>
      </c>
      <c r="E12" s="220">
        <f t="shared" si="14"/>
        <v>11685</v>
      </c>
      <c r="F12" s="220">
        <f t="shared" si="15"/>
        <v>79515</v>
      </c>
      <c r="G12" s="222">
        <v>19900</v>
      </c>
      <c r="H12" s="223">
        <f t="shared" si="16"/>
        <v>103196</v>
      </c>
      <c r="I12" s="221">
        <v>0.53185955786736017</v>
      </c>
      <c r="K12" s="421"/>
      <c r="L12" s="219" t="s">
        <v>1843</v>
      </c>
      <c r="M12" s="220">
        <v>45000</v>
      </c>
      <c r="N12" s="220">
        <f t="shared" si="17"/>
        <v>16131</v>
      </c>
      <c r="O12" s="220">
        <f t="shared" si="18"/>
        <v>9225</v>
      </c>
      <c r="P12" s="220">
        <v>39900</v>
      </c>
      <c r="Q12" s="220">
        <f t="shared" si="19"/>
        <v>84900</v>
      </c>
      <c r="R12" s="222">
        <f t="shared" si="20"/>
        <v>110256</v>
      </c>
      <c r="T12" s="219" t="s">
        <v>1843</v>
      </c>
      <c r="U12" s="238">
        <v>3800</v>
      </c>
      <c r="X12" s="264"/>
    </row>
    <row r="13" spans="1:34">
      <c r="A13" s="421"/>
      <c r="B13" s="219" t="s">
        <v>1844</v>
      </c>
      <c r="C13" s="220">
        <v>45000</v>
      </c>
      <c r="D13" s="220">
        <f t="shared" si="13"/>
        <v>8550</v>
      </c>
      <c r="E13" s="220">
        <f t="shared" si="14"/>
        <v>9225</v>
      </c>
      <c r="F13" s="220">
        <f t="shared" si="15"/>
        <v>62775</v>
      </c>
      <c r="G13" s="222">
        <v>19900</v>
      </c>
      <c r="H13" s="223">
        <f t="shared" si="16"/>
        <v>86456</v>
      </c>
      <c r="I13" s="221"/>
      <c r="K13" s="421"/>
      <c r="L13" s="219" t="s">
        <v>1844</v>
      </c>
      <c r="M13" s="220">
        <f>49000-17000</f>
        <v>32000</v>
      </c>
      <c r="N13" s="220">
        <f t="shared" si="17"/>
        <v>13661</v>
      </c>
      <c r="O13" s="220">
        <f t="shared" si="18"/>
        <v>6560</v>
      </c>
      <c r="P13" s="220">
        <v>39900</v>
      </c>
      <c r="Q13" s="220">
        <f t="shared" si="19"/>
        <v>71900</v>
      </c>
      <c r="R13" s="222">
        <f t="shared" si="20"/>
        <v>92121</v>
      </c>
      <c r="T13" s="219" t="s">
        <v>1844</v>
      </c>
      <c r="U13" s="238">
        <v>3000</v>
      </c>
      <c r="X13" s="264"/>
    </row>
    <row r="14" spans="1:34">
      <c r="A14" s="421"/>
      <c r="B14" s="231" t="s">
        <v>1845</v>
      </c>
      <c r="C14" s="220">
        <v>52000</v>
      </c>
      <c r="D14" s="220">
        <f t="shared" si="13"/>
        <v>9880</v>
      </c>
      <c r="E14" s="220">
        <f t="shared" si="14"/>
        <v>10660</v>
      </c>
      <c r="F14" s="220">
        <f t="shared" si="15"/>
        <v>72540</v>
      </c>
      <c r="G14" s="220">
        <v>19900</v>
      </c>
      <c r="H14" s="223">
        <f t="shared" si="16"/>
        <v>96221</v>
      </c>
      <c r="I14" s="221"/>
      <c r="K14" s="421"/>
      <c r="L14" s="219" t="s">
        <v>1845</v>
      </c>
      <c r="M14" s="220">
        <v>39000</v>
      </c>
      <c r="N14" s="220">
        <f t="shared" si="17"/>
        <v>14991</v>
      </c>
      <c r="O14" s="220">
        <f t="shared" si="18"/>
        <v>7994.9999999999991</v>
      </c>
      <c r="P14" s="220">
        <v>39900</v>
      </c>
      <c r="Q14" s="220">
        <f t="shared" si="19"/>
        <v>78900</v>
      </c>
      <c r="R14" s="222">
        <f t="shared" si="20"/>
        <v>101886</v>
      </c>
      <c r="T14" s="219" t="s">
        <v>1845</v>
      </c>
      <c r="U14" s="238">
        <v>3500</v>
      </c>
      <c r="X14" s="264"/>
    </row>
    <row r="15" spans="1:34">
      <c r="A15" s="421"/>
      <c r="B15" s="231" t="s">
        <v>1846</v>
      </c>
      <c r="C15" s="220">
        <v>57000</v>
      </c>
      <c r="D15" s="220">
        <f t="shared" si="13"/>
        <v>10830</v>
      </c>
      <c r="E15" s="220">
        <f t="shared" si="14"/>
        <v>11685</v>
      </c>
      <c r="F15" s="220">
        <f t="shared" si="15"/>
        <v>79515</v>
      </c>
      <c r="G15" s="220">
        <v>19900</v>
      </c>
      <c r="H15" s="223">
        <f t="shared" si="16"/>
        <v>103196</v>
      </c>
      <c r="I15" s="221">
        <v>0.56657997399219762</v>
      </c>
      <c r="K15" s="421"/>
      <c r="L15" s="219" t="s">
        <v>1846</v>
      </c>
      <c r="M15" s="220">
        <v>45000</v>
      </c>
      <c r="N15" s="220">
        <f t="shared" si="17"/>
        <v>16131</v>
      </c>
      <c r="O15" s="220">
        <f t="shared" si="18"/>
        <v>9225</v>
      </c>
      <c r="P15" s="220">
        <v>39900</v>
      </c>
      <c r="Q15" s="220">
        <f t="shared" si="19"/>
        <v>84900</v>
      </c>
      <c r="R15" s="222">
        <f t="shared" si="20"/>
        <v>110256</v>
      </c>
      <c r="T15" s="219" t="s">
        <v>1846</v>
      </c>
      <c r="U15" s="238">
        <v>3800</v>
      </c>
      <c r="X15" s="264"/>
    </row>
    <row r="16" spans="1:34">
      <c r="A16" s="421"/>
      <c r="B16" s="231" t="s">
        <v>1847</v>
      </c>
      <c r="C16" s="220">
        <v>52000</v>
      </c>
      <c r="D16" s="220">
        <f t="shared" si="13"/>
        <v>9880</v>
      </c>
      <c r="E16" s="220">
        <f t="shared" si="14"/>
        <v>10660</v>
      </c>
      <c r="F16" s="220">
        <f t="shared" si="15"/>
        <v>72540</v>
      </c>
      <c r="G16" s="220">
        <v>19900</v>
      </c>
      <c r="H16" s="223">
        <f t="shared" si="16"/>
        <v>96221</v>
      </c>
      <c r="I16" s="221">
        <v>0.56657997399219762</v>
      </c>
      <c r="K16" s="421"/>
      <c r="L16" s="219" t="s">
        <v>1847</v>
      </c>
      <c r="M16" s="220">
        <v>39000</v>
      </c>
      <c r="N16" s="220">
        <f t="shared" si="17"/>
        <v>14991</v>
      </c>
      <c r="O16" s="220">
        <f t="shared" si="18"/>
        <v>7994.9999999999991</v>
      </c>
      <c r="P16" s="220">
        <v>39900</v>
      </c>
      <c r="Q16" s="220">
        <f t="shared" si="19"/>
        <v>78900</v>
      </c>
      <c r="R16" s="222">
        <f t="shared" si="20"/>
        <v>101886</v>
      </c>
      <c r="T16" s="219" t="s">
        <v>1847</v>
      </c>
      <c r="U16" s="238">
        <v>3500</v>
      </c>
      <c r="X16" s="264"/>
    </row>
    <row r="17" spans="1:34">
      <c r="A17" s="409"/>
      <c r="B17" s="233" t="s">
        <v>1848</v>
      </c>
      <c r="C17" s="225">
        <v>45000</v>
      </c>
      <c r="D17" s="225">
        <f t="shared" si="13"/>
        <v>8550</v>
      </c>
      <c r="E17" s="225">
        <f t="shared" si="14"/>
        <v>9225</v>
      </c>
      <c r="F17" s="225">
        <f t="shared" si="15"/>
        <v>62775</v>
      </c>
      <c r="G17" s="225">
        <v>19900</v>
      </c>
      <c r="H17" s="228">
        <f t="shared" si="16"/>
        <v>86456</v>
      </c>
      <c r="I17" s="226">
        <v>0.56657997399219762</v>
      </c>
      <c r="J17" s="232"/>
      <c r="K17" s="409"/>
      <c r="L17" s="224" t="s">
        <v>1848</v>
      </c>
      <c r="M17" s="225">
        <v>32000</v>
      </c>
      <c r="N17" s="225">
        <f t="shared" si="17"/>
        <v>13661</v>
      </c>
      <c r="O17" s="225">
        <f t="shared" si="18"/>
        <v>6560</v>
      </c>
      <c r="P17" s="225">
        <v>39900</v>
      </c>
      <c r="Q17" s="225">
        <f t="shared" si="19"/>
        <v>71900</v>
      </c>
      <c r="R17" s="227">
        <f t="shared" si="20"/>
        <v>92121</v>
      </c>
      <c r="T17" s="224" t="s">
        <v>1848</v>
      </c>
      <c r="U17" s="246">
        <v>3000</v>
      </c>
      <c r="X17" s="264"/>
    </row>
    <row r="18" spans="1:34">
      <c r="A18" s="232"/>
      <c r="G18" s="232"/>
      <c r="H18" s="232"/>
      <c r="I18" s="232"/>
      <c r="J18" s="232"/>
      <c r="Q18" s="232"/>
      <c r="R18" s="232"/>
    </row>
    <row r="19" spans="1:34">
      <c r="A19" s="232"/>
      <c r="G19" s="232"/>
      <c r="H19" s="232"/>
      <c r="I19" s="232"/>
      <c r="J19" s="232"/>
    </row>
    <row r="20" spans="1:34">
      <c r="A20" s="232"/>
      <c r="G20" s="232"/>
      <c r="H20" s="232"/>
      <c r="I20" s="232"/>
      <c r="J20" s="232"/>
    </row>
    <row r="21" spans="1:34">
      <c r="A21" s="232"/>
      <c r="G21" s="232"/>
    </row>
    <row r="22" spans="1:34">
      <c r="A22" s="232"/>
      <c r="G22" s="232"/>
      <c r="L22" s="91">
        <v>2025</v>
      </c>
      <c r="AE22" s="91" t="s">
        <v>1851</v>
      </c>
    </row>
    <row r="23" spans="1:34">
      <c r="A23" s="232"/>
      <c r="B23" s="232"/>
      <c r="C23" s="232"/>
      <c r="D23" s="232"/>
      <c r="E23" s="232"/>
      <c r="F23" s="232"/>
      <c r="G23" s="232"/>
    </row>
    <row r="24" spans="1:34">
      <c r="A24" s="232"/>
      <c r="B24" s="234" t="s">
        <v>1852</v>
      </c>
      <c r="C24" s="234" t="s">
        <v>1853</v>
      </c>
      <c r="D24" s="234" t="s">
        <v>1854</v>
      </c>
      <c r="E24" s="234" t="s">
        <v>1855</v>
      </c>
      <c r="F24" s="234" t="s">
        <v>1828</v>
      </c>
      <c r="G24" s="232"/>
      <c r="L24" s="211" t="s">
        <v>1823</v>
      </c>
      <c r="M24" s="210" t="s">
        <v>1824</v>
      </c>
      <c r="N24" s="210" t="s">
        <v>1856</v>
      </c>
      <c r="O24" s="210" t="s">
        <v>1857</v>
      </c>
      <c r="P24" s="210" t="s">
        <v>1826</v>
      </c>
      <c r="Q24" s="210" t="s">
        <v>1829</v>
      </c>
      <c r="R24" s="209" t="s">
        <v>1830</v>
      </c>
      <c r="S24" s="209" t="s">
        <v>1858</v>
      </c>
      <c r="T24" s="209" t="s">
        <v>1859</v>
      </c>
      <c r="V24" s="207" t="s">
        <v>1823</v>
      </c>
      <c r="W24" s="207" t="s">
        <v>1860</v>
      </c>
      <c r="X24" s="207" t="s">
        <v>1028</v>
      </c>
      <c r="Y24" s="207" t="s">
        <v>1027</v>
      </c>
      <c r="Z24" s="207" t="s">
        <v>1830</v>
      </c>
      <c r="AA24" s="207" t="s">
        <v>1861</v>
      </c>
      <c r="AB24" s="207" t="s">
        <v>1862</v>
      </c>
      <c r="AE24" s="235" t="s">
        <v>1823</v>
      </c>
      <c r="AF24" s="236" t="s">
        <v>1858</v>
      </c>
      <c r="AG24" s="236" t="s">
        <v>1863</v>
      </c>
      <c r="AH24" s="206"/>
    </row>
    <row r="25" spans="1:34">
      <c r="A25" s="232"/>
      <c r="B25" s="76" t="s">
        <v>1833</v>
      </c>
      <c r="C25" s="76">
        <v>23900</v>
      </c>
      <c r="D25" s="76">
        <v>3500</v>
      </c>
      <c r="E25" s="76">
        <f t="shared" ref="E25:E30" si="21">C25+D25</f>
        <v>27400</v>
      </c>
      <c r="F25" s="237">
        <f>(C25-7383)/C25</f>
        <v>0.69108786610878659</v>
      </c>
      <c r="G25" s="232">
        <f t="shared" ref="G25:G30" si="22">C25/12</f>
        <v>1991.6666666666667</v>
      </c>
      <c r="L25" s="212" t="s">
        <v>1833</v>
      </c>
      <c r="M25" s="213">
        <v>13580</v>
      </c>
      <c r="N25" s="213">
        <f t="shared" ref="N25:N31" si="23">(M25+P25)*0.19</f>
        <v>3891.2</v>
      </c>
      <c r="O25" s="213">
        <f t="shared" ref="O25:O30" si="24">M25*0.205</f>
        <v>2783.8999999999996</v>
      </c>
      <c r="P25" s="213">
        <v>6900</v>
      </c>
      <c r="Q25" s="213">
        <f t="shared" ref="Q25:Q31" si="25">M25+P25</f>
        <v>20480</v>
      </c>
      <c r="R25" s="232">
        <f t="shared" ref="R25:R31" si="26">Q25+N25+O25</f>
        <v>27155.1</v>
      </c>
      <c r="S25" s="238">
        <f t="shared" ref="S25:S31" si="27">R25/12</f>
        <v>2262.9249999999997</v>
      </c>
      <c r="T25" s="239">
        <f t="shared" ref="T25:T31" si="28">Q25*1.05</f>
        <v>21504</v>
      </c>
      <c r="V25" s="240" t="s">
        <v>1833</v>
      </c>
      <c r="W25" s="241">
        <f t="shared" ref="W25:W31" si="29">Q25*1.05</f>
        <v>21504</v>
      </c>
      <c r="X25" s="242">
        <f t="shared" ref="X25:X31" si="30">W25*0.19</f>
        <v>4085.76</v>
      </c>
      <c r="Y25" s="242">
        <f t="shared" ref="Y25:Y31" si="31">(W25-5900)*0.205</f>
        <v>3198.8199999999997</v>
      </c>
      <c r="Z25" s="242">
        <f t="shared" ref="Z25:Z31" si="32">W25+Y25+X25</f>
        <v>28788.58</v>
      </c>
      <c r="AA25" s="242">
        <f t="shared" ref="AA25:AA31" si="33">Z25/12</f>
        <v>2399.0483333333336</v>
      </c>
      <c r="AB25" s="222">
        <v>2163.7583333333332</v>
      </c>
      <c r="AC25" s="232">
        <f t="shared" ref="AC25:AC31" si="34">W25/12</f>
        <v>1792</v>
      </c>
      <c r="AE25" s="212" t="s">
        <v>1833</v>
      </c>
      <c r="AF25" s="265">
        <f t="shared" ref="AF25:AF31" si="35">U25/12</f>
        <v>0</v>
      </c>
      <c r="AG25" s="223">
        <f t="shared" ref="AG25:AG31" si="36">AF25*12</f>
        <v>0</v>
      </c>
      <c r="AH25" s="220">
        <f>AG25+AG30+AG27+(AG28*0.795)+12000</f>
        <v>12000</v>
      </c>
    </row>
    <row r="26" spans="1:34">
      <c r="B26" s="76" t="s">
        <v>1834</v>
      </c>
      <c r="C26" s="76">
        <v>24900</v>
      </c>
      <c r="D26" s="76">
        <v>3500</v>
      </c>
      <c r="E26" s="76">
        <f t="shared" si="21"/>
        <v>28400</v>
      </c>
      <c r="F26" s="237">
        <f>(C26-8024)/C26</f>
        <v>0.67775100401606425</v>
      </c>
      <c r="G26" s="232">
        <f t="shared" si="22"/>
        <v>2075</v>
      </c>
      <c r="L26" s="219" t="s">
        <v>1834</v>
      </c>
      <c r="M26" s="220">
        <v>13580</v>
      </c>
      <c r="N26" s="220">
        <f t="shared" si="23"/>
        <v>3891.2</v>
      </c>
      <c r="O26" s="220">
        <f t="shared" si="24"/>
        <v>2783.8999999999996</v>
      </c>
      <c r="P26" s="220">
        <v>6900</v>
      </c>
      <c r="Q26" s="220">
        <f t="shared" si="25"/>
        <v>20480</v>
      </c>
      <c r="R26" s="232">
        <f t="shared" si="26"/>
        <v>27155.1</v>
      </c>
      <c r="S26" s="238">
        <f t="shared" si="27"/>
        <v>2262.9249999999997</v>
      </c>
      <c r="T26" s="243">
        <f t="shared" si="28"/>
        <v>21504</v>
      </c>
      <c r="V26" s="244" t="s">
        <v>1834</v>
      </c>
      <c r="W26" s="241">
        <f t="shared" si="29"/>
        <v>21504</v>
      </c>
      <c r="X26" s="242">
        <f t="shared" si="30"/>
        <v>4085.76</v>
      </c>
      <c r="Y26" s="242">
        <f t="shared" si="31"/>
        <v>3198.8199999999997</v>
      </c>
      <c r="Z26" s="242">
        <f t="shared" si="32"/>
        <v>28788.58</v>
      </c>
      <c r="AA26" s="242">
        <f t="shared" si="33"/>
        <v>2399.0483333333336</v>
      </c>
      <c r="AB26" s="222">
        <v>2163.7583333333332</v>
      </c>
      <c r="AC26" s="232">
        <f t="shared" si="34"/>
        <v>1792</v>
      </c>
      <c r="AE26" s="219" t="s">
        <v>1834</v>
      </c>
      <c r="AF26" s="265">
        <f t="shared" si="35"/>
        <v>0</v>
      </c>
      <c r="AG26" s="223">
        <f t="shared" si="36"/>
        <v>0</v>
      </c>
      <c r="AH26" s="220"/>
    </row>
    <row r="27" spans="1:34">
      <c r="B27" s="76" t="s">
        <v>1835</v>
      </c>
      <c r="C27" s="76">
        <v>25900</v>
      </c>
      <c r="D27" s="76">
        <v>3500</v>
      </c>
      <c r="E27" s="76">
        <f t="shared" si="21"/>
        <v>29400</v>
      </c>
      <c r="F27" s="237">
        <f>(C27-11010)/C27</f>
        <v>0.57490347490347493</v>
      </c>
      <c r="G27" s="232">
        <f t="shared" si="22"/>
        <v>2158.3333333333335</v>
      </c>
      <c r="L27" s="219" t="s">
        <v>1835</v>
      </c>
      <c r="M27" s="220">
        <v>16490</v>
      </c>
      <c r="N27" s="220">
        <f t="shared" si="23"/>
        <v>4444.1000000000004</v>
      </c>
      <c r="O27" s="220">
        <f t="shared" si="24"/>
        <v>3380.45</v>
      </c>
      <c r="P27" s="220">
        <v>6900</v>
      </c>
      <c r="Q27" s="220">
        <f t="shared" si="25"/>
        <v>23390</v>
      </c>
      <c r="R27" s="232">
        <f t="shared" si="26"/>
        <v>31214.55</v>
      </c>
      <c r="S27" s="238">
        <f t="shared" si="27"/>
        <v>2601.2125000000001</v>
      </c>
      <c r="T27" s="243">
        <f t="shared" si="28"/>
        <v>24559.5</v>
      </c>
      <c r="V27" s="244" t="s">
        <v>1835</v>
      </c>
      <c r="W27" s="241">
        <f t="shared" si="29"/>
        <v>24559.5</v>
      </c>
      <c r="X27" s="242">
        <f t="shared" si="30"/>
        <v>4666.3050000000003</v>
      </c>
      <c r="Y27" s="242">
        <f t="shared" si="31"/>
        <v>3825.1974999999998</v>
      </c>
      <c r="Z27" s="242">
        <f t="shared" si="32"/>
        <v>33051.002500000002</v>
      </c>
      <c r="AA27" s="242">
        <f t="shared" si="33"/>
        <v>2754.2502083333334</v>
      </c>
      <c r="AB27" s="222">
        <v>2502.0458333333331</v>
      </c>
      <c r="AC27" s="232">
        <f t="shared" si="34"/>
        <v>2046.625</v>
      </c>
      <c r="AE27" s="219" t="s">
        <v>1835</v>
      </c>
      <c r="AF27" s="265">
        <f t="shared" si="35"/>
        <v>0</v>
      </c>
      <c r="AG27" s="223">
        <f t="shared" si="36"/>
        <v>0</v>
      </c>
      <c r="AH27" s="220"/>
    </row>
    <row r="28" spans="1:34">
      <c r="B28" s="76" t="s">
        <v>1836</v>
      </c>
      <c r="C28" s="76">
        <v>27900</v>
      </c>
      <c r="D28" s="76">
        <v>3500</v>
      </c>
      <c r="E28" s="76">
        <f t="shared" si="21"/>
        <v>31400</v>
      </c>
      <c r="F28" s="237">
        <f>(C28-11577)/C28</f>
        <v>0.58505376344086024</v>
      </c>
      <c r="G28" s="232">
        <f t="shared" si="22"/>
        <v>2325</v>
      </c>
      <c r="L28" s="219" t="s">
        <v>1836</v>
      </c>
      <c r="M28" s="220">
        <f>24390-6900</f>
        <v>17490</v>
      </c>
      <c r="N28" s="220">
        <f t="shared" si="23"/>
        <v>4634.1000000000004</v>
      </c>
      <c r="O28" s="220">
        <f t="shared" si="24"/>
        <v>3585.45</v>
      </c>
      <c r="P28" s="220">
        <v>6900</v>
      </c>
      <c r="Q28" s="220">
        <f t="shared" si="25"/>
        <v>24390</v>
      </c>
      <c r="R28" s="232">
        <f t="shared" si="26"/>
        <v>32609.55</v>
      </c>
      <c r="S28" s="238">
        <f t="shared" si="27"/>
        <v>2717.4625000000001</v>
      </c>
      <c r="T28" s="243">
        <f t="shared" si="28"/>
        <v>25609.5</v>
      </c>
      <c r="V28" s="244" t="s">
        <v>1836</v>
      </c>
      <c r="W28" s="241">
        <f t="shared" si="29"/>
        <v>25609.5</v>
      </c>
      <c r="X28" s="242">
        <f t="shared" si="30"/>
        <v>4865.8050000000003</v>
      </c>
      <c r="Y28" s="242">
        <f t="shared" si="31"/>
        <v>4040.4474999999998</v>
      </c>
      <c r="Z28" s="242">
        <f t="shared" si="32"/>
        <v>34515.752500000002</v>
      </c>
      <c r="AA28" s="242">
        <f t="shared" si="33"/>
        <v>2876.3127083333334</v>
      </c>
      <c r="AB28" s="222">
        <v>2618.2958333333331</v>
      </c>
      <c r="AC28" s="232">
        <f t="shared" si="34"/>
        <v>2134.125</v>
      </c>
      <c r="AE28" s="219" t="s">
        <v>1836</v>
      </c>
      <c r="AF28" s="265">
        <f t="shared" si="35"/>
        <v>0</v>
      </c>
      <c r="AG28" s="223">
        <f t="shared" si="36"/>
        <v>0</v>
      </c>
      <c r="AH28" s="220"/>
    </row>
    <row r="29" spans="1:34">
      <c r="B29" s="76" t="s">
        <v>1837</v>
      </c>
      <c r="C29" s="76">
        <v>27900</v>
      </c>
      <c r="D29" s="76">
        <v>3500</v>
      </c>
      <c r="E29" s="76">
        <f t="shared" si="21"/>
        <v>31400</v>
      </c>
      <c r="F29" s="237">
        <f>(C29-11822)/C29</f>
        <v>0.57627240143369174</v>
      </c>
      <c r="G29" s="232">
        <f t="shared" si="22"/>
        <v>2325</v>
      </c>
      <c r="L29" s="219" t="s">
        <v>1837</v>
      </c>
      <c r="M29" s="220">
        <v>17490</v>
      </c>
      <c r="N29" s="220">
        <f t="shared" si="23"/>
        <v>4634.1000000000004</v>
      </c>
      <c r="O29" s="220">
        <f t="shared" si="24"/>
        <v>3585.45</v>
      </c>
      <c r="P29" s="220">
        <v>6900</v>
      </c>
      <c r="Q29" s="220">
        <f t="shared" si="25"/>
        <v>24390</v>
      </c>
      <c r="R29" s="232">
        <f t="shared" si="26"/>
        <v>32609.55</v>
      </c>
      <c r="S29" s="238">
        <f t="shared" si="27"/>
        <v>2717.4625000000001</v>
      </c>
      <c r="T29" s="243">
        <f t="shared" si="28"/>
        <v>25609.5</v>
      </c>
      <c r="V29" s="244" t="s">
        <v>1837</v>
      </c>
      <c r="W29" s="241">
        <f t="shared" si="29"/>
        <v>25609.5</v>
      </c>
      <c r="X29" s="242">
        <f t="shared" si="30"/>
        <v>4865.8050000000003</v>
      </c>
      <c r="Y29" s="242">
        <f t="shared" si="31"/>
        <v>4040.4474999999998</v>
      </c>
      <c r="Z29" s="242">
        <f t="shared" si="32"/>
        <v>34515.752500000002</v>
      </c>
      <c r="AA29" s="242">
        <f t="shared" si="33"/>
        <v>2876.3127083333334</v>
      </c>
      <c r="AB29" s="222">
        <v>2618.2958333333331</v>
      </c>
      <c r="AC29" s="232">
        <f t="shared" si="34"/>
        <v>2134.125</v>
      </c>
      <c r="AE29" s="219" t="s">
        <v>1837</v>
      </c>
      <c r="AF29" s="265">
        <f t="shared" si="35"/>
        <v>0</v>
      </c>
      <c r="AG29" s="223">
        <f t="shared" si="36"/>
        <v>0</v>
      </c>
      <c r="AH29" s="220"/>
    </row>
    <row r="30" spans="1:34">
      <c r="B30" s="76" t="s">
        <v>1838</v>
      </c>
      <c r="C30" s="76">
        <v>25900</v>
      </c>
      <c r="D30" s="76">
        <v>3500</v>
      </c>
      <c r="E30" s="76">
        <f t="shared" si="21"/>
        <v>29400</v>
      </c>
      <c r="F30" s="237">
        <f>(C30-8474)/C30</f>
        <v>0.67281853281853277</v>
      </c>
      <c r="G30" s="232">
        <f t="shared" si="22"/>
        <v>2158.3333333333335</v>
      </c>
      <c r="L30" s="219" t="s">
        <v>1838</v>
      </c>
      <c r="M30" s="220">
        <v>16490</v>
      </c>
      <c r="N30" s="220">
        <f t="shared" si="23"/>
        <v>4444.1000000000004</v>
      </c>
      <c r="O30" s="220">
        <f t="shared" si="24"/>
        <v>3380.45</v>
      </c>
      <c r="P30" s="220">
        <v>6900</v>
      </c>
      <c r="Q30" s="220">
        <f t="shared" si="25"/>
        <v>23390</v>
      </c>
      <c r="R30" s="232">
        <f t="shared" si="26"/>
        <v>31214.55</v>
      </c>
      <c r="S30" s="238">
        <f t="shared" si="27"/>
        <v>2601.2125000000001</v>
      </c>
      <c r="T30" s="243">
        <f t="shared" si="28"/>
        <v>24559.5</v>
      </c>
      <c r="V30" s="244" t="s">
        <v>1838</v>
      </c>
      <c r="W30" s="241">
        <f t="shared" si="29"/>
        <v>24559.5</v>
      </c>
      <c r="X30" s="242">
        <f t="shared" si="30"/>
        <v>4666.3050000000003</v>
      </c>
      <c r="Y30" s="242">
        <f t="shared" si="31"/>
        <v>3825.1974999999998</v>
      </c>
      <c r="Z30" s="242">
        <f t="shared" si="32"/>
        <v>33051.002500000002</v>
      </c>
      <c r="AA30" s="242">
        <f t="shared" si="33"/>
        <v>2754.2502083333334</v>
      </c>
      <c r="AB30" s="222">
        <v>2502.0458333333331</v>
      </c>
      <c r="AC30" s="232">
        <f t="shared" si="34"/>
        <v>2046.625</v>
      </c>
      <c r="AE30" s="219" t="s">
        <v>1838</v>
      </c>
      <c r="AF30" s="265">
        <f t="shared" si="35"/>
        <v>0</v>
      </c>
      <c r="AG30" s="223">
        <f t="shared" si="36"/>
        <v>0</v>
      </c>
      <c r="AH30" s="220"/>
    </row>
    <row r="31" spans="1:34">
      <c r="L31" s="224" t="s">
        <v>1839</v>
      </c>
      <c r="M31" s="225">
        <v>14490</v>
      </c>
      <c r="N31" s="225">
        <f t="shared" si="23"/>
        <v>4064.1</v>
      </c>
      <c r="O31" s="225">
        <v>2768.1149999999998</v>
      </c>
      <c r="P31" s="225">
        <v>6900</v>
      </c>
      <c r="Q31" s="225">
        <f t="shared" si="25"/>
        <v>21390</v>
      </c>
      <c r="R31" s="245">
        <f t="shared" si="26"/>
        <v>28222.214999999997</v>
      </c>
      <c r="S31" s="246">
        <f t="shared" si="27"/>
        <v>2351.8512499999997</v>
      </c>
      <c r="T31" s="247">
        <f t="shared" si="28"/>
        <v>22459.5</v>
      </c>
      <c r="V31" s="248" t="s">
        <v>1839</v>
      </c>
      <c r="W31" s="166">
        <f t="shared" si="29"/>
        <v>22459.5</v>
      </c>
      <c r="X31" s="249">
        <f t="shared" si="30"/>
        <v>4267.3050000000003</v>
      </c>
      <c r="Y31" s="249">
        <f t="shared" si="31"/>
        <v>3394.6974999999998</v>
      </c>
      <c r="Z31" s="249">
        <f t="shared" si="32"/>
        <v>30121.502499999999</v>
      </c>
      <c r="AA31" s="249">
        <f t="shared" si="33"/>
        <v>2510.1252083333334</v>
      </c>
      <c r="AB31" s="227">
        <v>2269.5458333333331</v>
      </c>
      <c r="AC31" s="232">
        <f t="shared" si="34"/>
        <v>1871.625</v>
      </c>
      <c r="AE31" s="224" t="s">
        <v>1839</v>
      </c>
      <c r="AF31" s="266">
        <f t="shared" si="35"/>
        <v>0</v>
      </c>
      <c r="AG31" s="223">
        <f t="shared" si="36"/>
        <v>0</v>
      </c>
      <c r="AH31" s="220"/>
    </row>
    <row r="32" spans="1:34">
      <c r="P32" s="242"/>
      <c r="R32" s="242"/>
    </row>
    <row r="34" spans="12:33">
      <c r="L34" s="91" t="s">
        <v>1864</v>
      </c>
    </row>
    <row r="35" spans="12:33">
      <c r="L35" s="211" t="s">
        <v>1823</v>
      </c>
      <c r="M35" s="210" t="s">
        <v>1824</v>
      </c>
      <c r="N35" s="210" t="s">
        <v>1826</v>
      </c>
      <c r="O35" s="210" t="s">
        <v>1825</v>
      </c>
      <c r="P35" s="210" t="s">
        <v>1865</v>
      </c>
      <c r="R35" s="250" t="s">
        <v>1866</v>
      </c>
      <c r="AE35" s="235" t="s">
        <v>1823</v>
      </c>
      <c r="AF35" s="236" t="s">
        <v>1858</v>
      </c>
      <c r="AG35" s="236" t="s">
        <v>1867</v>
      </c>
    </row>
    <row r="36" spans="12:33">
      <c r="L36" s="212" t="s">
        <v>1833</v>
      </c>
      <c r="M36" s="215">
        <v>13580</v>
      </c>
      <c r="N36" s="213">
        <v>6900</v>
      </c>
      <c r="O36" s="239">
        <f t="shared" ref="O36:O42" si="37">(M36+N36)*1.19</f>
        <v>24371.199999999997</v>
      </c>
      <c r="P36" s="251">
        <f t="shared" ref="P36:P42" si="38">O36/12</f>
        <v>2030.9333333333332</v>
      </c>
      <c r="Q36" s="232">
        <f t="shared" ref="Q36:Q42" si="39">P36*0.95</f>
        <v>1929.3866666666663</v>
      </c>
      <c r="T36" s="252"/>
      <c r="AE36" s="212" t="s">
        <v>1833</v>
      </c>
      <c r="AF36" s="223">
        <v>2262.9249999999997</v>
      </c>
      <c r="AG36" s="223">
        <v>27155.1</v>
      </c>
    </row>
    <row r="37" spans="12:33">
      <c r="L37" s="219" t="s">
        <v>1834</v>
      </c>
      <c r="M37" s="222">
        <v>13580</v>
      </c>
      <c r="N37" s="220">
        <v>6900</v>
      </c>
      <c r="O37" s="243">
        <f t="shared" si="37"/>
        <v>24371.199999999997</v>
      </c>
      <c r="P37" s="238">
        <f t="shared" si="38"/>
        <v>2030.9333333333332</v>
      </c>
      <c r="Q37" s="232">
        <f t="shared" si="39"/>
        <v>1929.3866666666663</v>
      </c>
      <c r="R37" s="211" t="s">
        <v>1823</v>
      </c>
      <c r="S37" s="211" t="s">
        <v>1868</v>
      </c>
      <c r="T37" s="211" t="s">
        <v>1869</v>
      </c>
      <c r="U37" s="207" t="s">
        <v>1870</v>
      </c>
      <c r="V37" s="207" t="s">
        <v>1871</v>
      </c>
      <c r="W37" s="211" t="s">
        <v>1828</v>
      </c>
      <c r="X37" s="211" t="s">
        <v>1872</v>
      </c>
      <c r="Y37" s="211" t="s">
        <v>1873</v>
      </c>
      <c r="AE37" s="219" t="s">
        <v>1838</v>
      </c>
      <c r="AF37" s="223">
        <v>2601.2125000000001</v>
      </c>
      <c r="AG37" s="223">
        <v>31214.550000000003</v>
      </c>
    </row>
    <row r="38" spans="12:33">
      <c r="L38" s="219" t="s">
        <v>1835</v>
      </c>
      <c r="M38" s="222">
        <v>16490</v>
      </c>
      <c r="N38" s="220">
        <v>6900</v>
      </c>
      <c r="O38" s="243">
        <f t="shared" si="37"/>
        <v>27834.1</v>
      </c>
      <c r="P38" s="238">
        <f t="shared" si="38"/>
        <v>2319.5083333333332</v>
      </c>
      <c r="Q38" s="232">
        <f t="shared" si="39"/>
        <v>2203.5329166666666</v>
      </c>
      <c r="R38" s="212" t="s">
        <v>1833</v>
      </c>
      <c r="S38" s="213">
        <v>20454</v>
      </c>
      <c r="T38" s="213">
        <f t="shared" ref="T38:T44" si="40">V38/(1-W38)</f>
        <v>16893.763440860213</v>
      </c>
      <c r="U38" s="252">
        <f t="shared" ref="U38:U44" si="41">1-(T38/S38)</f>
        <v>0.17406065117530978</v>
      </c>
      <c r="V38" s="242">
        <v>10474.133333333331</v>
      </c>
      <c r="W38" s="253">
        <v>0.38</v>
      </c>
      <c r="X38" s="251">
        <f t="shared" ref="X38:X44" si="42">(T38-V38)/12</f>
        <v>534.96917562724013</v>
      </c>
      <c r="Y38" s="253">
        <v>0.36742762813544322</v>
      </c>
      <c r="Z38" s="114"/>
      <c r="AE38" s="219" t="s">
        <v>1835</v>
      </c>
      <c r="AF38" s="223">
        <v>2601.2125000000001</v>
      </c>
      <c r="AG38" s="223">
        <v>31214.550000000003</v>
      </c>
    </row>
    <row r="39" spans="12:33">
      <c r="L39" s="219" t="s">
        <v>1836</v>
      </c>
      <c r="M39" s="222">
        <v>17490</v>
      </c>
      <c r="N39" s="220">
        <v>6900</v>
      </c>
      <c r="O39" s="243">
        <f t="shared" si="37"/>
        <v>29024.1</v>
      </c>
      <c r="P39" s="238">
        <f t="shared" si="38"/>
        <v>2418.6749999999997</v>
      </c>
      <c r="Q39" s="232">
        <f t="shared" si="39"/>
        <v>2297.7412499999996</v>
      </c>
      <c r="R39" s="219" t="s">
        <v>1834</v>
      </c>
      <c r="S39" s="220">
        <v>20454</v>
      </c>
      <c r="T39" s="220">
        <f t="shared" si="40"/>
        <v>17423.333333333332</v>
      </c>
      <c r="U39" s="252">
        <f t="shared" si="41"/>
        <v>0.14816987712264929</v>
      </c>
      <c r="V39" s="242">
        <v>11150.933333333332</v>
      </c>
      <c r="W39" s="254">
        <v>0.36</v>
      </c>
      <c r="X39" s="238">
        <f t="shared" si="42"/>
        <v>522.69999999999993</v>
      </c>
      <c r="Y39" s="254">
        <v>0.3265531263840239</v>
      </c>
      <c r="Z39" s="252"/>
      <c r="AE39" s="219" t="s">
        <v>1836</v>
      </c>
      <c r="AF39" s="223">
        <f>2717.4625*0.795</f>
        <v>2160.3826875</v>
      </c>
      <c r="AG39" s="223">
        <f>32609.55*(1-0.205)</f>
        <v>25924.592250000002</v>
      </c>
    </row>
    <row r="40" spans="12:33">
      <c r="L40" s="219" t="s">
        <v>1837</v>
      </c>
      <c r="M40" s="222">
        <v>17490</v>
      </c>
      <c r="N40" s="220">
        <v>6900</v>
      </c>
      <c r="O40" s="243">
        <f t="shared" si="37"/>
        <v>29024.1</v>
      </c>
      <c r="P40" s="238">
        <f t="shared" si="38"/>
        <v>2418.6749999999997</v>
      </c>
      <c r="Q40" s="232">
        <f t="shared" si="39"/>
        <v>2297.7412499999996</v>
      </c>
      <c r="R40" s="219" t="s">
        <v>1835</v>
      </c>
      <c r="S40" s="220">
        <v>23509.5</v>
      </c>
      <c r="T40" s="220">
        <f t="shared" si="40"/>
        <v>19526.974358974359</v>
      </c>
      <c r="U40" s="252">
        <f t="shared" si="41"/>
        <v>0.16940069508180267</v>
      </c>
      <c r="V40" s="242">
        <v>12692.533333333333</v>
      </c>
      <c r="W40" s="254">
        <v>0.35</v>
      </c>
      <c r="X40" s="238">
        <f t="shared" si="42"/>
        <v>569.53675213675217</v>
      </c>
      <c r="Y40" s="254">
        <v>0.33307761693332988</v>
      </c>
      <c r="Z40" s="252"/>
      <c r="AE40" s="219" t="s">
        <v>1874</v>
      </c>
      <c r="AF40" s="223" t="s">
        <v>1043</v>
      </c>
      <c r="AG40" s="223">
        <v>12000</v>
      </c>
    </row>
    <row r="41" spans="12:33">
      <c r="L41" s="219" t="s">
        <v>1838</v>
      </c>
      <c r="M41" s="222">
        <v>16490</v>
      </c>
      <c r="N41" s="220">
        <v>6900</v>
      </c>
      <c r="O41" s="243">
        <f t="shared" si="37"/>
        <v>27834.1</v>
      </c>
      <c r="P41" s="238">
        <f t="shared" si="38"/>
        <v>2319.5083333333332</v>
      </c>
      <c r="Q41" s="232">
        <f t="shared" si="39"/>
        <v>2203.5329166666666</v>
      </c>
      <c r="R41" s="219" t="s">
        <v>1836</v>
      </c>
      <c r="S41" s="220">
        <v>24559.5</v>
      </c>
      <c r="T41" s="220">
        <f t="shared" si="40"/>
        <v>21817.254901960783</v>
      </c>
      <c r="U41" s="252">
        <f t="shared" si="41"/>
        <v>0.11165720385346678</v>
      </c>
      <c r="V41" s="242">
        <v>14835.733333333332</v>
      </c>
      <c r="W41" s="254">
        <v>0.32</v>
      </c>
      <c r="X41" s="238">
        <f t="shared" si="42"/>
        <v>581.79346405228762</v>
      </c>
      <c r="Y41" s="254">
        <v>0.25379205123691212</v>
      </c>
      <c r="Z41" s="252"/>
      <c r="AE41" s="219"/>
      <c r="AF41" s="223"/>
      <c r="AG41" s="255">
        <v>127508.79225000001</v>
      </c>
    </row>
    <row r="42" spans="12:33">
      <c r="L42" s="224" t="s">
        <v>1839</v>
      </c>
      <c r="M42" s="227">
        <v>14490</v>
      </c>
      <c r="N42" s="225">
        <v>6900</v>
      </c>
      <c r="O42" s="247">
        <f t="shared" si="37"/>
        <v>25454.1</v>
      </c>
      <c r="P42" s="246">
        <f t="shared" si="38"/>
        <v>2121.1749999999997</v>
      </c>
      <c r="Q42" s="232">
        <f t="shared" si="39"/>
        <v>2015.1162499999996</v>
      </c>
      <c r="R42" s="219" t="s">
        <v>1837</v>
      </c>
      <c r="S42" s="220">
        <v>24559.5</v>
      </c>
      <c r="T42" s="220">
        <f t="shared" si="40"/>
        <v>20375.124378109453</v>
      </c>
      <c r="U42" s="252">
        <f t="shared" si="41"/>
        <v>0.17037706882837789</v>
      </c>
      <c r="V42" s="242">
        <v>13651.333333333332</v>
      </c>
      <c r="W42" s="254">
        <v>0.33</v>
      </c>
      <c r="X42" s="238">
        <f t="shared" si="42"/>
        <v>560.31592039801001</v>
      </c>
      <c r="Y42" s="254">
        <v>0.31336502108325165</v>
      </c>
      <c r="Z42" s="252"/>
      <c r="AE42" s="224"/>
      <c r="AF42" s="228"/>
      <c r="AG42" s="223"/>
    </row>
    <row r="43" spans="12:33">
      <c r="R43" s="219" t="s">
        <v>1838</v>
      </c>
      <c r="S43" s="220">
        <v>23509.5</v>
      </c>
      <c r="T43" s="220">
        <f t="shared" si="40"/>
        <v>19405.311653116532</v>
      </c>
      <c r="U43" s="252">
        <f t="shared" si="41"/>
        <v>0.17457573946206717</v>
      </c>
      <c r="V43" s="242">
        <v>11934.266666666666</v>
      </c>
      <c r="W43" s="254">
        <v>0.38500000000000001</v>
      </c>
      <c r="X43" s="238">
        <f t="shared" si="42"/>
        <v>622.58708220415554</v>
      </c>
      <c r="Y43" s="254">
        <v>0.37292033383250578</v>
      </c>
      <c r="Z43" s="252"/>
    </row>
    <row r="44" spans="12:33">
      <c r="R44" s="224" t="s">
        <v>1839</v>
      </c>
      <c r="S44" s="225">
        <v>21409.5</v>
      </c>
      <c r="T44" s="225">
        <f t="shared" si="40"/>
        <v>17991.250000000004</v>
      </c>
      <c r="U44" s="256">
        <f t="shared" si="41"/>
        <v>0.15966043111702732</v>
      </c>
      <c r="V44" s="249">
        <v>11514.400000000001</v>
      </c>
      <c r="W44" s="257">
        <v>0.36</v>
      </c>
      <c r="X44" s="246">
        <f t="shared" si="42"/>
        <v>539.73750000000018</v>
      </c>
      <c r="Y44" s="257">
        <v>0.33563742318899104</v>
      </c>
      <c r="Z44" s="252"/>
    </row>
    <row r="45" spans="12:33">
      <c r="X45" s="252"/>
    </row>
    <row r="48" spans="12:33">
      <c r="L48" s="211" t="s">
        <v>1823</v>
      </c>
      <c r="M48" s="207" t="s">
        <v>1865</v>
      </c>
      <c r="R48" s="250" t="s">
        <v>1887</v>
      </c>
    </row>
    <row r="49" spans="12:24">
      <c r="L49" s="212" t="s">
        <v>1833</v>
      </c>
      <c r="M49" s="238">
        <v>1929.3866666666663</v>
      </c>
      <c r="T49" s="252"/>
    </row>
    <row r="50" spans="12:24">
      <c r="L50" s="219" t="s">
        <v>1834</v>
      </c>
      <c r="M50" s="238">
        <v>1929.3866666666663</v>
      </c>
      <c r="R50" s="211" t="s">
        <v>1823</v>
      </c>
      <c r="S50" s="211" t="s">
        <v>1868</v>
      </c>
      <c r="T50" s="207" t="s">
        <v>1869</v>
      </c>
      <c r="U50" s="207" t="s">
        <v>1870</v>
      </c>
      <c r="V50" s="207" t="s">
        <v>1871</v>
      </c>
      <c r="W50" s="211" t="s">
        <v>1828</v>
      </c>
      <c r="X50" s="211" t="s">
        <v>1872</v>
      </c>
    </row>
    <row r="51" spans="12:24">
      <c r="L51" s="219" t="s">
        <v>1835</v>
      </c>
      <c r="M51" s="238">
        <v>2203.5329166666666</v>
      </c>
      <c r="R51" s="212" t="s">
        <v>1833</v>
      </c>
      <c r="S51" s="213">
        <v>20454</v>
      </c>
      <c r="T51" s="213">
        <f t="shared" ref="T51:T57" si="43">V51/(1-W51)</f>
        <v>17456.888888888887</v>
      </c>
      <c r="U51" s="252">
        <f t="shared" ref="U51:U57" si="44">1-(T51/S51)</f>
        <v>0.1465293395478201</v>
      </c>
      <c r="V51" s="242">
        <v>10474.133333333331</v>
      </c>
      <c r="W51" s="253">
        <v>0.4</v>
      </c>
      <c r="X51" s="251">
        <f t="shared" ref="X51:X57" si="45">(T51-V51)/12</f>
        <v>581.89629629629633</v>
      </c>
    </row>
    <row r="52" spans="12:24">
      <c r="L52" s="219" t="s">
        <v>1836</v>
      </c>
      <c r="M52" s="238">
        <v>2297.7412499999996</v>
      </c>
      <c r="R52" s="219" t="s">
        <v>1834</v>
      </c>
      <c r="S52" s="220">
        <v>20454</v>
      </c>
      <c r="T52" s="220">
        <f t="shared" si="43"/>
        <v>17560.5249343832</v>
      </c>
      <c r="U52" s="252">
        <f t="shared" si="44"/>
        <v>0.14146255332046542</v>
      </c>
      <c r="V52" s="242">
        <v>11150.933333333332</v>
      </c>
      <c r="W52" s="254">
        <v>0.36499999999999999</v>
      </c>
      <c r="X52" s="238">
        <f t="shared" si="45"/>
        <v>534.13263342082234</v>
      </c>
    </row>
    <row r="53" spans="12:24">
      <c r="L53" s="219" t="s">
        <v>1837</v>
      </c>
      <c r="M53" s="238">
        <v>2297.7412499999996</v>
      </c>
      <c r="R53" s="219" t="s">
        <v>1835</v>
      </c>
      <c r="S53" s="220">
        <v>23509.5</v>
      </c>
      <c r="T53" s="220">
        <f t="shared" si="43"/>
        <v>20146.878306878305</v>
      </c>
      <c r="U53" s="252">
        <f t="shared" si="44"/>
        <v>0.1430324631796378</v>
      </c>
      <c r="V53" s="242">
        <v>12692.533333333333</v>
      </c>
      <c r="W53" s="254">
        <v>0.37</v>
      </c>
      <c r="X53" s="238">
        <f t="shared" si="45"/>
        <v>621.19541446208098</v>
      </c>
    </row>
    <row r="54" spans="12:24">
      <c r="L54" s="219" t="s">
        <v>1838</v>
      </c>
      <c r="M54" s="238">
        <v>2203.5329166666666</v>
      </c>
      <c r="R54" s="219" t="s">
        <v>1836</v>
      </c>
      <c r="S54" s="220">
        <v>24559.5</v>
      </c>
      <c r="T54" s="220">
        <f t="shared" si="43"/>
        <v>21817.254901960783</v>
      </c>
      <c r="U54" s="252">
        <f t="shared" si="44"/>
        <v>0.11165720385346678</v>
      </c>
      <c r="V54" s="242">
        <v>14835.733333333332</v>
      </c>
      <c r="W54" s="254">
        <v>0.32</v>
      </c>
      <c r="X54" s="238">
        <f t="shared" si="45"/>
        <v>581.79346405228762</v>
      </c>
    </row>
    <row r="55" spans="12:24">
      <c r="L55" s="224" t="s">
        <v>1839</v>
      </c>
      <c r="M55" s="246">
        <v>2015.1162499999996</v>
      </c>
      <c r="R55" s="219" t="s">
        <v>1837</v>
      </c>
      <c r="S55" s="220">
        <v>24559.5</v>
      </c>
      <c r="T55" s="220">
        <f t="shared" si="43"/>
        <v>21002.051282051278</v>
      </c>
      <c r="U55" s="252">
        <f t="shared" si="44"/>
        <v>0.14485020940771276</v>
      </c>
      <c r="V55" s="242">
        <v>13651.333333333332</v>
      </c>
      <c r="W55" s="254">
        <v>0.35</v>
      </c>
      <c r="X55" s="238">
        <f t="shared" si="45"/>
        <v>612.55982905982876</v>
      </c>
    </row>
    <row r="56" spans="12:24">
      <c r="R56" s="219" t="s">
        <v>1838</v>
      </c>
      <c r="S56" s="220">
        <v>23509.5</v>
      </c>
      <c r="T56" s="220">
        <f t="shared" si="43"/>
        <v>20057.591036414567</v>
      </c>
      <c r="U56" s="252">
        <f t="shared" si="44"/>
        <v>0.14683038616667443</v>
      </c>
      <c r="V56" s="242">
        <v>11934.266666666666</v>
      </c>
      <c r="W56" s="254">
        <v>0.40500000000000003</v>
      </c>
      <c r="X56" s="238">
        <f t="shared" si="45"/>
        <v>676.94369747899179</v>
      </c>
    </row>
    <row r="57" spans="12:24">
      <c r="R57" s="224" t="s">
        <v>1839</v>
      </c>
      <c r="S57" s="225">
        <v>21409.5</v>
      </c>
      <c r="T57" s="225">
        <f t="shared" si="43"/>
        <v>18276.825396825399</v>
      </c>
      <c r="U57" s="256">
        <f t="shared" si="44"/>
        <v>0.14632170780142462</v>
      </c>
      <c r="V57" s="249">
        <v>11514.400000000001</v>
      </c>
      <c r="W57" s="257">
        <v>0.37</v>
      </c>
      <c r="X57" s="246">
        <f t="shared" si="45"/>
        <v>563.53544973544979</v>
      </c>
    </row>
    <row r="60" spans="12:24">
      <c r="W60" s="260"/>
    </row>
  </sheetData>
  <mergeCells count="11">
    <mergeCell ref="M1:R1"/>
    <mergeCell ref="S1:X1"/>
    <mergeCell ref="AB1:AD1"/>
    <mergeCell ref="AE1:AG1"/>
    <mergeCell ref="AC2:AD2"/>
    <mergeCell ref="A3:A9"/>
    <mergeCell ref="A11:A17"/>
    <mergeCell ref="AE3:AE9"/>
    <mergeCell ref="AF3:AF9"/>
    <mergeCell ref="K3:K9"/>
    <mergeCell ref="K11:K17"/>
  </mergeCells>
  <hyperlinks>
    <hyperlink ref="AB1" r:id="rId1" xr:uid="{00000000-0004-0000-0D00-000000000000}"/>
  </hyperlinks>
  <pageMargins left="0" right="0" top="0" bottom="0" header="0" footer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P982"/>
  <sheetViews>
    <sheetView workbookViewId="0"/>
  </sheetViews>
  <sheetFormatPr defaultColWidth="14.42578125" defaultRowHeight="15" customHeight="1"/>
  <cols>
    <col min="1" max="1" width="25.42578125" customWidth="1"/>
    <col min="2" max="2" width="21.42578125" customWidth="1"/>
    <col min="3" max="3" width="13.28515625" customWidth="1"/>
    <col min="4" max="4" width="13" customWidth="1"/>
    <col min="5" max="5" width="12.85546875" customWidth="1"/>
    <col min="6" max="6" width="24.28515625" customWidth="1"/>
    <col min="7" max="7" width="23.7109375" customWidth="1"/>
    <col min="8" max="8" width="20.28515625" customWidth="1"/>
    <col min="9" max="9" width="16.140625" customWidth="1"/>
    <col min="10" max="10" width="33.28515625" customWidth="1"/>
    <col min="11" max="11" width="19.85546875" customWidth="1"/>
    <col min="12" max="12" width="19.5703125" customWidth="1"/>
    <col min="13" max="13" width="17.140625" customWidth="1"/>
    <col min="14" max="14" width="18" customWidth="1"/>
    <col min="15" max="15" width="18.28515625" customWidth="1"/>
    <col min="16" max="16" width="17" customWidth="1"/>
    <col min="17" max="19" width="8.85546875" customWidth="1"/>
    <col min="20" max="20" width="12.28515625" customWidth="1"/>
    <col min="21" max="22" width="8.85546875" customWidth="1"/>
    <col min="23" max="23" width="13.85546875" customWidth="1"/>
    <col min="24" max="25" width="8.85546875" customWidth="1"/>
  </cols>
  <sheetData>
    <row r="1" spans="1:16">
      <c r="A1" s="91" t="s">
        <v>1888</v>
      </c>
      <c r="M1" s="15"/>
      <c r="N1" s="15"/>
    </row>
    <row r="2" spans="1:16">
      <c r="B2" s="267" t="s">
        <v>1889</v>
      </c>
      <c r="C2" s="267"/>
      <c r="F2" s="267" t="s">
        <v>1890</v>
      </c>
      <c r="M2" s="15"/>
      <c r="N2" s="15"/>
    </row>
    <row r="3" spans="1:16">
      <c r="A3" s="268" t="s">
        <v>1891</v>
      </c>
      <c r="B3" s="269" t="s">
        <v>1892</v>
      </c>
      <c r="C3" s="269" t="s">
        <v>1893</v>
      </c>
      <c r="D3" s="269" t="s">
        <v>1894</v>
      </c>
      <c r="E3" s="269" t="s">
        <v>1895</v>
      </c>
      <c r="F3" s="269" t="s">
        <v>1896</v>
      </c>
      <c r="G3" s="269" t="s">
        <v>1897</v>
      </c>
      <c r="H3" s="269" t="s">
        <v>1898</v>
      </c>
      <c r="I3" s="269" t="s">
        <v>1899</v>
      </c>
      <c r="M3" s="15"/>
      <c r="N3" s="15"/>
    </row>
    <row r="4" spans="1:16">
      <c r="A4" s="270" t="s">
        <v>1833</v>
      </c>
      <c r="B4" s="242">
        <f>'Costos Por Variedad'!D3*29</f>
        <v>24553.333333333332</v>
      </c>
      <c r="C4" s="232">
        <v>19900</v>
      </c>
      <c r="D4" s="242">
        <f t="shared" ref="D4:D10" si="0">B4*0.19</f>
        <v>4665.1333333333332</v>
      </c>
      <c r="E4" s="242">
        <f t="shared" ref="E4:E10" si="1">B4*0.205</f>
        <v>5033.4333333333325</v>
      </c>
      <c r="F4" s="242">
        <v>47000</v>
      </c>
      <c r="G4" s="232">
        <f t="shared" ref="G4:G10" si="2">F4+C4</f>
        <v>66900</v>
      </c>
      <c r="H4" s="232">
        <f t="shared" ref="H4:H10" si="3">(F4+C4)*1.19+F4*0.205</f>
        <v>89246</v>
      </c>
      <c r="I4" s="252">
        <f t="shared" ref="I4:I10" si="4">(G4-B4)/G4</f>
        <v>0.63298455406078735</v>
      </c>
      <c r="L4" s="252"/>
      <c r="M4" s="173"/>
      <c r="N4" s="271"/>
      <c r="O4" s="272"/>
      <c r="P4" s="273"/>
    </row>
    <row r="5" spans="1:16">
      <c r="A5" s="274" t="s">
        <v>1900</v>
      </c>
      <c r="B5" s="242">
        <f>'Costos Por Variedad'!D4*29</f>
        <v>29870</v>
      </c>
      <c r="C5" s="232">
        <v>19900</v>
      </c>
      <c r="D5" s="242">
        <f t="shared" si="0"/>
        <v>5675.3</v>
      </c>
      <c r="E5" s="242">
        <f t="shared" si="1"/>
        <v>6123.3499999999995</v>
      </c>
      <c r="F5" s="242">
        <v>52000</v>
      </c>
      <c r="G5" s="232">
        <f t="shared" si="2"/>
        <v>71900</v>
      </c>
      <c r="H5" s="232">
        <f t="shared" si="3"/>
        <v>96221</v>
      </c>
      <c r="I5" s="252">
        <f t="shared" si="4"/>
        <v>0.58456189151599447</v>
      </c>
      <c r="L5" s="260"/>
      <c r="M5" s="15"/>
      <c r="N5" s="15"/>
    </row>
    <row r="6" spans="1:16">
      <c r="A6" s="275" t="s">
        <v>1835</v>
      </c>
      <c r="B6" s="242">
        <f>'Costos Por Variedad'!D5*29</f>
        <v>38118.888888888883</v>
      </c>
      <c r="C6" s="232">
        <v>19900</v>
      </c>
      <c r="D6" s="242">
        <f t="shared" si="0"/>
        <v>7242.5888888888876</v>
      </c>
      <c r="E6" s="242">
        <f t="shared" si="1"/>
        <v>7814.3722222222204</v>
      </c>
      <c r="F6" s="242">
        <v>56000</v>
      </c>
      <c r="G6" s="232">
        <f t="shared" si="2"/>
        <v>75900</v>
      </c>
      <c r="H6" s="232">
        <f t="shared" si="3"/>
        <v>101801</v>
      </c>
      <c r="I6" s="252">
        <f t="shared" si="4"/>
        <v>0.49777484994876309</v>
      </c>
      <c r="L6" s="252"/>
      <c r="M6" s="15"/>
      <c r="N6" s="15"/>
    </row>
    <row r="7" spans="1:16">
      <c r="A7" s="276" t="s">
        <v>1836</v>
      </c>
      <c r="B7" s="242">
        <f>'Costos Por Variedad'!D6*29</f>
        <v>50943.333333333328</v>
      </c>
      <c r="C7" s="232">
        <v>19900</v>
      </c>
      <c r="D7" s="242">
        <f t="shared" si="0"/>
        <v>9679.2333333333318</v>
      </c>
      <c r="E7" s="242">
        <f t="shared" si="1"/>
        <v>10443.383333333331</v>
      </c>
      <c r="F7" s="242">
        <v>63000</v>
      </c>
      <c r="G7" s="232">
        <f t="shared" si="2"/>
        <v>82900</v>
      </c>
      <c r="H7" s="232">
        <f t="shared" si="3"/>
        <v>111566</v>
      </c>
      <c r="I7" s="252">
        <f t="shared" si="4"/>
        <v>0.38548451950140739</v>
      </c>
      <c r="J7" s="277" t="s">
        <v>1901</v>
      </c>
      <c r="L7" s="278"/>
      <c r="M7" s="15"/>
      <c r="N7" s="15"/>
    </row>
    <row r="8" spans="1:16">
      <c r="A8" s="279" t="s">
        <v>1837</v>
      </c>
      <c r="B8" s="242">
        <f>'Costos Por Variedad'!D7*29</f>
        <v>41598.888888888883</v>
      </c>
      <c r="C8" s="232">
        <v>19900</v>
      </c>
      <c r="D8" s="242">
        <f t="shared" si="0"/>
        <v>7903.7888888888883</v>
      </c>
      <c r="E8" s="242">
        <f t="shared" si="1"/>
        <v>8527.7722222222201</v>
      </c>
      <c r="F8" s="242">
        <v>63000</v>
      </c>
      <c r="G8" s="232">
        <f t="shared" si="2"/>
        <v>82900</v>
      </c>
      <c r="H8" s="232">
        <f t="shared" si="3"/>
        <v>111566</v>
      </c>
      <c r="I8" s="252">
        <f t="shared" si="4"/>
        <v>0.49820399410266725</v>
      </c>
      <c r="M8" s="15"/>
      <c r="N8" s="15"/>
      <c r="O8" s="280"/>
    </row>
    <row r="9" spans="1:16">
      <c r="A9" s="281" t="s">
        <v>1838</v>
      </c>
      <c r="B9" s="242">
        <f>'Costos Por Variedad'!D8*29</f>
        <v>32415.555555555558</v>
      </c>
      <c r="C9" s="232">
        <v>19900</v>
      </c>
      <c r="D9" s="242">
        <f t="shared" si="0"/>
        <v>6158.9555555555562</v>
      </c>
      <c r="E9" s="242">
        <f t="shared" si="1"/>
        <v>6645.1888888888889</v>
      </c>
      <c r="F9" s="242">
        <v>53000</v>
      </c>
      <c r="G9" s="232">
        <f t="shared" si="2"/>
        <v>72900</v>
      </c>
      <c r="H9" s="232">
        <f t="shared" si="3"/>
        <v>97616</v>
      </c>
      <c r="I9" s="252">
        <f t="shared" si="4"/>
        <v>0.55534217344916925</v>
      </c>
      <c r="M9" s="15"/>
      <c r="N9" s="15"/>
    </row>
    <row r="10" spans="1:16">
      <c r="A10" s="282" t="s">
        <v>1839</v>
      </c>
      <c r="B10" s="242">
        <f>'Costos Por Variedad'!D9*29</f>
        <v>33092.222222222219</v>
      </c>
      <c r="C10" s="232">
        <v>19900</v>
      </c>
      <c r="D10" s="242">
        <f t="shared" si="0"/>
        <v>6287.5222222222219</v>
      </c>
      <c r="E10" s="242">
        <f t="shared" si="1"/>
        <v>6783.9055555555542</v>
      </c>
      <c r="F10" s="242">
        <v>51000</v>
      </c>
      <c r="G10" s="232">
        <f t="shared" si="2"/>
        <v>70900</v>
      </c>
      <c r="H10" s="232">
        <f t="shared" si="3"/>
        <v>94826</v>
      </c>
      <c r="I10" s="252">
        <f t="shared" si="4"/>
        <v>0.53325497570913649</v>
      </c>
      <c r="M10" s="15"/>
      <c r="N10" s="15"/>
    </row>
    <row r="11" spans="1:16">
      <c r="M11" s="15"/>
      <c r="N11" s="15"/>
    </row>
    <row r="12" spans="1:16">
      <c r="I12" s="15"/>
      <c r="J12" s="15"/>
      <c r="K12" s="15"/>
      <c r="L12" s="15"/>
      <c r="M12" s="15"/>
      <c r="N12" s="15"/>
    </row>
    <row r="13" spans="1:16">
      <c r="A13" s="283" t="s">
        <v>1902</v>
      </c>
      <c r="B13" s="284" t="s">
        <v>1903</v>
      </c>
    </row>
    <row r="15" spans="1:16">
      <c r="A15" s="285" t="s">
        <v>1904</v>
      </c>
      <c r="I15" s="269" t="s">
        <v>1905</v>
      </c>
      <c r="J15" s="15"/>
      <c r="K15" s="15"/>
      <c r="L15" s="286"/>
      <c r="N15" s="15"/>
    </row>
    <row r="16" spans="1:16">
      <c r="A16" s="268" t="s">
        <v>1906</v>
      </c>
      <c r="B16" s="269" t="s">
        <v>1879</v>
      </c>
      <c r="C16" s="269" t="s">
        <v>1907</v>
      </c>
      <c r="D16" s="269" t="s">
        <v>1880</v>
      </c>
      <c r="E16" s="269" t="s">
        <v>1908</v>
      </c>
      <c r="F16" s="269" t="s">
        <v>1909</v>
      </c>
      <c r="G16" s="269" t="s">
        <v>1910</v>
      </c>
      <c r="H16" s="269" t="s">
        <v>1911</v>
      </c>
      <c r="I16" s="269" t="s">
        <v>1912</v>
      </c>
      <c r="J16" s="287" t="s">
        <v>1913</v>
      </c>
      <c r="K16" s="288" t="s">
        <v>1914</v>
      </c>
      <c r="L16" s="173" t="s">
        <v>1915</v>
      </c>
    </row>
    <row r="17" spans="1:14">
      <c r="A17" s="91" t="s">
        <v>1833</v>
      </c>
      <c r="B17" s="242">
        <v>264</v>
      </c>
      <c r="C17" s="242">
        <v>594</v>
      </c>
      <c r="D17" s="242">
        <v>120</v>
      </c>
      <c r="E17" s="242">
        <f>'Costos Por Variedad'!G3</f>
        <v>397.93333333333328</v>
      </c>
      <c r="F17" s="242">
        <f t="shared" ref="F17:F23" si="5">(B17*4+C17+E17*4+D17*4)*1.19</f>
        <v>4428.862666666666</v>
      </c>
      <c r="G17" s="289">
        <v>0.9</v>
      </c>
      <c r="H17" s="242">
        <f t="shared" ref="H17:H23" si="6">F17*G17</f>
        <v>3985.9763999999996</v>
      </c>
      <c r="I17" s="242">
        <f t="shared" ref="I17:I23" si="7">F17+H17</f>
        <v>8414.8390666666655</v>
      </c>
      <c r="J17" s="288">
        <v>9500</v>
      </c>
      <c r="K17" s="288">
        <f t="shared" ref="K17:K24" si="8">J17/4</f>
        <v>2375</v>
      </c>
      <c r="L17" s="290">
        <f t="shared" ref="L17:L18" si="9">9500/8900-1</f>
        <v>6.7415730337078594E-2</v>
      </c>
      <c r="M17" s="232">
        <f t="shared" ref="M17:M24" si="10">F17/4</f>
        <v>1107.2156666666665</v>
      </c>
      <c r="N17" s="232">
        <f t="shared" ref="N17:N18" si="11">M17*72</f>
        <v>79719.527999999991</v>
      </c>
    </row>
    <row r="18" spans="1:14">
      <c r="A18" s="91" t="s">
        <v>1834</v>
      </c>
      <c r="B18" s="242">
        <v>264</v>
      </c>
      <c r="C18" s="242">
        <v>594</v>
      </c>
      <c r="D18" s="242">
        <v>120</v>
      </c>
      <c r="E18" s="242">
        <f>'Costos Por Variedad'!G4</f>
        <v>484.09999999999997</v>
      </c>
      <c r="F18" s="242">
        <f t="shared" si="5"/>
        <v>4839.0159999999996</v>
      </c>
      <c r="G18" s="289">
        <v>0.95</v>
      </c>
      <c r="H18" s="242">
        <f t="shared" si="6"/>
        <v>4597.0651999999991</v>
      </c>
      <c r="I18" s="242">
        <f t="shared" si="7"/>
        <v>9436.0811999999987</v>
      </c>
      <c r="J18" s="288">
        <v>9500</v>
      </c>
      <c r="K18" s="288">
        <f t="shared" si="8"/>
        <v>2375</v>
      </c>
      <c r="L18" s="290">
        <f t="shared" si="9"/>
        <v>6.7415730337078594E-2</v>
      </c>
      <c r="M18" s="232">
        <f t="shared" si="10"/>
        <v>1209.7539999999999</v>
      </c>
      <c r="N18" s="232">
        <f t="shared" si="11"/>
        <v>87102.288</v>
      </c>
    </row>
    <row r="19" spans="1:14">
      <c r="A19" s="91" t="s">
        <v>1835</v>
      </c>
      <c r="B19" s="242">
        <v>264</v>
      </c>
      <c r="C19" s="242">
        <v>594</v>
      </c>
      <c r="D19" s="242">
        <v>120</v>
      </c>
      <c r="E19" s="242">
        <f>'Costos Por Variedad'!G5</f>
        <v>617.78888888888878</v>
      </c>
      <c r="F19" s="242">
        <f t="shared" si="5"/>
        <v>5475.3751111111105</v>
      </c>
      <c r="G19" s="289">
        <v>0.6</v>
      </c>
      <c r="H19" s="242">
        <f t="shared" si="6"/>
        <v>3285.2250666666664</v>
      </c>
      <c r="I19" s="242">
        <f t="shared" si="7"/>
        <v>8760.6001777777765</v>
      </c>
      <c r="J19" s="288">
        <v>9900</v>
      </c>
      <c r="K19" s="288">
        <f t="shared" si="8"/>
        <v>2475</v>
      </c>
      <c r="L19" s="290">
        <f>9900/8900-1</f>
        <v>0.11235955056179781</v>
      </c>
      <c r="M19" s="232">
        <f t="shared" si="10"/>
        <v>1368.8437777777776</v>
      </c>
      <c r="N19" s="232">
        <f>M19*48</f>
        <v>65704.501333333319</v>
      </c>
    </row>
    <row r="20" spans="1:14">
      <c r="A20" s="91" t="s">
        <v>1836</v>
      </c>
      <c r="B20" s="242">
        <v>264</v>
      </c>
      <c r="C20" s="242">
        <v>594</v>
      </c>
      <c r="D20" s="242">
        <v>120</v>
      </c>
      <c r="E20" s="242">
        <f>'Costos Por Variedad'!G6</f>
        <v>825.63333333333321</v>
      </c>
      <c r="F20" s="242">
        <f t="shared" si="5"/>
        <v>6464.7146666666658</v>
      </c>
      <c r="G20" s="289">
        <v>0.6</v>
      </c>
      <c r="H20" s="242">
        <f t="shared" si="6"/>
        <v>3878.8287999999993</v>
      </c>
      <c r="I20" s="242">
        <f t="shared" si="7"/>
        <v>10343.543466666666</v>
      </c>
      <c r="J20" s="288">
        <v>10500</v>
      </c>
      <c r="K20" s="288">
        <f t="shared" si="8"/>
        <v>2625</v>
      </c>
      <c r="L20" s="290">
        <f t="shared" ref="L20:L21" si="12">10500/9900-1</f>
        <v>6.0606060606060552E-2</v>
      </c>
      <c r="M20" s="232">
        <f t="shared" si="10"/>
        <v>1616.1786666666665</v>
      </c>
    </row>
    <row r="21" spans="1:14">
      <c r="A21" s="91" t="s">
        <v>1837</v>
      </c>
      <c r="B21" s="242">
        <v>264</v>
      </c>
      <c r="C21" s="242">
        <v>594</v>
      </c>
      <c r="D21" s="242">
        <v>120</v>
      </c>
      <c r="E21" s="242">
        <f>'Costos Por Variedad'!G7</f>
        <v>674.18888888888875</v>
      </c>
      <c r="F21" s="242">
        <f t="shared" si="5"/>
        <v>5743.8391111111105</v>
      </c>
      <c r="G21" s="289">
        <v>0.6</v>
      </c>
      <c r="H21" s="242">
        <f t="shared" si="6"/>
        <v>3446.3034666666663</v>
      </c>
      <c r="I21" s="242">
        <f t="shared" si="7"/>
        <v>9190.1425777777768</v>
      </c>
      <c r="J21" s="288">
        <v>10500</v>
      </c>
      <c r="K21" s="288">
        <f t="shared" si="8"/>
        <v>2625</v>
      </c>
      <c r="L21" s="290">
        <f t="shared" si="12"/>
        <v>6.0606060606060552E-2</v>
      </c>
      <c r="M21" s="232">
        <f t="shared" si="10"/>
        <v>1435.9597777777776</v>
      </c>
    </row>
    <row r="22" spans="1:14">
      <c r="A22" s="91" t="s">
        <v>1838</v>
      </c>
      <c r="B22" s="242">
        <v>264</v>
      </c>
      <c r="C22" s="242">
        <v>594</v>
      </c>
      <c r="D22" s="242">
        <v>120</v>
      </c>
      <c r="E22" s="242">
        <f>'Costos Por Variedad'!G8</f>
        <v>525.3555555555555</v>
      </c>
      <c r="F22" s="242">
        <f t="shared" si="5"/>
        <v>5035.3924444444438</v>
      </c>
      <c r="G22" s="289">
        <v>0.95</v>
      </c>
      <c r="H22" s="242">
        <f t="shared" si="6"/>
        <v>4783.6228222222217</v>
      </c>
      <c r="I22" s="242">
        <f t="shared" si="7"/>
        <v>9819.0152666666654</v>
      </c>
      <c r="J22" s="288">
        <v>9900</v>
      </c>
      <c r="K22" s="288">
        <f t="shared" si="8"/>
        <v>2475</v>
      </c>
      <c r="L22" s="290">
        <v>0</v>
      </c>
      <c r="M22" s="232">
        <f t="shared" si="10"/>
        <v>1258.8481111111109</v>
      </c>
    </row>
    <row r="23" spans="1:14">
      <c r="A23" s="91" t="s">
        <v>1839</v>
      </c>
      <c r="B23" s="242">
        <v>264</v>
      </c>
      <c r="C23" s="242">
        <v>594</v>
      </c>
      <c r="D23" s="242">
        <v>120</v>
      </c>
      <c r="E23" s="242">
        <f>'Costos Por Variedad'!G9</f>
        <v>536.32222222222219</v>
      </c>
      <c r="F23" s="242">
        <f t="shared" si="5"/>
        <v>5087.5937777777772</v>
      </c>
      <c r="G23" s="289">
        <v>0.6</v>
      </c>
      <c r="H23" s="242">
        <f t="shared" si="6"/>
        <v>3052.556266666666</v>
      </c>
      <c r="I23" s="242">
        <f t="shared" si="7"/>
        <v>8140.1500444444428</v>
      </c>
      <c r="J23" s="288">
        <v>9900</v>
      </c>
      <c r="K23" s="288">
        <f t="shared" si="8"/>
        <v>2475</v>
      </c>
      <c r="L23" s="291" t="s">
        <v>1043</v>
      </c>
      <c r="M23" s="232">
        <f t="shared" si="10"/>
        <v>1271.8984444444443</v>
      </c>
    </row>
    <row r="24" spans="1:14">
      <c r="A24" s="91" t="s">
        <v>1916</v>
      </c>
      <c r="J24" s="288">
        <v>10500</v>
      </c>
      <c r="K24" s="288">
        <f t="shared" si="8"/>
        <v>2625</v>
      </c>
      <c r="L24" s="290">
        <f>10500/9900-1</f>
        <v>6.0606060606060552E-2</v>
      </c>
      <c r="M24" s="91">
        <f t="shared" si="10"/>
        <v>0</v>
      </c>
    </row>
    <row r="25" spans="1:14">
      <c r="K25" s="114"/>
      <c r="L25" s="286"/>
      <c r="M25" s="15"/>
      <c r="N25" s="15"/>
    </row>
    <row r="26" spans="1:14">
      <c r="A26" s="292" t="s">
        <v>1917</v>
      </c>
      <c r="B26" s="15"/>
      <c r="C26" s="15"/>
      <c r="D26" s="15"/>
      <c r="E26" s="15" t="s">
        <v>7</v>
      </c>
      <c r="F26" s="15"/>
      <c r="G26" s="15"/>
      <c r="H26" s="15"/>
      <c r="I26" s="15"/>
      <c r="J26" s="15"/>
      <c r="N26" s="15"/>
    </row>
    <row r="27" spans="1:14">
      <c r="A27" s="268" t="s">
        <v>1906</v>
      </c>
      <c r="B27" s="293" t="s">
        <v>1879</v>
      </c>
      <c r="C27" s="293" t="s">
        <v>1918</v>
      </c>
      <c r="D27" s="269" t="s">
        <v>1880</v>
      </c>
      <c r="E27" s="293" t="s">
        <v>1908</v>
      </c>
      <c r="F27" s="269" t="s">
        <v>1919</v>
      </c>
      <c r="G27" s="269" t="s">
        <v>1910</v>
      </c>
      <c r="H27" s="269" t="s">
        <v>1911</v>
      </c>
      <c r="I27" s="269" t="s">
        <v>1920</v>
      </c>
      <c r="J27" s="287" t="s">
        <v>1913</v>
      </c>
      <c r="K27" s="288" t="s">
        <v>1914</v>
      </c>
      <c r="L27" s="173" t="s">
        <v>1915</v>
      </c>
      <c r="N27" s="15"/>
    </row>
    <row r="28" spans="1:14">
      <c r="A28" s="91" t="s">
        <v>1833</v>
      </c>
      <c r="B28" s="242">
        <v>264</v>
      </c>
      <c r="C28" s="242">
        <v>684</v>
      </c>
      <c r="D28" s="242">
        <v>120</v>
      </c>
      <c r="E28" s="242">
        <f>'Costos Por Variedad'!G3</f>
        <v>397.93333333333328</v>
      </c>
      <c r="F28" s="242">
        <f t="shared" ref="F28:F34" si="13">(B28*12+C28+E28*12+D28*12)*1.19</f>
        <v>11979.967999999999</v>
      </c>
      <c r="G28" s="289">
        <v>1</v>
      </c>
      <c r="H28" s="242">
        <f t="shared" ref="H28:H34" si="14">F28*G28</f>
        <v>11979.967999999999</v>
      </c>
      <c r="I28" s="242">
        <f t="shared" ref="I28:I34" si="15">F28+H28</f>
        <v>23959.935999999998</v>
      </c>
      <c r="J28" s="288">
        <v>23900</v>
      </c>
      <c r="K28" s="288">
        <f t="shared" ref="K28:K34" si="16">J28/12</f>
        <v>1991.6666666666667</v>
      </c>
      <c r="L28" s="290">
        <f>23900/22900-1</f>
        <v>4.366812227074246E-2</v>
      </c>
      <c r="N28" s="294"/>
    </row>
    <row r="29" spans="1:14">
      <c r="A29" s="91" t="s">
        <v>1834</v>
      </c>
      <c r="B29" s="242">
        <v>264</v>
      </c>
      <c r="C29" s="242">
        <v>684</v>
      </c>
      <c r="D29" s="242">
        <v>120</v>
      </c>
      <c r="E29" s="242">
        <f>'Costos Por Variedad'!G4</f>
        <v>484.09999999999997</v>
      </c>
      <c r="F29" s="242">
        <f t="shared" si="13"/>
        <v>13210.428</v>
      </c>
      <c r="G29" s="289">
        <v>1</v>
      </c>
      <c r="H29" s="242">
        <f t="shared" si="14"/>
        <v>13210.428</v>
      </c>
      <c r="I29" s="242">
        <f t="shared" si="15"/>
        <v>26420.856</v>
      </c>
      <c r="J29" s="288">
        <v>24900</v>
      </c>
      <c r="K29" s="288">
        <f t="shared" si="16"/>
        <v>2075</v>
      </c>
      <c r="L29" s="290">
        <f>24900/23900-1</f>
        <v>4.1841004184100417E-2</v>
      </c>
      <c r="N29" s="294"/>
    </row>
    <row r="30" spans="1:14">
      <c r="A30" s="91" t="s">
        <v>1835</v>
      </c>
      <c r="B30" s="242">
        <v>264</v>
      </c>
      <c r="C30" s="242">
        <v>684</v>
      </c>
      <c r="D30" s="242">
        <v>120</v>
      </c>
      <c r="E30" s="242">
        <f>'Costos Por Variedad'!G5</f>
        <v>617.78888888888878</v>
      </c>
      <c r="F30" s="242">
        <f t="shared" si="13"/>
        <v>15119.505333333331</v>
      </c>
      <c r="G30" s="289">
        <v>0.6</v>
      </c>
      <c r="H30" s="242">
        <f t="shared" si="14"/>
        <v>9071.7031999999981</v>
      </c>
      <c r="I30" s="242">
        <f t="shared" si="15"/>
        <v>24191.208533333331</v>
      </c>
      <c r="J30" s="288">
        <v>25900</v>
      </c>
      <c r="K30" s="288">
        <f t="shared" si="16"/>
        <v>2158.3333333333335</v>
      </c>
      <c r="L30" s="290">
        <f>25900/24900-1</f>
        <v>4.016064257028118E-2</v>
      </c>
      <c r="N30" s="294"/>
    </row>
    <row r="31" spans="1:14">
      <c r="A31" s="91" t="s">
        <v>1836</v>
      </c>
      <c r="B31" s="242">
        <v>264</v>
      </c>
      <c r="C31" s="242">
        <v>684</v>
      </c>
      <c r="D31" s="242">
        <v>120</v>
      </c>
      <c r="E31" s="242">
        <f>'Costos Por Variedad'!G6</f>
        <v>825.63333333333321</v>
      </c>
      <c r="F31" s="242">
        <f t="shared" si="13"/>
        <v>18087.523999999998</v>
      </c>
      <c r="G31" s="289">
        <v>1</v>
      </c>
      <c r="H31" s="242">
        <f t="shared" si="14"/>
        <v>18087.523999999998</v>
      </c>
      <c r="I31" s="242">
        <f t="shared" si="15"/>
        <v>36175.047999999995</v>
      </c>
      <c r="J31" s="288">
        <v>27900</v>
      </c>
      <c r="K31" s="288">
        <f t="shared" si="16"/>
        <v>2325</v>
      </c>
      <c r="L31" s="290">
        <f t="shared" ref="L31:L32" si="17">27900/26400-1</f>
        <v>5.6818181818181879E-2</v>
      </c>
      <c r="N31" s="294"/>
    </row>
    <row r="32" spans="1:14">
      <c r="A32" s="91" t="s">
        <v>1837</v>
      </c>
      <c r="B32" s="242">
        <v>264</v>
      </c>
      <c r="C32" s="242">
        <v>684</v>
      </c>
      <c r="D32" s="242">
        <v>120</v>
      </c>
      <c r="E32" s="242">
        <f>'Costos Por Variedad'!G7</f>
        <v>674.18888888888875</v>
      </c>
      <c r="F32" s="242">
        <f t="shared" si="13"/>
        <v>15924.897333333331</v>
      </c>
      <c r="G32" s="289">
        <v>0.6</v>
      </c>
      <c r="H32" s="242">
        <f t="shared" si="14"/>
        <v>9554.9383999999973</v>
      </c>
      <c r="I32" s="242">
        <f t="shared" si="15"/>
        <v>25479.835733333326</v>
      </c>
      <c r="J32" s="288">
        <v>27900</v>
      </c>
      <c r="K32" s="288">
        <f t="shared" si="16"/>
        <v>2325</v>
      </c>
      <c r="L32" s="290">
        <f t="shared" si="17"/>
        <v>5.6818181818181879E-2</v>
      </c>
      <c r="N32" s="294"/>
    </row>
    <row r="33" spans="1:14">
      <c r="A33" s="91" t="s">
        <v>1838</v>
      </c>
      <c r="B33" s="242">
        <v>264</v>
      </c>
      <c r="C33" s="242">
        <v>684</v>
      </c>
      <c r="D33" s="242">
        <v>120</v>
      </c>
      <c r="E33" s="242">
        <f>'Costos Por Variedad'!G8</f>
        <v>525.3555555555555</v>
      </c>
      <c r="F33" s="242">
        <f t="shared" si="13"/>
        <v>13799.557333333332</v>
      </c>
      <c r="G33" s="289">
        <v>0.6</v>
      </c>
      <c r="H33" s="242">
        <f t="shared" si="14"/>
        <v>8279.7343999999994</v>
      </c>
      <c r="I33" s="242">
        <f t="shared" si="15"/>
        <v>22079.291733333332</v>
      </c>
      <c r="J33" s="288">
        <v>25900</v>
      </c>
      <c r="K33" s="288">
        <f t="shared" si="16"/>
        <v>2158.3333333333335</v>
      </c>
      <c r="L33" s="290">
        <f>25900/24900-1</f>
        <v>4.016064257028118E-2</v>
      </c>
      <c r="N33" s="294"/>
    </row>
    <row r="34" spans="1:14">
      <c r="A34" s="91" t="s">
        <v>1839</v>
      </c>
      <c r="B34" s="242">
        <v>264</v>
      </c>
      <c r="C34" s="242">
        <v>684</v>
      </c>
      <c r="D34" s="242">
        <v>120</v>
      </c>
      <c r="E34" s="242">
        <f>'Costos Por Variedad'!G9</f>
        <v>536.32222222222219</v>
      </c>
      <c r="F34" s="242">
        <f t="shared" si="13"/>
        <v>13956.161333333333</v>
      </c>
      <c r="G34" s="289">
        <v>0.6</v>
      </c>
      <c r="H34" s="242">
        <f t="shared" si="14"/>
        <v>8373.6967999999997</v>
      </c>
      <c r="I34" s="242">
        <f t="shared" si="15"/>
        <v>22329.858133333335</v>
      </c>
      <c r="J34" s="288">
        <v>24900</v>
      </c>
      <c r="K34" s="288">
        <f t="shared" si="16"/>
        <v>2075</v>
      </c>
      <c r="L34" s="173" t="s">
        <v>1043</v>
      </c>
    </row>
    <row r="35" spans="1:14">
      <c r="A35" s="91" t="s">
        <v>1916</v>
      </c>
      <c r="M35" s="15"/>
      <c r="N35" s="15"/>
    </row>
    <row r="36" spans="1:14">
      <c r="M36" s="15"/>
      <c r="N36" s="15"/>
    </row>
    <row r="37" spans="1:14">
      <c r="B37" s="91" t="s">
        <v>1921</v>
      </c>
      <c r="C37" s="91">
        <f>684/12</f>
        <v>57</v>
      </c>
      <c r="M37" s="15"/>
      <c r="N37" s="15"/>
    </row>
    <row r="38" spans="1:14">
      <c r="B38" s="91" t="s">
        <v>1922</v>
      </c>
      <c r="C38" s="91">
        <v>120</v>
      </c>
    </row>
    <row r="39" spans="1:14">
      <c r="B39" s="91" t="s">
        <v>1923</v>
      </c>
      <c r="C39" s="91">
        <v>264</v>
      </c>
    </row>
    <row r="40" spans="1:14">
      <c r="B40" s="91" t="s">
        <v>1924</v>
      </c>
      <c r="C40" s="91">
        <v>559</v>
      </c>
    </row>
    <row r="41" spans="1:14">
      <c r="C41" s="259">
        <f>SUM(C37:C40)</f>
        <v>1000</v>
      </c>
    </row>
    <row r="43" spans="1:14">
      <c r="B43" s="91" t="s">
        <v>1925</v>
      </c>
      <c r="C43" s="91">
        <v>4</v>
      </c>
    </row>
    <row r="44" spans="1:14">
      <c r="B44" s="91" t="s">
        <v>1926</v>
      </c>
      <c r="C44" s="91">
        <v>500</v>
      </c>
    </row>
    <row r="45" spans="1:14">
      <c r="B45" s="91" t="s">
        <v>1927</v>
      </c>
      <c r="C45" s="91">
        <v>4000</v>
      </c>
    </row>
    <row r="54" ht="5.25" customHeight="1"/>
    <row r="80" spans="13:14">
      <c r="M80" s="15"/>
      <c r="N80" s="15"/>
    </row>
    <row r="81" spans="6:14">
      <c r="M81" s="15"/>
      <c r="N81" s="15"/>
    </row>
    <row r="82" spans="6:14">
      <c r="M82" s="15"/>
      <c r="N82" s="15"/>
    </row>
    <row r="83" spans="6:14">
      <c r="F83" s="91">
        <f>F82/1.395</f>
        <v>0</v>
      </c>
      <c r="M83" s="15"/>
      <c r="N83" s="15"/>
    </row>
    <row r="84" spans="6:14">
      <c r="F84" s="91">
        <f>F83/4</f>
        <v>0</v>
      </c>
      <c r="M84" s="15"/>
      <c r="N84" s="15"/>
    </row>
    <row r="85" spans="6:14">
      <c r="M85" s="15"/>
      <c r="N85" s="15"/>
    </row>
    <row r="86" spans="6:14">
      <c r="M86" s="15"/>
      <c r="N86" s="15"/>
    </row>
    <row r="87" spans="6:14">
      <c r="M87" s="15"/>
      <c r="N87" s="15"/>
    </row>
    <row r="88" spans="6:14">
      <c r="M88" s="15"/>
      <c r="N88" s="15"/>
    </row>
    <row r="89" spans="6:14">
      <c r="M89" s="15"/>
      <c r="N89" s="15"/>
    </row>
    <row r="90" spans="6:14">
      <c r="M90" s="15"/>
      <c r="N90" s="15"/>
    </row>
    <row r="91" spans="6:14">
      <c r="M91" s="15"/>
      <c r="N91" s="15"/>
    </row>
    <row r="92" spans="6:14">
      <c r="M92" s="15"/>
      <c r="N92" s="15"/>
    </row>
    <row r="93" spans="6:14">
      <c r="M93" s="15"/>
      <c r="N93" s="15"/>
    </row>
    <row r="94" spans="6:14">
      <c r="M94" s="15"/>
      <c r="N94" s="15"/>
    </row>
    <row r="95" spans="6:14">
      <c r="M95" s="15"/>
      <c r="N95" s="15"/>
    </row>
    <row r="96" spans="6:14">
      <c r="M96" s="15"/>
      <c r="N96" s="15"/>
    </row>
    <row r="97" spans="13:14">
      <c r="M97" s="15"/>
      <c r="N97" s="15"/>
    </row>
    <row r="98" spans="13:14">
      <c r="M98" s="15"/>
      <c r="N98" s="15"/>
    </row>
    <row r="99" spans="13:14">
      <c r="M99" s="15"/>
      <c r="N99" s="15"/>
    </row>
    <row r="100" spans="13:14">
      <c r="M100" s="15"/>
      <c r="N100" s="15"/>
    </row>
    <row r="101" spans="13:14">
      <c r="M101" s="15"/>
      <c r="N101" s="15"/>
    </row>
    <row r="102" spans="13:14">
      <c r="M102" s="15"/>
      <c r="N102" s="15"/>
    </row>
    <row r="103" spans="13:14">
      <c r="M103" s="15"/>
      <c r="N103" s="15"/>
    </row>
    <row r="104" spans="13:14">
      <c r="M104" s="15"/>
      <c r="N104" s="15"/>
    </row>
    <row r="105" spans="13:14">
      <c r="M105" s="15"/>
      <c r="N105" s="15"/>
    </row>
    <row r="106" spans="13:14">
      <c r="M106" s="15"/>
      <c r="N106" s="15"/>
    </row>
    <row r="107" spans="13:14">
      <c r="M107" s="15"/>
      <c r="N107" s="15"/>
    </row>
    <row r="108" spans="13:14">
      <c r="M108" s="15"/>
      <c r="N108" s="15"/>
    </row>
    <row r="109" spans="13:14">
      <c r="M109" s="15"/>
      <c r="N109" s="15"/>
    </row>
    <row r="110" spans="13:14">
      <c r="M110" s="15"/>
      <c r="N110" s="15"/>
    </row>
    <row r="111" spans="13:14">
      <c r="M111" s="15"/>
      <c r="N111" s="15"/>
    </row>
    <row r="112" spans="13:14">
      <c r="M112" s="15"/>
      <c r="N112" s="15"/>
    </row>
    <row r="113" spans="13:14">
      <c r="M113" s="15"/>
      <c r="N113" s="15"/>
    </row>
    <row r="114" spans="13:14">
      <c r="M114" s="15"/>
      <c r="N114" s="15"/>
    </row>
    <row r="115" spans="13:14">
      <c r="M115" s="15"/>
      <c r="N115" s="15"/>
    </row>
    <row r="116" spans="13:14">
      <c r="M116" s="15"/>
      <c r="N116" s="15"/>
    </row>
    <row r="117" spans="13:14">
      <c r="M117" s="15"/>
      <c r="N117" s="15"/>
    </row>
    <row r="118" spans="13:14">
      <c r="M118" s="15"/>
      <c r="N118" s="15"/>
    </row>
    <row r="119" spans="13:14">
      <c r="M119" s="15"/>
      <c r="N119" s="15"/>
    </row>
    <row r="120" spans="13:14">
      <c r="M120" s="15"/>
      <c r="N120" s="15"/>
    </row>
    <row r="121" spans="13:14">
      <c r="M121" s="15"/>
      <c r="N121" s="15"/>
    </row>
    <row r="122" spans="13:14">
      <c r="M122" s="15"/>
      <c r="N122" s="15"/>
    </row>
    <row r="123" spans="13:14">
      <c r="M123" s="15"/>
      <c r="N123" s="15"/>
    </row>
    <row r="124" spans="13:14">
      <c r="M124" s="15"/>
      <c r="N124" s="15"/>
    </row>
    <row r="125" spans="13:14">
      <c r="M125" s="15"/>
      <c r="N125" s="15"/>
    </row>
    <row r="126" spans="13:14">
      <c r="M126" s="15"/>
      <c r="N126" s="15"/>
    </row>
    <row r="127" spans="13:14">
      <c r="M127" s="15"/>
      <c r="N127" s="15"/>
    </row>
    <row r="128" spans="13:14">
      <c r="M128" s="15"/>
      <c r="N128" s="15"/>
    </row>
    <row r="129" spans="13:14">
      <c r="M129" s="15"/>
      <c r="N129" s="15"/>
    </row>
    <row r="130" spans="13:14">
      <c r="M130" s="15"/>
      <c r="N130" s="15"/>
    </row>
    <row r="131" spans="13:14">
      <c r="M131" s="15"/>
      <c r="N131" s="15"/>
    </row>
    <row r="132" spans="13:14">
      <c r="M132" s="15"/>
      <c r="N132" s="15"/>
    </row>
    <row r="133" spans="13:14">
      <c r="M133" s="15"/>
      <c r="N133" s="15"/>
    </row>
    <row r="134" spans="13:14">
      <c r="M134" s="15"/>
      <c r="N134" s="15"/>
    </row>
    <row r="135" spans="13:14">
      <c r="M135" s="15"/>
      <c r="N135" s="15"/>
    </row>
    <row r="136" spans="13:14">
      <c r="M136" s="15"/>
      <c r="N136" s="15"/>
    </row>
    <row r="137" spans="13:14">
      <c r="M137" s="15"/>
      <c r="N137" s="15"/>
    </row>
    <row r="138" spans="13:14">
      <c r="M138" s="15"/>
      <c r="N138" s="15"/>
    </row>
    <row r="139" spans="13:14">
      <c r="M139" s="15"/>
      <c r="N139" s="15"/>
    </row>
    <row r="140" spans="13:14">
      <c r="M140" s="15"/>
      <c r="N140" s="15"/>
    </row>
    <row r="141" spans="13:14">
      <c r="M141" s="15"/>
      <c r="N141" s="15"/>
    </row>
    <row r="142" spans="13:14">
      <c r="M142" s="15"/>
      <c r="N142" s="15"/>
    </row>
    <row r="143" spans="13:14">
      <c r="M143" s="15"/>
      <c r="N143" s="15"/>
    </row>
    <row r="144" spans="13:14">
      <c r="M144" s="15"/>
      <c r="N144" s="15"/>
    </row>
    <row r="145" spans="13:14">
      <c r="M145" s="15"/>
      <c r="N145" s="15"/>
    </row>
    <row r="146" spans="13:14">
      <c r="M146" s="15"/>
      <c r="N146" s="15"/>
    </row>
    <row r="147" spans="13:14">
      <c r="M147" s="15"/>
      <c r="N147" s="15"/>
    </row>
    <row r="148" spans="13:14">
      <c r="M148" s="15"/>
      <c r="N148" s="15"/>
    </row>
    <row r="149" spans="13:14">
      <c r="M149" s="15"/>
      <c r="N149" s="15"/>
    </row>
    <row r="150" spans="13:14">
      <c r="M150" s="15"/>
      <c r="N150" s="15"/>
    </row>
    <row r="151" spans="13:14">
      <c r="M151" s="15"/>
      <c r="N151" s="15"/>
    </row>
    <row r="152" spans="13:14">
      <c r="M152" s="15"/>
      <c r="N152" s="15"/>
    </row>
    <row r="153" spans="13:14">
      <c r="M153" s="15"/>
      <c r="N153" s="15"/>
    </row>
    <row r="154" spans="13:14">
      <c r="M154" s="15"/>
      <c r="N154" s="15"/>
    </row>
    <row r="155" spans="13:14">
      <c r="M155" s="15"/>
      <c r="N155" s="15"/>
    </row>
    <row r="156" spans="13:14">
      <c r="M156" s="15"/>
      <c r="N156" s="15"/>
    </row>
    <row r="157" spans="13:14">
      <c r="M157" s="15"/>
      <c r="N157" s="15"/>
    </row>
    <row r="158" spans="13:14">
      <c r="M158" s="15"/>
      <c r="N158" s="15"/>
    </row>
    <row r="159" spans="13:14">
      <c r="M159" s="15"/>
      <c r="N159" s="15"/>
    </row>
    <row r="160" spans="13:14">
      <c r="M160" s="15"/>
      <c r="N160" s="15"/>
    </row>
    <row r="161" spans="13:14">
      <c r="M161" s="15"/>
      <c r="N161" s="15"/>
    </row>
    <row r="162" spans="13:14">
      <c r="M162" s="15"/>
      <c r="N162" s="15"/>
    </row>
    <row r="163" spans="13:14">
      <c r="M163" s="15"/>
      <c r="N163" s="15"/>
    </row>
    <row r="164" spans="13:14">
      <c r="M164" s="15"/>
      <c r="N164" s="15"/>
    </row>
    <row r="165" spans="13:14">
      <c r="M165" s="15"/>
      <c r="N165" s="15"/>
    </row>
    <row r="166" spans="13:14">
      <c r="M166" s="15"/>
      <c r="N166" s="15"/>
    </row>
    <row r="167" spans="13:14">
      <c r="M167" s="15"/>
      <c r="N167" s="15"/>
    </row>
    <row r="168" spans="13:14">
      <c r="M168" s="15"/>
      <c r="N168" s="15"/>
    </row>
    <row r="169" spans="13:14">
      <c r="M169" s="15"/>
      <c r="N169" s="15"/>
    </row>
    <row r="170" spans="13:14">
      <c r="M170" s="15"/>
      <c r="N170" s="15"/>
    </row>
    <row r="171" spans="13:14">
      <c r="M171" s="15"/>
      <c r="N171" s="15"/>
    </row>
    <row r="172" spans="13:14">
      <c r="M172" s="15"/>
      <c r="N172" s="15"/>
    </row>
    <row r="173" spans="13:14">
      <c r="M173" s="15"/>
      <c r="N173" s="15"/>
    </row>
    <row r="174" spans="13:14">
      <c r="M174" s="15"/>
      <c r="N174" s="15"/>
    </row>
    <row r="175" spans="13:14">
      <c r="M175" s="15"/>
      <c r="N175" s="15"/>
    </row>
    <row r="176" spans="13:14">
      <c r="M176" s="15"/>
      <c r="N176" s="15"/>
    </row>
    <row r="177" spans="13:14">
      <c r="M177" s="15"/>
      <c r="N177" s="15"/>
    </row>
    <row r="178" spans="13:14">
      <c r="M178" s="15"/>
      <c r="N178" s="15"/>
    </row>
    <row r="179" spans="13:14">
      <c r="M179" s="15"/>
      <c r="N179" s="15"/>
    </row>
    <row r="180" spans="13:14">
      <c r="M180" s="15"/>
      <c r="N180" s="15"/>
    </row>
    <row r="181" spans="13:14">
      <c r="M181" s="15"/>
      <c r="N181" s="15"/>
    </row>
    <row r="182" spans="13:14">
      <c r="M182" s="15"/>
      <c r="N182" s="15"/>
    </row>
    <row r="183" spans="13:14">
      <c r="M183" s="15"/>
      <c r="N183" s="15"/>
    </row>
    <row r="184" spans="13:14">
      <c r="M184" s="15"/>
      <c r="N184" s="15"/>
    </row>
    <row r="185" spans="13:14">
      <c r="M185" s="15"/>
      <c r="N185" s="15"/>
    </row>
    <row r="186" spans="13:14">
      <c r="M186" s="15"/>
      <c r="N186" s="15"/>
    </row>
    <row r="187" spans="13:14">
      <c r="M187" s="15"/>
      <c r="N187" s="15"/>
    </row>
    <row r="188" spans="13:14">
      <c r="M188" s="15"/>
      <c r="N188" s="15"/>
    </row>
    <row r="189" spans="13:14">
      <c r="M189" s="15"/>
      <c r="N189" s="15"/>
    </row>
    <row r="190" spans="13:14">
      <c r="M190" s="15"/>
      <c r="N190" s="15"/>
    </row>
    <row r="191" spans="13:14">
      <c r="M191" s="15"/>
      <c r="N191" s="15"/>
    </row>
    <row r="192" spans="13:14">
      <c r="M192" s="15"/>
      <c r="N192" s="15"/>
    </row>
    <row r="193" spans="13:14">
      <c r="M193" s="15"/>
      <c r="N193" s="15"/>
    </row>
    <row r="194" spans="13:14">
      <c r="M194" s="15"/>
      <c r="N194" s="15"/>
    </row>
    <row r="195" spans="13:14">
      <c r="M195" s="15"/>
      <c r="N195" s="15"/>
    </row>
    <row r="196" spans="13:14">
      <c r="M196" s="15"/>
      <c r="N196" s="15"/>
    </row>
    <row r="197" spans="13:14">
      <c r="M197" s="15"/>
      <c r="N197" s="15"/>
    </row>
    <row r="198" spans="13:14">
      <c r="M198" s="15"/>
      <c r="N198" s="15"/>
    </row>
    <row r="199" spans="13:14">
      <c r="M199" s="15"/>
      <c r="N199" s="15"/>
    </row>
    <row r="200" spans="13:14">
      <c r="M200" s="15"/>
      <c r="N200" s="15"/>
    </row>
    <row r="201" spans="13:14">
      <c r="M201" s="15"/>
      <c r="N201" s="15"/>
    </row>
    <row r="202" spans="13:14">
      <c r="M202" s="15"/>
      <c r="N202" s="15"/>
    </row>
    <row r="203" spans="13:14">
      <c r="M203" s="15"/>
      <c r="N203" s="15"/>
    </row>
    <row r="204" spans="13:14">
      <c r="M204" s="15"/>
      <c r="N204" s="15"/>
    </row>
    <row r="205" spans="13:14">
      <c r="M205" s="15"/>
      <c r="N205" s="15"/>
    </row>
    <row r="206" spans="13:14">
      <c r="M206" s="15"/>
      <c r="N206" s="15"/>
    </row>
    <row r="207" spans="13:14">
      <c r="M207" s="15"/>
      <c r="N207" s="15"/>
    </row>
    <row r="208" spans="13:14">
      <c r="M208" s="15"/>
      <c r="N208" s="15"/>
    </row>
    <row r="209" spans="13:14">
      <c r="M209" s="15"/>
      <c r="N209" s="15"/>
    </row>
    <row r="210" spans="13:14">
      <c r="M210" s="15"/>
      <c r="N210" s="15"/>
    </row>
    <row r="211" spans="13:14">
      <c r="M211" s="15"/>
      <c r="N211" s="15"/>
    </row>
    <row r="212" spans="13:14">
      <c r="M212" s="15"/>
      <c r="N212" s="15"/>
    </row>
    <row r="213" spans="13:14">
      <c r="M213" s="15"/>
      <c r="N213" s="15"/>
    </row>
    <row r="214" spans="13:14">
      <c r="M214" s="15"/>
      <c r="N214" s="15"/>
    </row>
    <row r="215" spans="13:14">
      <c r="M215" s="15"/>
      <c r="N215" s="15"/>
    </row>
    <row r="216" spans="13:14">
      <c r="M216" s="15"/>
      <c r="N216" s="15"/>
    </row>
    <row r="217" spans="13:14">
      <c r="M217" s="15"/>
      <c r="N217" s="15"/>
    </row>
    <row r="218" spans="13:14">
      <c r="M218" s="15"/>
      <c r="N218" s="15"/>
    </row>
    <row r="219" spans="13:14">
      <c r="M219" s="15"/>
      <c r="N219" s="15"/>
    </row>
    <row r="220" spans="13:14">
      <c r="M220" s="15"/>
      <c r="N220" s="15"/>
    </row>
    <row r="221" spans="13:14">
      <c r="M221" s="15"/>
      <c r="N221" s="15"/>
    </row>
    <row r="222" spans="13:14">
      <c r="M222" s="15"/>
      <c r="N222" s="15"/>
    </row>
    <row r="223" spans="13:14">
      <c r="M223" s="15"/>
      <c r="N223" s="15"/>
    </row>
    <row r="224" spans="13:14">
      <c r="M224" s="15"/>
      <c r="N224" s="15"/>
    </row>
    <row r="225" spans="13:14">
      <c r="M225" s="15"/>
      <c r="N225" s="15"/>
    </row>
    <row r="226" spans="13:14">
      <c r="M226" s="15"/>
      <c r="N226" s="15"/>
    </row>
    <row r="227" spans="13:14">
      <c r="M227" s="15"/>
      <c r="N227" s="15"/>
    </row>
    <row r="228" spans="13:14">
      <c r="M228" s="15"/>
      <c r="N228" s="15"/>
    </row>
    <row r="229" spans="13:14">
      <c r="M229" s="15"/>
      <c r="N229" s="15"/>
    </row>
    <row r="230" spans="13:14">
      <c r="M230" s="15"/>
      <c r="N230" s="15"/>
    </row>
    <row r="231" spans="13:14">
      <c r="M231" s="15"/>
      <c r="N231" s="15"/>
    </row>
    <row r="232" spans="13:14">
      <c r="M232" s="15"/>
      <c r="N232" s="15"/>
    </row>
    <row r="233" spans="13:14">
      <c r="M233" s="15"/>
      <c r="N233" s="15"/>
    </row>
    <row r="234" spans="13:14">
      <c r="M234" s="15"/>
      <c r="N234" s="15"/>
    </row>
    <row r="235" spans="13:14">
      <c r="M235" s="15"/>
      <c r="N235" s="15"/>
    </row>
    <row r="236" spans="13:14">
      <c r="M236" s="15"/>
      <c r="N236" s="15"/>
    </row>
    <row r="237" spans="13:14">
      <c r="M237" s="15"/>
      <c r="N237" s="15"/>
    </row>
    <row r="238" spans="13:14">
      <c r="M238" s="15"/>
      <c r="N238" s="15"/>
    </row>
    <row r="239" spans="13:14">
      <c r="M239" s="15"/>
      <c r="N239" s="15"/>
    </row>
    <row r="240" spans="13:14">
      <c r="M240" s="15"/>
      <c r="N240" s="15"/>
    </row>
    <row r="241" spans="13:14">
      <c r="M241" s="15"/>
      <c r="N241" s="15"/>
    </row>
    <row r="242" spans="13:14">
      <c r="M242" s="15"/>
      <c r="N242" s="15"/>
    </row>
    <row r="243" spans="13:14">
      <c r="M243" s="15"/>
      <c r="N243" s="15"/>
    </row>
    <row r="244" spans="13:14">
      <c r="M244" s="15"/>
      <c r="N244" s="15"/>
    </row>
    <row r="245" spans="13:14">
      <c r="M245" s="15"/>
      <c r="N245" s="15"/>
    </row>
    <row r="246" spans="13:14">
      <c r="M246" s="15"/>
      <c r="N246" s="15"/>
    </row>
    <row r="247" spans="13:14">
      <c r="M247" s="15"/>
      <c r="N247" s="15"/>
    </row>
    <row r="248" spans="13:14">
      <c r="M248" s="15"/>
      <c r="N248" s="15"/>
    </row>
    <row r="249" spans="13:14">
      <c r="M249" s="15"/>
      <c r="N249" s="15"/>
    </row>
    <row r="250" spans="13:14">
      <c r="M250" s="15"/>
      <c r="N250" s="15"/>
    </row>
    <row r="251" spans="13:14">
      <c r="M251" s="15"/>
      <c r="N251" s="15"/>
    </row>
    <row r="252" spans="13:14">
      <c r="M252" s="15"/>
      <c r="N252" s="15"/>
    </row>
    <row r="253" spans="13:14">
      <c r="M253" s="15"/>
      <c r="N253" s="15"/>
    </row>
    <row r="254" spans="13:14">
      <c r="M254" s="15"/>
      <c r="N254" s="15"/>
    </row>
    <row r="255" spans="13:14">
      <c r="M255" s="15"/>
      <c r="N255" s="15"/>
    </row>
    <row r="256" spans="13:14">
      <c r="M256" s="15"/>
      <c r="N256" s="15"/>
    </row>
    <row r="257" spans="13:14">
      <c r="M257" s="15"/>
      <c r="N257" s="15"/>
    </row>
    <row r="258" spans="13:14">
      <c r="M258" s="15"/>
      <c r="N258" s="15"/>
    </row>
    <row r="259" spans="13:14">
      <c r="M259" s="15"/>
      <c r="N259" s="15"/>
    </row>
    <row r="260" spans="13:14">
      <c r="M260" s="15"/>
      <c r="N260" s="15"/>
    </row>
    <row r="261" spans="13:14">
      <c r="M261" s="15"/>
      <c r="N261" s="15"/>
    </row>
    <row r="262" spans="13:14">
      <c r="M262" s="15"/>
      <c r="N262" s="15"/>
    </row>
    <row r="263" spans="13:14">
      <c r="M263" s="15"/>
      <c r="N263" s="15"/>
    </row>
    <row r="264" spans="13:14">
      <c r="M264" s="15"/>
      <c r="N264" s="15"/>
    </row>
    <row r="265" spans="13:14">
      <c r="M265" s="15"/>
      <c r="N265" s="15"/>
    </row>
    <row r="266" spans="13:14">
      <c r="M266" s="15"/>
      <c r="N266" s="15"/>
    </row>
    <row r="267" spans="13:14">
      <c r="M267" s="15"/>
      <c r="N267" s="15"/>
    </row>
    <row r="268" spans="13:14">
      <c r="M268" s="15"/>
      <c r="N268" s="15"/>
    </row>
    <row r="269" spans="13:14">
      <c r="M269" s="15"/>
      <c r="N269" s="15"/>
    </row>
    <row r="270" spans="13:14">
      <c r="M270" s="15"/>
      <c r="N270" s="15"/>
    </row>
    <row r="271" spans="13:14">
      <c r="M271" s="15"/>
      <c r="N271" s="15"/>
    </row>
    <row r="272" spans="13:14">
      <c r="M272" s="15"/>
      <c r="N272" s="15"/>
    </row>
    <row r="273" spans="13:14">
      <c r="M273" s="15"/>
      <c r="N273" s="15"/>
    </row>
    <row r="274" spans="13:14">
      <c r="M274" s="15"/>
      <c r="N274" s="15"/>
    </row>
    <row r="275" spans="13:14">
      <c r="M275" s="15"/>
      <c r="N275" s="15"/>
    </row>
    <row r="276" spans="13:14">
      <c r="M276" s="15"/>
      <c r="N276" s="15"/>
    </row>
    <row r="277" spans="13:14">
      <c r="M277" s="15"/>
      <c r="N277" s="15"/>
    </row>
    <row r="278" spans="13:14">
      <c r="M278" s="15"/>
      <c r="N278" s="15"/>
    </row>
    <row r="279" spans="13:14">
      <c r="M279" s="15"/>
      <c r="N279" s="15"/>
    </row>
    <row r="280" spans="13:14">
      <c r="M280" s="15"/>
      <c r="N280" s="15"/>
    </row>
    <row r="281" spans="13:14">
      <c r="M281" s="15"/>
      <c r="N281" s="15"/>
    </row>
    <row r="282" spans="13:14">
      <c r="M282" s="15"/>
      <c r="N282" s="15"/>
    </row>
    <row r="283" spans="13:14">
      <c r="M283" s="15"/>
      <c r="N283" s="15"/>
    </row>
    <row r="284" spans="13:14">
      <c r="M284" s="15"/>
      <c r="N284" s="15"/>
    </row>
    <row r="285" spans="13:14">
      <c r="M285" s="15"/>
      <c r="N285" s="15"/>
    </row>
    <row r="286" spans="13:14">
      <c r="M286" s="15"/>
      <c r="N286" s="15"/>
    </row>
    <row r="287" spans="13:14">
      <c r="M287" s="15"/>
      <c r="N287" s="15"/>
    </row>
    <row r="288" spans="13:14">
      <c r="M288" s="15"/>
      <c r="N288" s="15"/>
    </row>
    <row r="289" spans="13:14">
      <c r="M289" s="15"/>
      <c r="N289" s="15"/>
    </row>
    <row r="290" spans="13:14">
      <c r="M290" s="15"/>
      <c r="N290" s="15"/>
    </row>
    <row r="291" spans="13:14">
      <c r="M291" s="15"/>
      <c r="N291" s="15"/>
    </row>
    <row r="292" spans="13:14">
      <c r="M292" s="15"/>
      <c r="N292" s="15"/>
    </row>
    <row r="293" spans="13:14">
      <c r="M293" s="15"/>
      <c r="N293" s="15"/>
    </row>
    <row r="294" spans="13:14">
      <c r="M294" s="15"/>
      <c r="N294" s="15"/>
    </row>
    <row r="295" spans="13:14">
      <c r="M295" s="15"/>
      <c r="N295" s="15"/>
    </row>
    <row r="296" spans="13:14">
      <c r="M296" s="15"/>
      <c r="N296" s="15"/>
    </row>
    <row r="297" spans="13:14">
      <c r="M297" s="15"/>
      <c r="N297" s="15"/>
    </row>
    <row r="298" spans="13:14">
      <c r="M298" s="15"/>
      <c r="N298" s="15"/>
    </row>
    <row r="299" spans="13:14">
      <c r="M299" s="15"/>
      <c r="N299" s="15"/>
    </row>
    <row r="300" spans="13:14">
      <c r="M300" s="15"/>
      <c r="N300" s="15"/>
    </row>
    <row r="301" spans="13:14">
      <c r="M301" s="15"/>
      <c r="N301" s="15"/>
    </row>
    <row r="302" spans="13:14">
      <c r="M302" s="15"/>
      <c r="N302" s="15"/>
    </row>
    <row r="303" spans="13:14">
      <c r="M303" s="15"/>
      <c r="N303" s="15"/>
    </row>
    <row r="304" spans="13:14">
      <c r="M304" s="15"/>
      <c r="N304" s="15"/>
    </row>
    <row r="305" spans="13:14">
      <c r="M305" s="15"/>
      <c r="N305" s="15"/>
    </row>
    <row r="306" spans="13:14">
      <c r="M306" s="15"/>
      <c r="N306" s="15"/>
    </row>
    <row r="307" spans="13:14">
      <c r="M307" s="15"/>
      <c r="N307" s="15"/>
    </row>
    <row r="308" spans="13:14">
      <c r="M308" s="15"/>
      <c r="N308" s="15"/>
    </row>
    <row r="309" spans="13:14">
      <c r="M309" s="15"/>
      <c r="N309" s="15"/>
    </row>
    <row r="310" spans="13:14">
      <c r="M310" s="15"/>
      <c r="N310" s="15"/>
    </row>
    <row r="311" spans="13:14">
      <c r="M311" s="15"/>
      <c r="N311" s="15"/>
    </row>
    <row r="312" spans="13:14">
      <c r="M312" s="15"/>
      <c r="N312" s="15"/>
    </row>
    <row r="313" spans="13:14">
      <c r="M313" s="15"/>
      <c r="N313" s="15"/>
    </row>
    <row r="314" spans="13:14">
      <c r="M314" s="15"/>
      <c r="N314" s="15"/>
    </row>
    <row r="315" spans="13:14">
      <c r="M315" s="15"/>
      <c r="N315" s="15"/>
    </row>
    <row r="316" spans="13:14">
      <c r="M316" s="15"/>
      <c r="N316" s="15"/>
    </row>
    <row r="317" spans="13:14">
      <c r="M317" s="15"/>
      <c r="N317" s="15"/>
    </row>
    <row r="318" spans="13:14">
      <c r="M318" s="15"/>
      <c r="N318" s="15"/>
    </row>
    <row r="319" spans="13:14">
      <c r="M319" s="15"/>
      <c r="N319" s="15"/>
    </row>
    <row r="320" spans="13:14">
      <c r="M320" s="15"/>
      <c r="N320" s="15"/>
    </row>
    <row r="321" spans="13:14">
      <c r="M321" s="15"/>
      <c r="N321" s="15"/>
    </row>
    <row r="322" spans="13:14">
      <c r="M322" s="15"/>
      <c r="N322" s="15"/>
    </row>
    <row r="323" spans="13:14">
      <c r="M323" s="15"/>
      <c r="N323" s="15"/>
    </row>
    <row r="324" spans="13:14">
      <c r="M324" s="15"/>
      <c r="N324" s="15"/>
    </row>
    <row r="325" spans="13:14">
      <c r="M325" s="15"/>
      <c r="N325" s="15"/>
    </row>
    <row r="326" spans="13:14">
      <c r="M326" s="15"/>
      <c r="N326" s="15"/>
    </row>
    <row r="327" spans="13:14">
      <c r="M327" s="15"/>
      <c r="N327" s="15"/>
    </row>
    <row r="328" spans="13:14">
      <c r="M328" s="15"/>
      <c r="N328" s="15"/>
    </row>
    <row r="329" spans="13:14">
      <c r="M329" s="15"/>
      <c r="N329" s="15"/>
    </row>
    <row r="330" spans="13:14">
      <c r="M330" s="15"/>
      <c r="N330" s="15"/>
    </row>
    <row r="331" spans="13:14">
      <c r="M331" s="15"/>
      <c r="N331" s="15"/>
    </row>
    <row r="332" spans="13:14">
      <c r="M332" s="15"/>
      <c r="N332" s="15"/>
    </row>
    <row r="333" spans="13:14">
      <c r="M333" s="15"/>
      <c r="N333" s="15"/>
    </row>
    <row r="334" spans="13:14">
      <c r="M334" s="15"/>
      <c r="N334" s="15"/>
    </row>
    <row r="335" spans="13:14">
      <c r="M335" s="15"/>
      <c r="N335" s="15"/>
    </row>
    <row r="336" spans="13:14">
      <c r="M336" s="15"/>
      <c r="N336" s="15"/>
    </row>
    <row r="337" spans="13:14">
      <c r="M337" s="15"/>
      <c r="N337" s="15"/>
    </row>
    <row r="338" spans="13:14">
      <c r="M338" s="15"/>
      <c r="N338" s="15"/>
    </row>
    <row r="339" spans="13:14">
      <c r="M339" s="15"/>
      <c r="N339" s="15"/>
    </row>
    <row r="340" spans="13:14">
      <c r="M340" s="15"/>
      <c r="N340" s="15"/>
    </row>
    <row r="341" spans="13:14">
      <c r="M341" s="15"/>
      <c r="N341" s="15"/>
    </row>
    <row r="342" spans="13:14">
      <c r="M342" s="15"/>
      <c r="N342" s="15"/>
    </row>
    <row r="343" spans="13:14">
      <c r="M343" s="15"/>
      <c r="N343" s="15"/>
    </row>
    <row r="344" spans="13:14">
      <c r="M344" s="15"/>
      <c r="N344" s="15"/>
    </row>
    <row r="345" spans="13:14">
      <c r="M345" s="15"/>
      <c r="N345" s="15"/>
    </row>
    <row r="346" spans="13:14">
      <c r="M346" s="15"/>
      <c r="N346" s="15"/>
    </row>
    <row r="347" spans="13:14">
      <c r="M347" s="15"/>
      <c r="N347" s="15"/>
    </row>
    <row r="348" spans="13:14">
      <c r="M348" s="15"/>
      <c r="N348" s="15"/>
    </row>
    <row r="349" spans="13:14">
      <c r="M349" s="15"/>
      <c r="N349" s="15"/>
    </row>
    <row r="350" spans="13:14">
      <c r="M350" s="15"/>
      <c r="N350" s="15"/>
    </row>
    <row r="351" spans="13:14">
      <c r="M351" s="15"/>
      <c r="N351" s="15"/>
    </row>
    <row r="352" spans="13:14">
      <c r="M352" s="15"/>
      <c r="N352" s="15"/>
    </row>
    <row r="353" spans="13:14">
      <c r="M353" s="15"/>
      <c r="N353" s="15"/>
    </row>
    <row r="354" spans="13:14">
      <c r="M354" s="15"/>
      <c r="N354" s="15"/>
    </row>
    <row r="355" spans="13:14">
      <c r="M355" s="15"/>
      <c r="N355" s="15"/>
    </row>
    <row r="356" spans="13:14">
      <c r="M356" s="15"/>
      <c r="N356" s="15"/>
    </row>
    <row r="357" spans="13:14">
      <c r="M357" s="15"/>
      <c r="N357" s="15"/>
    </row>
    <row r="358" spans="13:14">
      <c r="M358" s="15"/>
      <c r="N358" s="15"/>
    </row>
    <row r="359" spans="13:14">
      <c r="M359" s="15"/>
      <c r="N359" s="15"/>
    </row>
    <row r="360" spans="13:14">
      <c r="M360" s="15"/>
      <c r="N360" s="15"/>
    </row>
    <row r="361" spans="13:14">
      <c r="M361" s="15"/>
      <c r="N361" s="15"/>
    </row>
    <row r="362" spans="13:14">
      <c r="M362" s="15"/>
      <c r="N362" s="15"/>
    </row>
    <row r="363" spans="13:14">
      <c r="M363" s="15"/>
      <c r="N363" s="15"/>
    </row>
    <row r="364" spans="13:14">
      <c r="M364" s="15"/>
      <c r="N364" s="15"/>
    </row>
    <row r="365" spans="13:14">
      <c r="M365" s="15"/>
      <c r="N365" s="15"/>
    </row>
    <row r="366" spans="13:14">
      <c r="M366" s="15"/>
      <c r="N366" s="15"/>
    </row>
    <row r="367" spans="13:14">
      <c r="M367" s="15"/>
      <c r="N367" s="15"/>
    </row>
    <row r="368" spans="13:14">
      <c r="M368" s="15"/>
      <c r="N368" s="15"/>
    </row>
    <row r="369" spans="13:14">
      <c r="M369" s="15"/>
      <c r="N369" s="15"/>
    </row>
    <row r="370" spans="13:14">
      <c r="M370" s="15"/>
      <c r="N370" s="15"/>
    </row>
    <row r="371" spans="13:14">
      <c r="M371" s="15"/>
      <c r="N371" s="15"/>
    </row>
    <row r="372" spans="13:14">
      <c r="M372" s="15"/>
      <c r="N372" s="15"/>
    </row>
    <row r="373" spans="13:14">
      <c r="M373" s="15"/>
      <c r="N373" s="15"/>
    </row>
    <row r="374" spans="13:14">
      <c r="M374" s="15"/>
      <c r="N374" s="15"/>
    </row>
    <row r="375" spans="13:14">
      <c r="M375" s="15"/>
      <c r="N375" s="15"/>
    </row>
    <row r="376" spans="13:14">
      <c r="M376" s="15"/>
      <c r="N376" s="15"/>
    </row>
    <row r="377" spans="13:14">
      <c r="M377" s="15"/>
      <c r="N377" s="15"/>
    </row>
    <row r="378" spans="13:14">
      <c r="M378" s="15"/>
      <c r="N378" s="15"/>
    </row>
    <row r="379" spans="13:14">
      <c r="M379" s="15"/>
      <c r="N379" s="15"/>
    </row>
    <row r="380" spans="13:14">
      <c r="M380" s="15"/>
      <c r="N380" s="15"/>
    </row>
    <row r="381" spans="13:14">
      <c r="M381" s="15"/>
      <c r="N381" s="15"/>
    </row>
    <row r="382" spans="13:14">
      <c r="M382" s="15"/>
      <c r="N382" s="15"/>
    </row>
    <row r="383" spans="13:14">
      <c r="M383" s="15"/>
      <c r="N383" s="15"/>
    </row>
    <row r="384" spans="13:14">
      <c r="M384" s="15"/>
      <c r="N384" s="15"/>
    </row>
    <row r="385" spans="13:14">
      <c r="M385" s="15"/>
      <c r="N385" s="15"/>
    </row>
    <row r="386" spans="13:14">
      <c r="M386" s="15"/>
      <c r="N386" s="15"/>
    </row>
    <row r="387" spans="13:14">
      <c r="M387" s="15"/>
      <c r="N387" s="15"/>
    </row>
    <row r="388" spans="13:14">
      <c r="M388" s="15"/>
      <c r="N388" s="15"/>
    </row>
    <row r="389" spans="13:14">
      <c r="M389" s="15"/>
      <c r="N389" s="15"/>
    </row>
    <row r="390" spans="13:14">
      <c r="M390" s="15"/>
      <c r="N390" s="15"/>
    </row>
    <row r="391" spans="13:14">
      <c r="M391" s="15"/>
      <c r="N391" s="15"/>
    </row>
    <row r="392" spans="13:14">
      <c r="M392" s="15"/>
      <c r="N392" s="15"/>
    </row>
    <row r="393" spans="13:14">
      <c r="M393" s="15"/>
      <c r="N393" s="15"/>
    </row>
    <row r="394" spans="13:14">
      <c r="M394" s="15"/>
      <c r="N394" s="15"/>
    </row>
    <row r="395" spans="13:14">
      <c r="M395" s="15"/>
      <c r="N395" s="15"/>
    </row>
    <row r="396" spans="13:14">
      <c r="M396" s="15"/>
      <c r="N396" s="15"/>
    </row>
    <row r="397" spans="13:14">
      <c r="M397" s="15"/>
      <c r="N397" s="15"/>
    </row>
    <row r="398" spans="13:14">
      <c r="M398" s="15"/>
      <c r="N398" s="15"/>
    </row>
    <row r="399" spans="13:14">
      <c r="M399" s="15"/>
      <c r="N399" s="15"/>
    </row>
    <row r="400" spans="13:14">
      <c r="M400" s="15"/>
      <c r="N400" s="15"/>
    </row>
    <row r="401" spans="13:14">
      <c r="M401" s="15"/>
      <c r="N401" s="15"/>
    </row>
    <row r="402" spans="13:14">
      <c r="M402" s="15"/>
      <c r="N402" s="15"/>
    </row>
    <row r="403" spans="13:14">
      <c r="M403" s="15"/>
      <c r="N403" s="15"/>
    </row>
    <row r="404" spans="13:14">
      <c r="M404" s="15"/>
      <c r="N404" s="15"/>
    </row>
    <row r="405" spans="13:14">
      <c r="M405" s="15"/>
      <c r="N405" s="15"/>
    </row>
    <row r="406" spans="13:14">
      <c r="M406" s="15"/>
      <c r="N406" s="15"/>
    </row>
    <row r="407" spans="13:14">
      <c r="M407" s="15"/>
      <c r="N407" s="15"/>
    </row>
    <row r="408" spans="13:14">
      <c r="M408" s="15"/>
      <c r="N408" s="15"/>
    </row>
    <row r="409" spans="13:14">
      <c r="M409" s="15"/>
      <c r="N409" s="15"/>
    </row>
    <row r="410" spans="13:14">
      <c r="M410" s="15"/>
      <c r="N410" s="15"/>
    </row>
    <row r="411" spans="13:14">
      <c r="M411" s="15"/>
      <c r="N411" s="15"/>
    </row>
    <row r="412" spans="13:14">
      <c r="M412" s="15"/>
      <c r="N412" s="15"/>
    </row>
    <row r="413" spans="13:14">
      <c r="M413" s="15"/>
      <c r="N413" s="15"/>
    </row>
    <row r="414" spans="13:14">
      <c r="M414" s="15"/>
      <c r="N414" s="15"/>
    </row>
    <row r="415" spans="13:14">
      <c r="M415" s="15"/>
      <c r="N415" s="15"/>
    </row>
    <row r="416" spans="13:14">
      <c r="M416" s="15"/>
      <c r="N416" s="15"/>
    </row>
    <row r="417" spans="13:14">
      <c r="M417" s="15"/>
      <c r="N417" s="15"/>
    </row>
    <row r="418" spans="13:14">
      <c r="M418" s="15"/>
      <c r="N418" s="15"/>
    </row>
    <row r="419" spans="13:14">
      <c r="M419" s="15"/>
      <c r="N419" s="15"/>
    </row>
    <row r="420" spans="13:14">
      <c r="M420" s="15"/>
      <c r="N420" s="15"/>
    </row>
    <row r="421" spans="13:14">
      <c r="M421" s="15"/>
      <c r="N421" s="15"/>
    </row>
    <row r="422" spans="13:14">
      <c r="M422" s="15"/>
      <c r="N422" s="15"/>
    </row>
    <row r="423" spans="13:14">
      <c r="M423" s="15"/>
      <c r="N423" s="15"/>
    </row>
    <row r="424" spans="13:14">
      <c r="M424" s="15"/>
      <c r="N424" s="15"/>
    </row>
    <row r="425" spans="13:14">
      <c r="M425" s="15"/>
      <c r="N425" s="15"/>
    </row>
    <row r="426" spans="13:14">
      <c r="M426" s="15"/>
      <c r="N426" s="15"/>
    </row>
    <row r="427" spans="13:14">
      <c r="M427" s="15"/>
      <c r="N427" s="15"/>
    </row>
    <row r="428" spans="13:14">
      <c r="M428" s="15"/>
      <c r="N428" s="15"/>
    </row>
    <row r="429" spans="13:14">
      <c r="M429" s="15"/>
      <c r="N429" s="15"/>
    </row>
    <row r="430" spans="13:14">
      <c r="M430" s="15"/>
      <c r="N430" s="15"/>
    </row>
    <row r="431" spans="13:14">
      <c r="M431" s="15"/>
      <c r="N431" s="15"/>
    </row>
    <row r="432" spans="13:14">
      <c r="M432" s="15"/>
      <c r="N432" s="15"/>
    </row>
    <row r="433" spans="13:14">
      <c r="M433" s="15"/>
      <c r="N433" s="15"/>
    </row>
    <row r="434" spans="13:14">
      <c r="M434" s="15"/>
      <c r="N434" s="15"/>
    </row>
    <row r="435" spans="13:14">
      <c r="M435" s="15"/>
      <c r="N435" s="15"/>
    </row>
    <row r="436" spans="13:14">
      <c r="M436" s="15"/>
      <c r="N436" s="15"/>
    </row>
    <row r="437" spans="13:14">
      <c r="M437" s="15"/>
      <c r="N437" s="15"/>
    </row>
    <row r="438" spans="13:14">
      <c r="M438" s="15"/>
      <c r="N438" s="15"/>
    </row>
    <row r="439" spans="13:14">
      <c r="M439" s="15"/>
      <c r="N439" s="15"/>
    </row>
    <row r="440" spans="13:14">
      <c r="M440" s="15"/>
      <c r="N440" s="15"/>
    </row>
    <row r="441" spans="13:14">
      <c r="M441" s="15"/>
      <c r="N441" s="15"/>
    </row>
    <row r="442" spans="13:14">
      <c r="M442" s="15"/>
      <c r="N442" s="15"/>
    </row>
    <row r="443" spans="13:14">
      <c r="M443" s="15"/>
      <c r="N443" s="15"/>
    </row>
    <row r="444" spans="13:14">
      <c r="M444" s="15"/>
      <c r="N444" s="15"/>
    </row>
    <row r="445" spans="13:14">
      <c r="M445" s="15"/>
      <c r="N445" s="15"/>
    </row>
    <row r="446" spans="13:14">
      <c r="M446" s="15"/>
      <c r="N446" s="15"/>
    </row>
    <row r="447" spans="13:14">
      <c r="M447" s="15"/>
      <c r="N447" s="15"/>
    </row>
    <row r="448" spans="13:14">
      <c r="M448" s="15"/>
      <c r="N448" s="15"/>
    </row>
    <row r="449" spans="13:14">
      <c r="M449" s="15"/>
      <c r="N449" s="15"/>
    </row>
    <row r="450" spans="13:14">
      <c r="M450" s="15"/>
      <c r="N450" s="15"/>
    </row>
    <row r="451" spans="13:14">
      <c r="M451" s="15"/>
      <c r="N451" s="15"/>
    </row>
    <row r="452" spans="13:14">
      <c r="M452" s="15"/>
      <c r="N452" s="15"/>
    </row>
    <row r="453" spans="13:14">
      <c r="M453" s="15"/>
      <c r="N453" s="15"/>
    </row>
    <row r="454" spans="13:14">
      <c r="M454" s="15"/>
      <c r="N454" s="15"/>
    </row>
    <row r="455" spans="13:14">
      <c r="M455" s="15"/>
      <c r="N455" s="15"/>
    </row>
    <row r="456" spans="13:14">
      <c r="M456" s="15"/>
      <c r="N456" s="15"/>
    </row>
    <row r="457" spans="13:14">
      <c r="M457" s="15"/>
      <c r="N457" s="15"/>
    </row>
    <row r="458" spans="13:14">
      <c r="M458" s="15"/>
      <c r="N458" s="15"/>
    </row>
    <row r="459" spans="13:14">
      <c r="M459" s="15"/>
      <c r="N459" s="15"/>
    </row>
    <row r="460" spans="13:14">
      <c r="M460" s="15"/>
      <c r="N460" s="15"/>
    </row>
    <row r="461" spans="13:14">
      <c r="M461" s="15"/>
      <c r="N461" s="15"/>
    </row>
    <row r="462" spans="13:14">
      <c r="M462" s="15"/>
      <c r="N462" s="15"/>
    </row>
    <row r="463" spans="13:14">
      <c r="M463" s="15"/>
      <c r="N463" s="15"/>
    </row>
    <row r="464" spans="13:14">
      <c r="M464" s="15"/>
      <c r="N464" s="15"/>
    </row>
    <row r="465" spans="13:14">
      <c r="M465" s="15"/>
      <c r="N465" s="15"/>
    </row>
    <row r="466" spans="13:14">
      <c r="M466" s="15"/>
      <c r="N466" s="15"/>
    </row>
    <row r="467" spans="13:14">
      <c r="M467" s="15"/>
      <c r="N467" s="15"/>
    </row>
    <row r="468" spans="13:14">
      <c r="M468" s="15"/>
      <c r="N468" s="15"/>
    </row>
    <row r="469" spans="13:14">
      <c r="M469" s="15"/>
      <c r="N469" s="15"/>
    </row>
    <row r="470" spans="13:14">
      <c r="M470" s="15"/>
      <c r="N470" s="15"/>
    </row>
    <row r="471" spans="13:14">
      <c r="M471" s="15"/>
      <c r="N471" s="15"/>
    </row>
    <row r="472" spans="13:14">
      <c r="M472" s="15"/>
      <c r="N472" s="15"/>
    </row>
    <row r="473" spans="13:14">
      <c r="M473" s="15"/>
      <c r="N473" s="15"/>
    </row>
    <row r="474" spans="13:14">
      <c r="M474" s="15"/>
      <c r="N474" s="15"/>
    </row>
    <row r="475" spans="13:14">
      <c r="M475" s="15"/>
      <c r="N475" s="15"/>
    </row>
    <row r="476" spans="13:14">
      <c r="M476" s="15"/>
      <c r="N476" s="15"/>
    </row>
    <row r="477" spans="13:14">
      <c r="M477" s="15"/>
      <c r="N477" s="15"/>
    </row>
    <row r="478" spans="13:14">
      <c r="M478" s="15"/>
      <c r="N478" s="15"/>
    </row>
    <row r="479" spans="13:14">
      <c r="M479" s="15"/>
      <c r="N479" s="15"/>
    </row>
    <row r="480" spans="13:14">
      <c r="M480" s="15"/>
      <c r="N480" s="15"/>
    </row>
    <row r="481" spans="13:14">
      <c r="M481" s="15"/>
      <c r="N481" s="15"/>
    </row>
    <row r="482" spans="13:14">
      <c r="M482" s="15"/>
      <c r="N482" s="15"/>
    </row>
    <row r="483" spans="13:14">
      <c r="M483" s="15"/>
      <c r="N483" s="15"/>
    </row>
    <row r="484" spans="13:14">
      <c r="M484" s="15"/>
      <c r="N484" s="15"/>
    </row>
    <row r="485" spans="13:14">
      <c r="M485" s="15"/>
      <c r="N485" s="15"/>
    </row>
    <row r="486" spans="13:14">
      <c r="M486" s="15"/>
      <c r="N486" s="15"/>
    </row>
    <row r="487" spans="13:14">
      <c r="M487" s="15"/>
      <c r="N487" s="15"/>
    </row>
    <row r="488" spans="13:14">
      <c r="M488" s="15"/>
      <c r="N488" s="15"/>
    </row>
    <row r="489" spans="13:14">
      <c r="M489" s="15"/>
      <c r="N489" s="15"/>
    </row>
    <row r="490" spans="13:14">
      <c r="M490" s="15"/>
      <c r="N490" s="15"/>
    </row>
    <row r="491" spans="13:14">
      <c r="M491" s="15"/>
      <c r="N491" s="15"/>
    </row>
    <row r="492" spans="13:14">
      <c r="M492" s="15"/>
      <c r="N492" s="15"/>
    </row>
    <row r="493" spans="13:14">
      <c r="M493" s="15"/>
      <c r="N493" s="15"/>
    </row>
    <row r="494" spans="13:14">
      <c r="M494" s="15"/>
      <c r="N494" s="15"/>
    </row>
    <row r="495" spans="13:14">
      <c r="M495" s="15"/>
      <c r="N495" s="15"/>
    </row>
    <row r="496" spans="13:14">
      <c r="M496" s="15"/>
      <c r="N496" s="15"/>
    </row>
    <row r="497" spans="13:14">
      <c r="M497" s="15"/>
      <c r="N497" s="15"/>
    </row>
    <row r="498" spans="13:14">
      <c r="M498" s="15"/>
      <c r="N498" s="15"/>
    </row>
    <row r="499" spans="13:14">
      <c r="M499" s="15"/>
      <c r="N499" s="15"/>
    </row>
    <row r="500" spans="13:14">
      <c r="M500" s="15"/>
      <c r="N500" s="15"/>
    </row>
    <row r="501" spans="13:14">
      <c r="M501" s="15"/>
      <c r="N501" s="15"/>
    </row>
    <row r="502" spans="13:14">
      <c r="M502" s="15"/>
      <c r="N502" s="15"/>
    </row>
    <row r="503" spans="13:14">
      <c r="M503" s="15"/>
      <c r="N503" s="15"/>
    </row>
    <row r="504" spans="13:14">
      <c r="M504" s="15"/>
      <c r="N504" s="15"/>
    </row>
    <row r="505" spans="13:14">
      <c r="M505" s="15"/>
      <c r="N505" s="15"/>
    </row>
    <row r="506" spans="13:14">
      <c r="M506" s="15"/>
      <c r="N506" s="15"/>
    </row>
    <row r="507" spans="13:14">
      <c r="M507" s="15"/>
      <c r="N507" s="15"/>
    </row>
    <row r="508" spans="13:14">
      <c r="M508" s="15"/>
      <c r="N508" s="15"/>
    </row>
    <row r="509" spans="13:14">
      <c r="M509" s="15"/>
      <c r="N509" s="15"/>
    </row>
    <row r="510" spans="13:14">
      <c r="M510" s="15"/>
      <c r="N510" s="15"/>
    </row>
    <row r="511" spans="13:14">
      <c r="M511" s="15"/>
      <c r="N511" s="15"/>
    </row>
    <row r="512" spans="13:14">
      <c r="M512" s="15"/>
      <c r="N512" s="15"/>
    </row>
    <row r="513" spans="13:14">
      <c r="M513" s="15"/>
      <c r="N513" s="15"/>
    </row>
    <row r="514" spans="13:14">
      <c r="M514" s="15"/>
      <c r="N514" s="15"/>
    </row>
    <row r="515" spans="13:14">
      <c r="M515" s="15"/>
      <c r="N515" s="15"/>
    </row>
    <row r="516" spans="13:14">
      <c r="M516" s="15"/>
      <c r="N516" s="15"/>
    </row>
    <row r="517" spans="13:14">
      <c r="M517" s="15"/>
      <c r="N517" s="15"/>
    </row>
    <row r="518" spans="13:14">
      <c r="M518" s="15"/>
      <c r="N518" s="15"/>
    </row>
    <row r="519" spans="13:14">
      <c r="M519" s="15"/>
      <c r="N519" s="15"/>
    </row>
    <row r="520" spans="13:14">
      <c r="M520" s="15"/>
      <c r="N520" s="15"/>
    </row>
    <row r="521" spans="13:14">
      <c r="M521" s="15"/>
      <c r="N521" s="15"/>
    </row>
    <row r="522" spans="13:14">
      <c r="M522" s="15"/>
      <c r="N522" s="15"/>
    </row>
    <row r="523" spans="13:14">
      <c r="M523" s="15"/>
      <c r="N523" s="15"/>
    </row>
    <row r="524" spans="13:14">
      <c r="M524" s="15"/>
      <c r="N524" s="15"/>
    </row>
    <row r="525" spans="13:14">
      <c r="M525" s="15"/>
      <c r="N525" s="15"/>
    </row>
    <row r="526" spans="13:14">
      <c r="M526" s="15"/>
      <c r="N526" s="15"/>
    </row>
    <row r="527" spans="13:14">
      <c r="M527" s="15"/>
      <c r="N527" s="15"/>
    </row>
    <row r="528" spans="13:14">
      <c r="M528" s="15"/>
      <c r="N528" s="15"/>
    </row>
    <row r="529" spans="13:14">
      <c r="M529" s="15"/>
      <c r="N529" s="15"/>
    </row>
    <row r="530" spans="13:14">
      <c r="M530" s="15"/>
      <c r="N530" s="15"/>
    </row>
    <row r="531" spans="13:14">
      <c r="M531" s="15"/>
      <c r="N531" s="15"/>
    </row>
    <row r="532" spans="13:14">
      <c r="M532" s="15"/>
      <c r="N532" s="15"/>
    </row>
    <row r="533" spans="13:14">
      <c r="M533" s="15"/>
      <c r="N533" s="15"/>
    </row>
    <row r="534" spans="13:14">
      <c r="M534" s="15"/>
      <c r="N534" s="15"/>
    </row>
    <row r="535" spans="13:14">
      <c r="M535" s="15"/>
      <c r="N535" s="15"/>
    </row>
    <row r="536" spans="13:14">
      <c r="M536" s="15"/>
      <c r="N536" s="15"/>
    </row>
    <row r="537" spans="13:14">
      <c r="M537" s="15"/>
      <c r="N537" s="15"/>
    </row>
    <row r="538" spans="13:14">
      <c r="M538" s="15"/>
      <c r="N538" s="15"/>
    </row>
    <row r="539" spans="13:14">
      <c r="M539" s="15"/>
      <c r="N539" s="15"/>
    </row>
    <row r="540" spans="13:14">
      <c r="M540" s="15"/>
      <c r="N540" s="15"/>
    </row>
    <row r="541" spans="13:14">
      <c r="M541" s="15"/>
      <c r="N541" s="15"/>
    </row>
    <row r="542" spans="13:14">
      <c r="M542" s="15"/>
      <c r="N542" s="15"/>
    </row>
    <row r="543" spans="13:14">
      <c r="M543" s="15"/>
      <c r="N543" s="15"/>
    </row>
    <row r="544" spans="13:14">
      <c r="M544" s="15"/>
      <c r="N544" s="15"/>
    </row>
    <row r="545" spans="13:14">
      <c r="M545" s="15"/>
      <c r="N545" s="15"/>
    </row>
    <row r="546" spans="13:14">
      <c r="M546" s="15"/>
      <c r="N546" s="15"/>
    </row>
    <row r="547" spans="13:14">
      <c r="M547" s="15"/>
      <c r="N547" s="15"/>
    </row>
    <row r="548" spans="13:14">
      <c r="M548" s="15"/>
      <c r="N548" s="15"/>
    </row>
    <row r="549" spans="13:14">
      <c r="M549" s="15"/>
      <c r="N549" s="15"/>
    </row>
    <row r="550" spans="13:14">
      <c r="M550" s="15"/>
      <c r="N550" s="15"/>
    </row>
    <row r="551" spans="13:14">
      <c r="M551" s="15"/>
      <c r="N551" s="15"/>
    </row>
    <row r="552" spans="13:14">
      <c r="M552" s="15"/>
      <c r="N552" s="15"/>
    </row>
    <row r="553" spans="13:14">
      <c r="M553" s="15"/>
      <c r="N553" s="15"/>
    </row>
    <row r="554" spans="13:14">
      <c r="M554" s="15"/>
      <c r="N554" s="15"/>
    </row>
    <row r="555" spans="13:14">
      <c r="M555" s="15"/>
      <c r="N555" s="15"/>
    </row>
    <row r="556" spans="13:14">
      <c r="M556" s="15"/>
      <c r="N556" s="15"/>
    </row>
    <row r="557" spans="13:14">
      <c r="M557" s="15"/>
      <c r="N557" s="15"/>
    </row>
    <row r="558" spans="13:14">
      <c r="M558" s="15"/>
      <c r="N558" s="15"/>
    </row>
    <row r="559" spans="13:14">
      <c r="M559" s="15"/>
      <c r="N559" s="15"/>
    </row>
    <row r="560" spans="13:14">
      <c r="M560" s="15"/>
      <c r="N560" s="15"/>
    </row>
    <row r="561" spans="13:14">
      <c r="M561" s="15"/>
      <c r="N561" s="15"/>
    </row>
    <row r="562" spans="13:14">
      <c r="M562" s="15"/>
      <c r="N562" s="15"/>
    </row>
    <row r="563" spans="13:14">
      <c r="M563" s="15"/>
      <c r="N563" s="15"/>
    </row>
    <row r="564" spans="13:14">
      <c r="M564" s="15"/>
      <c r="N564" s="15"/>
    </row>
    <row r="565" spans="13:14">
      <c r="M565" s="15"/>
      <c r="N565" s="15"/>
    </row>
    <row r="566" spans="13:14">
      <c r="M566" s="15"/>
      <c r="N566" s="15"/>
    </row>
    <row r="567" spans="13:14">
      <c r="M567" s="15"/>
      <c r="N567" s="15"/>
    </row>
    <row r="568" spans="13:14">
      <c r="M568" s="15"/>
      <c r="N568" s="15"/>
    </row>
    <row r="569" spans="13:14">
      <c r="M569" s="15"/>
      <c r="N569" s="15"/>
    </row>
    <row r="570" spans="13:14">
      <c r="M570" s="15"/>
      <c r="N570" s="15"/>
    </row>
    <row r="571" spans="13:14">
      <c r="M571" s="15"/>
      <c r="N571" s="15"/>
    </row>
    <row r="572" spans="13:14">
      <c r="M572" s="15"/>
      <c r="N572" s="15"/>
    </row>
    <row r="573" spans="13:14">
      <c r="M573" s="15"/>
      <c r="N573" s="15"/>
    </row>
    <row r="574" spans="13:14">
      <c r="M574" s="15"/>
      <c r="N574" s="15"/>
    </row>
    <row r="575" spans="13:14">
      <c r="M575" s="15"/>
      <c r="N575" s="15"/>
    </row>
    <row r="576" spans="13:14">
      <c r="M576" s="15"/>
      <c r="N576" s="15"/>
    </row>
    <row r="577" spans="13:14">
      <c r="M577" s="15"/>
      <c r="N577" s="15"/>
    </row>
    <row r="578" spans="13:14">
      <c r="M578" s="15"/>
      <c r="N578" s="15"/>
    </row>
    <row r="579" spans="13:14">
      <c r="M579" s="15"/>
      <c r="N579" s="15"/>
    </row>
    <row r="580" spans="13:14">
      <c r="M580" s="15"/>
      <c r="N580" s="15"/>
    </row>
    <row r="581" spans="13:14">
      <c r="M581" s="15"/>
      <c r="N581" s="15"/>
    </row>
    <row r="582" spans="13:14">
      <c r="M582" s="15"/>
      <c r="N582" s="15"/>
    </row>
    <row r="583" spans="13:14">
      <c r="M583" s="15"/>
      <c r="N583" s="15"/>
    </row>
    <row r="584" spans="13:14">
      <c r="M584" s="15"/>
      <c r="N584" s="15"/>
    </row>
    <row r="585" spans="13:14">
      <c r="M585" s="15"/>
      <c r="N585" s="15"/>
    </row>
    <row r="586" spans="13:14">
      <c r="M586" s="15"/>
      <c r="N586" s="15"/>
    </row>
    <row r="587" spans="13:14">
      <c r="M587" s="15"/>
      <c r="N587" s="15"/>
    </row>
    <row r="588" spans="13:14">
      <c r="M588" s="15"/>
      <c r="N588" s="15"/>
    </row>
    <row r="589" spans="13:14">
      <c r="M589" s="15"/>
      <c r="N589" s="15"/>
    </row>
    <row r="590" spans="13:14">
      <c r="M590" s="15"/>
      <c r="N590" s="15"/>
    </row>
    <row r="591" spans="13:14">
      <c r="M591" s="15"/>
      <c r="N591" s="15"/>
    </row>
    <row r="592" spans="13:14">
      <c r="M592" s="15"/>
      <c r="N592" s="15"/>
    </row>
    <row r="593" spans="13:14">
      <c r="M593" s="15"/>
      <c r="N593" s="15"/>
    </row>
    <row r="594" spans="13:14">
      <c r="M594" s="15"/>
      <c r="N594" s="15"/>
    </row>
    <row r="595" spans="13:14">
      <c r="M595" s="15"/>
      <c r="N595" s="15"/>
    </row>
    <row r="596" spans="13:14">
      <c r="M596" s="15"/>
      <c r="N596" s="15"/>
    </row>
    <row r="597" spans="13:14">
      <c r="M597" s="15"/>
      <c r="N597" s="15"/>
    </row>
    <row r="598" spans="13:14">
      <c r="M598" s="15"/>
      <c r="N598" s="15"/>
    </row>
    <row r="599" spans="13:14">
      <c r="M599" s="15"/>
      <c r="N599" s="15"/>
    </row>
    <row r="600" spans="13:14">
      <c r="M600" s="15"/>
      <c r="N600" s="15"/>
    </row>
    <row r="601" spans="13:14">
      <c r="M601" s="15"/>
      <c r="N601" s="15"/>
    </row>
    <row r="602" spans="13:14">
      <c r="M602" s="15"/>
      <c r="N602" s="15"/>
    </row>
    <row r="603" spans="13:14">
      <c r="M603" s="15"/>
      <c r="N603" s="15"/>
    </row>
    <row r="604" spans="13:14">
      <c r="M604" s="15"/>
      <c r="N604" s="15"/>
    </row>
    <row r="605" spans="13:14">
      <c r="M605" s="15"/>
      <c r="N605" s="15"/>
    </row>
    <row r="606" spans="13:14">
      <c r="M606" s="15"/>
      <c r="N606" s="15"/>
    </row>
    <row r="607" spans="13:14">
      <c r="M607" s="15"/>
      <c r="N607" s="15"/>
    </row>
    <row r="608" spans="13:14">
      <c r="M608" s="15"/>
      <c r="N608" s="15"/>
    </row>
    <row r="609" spans="13:14">
      <c r="M609" s="15"/>
      <c r="N609" s="15"/>
    </row>
    <row r="610" spans="13:14">
      <c r="M610" s="15"/>
      <c r="N610" s="15"/>
    </row>
    <row r="611" spans="13:14">
      <c r="M611" s="15"/>
      <c r="N611" s="15"/>
    </row>
    <row r="612" spans="13:14">
      <c r="M612" s="15"/>
      <c r="N612" s="15"/>
    </row>
    <row r="613" spans="13:14">
      <c r="M613" s="15"/>
      <c r="N613" s="15"/>
    </row>
    <row r="614" spans="13:14">
      <c r="M614" s="15"/>
      <c r="N614" s="15"/>
    </row>
    <row r="615" spans="13:14">
      <c r="M615" s="15"/>
      <c r="N615" s="15"/>
    </row>
    <row r="616" spans="13:14">
      <c r="M616" s="15"/>
      <c r="N616" s="15"/>
    </row>
    <row r="617" spans="13:14">
      <c r="M617" s="15"/>
      <c r="N617" s="15"/>
    </row>
    <row r="618" spans="13:14">
      <c r="M618" s="15"/>
      <c r="N618" s="15"/>
    </row>
    <row r="619" spans="13:14">
      <c r="M619" s="15"/>
      <c r="N619" s="15"/>
    </row>
    <row r="620" spans="13:14">
      <c r="M620" s="15"/>
      <c r="N620" s="15"/>
    </row>
    <row r="621" spans="13:14">
      <c r="M621" s="15"/>
      <c r="N621" s="15"/>
    </row>
    <row r="622" spans="13:14">
      <c r="M622" s="15"/>
      <c r="N622" s="15"/>
    </row>
    <row r="623" spans="13:14">
      <c r="M623" s="15"/>
      <c r="N623" s="15"/>
    </row>
    <row r="624" spans="13:14">
      <c r="M624" s="15"/>
      <c r="N624" s="15"/>
    </row>
    <row r="625" spans="13:14">
      <c r="M625" s="15"/>
      <c r="N625" s="15"/>
    </row>
    <row r="626" spans="13:14">
      <c r="M626" s="15"/>
      <c r="N626" s="15"/>
    </row>
    <row r="627" spans="13:14">
      <c r="M627" s="15"/>
      <c r="N627" s="15"/>
    </row>
    <row r="628" spans="13:14">
      <c r="M628" s="15"/>
      <c r="N628" s="15"/>
    </row>
    <row r="629" spans="13:14">
      <c r="M629" s="15"/>
      <c r="N629" s="15"/>
    </row>
    <row r="630" spans="13:14">
      <c r="M630" s="15"/>
      <c r="N630" s="15"/>
    </row>
    <row r="631" spans="13:14">
      <c r="M631" s="15"/>
      <c r="N631" s="15"/>
    </row>
    <row r="632" spans="13:14">
      <c r="M632" s="15"/>
      <c r="N632" s="15"/>
    </row>
    <row r="633" spans="13:14">
      <c r="M633" s="15"/>
      <c r="N633" s="15"/>
    </row>
    <row r="634" spans="13:14">
      <c r="M634" s="15"/>
      <c r="N634" s="15"/>
    </row>
    <row r="635" spans="13:14">
      <c r="M635" s="15"/>
      <c r="N635" s="15"/>
    </row>
    <row r="636" spans="13:14">
      <c r="M636" s="15"/>
      <c r="N636" s="15"/>
    </row>
    <row r="637" spans="13:14">
      <c r="M637" s="15"/>
      <c r="N637" s="15"/>
    </row>
    <row r="638" spans="13:14">
      <c r="M638" s="15"/>
      <c r="N638" s="15"/>
    </row>
    <row r="639" spans="13:14">
      <c r="M639" s="15"/>
      <c r="N639" s="15"/>
    </row>
    <row r="640" spans="13:14">
      <c r="M640" s="15"/>
      <c r="N640" s="15"/>
    </row>
    <row r="641" spans="13:14">
      <c r="M641" s="15"/>
      <c r="N641" s="15"/>
    </row>
    <row r="642" spans="13:14">
      <c r="M642" s="15"/>
      <c r="N642" s="15"/>
    </row>
    <row r="643" spans="13:14">
      <c r="M643" s="15"/>
      <c r="N643" s="15"/>
    </row>
    <row r="644" spans="13:14">
      <c r="M644" s="15"/>
      <c r="N644" s="15"/>
    </row>
    <row r="645" spans="13:14">
      <c r="M645" s="15"/>
      <c r="N645" s="15"/>
    </row>
    <row r="646" spans="13:14">
      <c r="M646" s="15"/>
      <c r="N646" s="15"/>
    </row>
    <row r="647" spans="13:14">
      <c r="M647" s="15"/>
      <c r="N647" s="15"/>
    </row>
    <row r="648" spans="13:14">
      <c r="M648" s="15"/>
      <c r="N648" s="15"/>
    </row>
    <row r="649" spans="13:14">
      <c r="M649" s="15"/>
      <c r="N649" s="15"/>
    </row>
    <row r="650" spans="13:14">
      <c r="M650" s="15"/>
      <c r="N650" s="15"/>
    </row>
    <row r="651" spans="13:14">
      <c r="M651" s="15"/>
      <c r="N651" s="15"/>
    </row>
    <row r="652" spans="13:14">
      <c r="M652" s="15"/>
      <c r="N652" s="15"/>
    </row>
    <row r="653" spans="13:14">
      <c r="M653" s="15"/>
      <c r="N653" s="15"/>
    </row>
    <row r="654" spans="13:14">
      <c r="M654" s="15"/>
      <c r="N654" s="15"/>
    </row>
    <row r="655" spans="13:14">
      <c r="M655" s="15"/>
      <c r="N655" s="15"/>
    </row>
    <row r="656" spans="13:14">
      <c r="M656" s="15"/>
      <c r="N656" s="15"/>
    </row>
    <row r="657" spans="13:14">
      <c r="M657" s="15"/>
      <c r="N657" s="15"/>
    </row>
    <row r="658" spans="13:14">
      <c r="M658" s="15"/>
      <c r="N658" s="15"/>
    </row>
    <row r="659" spans="13:14">
      <c r="M659" s="15"/>
      <c r="N659" s="15"/>
    </row>
    <row r="660" spans="13:14">
      <c r="M660" s="15"/>
      <c r="N660" s="15"/>
    </row>
    <row r="661" spans="13:14">
      <c r="M661" s="15"/>
      <c r="N661" s="15"/>
    </row>
    <row r="662" spans="13:14">
      <c r="M662" s="15"/>
      <c r="N662" s="15"/>
    </row>
    <row r="663" spans="13:14">
      <c r="M663" s="15"/>
      <c r="N663" s="15"/>
    </row>
    <row r="664" spans="13:14">
      <c r="M664" s="15"/>
      <c r="N664" s="15"/>
    </row>
    <row r="665" spans="13:14">
      <c r="M665" s="15"/>
      <c r="N665" s="15"/>
    </row>
    <row r="666" spans="13:14">
      <c r="M666" s="15"/>
      <c r="N666" s="15"/>
    </row>
    <row r="667" spans="13:14">
      <c r="M667" s="15"/>
      <c r="N667" s="15"/>
    </row>
    <row r="668" spans="13:14">
      <c r="M668" s="15"/>
      <c r="N668" s="15"/>
    </row>
    <row r="669" spans="13:14">
      <c r="M669" s="15"/>
      <c r="N669" s="15"/>
    </row>
    <row r="670" spans="13:14">
      <c r="M670" s="15"/>
      <c r="N670" s="15"/>
    </row>
    <row r="671" spans="13:14">
      <c r="M671" s="15"/>
      <c r="N671" s="15"/>
    </row>
    <row r="672" spans="13:14">
      <c r="M672" s="15"/>
      <c r="N672" s="15"/>
    </row>
    <row r="673" spans="13:14">
      <c r="M673" s="15"/>
      <c r="N673" s="15"/>
    </row>
    <row r="674" spans="13:14">
      <c r="M674" s="15"/>
      <c r="N674" s="15"/>
    </row>
    <row r="675" spans="13:14">
      <c r="M675" s="15"/>
      <c r="N675" s="15"/>
    </row>
    <row r="676" spans="13:14">
      <c r="M676" s="15"/>
      <c r="N676" s="15"/>
    </row>
    <row r="677" spans="13:14">
      <c r="M677" s="15"/>
      <c r="N677" s="15"/>
    </row>
    <row r="678" spans="13:14">
      <c r="M678" s="15"/>
      <c r="N678" s="15"/>
    </row>
    <row r="679" spans="13:14">
      <c r="M679" s="15"/>
      <c r="N679" s="15"/>
    </row>
    <row r="680" spans="13:14">
      <c r="M680" s="15"/>
      <c r="N680" s="15"/>
    </row>
    <row r="681" spans="13:14">
      <c r="M681" s="15"/>
      <c r="N681" s="15"/>
    </row>
    <row r="682" spans="13:14">
      <c r="M682" s="15"/>
      <c r="N682" s="15"/>
    </row>
    <row r="683" spans="13:14">
      <c r="M683" s="15"/>
      <c r="N683" s="15"/>
    </row>
    <row r="684" spans="13:14">
      <c r="M684" s="15"/>
      <c r="N684" s="15"/>
    </row>
    <row r="685" spans="13:14">
      <c r="M685" s="15"/>
      <c r="N685" s="15"/>
    </row>
    <row r="686" spans="13:14">
      <c r="M686" s="15"/>
      <c r="N686" s="15"/>
    </row>
    <row r="687" spans="13:14">
      <c r="M687" s="15"/>
      <c r="N687" s="15"/>
    </row>
    <row r="688" spans="13:14">
      <c r="M688" s="15"/>
      <c r="N688" s="15"/>
    </row>
    <row r="689" spans="13:14">
      <c r="M689" s="15"/>
      <c r="N689" s="15"/>
    </row>
    <row r="690" spans="13:14">
      <c r="M690" s="15"/>
      <c r="N690" s="15"/>
    </row>
    <row r="691" spans="13:14">
      <c r="M691" s="15"/>
      <c r="N691" s="15"/>
    </row>
    <row r="692" spans="13:14">
      <c r="M692" s="15"/>
      <c r="N692" s="15"/>
    </row>
    <row r="693" spans="13:14">
      <c r="M693" s="15"/>
      <c r="N693" s="15"/>
    </row>
    <row r="694" spans="13:14">
      <c r="M694" s="15"/>
      <c r="N694" s="15"/>
    </row>
    <row r="695" spans="13:14">
      <c r="M695" s="15"/>
      <c r="N695" s="15"/>
    </row>
    <row r="696" spans="13:14">
      <c r="M696" s="15"/>
      <c r="N696" s="15"/>
    </row>
    <row r="697" spans="13:14">
      <c r="M697" s="15"/>
      <c r="N697" s="15"/>
    </row>
    <row r="698" spans="13:14">
      <c r="M698" s="15"/>
      <c r="N698" s="15"/>
    </row>
    <row r="699" spans="13:14">
      <c r="M699" s="15"/>
      <c r="N699" s="15"/>
    </row>
    <row r="700" spans="13:14">
      <c r="M700" s="15"/>
      <c r="N700" s="15"/>
    </row>
    <row r="701" spans="13:14">
      <c r="M701" s="15"/>
      <c r="N701" s="15"/>
    </row>
    <row r="702" spans="13:14">
      <c r="M702" s="15"/>
      <c r="N702" s="15"/>
    </row>
    <row r="703" spans="13:14">
      <c r="M703" s="15"/>
      <c r="N703" s="15"/>
    </row>
    <row r="704" spans="13:14">
      <c r="M704" s="15"/>
      <c r="N704" s="15"/>
    </row>
    <row r="705" spans="13:14">
      <c r="M705" s="15"/>
      <c r="N705" s="15"/>
    </row>
    <row r="706" spans="13:14">
      <c r="M706" s="15"/>
      <c r="N706" s="15"/>
    </row>
    <row r="707" spans="13:14">
      <c r="M707" s="15"/>
      <c r="N707" s="15"/>
    </row>
    <row r="708" spans="13:14">
      <c r="M708" s="15"/>
      <c r="N708" s="15"/>
    </row>
    <row r="709" spans="13:14">
      <c r="M709" s="15"/>
      <c r="N709" s="15"/>
    </row>
    <row r="710" spans="13:14">
      <c r="M710" s="15"/>
      <c r="N710" s="15"/>
    </row>
    <row r="711" spans="13:14">
      <c r="M711" s="15"/>
      <c r="N711" s="15"/>
    </row>
    <row r="712" spans="13:14">
      <c r="M712" s="15"/>
      <c r="N712" s="15"/>
    </row>
    <row r="713" spans="13:14">
      <c r="M713" s="15"/>
      <c r="N713" s="15"/>
    </row>
    <row r="714" spans="13:14">
      <c r="M714" s="15"/>
      <c r="N714" s="15"/>
    </row>
    <row r="715" spans="13:14">
      <c r="M715" s="15"/>
      <c r="N715" s="15"/>
    </row>
    <row r="716" spans="13:14">
      <c r="M716" s="15"/>
      <c r="N716" s="15"/>
    </row>
    <row r="717" spans="13:14">
      <c r="M717" s="15"/>
      <c r="N717" s="15"/>
    </row>
    <row r="718" spans="13:14">
      <c r="M718" s="15"/>
      <c r="N718" s="15"/>
    </row>
    <row r="719" spans="13:14">
      <c r="M719" s="15"/>
      <c r="N719" s="15"/>
    </row>
    <row r="720" spans="13:14">
      <c r="M720" s="15"/>
      <c r="N720" s="15"/>
    </row>
    <row r="721" spans="13:14">
      <c r="M721" s="15"/>
      <c r="N721" s="15"/>
    </row>
    <row r="722" spans="13:14">
      <c r="M722" s="15"/>
      <c r="N722" s="15"/>
    </row>
    <row r="723" spans="13:14">
      <c r="M723" s="15"/>
      <c r="N723" s="15"/>
    </row>
    <row r="724" spans="13:14">
      <c r="M724" s="15"/>
      <c r="N724" s="15"/>
    </row>
    <row r="725" spans="13:14">
      <c r="M725" s="15"/>
      <c r="N725" s="15"/>
    </row>
    <row r="726" spans="13:14">
      <c r="M726" s="15"/>
      <c r="N726" s="15"/>
    </row>
    <row r="727" spans="13:14">
      <c r="M727" s="15"/>
      <c r="N727" s="15"/>
    </row>
    <row r="728" spans="13:14">
      <c r="M728" s="15"/>
      <c r="N728" s="15"/>
    </row>
    <row r="729" spans="13:14">
      <c r="M729" s="15"/>
      <c r="N729" s="15"/>
    </row>
    <row r="730" spans="13:14">
      <c r="M730" s="15"/>
      <c r="N730" s="15"/>
    </row>
    <row r="731" spans="13:14">
      <c r="M731" s="15"/>
      <c r="N731" s="15"/>
    </row>
    <row r="732" spans="13:14">
      <c r="M732" s="15"/>
      <c r="N732" s="15"/>
    </row>
    <row r="733" spans="13:14">
      <c r="M733" s="15"/>
      <c r="N733" s="15"/>
    </row>
    <row r="734" spans="13:14">
      <c r="M734" s="15"/>
      <c r="N734" s="15"/>
    </row>
    <row r="735" spans="13:14">
      <c r="M735" s="15"/>
      <c r="N735" s="15"/>
    </row>
    <row r="736" spans="13:14">
      <c r="M736" s="15"/>
      <c r="N736" s="15"/>
    </row>
    <row r="737" spans="13:14">
      <c r="M737" s="15"/>
      <c r="N737" s="15"/>
    </row>
    <row r="738" spans="13:14">
      <c r="M738" s="15"/>
      <c r="N738" s="15"/>
    </row>
    <row r="739" spans="13:14">
      <c r="M739" s="15"/>
      <c r="N739" s="15"/>
    </row>
    <row r="740" spans="13:14">
      <c r="M740" s="15"/>
      <c r="N740" s="15"/>
    </row>
    <row r="741" spans="13:14">
      <c r="M741" s="15"/>
      <c r="N741" s="15"/>
    </row>
    <row r="742" spans="13:14">
      <c r="M742" s="15"/>
      <c r="N742" s="15"/>
    </row>
    <row r="743" spans="13:14">
      <c r="M743" s="15"/>
      <c r="N743" s="15"/>
    </row>
    <row r="744" spans="13:14">
      <c r="M744" s="15"/>
      <c r="N744" s="15"/>
    </row>
    <row r="745" spans="13:14">
      <c r="M745" s="15"/>
      <c r="N745" s="15"/>
    </row>
    <row r="746" spans="13:14">
      <c r="M746" s="15"/>
      <c r="N746" s="15"/>
    </row>
    <row r="747" spans="13:14">
      <c r="M747" s="15"/>
      <c r="N747" s="15"/>
    </row>
    <row r="748" spans="13:14">
      <c r="M748" s="15"/>
      <c r="N748" s="15"/>
    </row>
    <row r="749" spans="13:14">
      <c r="M749" s="15"/>
      <c r="N749" s="15"/>
    </row>
    <row r="750" spans="13:14">
      <c r="M750" s="15"/>
      <c r="N750" s="15"/>
    </row>
    <row r="751" spans="13:14">
      <c r="M751" s="15"/>
      <c r="N751" s="15"/>
    </row>
    <row r="752" spans="13:14">
      <c r="M752" s="15"/>
      <c r="N752" s="15"/>
    </row>
    <row r="753" spans="13:14">
      <c r="M753" s="15"/>
      <c r="N753" s="15"/>
    </row>
    <row r="754" spans="13:14">
      <c r="M754" s="15"/>
      <c r="N754" s="15"/>
    </row>
    <row r="755" spans="13:14">
      <c r="M755" s="15"/>
      <c r="N755" s="15"/>
    </row>
    <row r="756" spans="13:14">
      <c r="M756" s="15"/>
      <c r="N756" s="15"/>
    </row>
    <row r="757" spans="13:14">
      <c r="M757" s="15"/>
      <c r="N757" s="15"/>
    </row>
    <row r="758" spans="13:14">
      <c r="M758" s="15"/>
      <c r="N758" s="15"/>
    </row>
    <row r="759" spans="13:14">
      <c r="M759" s="15"/>
      <c r="N759" s="15"/>
    </row>
    <row r="760" spans="13:14">
      <c r="M760" s="15"/>
      <c r="N760" s="15"/>
    </row>
    <row r="761" spans="13:14">
      <c r="M761" s="15"/>
      <c r="N761" s="15"/>
    </row>
    <row r="762" spans="13:14">
      <c r="M762" s="15"/>
      <c r="N762" s="15"/>
    </row>
    <row r="763" spans="13:14">
      <c r="M763" s="15"/>
      <c r="N763" s="15"/>
    </row>
    <row r="764" spans="13:14">
      <c r="M764" s="15"/>
      <c r="N764" s="15"/>
    </row>
    <row r="765" spans="13:14">
      <c r="M765" s="15"/>
      <c r="N765" s="15"/>
    </row>
    <row r="766" spans="13:14">
      <c r="M766" s="15"/>
      <c r="N766" s="15"/>
    </row>
    <row r="767" spans="13:14">
      <c r="M767" s="15"/>
      <c r="N767" s="15"/>
    </row>
    <row r="768" spans="13:14">
      <c r="M768" s="15"/>
      <c r="N768" s="15"/>
    </row>
    <row r="769" spans="13:14">
      <c r="M769" s="15"/>
      <c r="N769" s="15"/>
    </row>
    <row r="770" spans="13:14">
      <c r="M770" s="15"/>
      <c r="N770" s="15"/>
    </row>
    <row r="771" spans="13:14">
      <c r="M771" s="15"/>
      <c r="N771" s="15"/>
    </row>
    <row r="772" spans="13:14">
      <c r="M772" s="15"/>
      <c r="N772" s="15"/>
    </row>
    <row r="773" spans="13:14">
      <c r="M773" s="15"/>
      <c r="N773" s="15"/>
    </row>
    <row r="774" spans="13:14">
      <c r="M774" s="15"/>
      <c r="N774" s="15"/>
    </row>
    <row r="775" spans="13:14">
      <c r="M775" s="15"/>
      <c r="N775" s="15"/>
    </row>
    <row r="776" spans="13:14">
      <c r="M776" s="15"/>
      <c r="N776" s="15"/>
    </row>
    <row r="777" spans="13:14">
      <c r="M777" s="15"/>
      <c r="N777" s="15"/>
    </row>
    <row r="778" spans="13:14">
      <c r="M778" s="15"/>
      <c r="N778" s="15"/>
    </row>
    <row r="779" spans="13:14">
      <c r="M779" s="15"/>
      <c r="N779" s="15"/>
    </row>
    <row r="780" spans="13:14">
      <c r="M780" s="15"/>
      <c r="N780" s="15"/>
    </row>
    <row r="781" spans="13:14">
      <c r="M781" s="15"/>
      <c r="N781" s="15"/>
    </row>
    <row r="782" spans="13:14">
      <c r="M782" s="15"/>
      <c r="N782" s="15"/>
    </row>
    <row r="783" spans="13:14">
      <c r="M783" s="15"/>
      <c r="N783" s="15"/>
    </row>
    <row r="784" spans="13:14">
      <c r="M784" s="15"/>
      <c r="N784" s="15"/>
    </row>
    <row r="785" spans="13:14">
      <c r="M785" s="15"/>
      <c r="N785" s="15"/>
    </row>
    <row r="786" spans="13:14">
      <c r="M786" s="15"/>
      <c r="N786" s="15"/>
    </row>
    <row r="787" spans="13:14">
      <c r="M787" s="15"/>
      <c r="N787" s="15"/>
    </row>
    <row r="788" spans="13:14">
      <c r="M788" s="15"/>
      <c r="N788" s="15"/>
    </row>
    <row r="789" spans="13:14">
      <c r="M789" s="15"/>
      <c r="N789" s="15"/>
    </row>
    <row r="790" spans="13:14">
      <c r="M790" s="15"/>
      <c r="N790" s="15"/>
    </row>
    <row r="791" spans="13:14">
      <c r="M791" s="15"/>
      <c r="N791" s="15"/>
    </row>
    <row r="792" spans="13:14">
      <c r="M792" s="15"/>
      <c r="N792" s="15"/>
    </row>
    <row r="793" spans="13:14">
      <c r="M793" s="15"/>
      <c r="N793" s="15"/>
    </row>
    <row r="794" spans="13:14">
      <c r="M794" s="15"/>
      <c r="N794" s="15"/>
    </row>
    <row r="795" spans="13:14">
      <c r="M795" s="15"/>
      <c r="N795" s="15"/>
    </row>
    <row r="796" spans="13:14">
      <c r="M796" s="15"/>
      <c r="N796" s="15"/>
    </row>
    <row r="797" spans="13:14">
      <c r="M797" s="15"/>
      <c r="N797" s="15"/>
    </row>
    <row r="798" spans="13:14">
      <c r="M798" s="15"/>
      <c r="N798" s="15"/>
    </row>
    <row r="799" spans="13:14">
      <c r="M799" s="15"/>
      <c r="N799" s="15"/>
    </row>
    <row r="800" spans="13:14">
      <c r="M800" s="15"/>
      <c r="N800" s="15"/>
    </row>
    <row r="801" spans="13:14">
      <c r="M801" s="15"/>
      <c r="N801" s="15"/>
    </row>
    <row r="802" spans="13:14">
      <c r="M802" s="15"/>
      <c r="N802" s="15"/>
    </row>
    <row r="803" spans="13:14">
      <c r="M803" s="15"/>
      <c r="N803" s="15"/>
    </row>
    <row r="804" spans="13:14">
      <c r="M804" s="15"/>
      <c r="N804" s="15"/>
    </row>
    <row r="805" spans="13:14">
      <c r="M805" s="15"/>
      <c r="N805" s="15"/>
    </row>
    <row r="806" spans="13:14">
      <c r="M806" s="15"/>
      <c r="N806" s="15"/>
    </row>
    <row r="807" spans="13:14">
      <c r="M807" s="15"/>
      <c r="N807" s="15"/>
    </row>
    <row r="808" spans="13:14">
      <c r="M808" s="15"/>
      <c r="N808" s="15"/>
    </row>
    <row r="809" spans="13:14">
      <c r="M809" s="15"/>
      <c r="N809" s="15"/>
    </row>
    <row r="810" spans="13:14">
      <c r="M810" s="15"/>
      <c r="N810" s="15"/>
    </row>
    <row r="811" spans="13:14">
      <c r="M811" s="15"/>
      <c r="N811" s="15"/>
    </row>
    <row r="812" spans="13:14">
      <c r="M812" s="15"/>
      <c r="N812" s="15"/>
    </row>
    <row r="813" spans="13:14">
      <c r="M813" s="15"/>
      <c r="N813" s="15"/>
    </row>
    <row r="814" spans="13:14">
      <c r="M814" s="15"/>
      <c r="N814" s="15"/>
    </row>
    <row r="815" spans="13:14">
      <c r="M815" s="15"/>
      <c r="N815" s="15"/>
    </row>
    <row r="816" spans="13:14">
      <c r="M816" s="15"/>
      <c r="N816" s="15"/>
    </row>
    <row r="817" spans="13:14">
      <c r="M817" s="15"/>
      <c r="N817" s="15"/>
    </row>
    <row r="818" spans="13:14">
      <c r="M818" s="15"/>
      <c r="N818" s="15"/>
    </row>
    <row r="819" spans="13:14">
      <c r="M819" s="15"/>
      <c r="N819" s="15"/>
    </row>
    <row r="820" spans="13:14">
      <c r="M820" s="15"/>
      <c r="N820" s="15"/>
    </row>
    <row r="821" spans="13:14">
      <c r="M821" s="15"/>
      <c r="N821" s="15"/>
    </row>
    <row r="822" spans="13:14">
      <c r="M822" s="15"/>
      <c r="N822" s="15"/>
    </row>
    <row r="823" spans="13:14">
      <c r="M823" s="15"/>
      <c r="N823" s="15"/>
    </row>
    <row r="824" spans="13:14">
      <c r="M824" s="15"/>
      <c r="N824" s="15"/>
    </row>
    <row r="825" spans="13:14">
      <c r="M825" s="15"/>
      <c r="N825" s="15"/>
    </row>
    <row r="826" spans="13:14">
      <c r="M826" s="15"/>
      <c r="N826" s="15"/>
    </row>
    <row r="827" spans="13:14">
      <c r="M827" s="15"/>
      <c r="N827" s="15"/>
    </row>
    <row r="828" spans="13:14">
      <c r="M828" s="15"/>
      <c r="N828" s="15"/>
    </row>
    <row r="829" spans="13:14">
      <c r="M829" s="15"/>
      <c r="N829" s="15"/>
    </row>
    <row r="830" spans="13:14">
      <c r="M830" s="15"/>
      <c r="N830" s="15"/>
    </row>
    <row r="831" spans="13:14">
      <c r="M831" s="15"/>
      <c r="N831" s="15"/>
    </row>
    <row r="832" spans="13:14">
      <c r="M832" s="15"/>
      <c r="N832" s="15"/>
    </row>
    <row r="833" spans="13:14">
      <c r="M833" s="15"/>
      <c r="N833" s="15"/>
    </row>
    <row r="834" spans="13:14">
      <c r="M834" s="15"/>
      <c r="N834" s="15"/>
    </row>
    <row r="835" spans="13:14">
      <c r="M835" s="15"/>
      <c r="N835" s="15"/>
    </row>
    <row r="836" spans="13:14">
      <c r="M836" s="15"/>
      <c r="N836" s="15"/>
    </row>
    <row r="837" spans="13:14">
      <c r="M837" s="15"/>
      <c r="N837" s="15"/>
    </row>
    <row r="838" spans="13:14">
      <c r="M838" s="15"/>
      <c r="N838" s="15"/>
    </row>
    <row r="839" spans="13:14">
      <c r="M839" s="15"/>
      <c r="N839" s="15"/>
    </row>
    <row r="840" spans="13:14">
      <c r="M840" s="15"/>
      <c r="N840" s="15"/>
    </row>
    <row r="841" spans="13:14">
      <c r="M841" s="15"/>
      <c r="N841" s="15"/>
    </row>
    <row r="842" spans="13:14">
      <c r="M842" s="15"/>
      <c r="N842" s="15"/>
    </row>
    <row r="843" spans="13:14">
      <c r="M843" s="15"/>
      <c r="N843" s="15"/>
    </row>
    <row r="844" spans="13:14">
      <c r="M844" s="15"/>
      <c r="N844" s="15"/>
    </row>
    <row r="845" spans="13:14">
      <c r="M845" s="15"/>
      <c r="N845" s="15"/>
    </row>
    <row r="846" spans="13:14">
      <c r="M846" s="15"/>
      <c r="N846" s="15"/>
    </row>
    <row r="847" spans="13:14">
      <c r="M847" s="15"/>
      <c r="N847" s="15"/>
    </row>
    <row r="848" spans="13:14">
      <c r="M848" s="15"/>
      <c r="N848" s="15"/>
    </row>
    <row r="849" spans="13:14">
      <c r="M849" s="15"/>
      <c r="N849" s="15"/>
    </row>
    <row r="850" spans="13:14">
      <c r="M850" s="15"/>
      <c r="N850" s="15"/>
    </row>
    <row r="851" spans="13:14">
      <c r="M851" s="15"/>
      <c r="N851" s="15"/>
    </row>
    <row r="852" spans="13:14">
      <c r="M852" s="15"/>
      <c r="N852" s="15"/>
    </row>
    <row r="853" spans="13:14">
      <c r="M853" s="15"/>
      <c r="N853" s="15"/>
    </row>
    <row r="854" spans="13:14">
      <c r="M854" s="15"/>
      <c r="N854" s="15"/>
    </row>
    <row r="855" spans="13:14">
      <c r="M855" s="15"/>
      <c r="N855" s="15"/>
    </row>
    <row r="856" spans="13:14">
      <c r="M856" s="15"/>
      <c r="N856" s="15"/>
    </row>
    <row r="857" spans="13:14">
      <c r="M857" s="15"/>
      <c r="N857" s="15"/>
    </row>
    <row r="858" spans="13:14">
      <c r="M858" s="15"/>
      <c r="N858" s="15"/>
    </row>
    <row r="859" spans="13:14">
      <c r="M859" s="15"/>
      <c r="N859" s="15"/>
    </row>
    <row r="860" spans="13:14">
      <c r="M860" s="15"/>
      <c r="N860" s="15"/>
    </row>
    <row r="861" spans="13:14">
      <c r="M861" s="15"/>
      <c r="N861" s="15"/>
    </row>
    <row r="862" spans="13:14">
      <c r="M862" s="15"/>
      <c r="N862" s="15"/>
    </row>
    <row r="863" spans="13:14">
      <c r="M863" s="15"/>
      <c r="N863" s="15"/>
    </row>
    <row r="864" spans="13:14">
      <c r="M864" s="15"/>
      <c r="N864" s="15"/>
    </row>
    <row r="865" spans="13:14">
      <c r="M865" s="15"/>
      <c r="N865" s="15"/>
    </row>
    <row r="866" spans="13:14">
      <c r="M866" s="15"/>
      <c r="N866" s="15"/>
    </row>
    <row r="867" spans="13:14">
      <c r="M867" s="15"/>
      <c r="N867" s="15"/>
    </row>
    <row r="868" spans="13:14">
      <c r="M868" s="15"/>
      <c r="N868" s="15"/>
    </row>
    <row r="869" spans="13:14">
      <c r="M869" s="15"/>
      <c r="N869" s="15"/>
    </row>
    <row r="870" spans="13:14">
      <c r="M870" s="15"/>
      <c r="N870" s="15"/>
    </row>
    <row r="871" spans="13:14">
      <c r="M871" s="15"/>
      <c r="N871" s="15"/>
    </row>
    <row r="872" spans="13:14">
      <c r="M872" s="15"/>
      <c r="N872" s="15"/>
    </row>
    <row r="873" spans="13:14">
      <c r="M873" s="15"/>
      <c r="N873" s="15"/>
    </row>
    <row r="874" spans="13:14">
      <c r="M874" s="15"/>
      <c r="N874" s="15"/>
    </row>
    <row r="875" spans="13:14">
      <c r="M875" s="15"/>
      <c r="N875" s="15"/>
    </row>
    <row r="876" spans="13:14">
      <c r="M876" s="15"/>
      <c r="N876" s="15"/>
    </row>
    <row r="877" spans="13:14">
      <c r="M877" s="15"/>
      <c r="N877" s="15"/>
    </row>
    <row r="878" spans="13:14">
      <c r="M878" s="15"/>
      <c r="N878" s="15"/>
    </row>
    <row r="879" spans="13:14">
      <c r="M879" s="15"/>
      <c r="N879" s="15"/>
    </row>
    <row r="880" spans="13:14">
      <c r="M880" s="15"/>
      <c r="N880" s="15"/>
    </row>
    <row r="881" spans="13:14">
      <c r="M881" s="15"/>
      <c r="N881" s="15"/>
    </row>
    <row r="882" spans="13:14">
      <c r="M882" s="15"/>
      <c r="N882" s="15"/>
    </row>
    <row r="883" spans="13:14">
      <c r="M883" s="15"/>
      <c r="N883" s="15"/>
    </row>
    <row r="884" spans="13:14">
      <c r="M884" s="15"/>
      <c r="N884" s="15"/>
    </row>
    <row r="885" spans="13:14">
      <c r="M885" s="15"/>
      <c r="N885" s="15"/>
    </row>
    <row r="886" spans="13:14">
      <c r="M886" s="15"/>
      <c r="N886" s="15"/>
    </row>
    <row r="887" spans="13:14">
      <c r="M887" s="15"/>
      <c r="N887" s="15"/>
    </row>
    <row r="888" spans="13:14">
      <c r="M888" s="15"/>
      <c r="N888" s="15"/>
    </row>
    <row r="889" spans="13:14">
      <c r="M889" s="15"/>
      <c r="N889" s="15"/>
    </row>
    <row r="890" spans="13:14">
      <c r="M890" s="15"/>
      <c r="N890" s="15"/>
    </row>
    <row r="891" spans="13:14">
      <c r="M891" s="15"/>
      <c r="N891" s="15"/>
    </row>
    <row r="892" spans="13:14">
      <c r="M892" s="15"/>
      <c r="N892" s="15"/>
    </row>
    <row r="893" spans="13:14">
      <c r="M893" s="15"/>
      <c r="N893" s="15"/>
    </row>
    <row r="894" spans="13:14">
      <c r="M894" s="15"/>
      <c r="N894" s="15"/>
    </row>
    <row r="895" spans="13:14">
      <c r="M895" s="15"/>
      <c r="N895" s="15"/>
    </row>
    <row r="896" spans="13:14">
      <c r="M896" s="15"/>
      <c r="N896" s="15"/>
    </row>
    <row r="897" spans="13:14">
      <c r="M897" s="15"/>
      <c r="N897" s="15"/>
    </row>
    <row r="898" spans="13:14">
      <c r="M898" s="15"/>
      <c r="N898" s="15"/>
    </row>
    <row r="899" spans="13:14">
      <c r="M899" s="15"/>
      <c r="N899" s="15"/>
    </row>
    <row r="900" spans="13:14">
      <c r="M900" s="15"/>
      <c r="N900" s="15"/>
    </row>
    <row r="901" spans="13:14">
      <c r="M901" s="15"/>
      <c r="N901" s="15"/>
    </row>
    <row r="902" spans="13:14">
      <c r="M902" s="15"/>
      <c r="N902" s="15"/>
    </row>
    <row r="903" spans="13:14">
      <c r="M903" s="15"/>
      <c r="N903" s="15"/>
    </row>
    <row r="904" spans="13:14">
      <c r="M904" s="15"/>
      <c r="N904" s="15"/>
    </row>
    <row r="905" spans="13:14">
      <c r="M905" s="15"/>
      <c r="N905" s="15"/>
    </row>
    <row r="906" spans="13:14">
      <c r="M906" s="15"/>
      <c r="N906" s="15"/>
    </row>
    <row r="907" spans="13:14">
      <c r="M907" s="15"/>
      <c r="N907" s="15"/>
    </row>
    <row r="908" spans="13:14">
      <c r="M908" s="15"/>
      <c r="N908" s="15"/>
    </row>
    <row r="909" spans="13:14">
      <c r="M909" s="15"/>
      <c r="N909" s="15"/>
    </row>
    <row r="910" spans="13:14">
      <c r="M910" s="15"/>
      <c r="N910" s="15"/>
    </row>
    <row r="911" spans="13:14">
      <c r="M911" s="15"/>
      <c r="N911" s="15"/>
    </row>
    <row r="912" spans="13:14">
      <c r="M912" s="15"/>
      <c r="N912" s="15"/>
    </row>
    <row r="913" spans="13:14">
      <c r="M913" s="15"/>
      <c r="N913" s="15"/>
    </row>
    <row r="914" spans="13:14">
      <c r="M914" s="15"/>
      <c r="N914" s="15"/>
    </row>
    <row r="915" spans="13:14">
      <c r="M915" s="15"/>
      <c r="N915" s="15"/>
    </row>
    <row r="916" spans="13:14">
      <c r="M916" s="15"/>
      <c r="N916" s="15"/>
    </row>
    <row r="917" spans="13:14">
      <c r="M917" s="15"/>
      <c r="N917" s="15"/>
    </row>
    <row r="918" spans="13:14">
      <c r="M918" s="15"/>
      <c r="N918" s="15"/>
    </row>
    <row r="919" spans="13:14">
      <c r="M919" s="15"/>
      <c r="N919" s="15"/>
    </row>
    <row r="920" spans="13:14">
      <c r="M920" s="15"/>
      <c r="N920" s="15"/>
    </row>
    <row r="921" spans="13:14">
      <c r="M921" s="15"/>
      <c r="N921" s="15"/>
    </row>
    <row r="922" spans="13:14">
      <c r="M922" s="15"/>
      <c r="N922" s="15"/>
    </row>
    <row r="923" spans="13:14">
      <c r="M923" s="15"/>
      <c r="N923" s="15"/>
    </row>
    <row r="924" spans="13:14">
      <c r="M924" s="15"/>
      <c r="N924" s="15"/>
    </row>
    <row r="925" spans="13:14">
      <c r="M925" s="15"/>
      <c r="N925" s="15"/>
    </row>
    <row r="926" spans="13:14">
      <c r="M926" s="15"/>
      <c r="N926" s="15"/>
    </row>
    <row r="927" spans="13:14">
      <c r="M927" s="15"/>
      <c r="N927" s="15"/>
    </row>
    <row r="928" spans="13:14">
      <c r="M928" s="15"/>
      <c r="N928" s="15"/>
    </row>
    <row r="929" spans="13:14">
      <c r="M929" s="15"/>
      <c r="N929" s="15"/>
    </row>
    <row r="930" spans="13:14">
      <c r="M930" s="15"/>
      <c r="N930" s="15"/>
    </row>
    <row r="931" spans="13:14">
      <c r="M931" s="15"/>
      <c r="N931" s="15"/>
    </row>
    <row r="932" spans="13:14">
      <c r="M932" s="15"/>
      <c r="N932" s="15"/>
    </row>
    <row r="933" spans="13:14">
      <c r="M933" s="15"/>
      <c r="N933" s="15"/>
    </row>
    <row r="934" spans="13:14">
      <c r="M934" s="15"/>
      <c r="N934" s="15"/>
    </row>
    <row r="935" spans="13:14">
      <c r="M935" s="15"/>
      <c r="N935" s="15"/>
    </row>
    <row r="936" spans="13:14">
      <c r="M936" s="15"/>
      <c r="N936" s="15"/>
    </row>
    <row r="937" spans="13:14">
      <c r="M937" s="15"/>
      <c r="N937" s="15"/>
    </row>
    <row r="938" spans="13:14">
      <c r="M938" s="15"/>
      <c r="N938" s="15"/>
    </row>
    <row r="939" spans="13:14">
      <c r="M939" s="15"/>
      <c r="N939" s="15"/>
    </row>
    <row r="940" spans="13:14">
      <c r="M940" s="15"/>
      <c r="N940" s="15"/>
    </row>
    <row r="941" spans="13:14">
      <c r="M941" s="15"/>
      <c r="N941" s="15"/>
    </row>
    <row r="942" spans="13:14">
      <c r="M942" s="15"/>
      <c r="N942" s="15"/>
    </row>
    <row r="943" spans="13:14">
      <c r="M943" s="15"/>
      <c r="N943" s="15"/>
    </row>
    <row r="944" spans="13:14">
      <c r="M944" s="15"/>
      <c r="N944" s="15"/>
    </row>
    <row r="945" spans="13:14">
      <c r="M945" s="15"/>
      <c r="N945" s="15"/>
    </row>
    <row r="946" spans="13:14">
      <c r="M946" s="15"/>
      <c r="N946" s="15"/>
    </row>
    <row r="947" spans="13:14">
      <c r="M947" s="15"/>
      <c r="N947" s="15"/>
    </row>
    <row r="948" spans="13:14">
      <c r="M948" s="15"/>
      <c r="N948" s="15"/>
    </row>
    <row r="949" spans="13:14">
      <c r="M949" s="15"/>
      <c r="N949" s="15"/>
    </row>
    <row r="950" spans="13:14">
      <c r="M950" s="15"/>
      <c r="N950" s="15"/>
    </row>
    <row r="951" spans="13:14">
      <c r="M951" s="15"/>
      <c r="N951" s="15"/>
    </row>
    <row r="952" spans="13:14">
      <c r="M952" s="15"/>
      <c r="N952" s="15"/>
    </row>
    <row r="953" spans="13:14">
      <c r="M953" s="15"/>
      <c r="N953" s="15"/>
    </row>
    <row r="954" spans="13:14">
      <c r="M954" s="15"/>
      <c r="N954" s="15"/>
    </row>
    <row r="955" spans="13:14">
      <c r="M955" s="15"/>
      <c r="N955" s="15"/>
    </row>
    <row r="956" spans="13:14">
      <c r="M956" s="15"/>
      <c r="N956" s="15"/>
    </row>
    <row r="957" spans="13:14">
      <c r="M957" s="15"/>
      <c r="N957" s="15"/>
    </row>
    <row r="958" spans="13:14">
      <c r="M958" s="15"/>
      <c r="N958" s="15"/>
    </row>
    <row r="959" spans="13:14">
      <c r="M959" s="15"/>
      <c r="N959" s="15"/>
    </row>
    <row r="960" spans="13:14">
      <c r="M960" s="15"/>
      <c r="N960" s="15"/>
    </row>
    <row r="961" spans="13:14">
      <c r="M961" s="15"/>
      <c r="N961" s="15"/>
    </row>
    <row r="962" spans="13:14">
      <c r="M962" s="15"/>
      <c r="N962" s="15"/>
    </row>
    <row r="963" spans="13:14">
      <c r="M963" s="15"/>
      <c r="N963" s="15"/>
    </row>
    <row r="964" spans="13:14">
      <c r="M964" s="15"/>
      <c r="N964" s="15"/>
    </row>
    <row r="965" spans="13:14">
      <c r="M965" s="15"/>
      <c r="N965" s="15"/>
    </row>
    <row r="966" spans="13:14">
      <c r="M966" s="15"/>
      <c r="N966" s="15"/>
    </row>
    <row r="967" spans="13:14">
      <c r="M967" s="15"/>
      <c r="N967" s="15"/>
    </row>
    <row r="968" spans="13:14">
      <c r="M968" s="15"/>
      <c r="N968" s="15"/>
    </row>
    <row r="969" spans="13:14">
      <c r="M969" s="15"/>
      <c r="N969" s="15"/>
    </row>
    <row r="970" spans="13:14">
      <c r="M970" s="15"/>
      <c r="N970" s="15"/>
    </row>
    <row r="971" spans="13:14">
      <c r="M971" s="15"/>
      <c r="N971" s="15"/>
    </row>
    <row r="972" spans="13:14">
      <c r="M972" s="15"/>
      <c r="N972" s="15"/>
    </row>
    <row r="973" spans="13:14">
      <c r="M973" s="15"/>
      <c r="N973" s="15"/>
    </row>
    <row r="974" spans="13:14">
      <c r="M974" s="15"/>
      <c r="N974" s="15"/>
    </row>
    <row r="975" spans="13:14">
      <c r="M975" s="15"/>
      <c r="N975" s="15"/>
    </row>
    <row r="976" spans="13:14">
      <c r="M976" s="15"/>
      <c r="N976" s="15"/>
    </row>
    <row r="977" spans="13:14">
      <c r="M977" s="15"/>
      <c r="N977" s="15"/>
    </row>
    <row r="978" spans="13:14">
      <c r="M978" s="15"/>
      <c r="N978" s="15"/>
    </row>
    <row r="979" spans="13:14">
      <c r="M979" s="15"/>
      <c r="N979" s="15"/>
    </row>
    <row r="980" spans="13:14">
      <c r="M980" s="15"/>
      <c r="N980" s="15"/>
    </row>
    <row r="981" spans="13:14">
      <c r="M981" s="15"/>
      <c r="N981" s="15"/>
    </row>
    <row r="982" spans="13:14">
      <c r="M982" s="15"/>
      <c r="N982" s="15"/>
    </row>
  </sheetData>
  <pageMargins left="0" right="0" top="0" bottom="0" header="0" footer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G993"/>
  <sheetViews>
    <sheetView workbookViewId="0"/>
  </sheetViews>
  <sheetFormatPr defaultColWidth="14.42578125" defaultRowHeight="15" customHeight="1"/>
  <cols>
    <col min="1" max="1" width="32.85546875" customWidth="1"/>
    <col min="4" max="4" width="30.85546875" customWidth="1"/>
    <col min="5" max="5" width="33.5703125" customWidth="1"/>
    <col min="6" max="6" width="19.28515625" customWidth="1"/>
    <col min="8" max="8" width="16.7109375" customWidth="1"/>
  </cols>
  <sheetData>
    <row r="1" spans="1:7">
      <c r="A1" s="263" t="s">
        <v>1928</v>
      </c>
      <c r="B1" s="295"/>
      <c r="D1" s="400" t="s">
        <v>1929</v>
      </c>
      <c r="E1" s="408"/>
      <c r="G1" s="232"/>
    </row>
    <row r="2" spans="1:7">
      <c r="B2" s="295"/>
      <c r="D2" s="296">
        <v>0.9</v>
      </c>
      <c r="E2" s="297" t="s">
        <v>1930</v>
      </c>
      <c r="G2" s="232"/>
    </row>
    <row r="3" spans="1:7">
      <c r="A3" s="298" t="s">
        <v>1931</v>
      </c>
      <c r="B3" s="299">
        <f>B5/0.473</f>
        <v>6342.4947145877386</v>
      </c>
      <c r="D3" s="296">
        <v>0.1</v>
      </c>
      <c r="E3" s="297" t="s">
        <v>1932</v>
      </c>
      <c r="G3" s="232"/>
    </row>
    <row r="4" spans="1:7">
      <c r="A4" s="300" t="s">
        <v>1933</v>
      </c>
      <c r="B4" s="301">
        <f>B5/29</f>
        <v>103.44827586206897</v>
      </c>
      <c r="D4" s="296">
        <v>0.32</v>
      </c>
      <c r="E4" s="297" t="s">
        <v>1934</v>
      </c>
      <c r="G4" s="232"/>
    </row>
    <row r="5" spans="1:7">
      <c r="A5" s="300" t="s">
        <v>1935</v>
      </c>
      <c r="B5" s="301">
        <v>3000</v>
      </c>
      <c r="D5" s="296">
        <v>0.68</v>
      </c>
      <c r="E5" s="297" t="s">
        <v>997</v>
      </c>
      <c r="G5" s="232"/>
    </row>
    <row r="6" spans="1:7">
      <c r="A6" s="300" t="s">
        <v>1936</v>
      </c>
      <c r="B6" s="301">
        <v>1925</v>
      </c>
      <c r="D6" s="137" t="s">
        <v>1937</v>
      </c>
      <c r="E6" s="302">
        <f>(((B3*D2)*D4)*(B16*(1-B13))+((B3*D2)*D5)*B15)+B4*D3*B14</f>
        <v>11688620.396588176</v>
      </c>
      <c r="G6" s="232"/>
    </row>
    <row r="7" spans="1:7">
      <c r="A7" s="300" t="s">
        <v>1938</v>
      </c>
      <c r="B7" s="303">
        <v>875</v>
      </c>
      <c r="D7" s="304" t="s">
        <v>1939</v>
      </c>
      <c r="E7" s="303">
        <f>(B3*0.9)*B23+(B4*0.1)*B24+(B3*D2*B16*D4*B10)+(B3*D2*D4*B16*(B9))+(B7*(B3*D2*D5)/12)+B18</f>
        <v>6895594.6610288946</v>
      </c>
      <c r="G7" s="232"/>
    </row>
    <row r="8" spans="1:7">
      <c r="A8" s="300" t="s">
        <v>1940</v>
      </c>
      <c r="B8" s="303">
        <v>8000</v>
      </c>
      <c r="D8" s="304" t="s">
        <v>1941</v>
      </c>
      <c r="E8" s="303">
        <f>B22+B21+B20+B25+B17</f>
        <v>1687060</v>
      </c>
    </row>
    <row r="9" spans="1:7">
      <c r="A9" s="300" t="s">
        <v>1942</v>
      </c>
      <c r="B9" s="305">
        <v>7.0000000000000007E-2</v>
      </c>
      <c r="D9" s="306" t="s">
        <v>1943</v>
      </c>
      <c r="E9" s="307">
        <f>E6*B11</f>
        <v>2220837.8753517536</v>
      </c>
      <c r="G9" s="232"/>
    </row>
    <row r="10" spans="1:7">
      <c r="A10" s="300" t="s">
        <v>1944</v>
      </c>
      <c r="B10" s="308">
        <v>4.5999999999999999E-2</v>
      </c>
      <c r="D10" s="306" t="s">
        <v>1945</v>
      </c>
      <c r="E10" s="307">
        <f>B12*E6</f>
        <v>2396167.1813005758</v>
      </c>
      <c r="G10" s="232"/>
    </row>
    <row r="11" spans="1:7">
      <c r="A11" s="300" t="s">
        <v>1028</v>
      </c>
      <c r="B11" s="305">
        <v>0.19</v>
      </c>
      <c r="D11" s="309" t="s">
        <v>1828</v>
      </c>
      <c r="E11" s="310">
        <f>E6-E7-E8</f>
        <v>3105965.7355592819</v>
      </c>
      <c r="F11" s="311" t="s">
        <v>1946</v>
      </c>
      <c r="G11" s="232"/>
    </row>
    <row r="12" spans="1:7">
      <c r="A12" s="300" t="s">
        <v>1027</v>
      </c>
      <c r="B12" s="312">
        <v>0.20499999999999999</v>
      </c>
      <c r="G12" s="232"/>
    </row>
    <row r="13" spans="1:7">
      <c r="A13" s="300" t="s">
        <v>1947</v>
      </c>
      <c r="B13" s="305">
        <v>0.06</v>
      </c>
      <c r="G13" s="232"/>
    </row>
    <row r="14" spans="1:7">
      <c r="A14" s="300" t="s">
        <v>1948</v>
      </c>
      <c r="B14" s="303">
        <v>54429</v>
      </c>
      <c r="G14" s="232"/>
    </row>
    <row r="15" spans="1:7">
      <c r="A15" s="300" t="s">
        <v>1949</v>
      </c>
      <c r="B15" s="303">
        <v>1974</v>
      </c>
      <c r="G15" s="232"/>
    </row>
    <row r="16" spans="1:7">
      <c r="A16" s="300" t="s">
        <v>1950</v>
      </c>
      <c r="B16" s="303">
        <v>2017</v>
      </c>
      <c r="G16" s="232"/>
    </row>
    <row r="17" spans="1:7">
      <c r="A17" s="300" t="s">
        <v>1951</v>
      </c>
      <c r="B17" s="303">
        <v>300000</v>
      </c>
      <c r="G17" s="232"/>
    </row>
    <row r="18" spans="1:7">
      <c r="A18" s="91" t="s">
        <v>1952</v>
      </c>
      <c r="B18" s="303">
        <v>106600</v>
      </c>
      <c r="D18" s="1" t="s">
        <v>0</v>
      </c>
      <c r="E18" s="2" t="s">
        <v>1</v>
      </c>
      <c r="F18" s="2" t="s">
        <v>2</v>
      </c>
      <c r="G18" s="313" t="s">
        <v>3</v>
      </c>
    </row>
    <row r="19" spans="1:7">
      <c r="A19" s="300" t="s">
        <v>1953</v>
      </c>
      <c r="B19" s="303"/>
      <c r="D19" s="314" t="s">
        <v>1954</v>
      </c>
      <c r="E19" s="315" t="s">
        <v>1955</v>
      </c>
      <c r="F19" s="315" t="s">
        <v>1956</v>
      </c>
      <c r="G19" s="316" t="s">
        <v>1957</v>
      </c>
    </row>
    <row r="20" spans="1:7">
      <c r="A20" s="300" t="s">
        <v>1958</v>
      </c>
      <c r="B20" s="303">
        <v>1200000</v>
      </c>
      <c r="D20" s="314" t="s">
        <v>1959</v>
      </c>
      <c r="E20" s="315" t="s">
        <v>1960</v>
      </c>
      <c r="F20" s="315" t="s">
        <v>1961</v>
      </c>
      <c r="G20" s="316" t="s">
        <v>38</v>
      </c>
    </row>
    <row r="21" spans="1:7">
      <c r="A21" s="300" t="s">
        <v>1962</v>
      </c>
      <c r="B21" s="303">
        <v>40000</v>
      </c>
      <c r="D21" s="314" t="s">
        <v>1963</v>
      </c>
      <c r="E21" s="315" t="s">
        <v>1964</v>
      </c>
      <c r="F21" s="315" t="s">
        <v>1965</v>
      </c>
      <c r="G21" s="316" t="s">
        <v>11</v>
      </c>
    </row>
    <row r="22" spans="1:7">
      <c r="A22" s="300" t="s">
        <v>1966</v>
      </c>
      <c r="B22" s="303">
        <v>85300</v>
      </c>
      <c r="D22" s="314" t="s">
        <v>1967</v>
      </c>
      <c r="E22" s="315" t="s">
        <v>1968</v>
      </c>
      <c r="F22" s="315"/>
      <c r="G22" s="316" t="s">
        <v>11</v>
      </c>
    </row>
    <row r="23" spans="1:7">
      <c r="A23" s="300" t="s">
        <v>1969</v>
      </c>
      <c r="B23" s="303">
        <v>1000</v>
      </c>
      <c r="D23" s="314" t="s">
        <v>1970</v>
      </c>
      <c r="E23" s="315" t="s">
        <v>1971</v>
      </c>
      <c r="F23" s="317">
        <v>45528</v>
      </c>
      <c r="G23" s="316" t="s">
        <v>7</v>
      </c>
    </row>
    <row r="24" spans="1:7">
      <c r="A24" s="300" t="s">
        <v>1972</v>
      </c>
      <c r="B24" s="303">
        <f>AVERAGE(' COSTOS'!B4:B10)</f>
        <v>35798.888888888891</v>
      </c>
      <c r="D24" s="314" t="s">
        <v>1970</v>
      </c>
      <c r="E24" s="315" t="s">
        <v>1973</v>
      </c>
      <c r="F24" s="318">
        <v>45436</v>
      </c>
      <c r="G24" s="316" t="s">
        <v>11</v>
      </c>
    </row>
    <row r="25" spans="1:7">
      <c r="A25" s="319" t="s">
        <v>1974</v>
      </c>
      <c r="B25" s="320">
        <v>61760</v>
      </c>
      <c r="D25" s="314" t="s">
        <v>1970</v>
      </c>
      <c r="E25" s="315" t="s">
        <v>1975</v>
      </c>
      <c r="F25" s="315" t="s">
        <v>1976</v>
      </c>
      <c r="G25" s="316" t="s">
        <v>1977</v>
      </c>
    </row>
    <row r="26" spans="1:7">
      <c r="B26" s="295"/>
      <c r="D26" s="314" t="s">
        <v>1978</v>
      </c>
      <c r="E26" s="315" t="s">
        <v>1979</v>
      </c>
      <c r="F26" s="315" t="s">
        <v>1980</v>
      </c>
      <c r="G26" s="316" t="s">
        <v>38</v>
      </c>
    </row>
    <row r="27" spans="1:7">
      <c r="B27" s="295"/>
      <c r="D27" s="314" t="s">
        <v>1981</v>
      </c>
      <c r="E27" s="315" t="s">
        <v>1982</v>
      </c>
      <c r="F27" s="315" t="s">
        <v>1983</v>
      </c>
      <c r="G27" s="316" t="s">
        <v>11</v>
      </c>
    </row>
    <row r="28" spans="1:7">
      <c r="B28" s="295"/>
      <c r="D28" s="314" t="s">
        <v>1984</v>
      </c>
      <c r="E28" s="315" t="s">
        <v>1985</v>
      </c>
      <c r="F28" s="315"/>
      <c r="G28" s="316" t="s">
        <v>7</v>
      </c>
    </row>
    <row r="29" spans="1:7">
      <c r="B29" s="295"/>
      <c r="D29" s="314" t="s">
        <v>1986</v>
      </c>
      <c r="E29" s="315" t="s">
        <v>1987</v>
      </c>
      <c r="F29" s="315"/>
      <c r="G29" s="316" t="s">
        <v>11</v>
      </c>
    </row>
    <row r="30" spans="1:7">
      <c r="B30" s="295"/>
      <c r="D30" s="314" t="s">
        <v>1988</v>
      </c>
      <c r="E30" s="315" t="s">
        <v>1989</v>
      </c>
      <c r="F30" s="315" t="s">
        <v>1990</v>
      </c>
      <c r="G30" s="316" t="s">
        <v>11</v>
      </c>
    </row>
    <row r="31" spans="1:7">
      <c r="B31" s="295"/>
      <c r="D31" s="314" t="s">
        <v>1991</v>
      </c>
      <c r="E31" s="315" t="s">
        <v>1992</v>
      </c>
      <c r="F31" s="315" t="s">
        <v>1993</v>
      </c>
      <c r="G31" s="316" t="s">
        <v>11</v>
      </c>
    </row>
    <row r="32" spans="1:7">
      <c r="B32" s="295"/>
      <c r="D32" s="314" t="s">
        <v>1994</v>
      </c>
      <c r="E32" s="315" t="s">
        <v>1995</v>
      </c>
      <c r="F32" s="315"/>
      <c r="G32" s="316" t="s">
        <v>11</v>
      </c>
    </row>
    <row r="33" spans="2:7">
      <c r="B33" s="295"/>
      <c r="D33" s="314" t="s">
        <v>1996</v>
      </c>
      <c r="E33" s="315" t="s">
        <v>1997</v>
      </c>
      <c r="F33" s="315" t="s">
        <v>1976</v>
      </c>
      <c r="G33" s="316" t="s">
        <v>38</v>
      </c>
    </row>
    <row r="34" spans="2:7">
      <c r="B34" s="295"/>
      <c r="D34" s="314" t="s">
        <v>1998</v>
      </c>
      <c r="E34" s="315" t="s">
        <v>1999</v>
      </c>
      <c r="F34" s="315"/>
      <c r="G34" s="316" t="s">
        <v>11</v>
      </c>
    </row>
    <row r="35" spans="2:7">
      <c r="B35" s="295"/>
      <c r="D35" s="314" t="s">
        <v>18</v>
      </c>
      <c r="E35" s="315" t="s">
        <v>19</v>
      </c>
      <c r="F35" s="315" t="s">
        <v>2000</v>
      </c>
      <c r="G35" s="316" t="s">
        <v>11</v>
      </c>
    </row>
    <row r="36" spans="2:7">
      <c r="B36" s="295"/>
      <c r="D36" s="314" t="s">
        <v>2001</v>
      </c>
      <c r="E36" s="315" t="s">
        <v>2002</v>
      </c>
      <c r="F36" s="315"/>
      <c r="G36" s="316" t="s">
        <v>11</v>
      </c>
    </row>
    <row r="37" spans="2:7">
      <c r="B37" s="295"/>
      <c r="D37" s="314" t="s">
        <v>2003</v>
      </c>
      <c r="E37" s="315" t="s">
        <v>2004</v>
      </c>
      <c r="F37" s="315"/>
      <c r="G37" s="316" t="s">
        <v>11</v>
      </c>
    </row>
    <row r="38" spans="2:7">
      <c r="B38" s="295"/>
      <c r="D38" s="314" t="s">
        <v>2005</v>
      </c>
      <c r="E38" s="315" t="s">
        <v>2006</v>
      </c>
      <c r="F38" s="315" t="s">
        <v>2007</v>
      </c>
      <c r="G38" s="316" t="s">
        <v>38</v>
      </c>
    </row>
    <row r="39" spans="2:7">
      <c r="B39" s="295"/>
      <c r="D39" s="314" t="s">
        <v>2008</v>
      </c>
      <c r="E39" s="315" t="s">
        <v>2009</v>
      </c>
      <c r="F39" s="315" t="s">
        <v>2010</v>
      </c>
      <c r="G39" s="316" t="s">
        <v>2011</v>
      </c>
    </row>
    <row r="40" spans="2:7">
      <c r="B40" s="295"/>
      <c r="D40" s="314" t="s">
        <v>2012</v>
      </c>
      <c r="E40" s="315" t="s">
        <v>2013</v>
      </c>
      <c r="F40" s="315"/>
      <c r="G40" s="316" t="s">
        <v>2011</v>
      </c>
    </row>
    <row r="41" spans="2:7">
      <c r="B41" s="295"/>
      <c r="D41" s="314" t="s">
        <v>2014</v>
      </c>
      <c r="E41" s="315" t="s">
        <v>2015</v>
      </c>
      <c r="F41" s="315"/>
      <c r="G41" s="316" t="s">
        <v>38</v>
      </c>
    </row>
    <row r="42" spans="2:7">
      <c r="B42" s="295"/>
      <c r="D42" s="314" t="s">
        <v>2016</v>
      </c>
      <c r="E42" s="315" t="s">
        <v>2017</v>
      </c>
      <c r="F42" s="315"/>
      <c r="G42" s="316" t="s">
        <v>7</v>
      </c>
    </row>
    <row r="43" spans="2:7">
      <c r="B43" s="295"/>
      <c r="D43" s="314" t="s">
        <v>2018</v>
      </c>
      <c r="E43" s="315" t="s">
        <v>2019</v>
      </c>
      <c r="F43" s="315"/>
      <c r="G43" s="316" t="s">
        <v>2011</v>
      </c>
    </row>
    <row r="44" spans="2:7">
      <c r="B44" s="295"/>
      <c r="D44" s="314" t="s">
        <v>2020</v>
      </c>
      <c r="E44" s="315" t="s">
        <v>2021</v>
      </c>
      <c r="F44" s="315"/>
      <c r="G44" s="316" t="s">
        <v>38</v>
      </c>
    </row>
    <row r="45" spans="2:7">
      <c r="B45" s="295"/>
    </row>
    <row r="46" spans="2:7">
      <c r="B46" s="295"/>
      <c r="G46" s="232"/>
    </row>
    <row r="47" spans="2:7">
      <c r="B47" s="295"/>
      <c r="G47" s="232"/>
    </row>
    <row r="48" spans="2:7">
      <c r="B48" s="295"/>
      <c r="G48" s="232"/>
    </row>
    <row r="49" spans="2:7">
      <c r="B49" s="295"/>
      <c r="G49" s="232"/>
    </row>
    <row r="50" spans="2:7">
      <c r="B50" s="295"/>
      <c r="G50" s="232"/>
    </row>
    <row r="51" spans="2:7">
      <c r="B51" s="295"/>
      <c r="G51" s="232"/>
    </row>
    <row r="52" spans="2:7">
      <c r="B52" s="295"/>
      <c r="G52" s="232"/>
    </row>
    <row r="53" spans="2:7">
      <c r="B53" s="295"/>
      <c r="G53" s="232"/>
    </row>
    <row r="54" spans="2:7">
      <c r="B54" s="295"/>
      <c r="G54" s="232"/>
    </row>
    <row r="55" spans="2:7">
      <c r="B55" s="295"/>
      <c r="G55" s="232"/>
    </row>
    <row r="56" spans="2:7">
      <c r="B56" s="295"/>
      <c r="G56" s="232"/>
    </row>
    <row r="57" spans="2:7">
      <c r="B57" s="295"/>
      <c r="G57" s="232"/>
    </row>
    <row r="58" spans="2:7">
      <c r="B58" s="295"/>
      <c r="G58" s="232"/>
    </row>
    <row r="59" spans="2:7">
      <c r="B59" s="295"/>
      <c r="G59" s="232"/>
    </row>
    <row r="60" spans="2:7">
      <c r="B60" s="295"/>
      <c r="G60" s="232"/>
    </row>
    <row r="61" spans="2:7">
      <c r="B61" s="295"/>
      <c r="G61" s="232"/>
    </row>
    <row r="62" spans="2:7">
      <c r="B62" s="295"/>
      <c r="G62" s="232"/>
    </row>
    <row r="63" spans="2:7">
      <c r="B63" s="295"/>
      <c r="G63" s="232"/>
    </row>
    <row r="64" spans="2:7">
      <c r="B64" s="295"/>
      <c r="G64" s="232"/>
    </row>
    <row r="65" spans="2:7">
      <c r="B65" s="295"/>
      <c r="G65" s="232"/>
    </row>
    <row r="66" spans="2:7">
      <c r="B66" s="295"/>
      <c r="G66" s="232"/>
    </row>
    <row r="67" spans="2:7">
      <c r="B67" s="295"/>
      <c r="G67" s="232"/>
    </row>
    <row r="68" spans="2:7">
      <c r="B68" s="295"/>
      <c r="G68" s="232"/>
    </row>
    <row r="69" spans="2:7">
      <c r="B69" s="295"/>
      <c r="G69" s="232"/>
    </row>
    <row r="70" spans="2:7">
      <c r="B70" s="295"/>
      <c r="G70" s="232"/>
    </row>
    <row r="71" spans="2:7">
      <c r="B71" s="295"/>
      <c r="G71" s="232"/>
    </row>
    <row r="72" spans="2:7">
      <c r="B72" s="295"/>
      <c r="G72" s="232"/>
    </row>
    <row r="73" spans="2:7">
      <c r="B73" s="295"/>
      <c r="G73" s="232"/>
    </row>
    <row r="74" spans="2:7">
      <c r="B74" s="295"/>
      <c r="G74" s="232"/>
    </row>
    <row r="75" spans="2:7">
      <c r="B75" s="295"/>
      <c r="G75" s="232"/>
    </row>
    <row r="76" spans="2:7">
      <c r="B76" s="295"/>
      <c r="G76" s="232"/>
    </row>
    <row r="77" spans="2:7">
      <c r="B77" s="295"/>
      <c r="G77" s="232"/>
    </row>
    <row r="78" spans="2:7">
      <c r="B78" s="295"/>
      <c r="G78" s="232"/>
    </row>
    <row r="79" spans="2:7">
      <c r="B79" s="295"/>
      <c r="G79" s="232"/>
    </row>
    <row r="80" spans="2:7">
      <c r="B80" s="295"/>
      <c r="G80" s="232"/>
    </row>
    <row r="81" spans="2:7">
      <c r="B81" s="295"/>
      <c r="G81" s="232"/>
    </row>
    <row r="82" spans="2:7">
      <c r="B82" s="295"/>
      <c r="G82" s="232"/>
    </row>
    <row r="83" spans="2:7">
      <c r="B83" s="295"/>
      <c r="G83" s="232"/>
    </row>
    <row r="84" spans="2:7">
      <c r="B84" s="295"/>
      <c r="G84" s="232"/>
    </row>
    <row r="85" spans="2:7">
      <c r="B85" s="295"/>
      <c r="G85" s="232"/>
    </row>
    <row r="86" spans="2:7">
      <c r="B86" s="295"/>
      <c r="G86" s="232"/>
    </row>
    <row r="87" spans="2:7">
      <c r="B87" s="295"/>
      <c r="G87" s="232"/>
    </row>
    <row r="88" spans="2:7">
      <c r="B88" s="295"/>
      <c r="G88" s="232"/>
    </row>
    <row r="89" spans="2:7">
      <c r="B89" s="295"/>
      <c r="G89" s="232"/>
    </row>
    <row r="90" spans="2:7">
      <c r="B90" s="295"/>
      <c r="G90" s="232"/>
    </row>
    <row r="91" spans="2:7">
      <c r="B91" s="295"/>
      <c r="G91" s="232"/>
    </row>
    <row r="92" spans="2:7">
      <c r="B92" s="295"/>
      <c r="G92" s="232"/>
    </row>
    <row r="93" spans="2:7">
      <c r="B93" s="295"/>
      <c r="G93" s="232"/>
    </row>
    <row r="94" spans="2:7">
      <c r="B94" s="295"/>
      <c r="G94" s="232"/>
    </row>
    <row r="95" spans="2:7">
      <c r="B95" s="295"/>
      <c r="G95" s="232"/>
    </row>
    <row r="96" spans="2:7">
      <c r="B96" s="295"/>
      <c r="G96" s="232"/>
    </row>
    <row r="97" spans="2:7">
      <c r="B97" s="295"/>
      <c r="G97" s="232"/>
    </row>
    <row r="98" spans="2:7">
      <c r="B98" s="295"/>
      <c r="G98" s="232"/>
    </row>
    <row r="99" spans="2:7">
      <c r="B99" s="295"/>
      <c r="G99" s="232"/>
    </row>
    <row r="100" spans="2:7">
      <c r="B100" s="295"/>
      <c r="G100" s="232"/>
    </row>
    <row r="101" spans="2:7">
      <c r="B101" s="295"/>
      <c r="G101" s="232"/>
    </row>
    <row r="102" spans="2:7">
      <c r="B102" s="295"/>
      <c r="G102" s="232"/>
    </row>
    <row r="103" spans="2:7">
      <c r="B103" s="295"/>
      <c r="G103" s="232"/>
    </row>
    <row r="104" spans="2:7">
      <c r="B104" s="295"/>
      <c r="G104" s="232"/>
    </row>
    <row r="105" spans="2:7">
      <c r="B105" s="295"/>
      <c r="G105" s="232"/>
    </row>
    <row r="106" spans="2:7">
      <c r="B106" s="295"/>
      <c r="G106" s="232"/>
    </row>
    <row r="107" spans="2:7">
      <c r="B107" s="295"/>
      <c r="G107" s="232"/>
    </row>
    <row r="108" spans="2:7">
      <c r="B108" s="295"/>
      <c r="G108" s="232"/>
    </row>
    <row r="109" spans="2:7">
      <c r="B109" s="295"/>
      <c r="G109" s="232"/>
    </row>
    <row r="110" spans="2:7">
      <c r="B110" s="295"/>
      <c r="G110" s="232"/>
    </row>
    <row r="111" spans="2:7">
      <c r="B111" s="295"/>
      <c r="G111" s="232"/>
    </row>
    <row r="112" spans="2:7">
      <c r="B112" s="295"/>
      <c r="G112" s="232"/>
    </row>
    <row r="113" spans="2:7">
      <c r="B113" s="295"/>
      <c r="G113" s="232"/>
    </row>
    <row r="114" spans="2:7">
      <c r="B114" s="295"/>
      <c r="G114" s="232"/>
    </row>
    <row r="115" spans="2:7">
      <c r="B115" s="295"/>
      <c r="G115" s="232"/>
    </row>
    <row r="116" spans="2:7">
      <c r="B116" s="295"/>
      <c r="G116" s="232"/>
    </row>
    <row r="117" spans="2:7">
      <c r="B117" s="295"/>
      <c r="G117" s="232"/>
    </row>
    <row r="118" spans="2:7">
      <c r="B118" s="295"/>
      <c r="G118" s="232"/>
    </row>
    <row r="119" spans="2:7">
      <c r="B119" s="295"/>
      <c r="G119" s="232"/>
    </row>
    <row r="120" spans="2:7">
      <c r="B120" s="295"/>
      <c r="G120" s="232"/>
    </row>
    <row r="121" spans="2:7">
      <c r="B121" s="295"/>
      <c r="G121" s="232"/>
    </row>
    <row r="122" spans="2:7">
      <c r="B122" s="295"/>
      <c r="G122" s="232"/>
    </row>
    <row r="123" spans="2:7">
      <c r="B123" s="295"/>
      <c r="G123" s="232"/>
    </row>
    <row r="124" spans="2:7">
      <c r="B124" s="295"/>
      <c r="G124" s="232"/>
    </row>
    <row r="125" spans="2:7">
      <c r="B125" s="295"/>
      <c r="G125" s="232"/>
    </row>
    <row r="126" spans="2:7">
      <c r="B126" s="295"/>
      <c r="G126" s="232"/>
    </row>
    <row r="127" spans="2:7">
      <c r="B127" s="295"/>
      <c r="G127" s="232"/>
    </row>
    <row r="128" spans="2:7">
      <c r="B128" s="295"/>
      <c r="G128" s="232"/>
    </row>
    <row r="129" spans="2:7">
      <c r="B129" s="295"/>
      <c r="G129" s="232"/>
    </row>
    <row r="130" spans="2:7">
      <c r="B130" s="295"/>
      <c r="G130" s="232"/>
    </row>
    <row r="131" spans="2:7">
      <c r="B131" s="295"/>
      <c r="G131" s="232"/>
    </row>
    <row r="132" spans="2:7">
      <c r="B132" s="295"/>
      <c r="G132" s="232"/>
    </row>
    <row r="133" spans="2:7">
      <c r="B133" s="295"/>
      <c r="G133" s="232"/>
    </row>
    <row r="134" spans="2:7">
      <c r="B134" s="295"/>
      <c r="G134" s="232"/>
    </row>
    <row r="135" spans="2:7">
      <c r="B135" s="295"/>
      <c r="G135" s="232"/>
    </row>
    <row r="136" spans="2:7">
      <c r="B136" s="295"/>
      <c r="G136" s="232"/>
    </row>
    <row r="137" spans="2:7">
      <c r="B137" s="295"/>
      <c r="G137" s="232"/>
    </row>
    <row r="138" spans="2:7">
      <c r="B138" s="295"/>
      <c r="G138" s="232"/>
    </row>
    <row r="139" spans="2:7">
      <c r="B139" s="295"/>
      <c r="G139" s="232"/>
    </row>
    <row r="140" spans="2:7">
      <c r="B140" s="295"/>
      <c r="G140" s="232"/>
    </row>
    <row r="141" spans="2:7">
      <c r="B141" s="295"/>
      <c r="G141" s="232"/>
    </row>
    <row r="142" spans="2:7">
      <c r="B142" s="295"/>
      <c r="G142" s="232"/>
    </row>
    <row r="143" spans="2:7">
      <c r="B143" s="295"/>
      <c r="G143" s="232"/>
    </row>
    <row r="144" spans="2:7">
      <c r="B144" s="295"/>
      <c r="G144" s="232"/>
    </row>
    <row r="145" spans="2:7">
      <c r="B145" s="295"/>
      <c r="G145" s="232"/>
    </row>
    <row r="146" spans="2:7">
      <c r="B146" s="295"/>
      <c r="G146" s="232"/>
    </row>
    <row r="147" spans="2:7">
      <c r="B147" s="295"/>
      <c r="G147" s="232"/>
    </row>
    <row r="148" spans="2:7">
      <c r="B148" s="295"/>
      <c r="G148" s="232"/>
    </row>
    <row r="149" spans="2:7">
      <c r="B149" s="295"/>
      <c r="G149" s="232"/>
    </row>
    <row r="150" spans="2:7">
      <c r="B150" s="295"/>
      <c r="G150" s="232"/>
    </row>
    <row r="151" spans="2:7">
      <c r="B151" s="295"/>
      <c r="G151" s="232"/>
    </row>
    <row r="152" spans="2:7">
      <c r="B152" s="295"/>
      <c r="G152" s="232"/>
    </row>
    <row r="153" spans="2:7">
      <c r="B153" s="295"/>
      <c r="G153" s="232"/>
    </row>
    <row r="154" spans="2:7">
      <c r="B154" s="295"/>
      <c r="G154" s="232"/>
    </row>
    <row r="155" spans="2:7">
      <c r="B155" s="295"/>
      <c r="G155" s="232"/>
    </row>
    <row r="156" spans="2:7">
      <c r="B156" s="295"/>
      <c r="G156" s="232"/>
    </row>
    <row r="157" spans="2:7">
      <c r="B157" s="295"/>
      <c r="G157" s="232"/>
    </row>
    <row r="158" spans="2:7">
      <c r="B158" s="295"/>
      <c r="G158" s="232"/>
    </row>
    <row r="159" spans="2:7">
      <c r="B159" s="295"/>
      <c r="G159" s="232"/>
    </row>
    <row r="160" spans="2:7">
      <c r="B160" s="295"/>
      <c r="G160" s="232"/>
    </row>
    <row r="161" spans="2:7">
      <c r="B161" s="295"/>
      <c r="G161" s="232"/>
    </row>
    <row r="162" spans="2:7">
      <c r="B162" s="295"/>
      <c r="G162" s="232"/>
    </row>
    <row r="163" spans="2:7">
      <c r="B163" s="295"/>
      <c r="G163" s="232"/>
    </row>
    <row r="164" spans="2:7">
      <c r="B164" s="295"/>
      <c r="G164" s="232"/>
    </row>
    <row r="165" spans="2:7">
      <c r="B165" s="295"/>
      <c r="G165" s="232"/>
    </row>
    <row r="166" spans="2:7">
      <c r="B166" s="295"/>
      <c r="G166" s="232"/>
    </row>
    <row r="167" spans="2:7">
      <c r="B167" s="295"/>
      <c r="G167" s="232"/>
    </row>
    <row r="168" spans="2:7">
      <c r="B168" s="295"/>
      <c r="G168" s="232"/>
    </row>
    <row r="169" spans="2:7">
      <c r="B169" s="295"/>
      <c r="G169" s="232"/>
    </row>
    <row r="170" spans="2:7">
      <c r="B170" s="295"/>
      <c r="G170" s="232"/>
    </row>
    <row r="171" spans="2:7">
      <c r="B171" s="295"/>
      <c r="G171" s="232"/>
    </row>
    <row r="172" spans="2:7">
      <c r="B172" s="295"/>
      <c r="G172" s="232"/>
    </row>
    <row r="173" spans="2:7">
      <c r="B173" s="295"/>
      <c r="G173" s="232"/>
    </row>
    <row r="174" spans="2:7">
      <c r="B174" s="295"/>
      <c r="G174" s="232"/>
    </row>
    <row r="175" spans="2:7">
      <c r="B175" s="295"/>
      <c r="G175" s="232"/>
    </row>
    <row r="176" spans="2:7">
      <c r="B176" s="295"/>
      <c r="G176" s="232"/>
    </row>
    <row r="177" spans="2:7">
      <c r="B177" s="295"/>
      <c r="G177" s="232"/>
    </row>
    <row r="178" spans="2:7">
      <c r="B178" s="295"/>
      <c r="G178" s="232"/>
    </row>
    <row r="179" spans="2:7">
      <c r="B179" s="295"/>
      <c r="G179" s="232"/>
    </row>
    <row r="180" spans="2:7">
      <c r="B180" s="295"/>
      <c r="G180" s="232"/>
    </row>
    <row r="181" spans="2:7">
      <c r="B181" s="295"/>
      <c r="G181" s="232"/>
    </row>
    <row r="182" spans="2:7">
      <c r="B182" s="295"/>
      <c r="G182" s="232"/>
    </row>
    <row r="183" spans="2:7">
      <c r="B183" s="295"/>
      <c r="G183" s="232"/>
    </row>
    <row r="184" spans="2:7">
      <c r="B184" s="295"/>
      <c r="G184" s="232"/>
    </row>
    <row r="185" spans="2:7">
      <c r="B185" s="295"/>
      <c r="G185" s="232"/>
    </row>
    <row r="186" spans="2:7">
      <c r="B186" s="295"/>
      <c r="G186" s="232"/>
    </row>
    <row r="187" spans="2:7">
      <c r="B187" s="295"/>
      <c r="G187" s="232"/>
    </row>
    <row r="188" spans="2:7">
      <c r="B188" s="295"/>
      <c r="G188" s="232"/>
    </row>
    <row r="189" spans="2:7">
      <c r="B189" s="295"/>
      <c r="G189" s="232"/>
    </row>
    <row r="190" spans="2:7">
      <c r="B190" s="295"/>
      <c r="G190" s="232"/>
    </row>
    <row r="191" spans="2:7">
      <c r="B191" s="295"/>
      <c r="G191" s="232"/>
    </row>
    <row r="192" spans="2:7">
      <c r="B192" s="295"/>
      <c r="G192" s="232"/>
    </row>
    <row r="193" spans="2:7">
      <c r="B193" s="295"/>
      <c r="G193" s="232"/>
    </row>
    <row r="194" spans="2:7">
      <c r="B194" s="295"/>
      <c r="G194" s="232"/>
    </row>
    <row r="195" spans="2:7">
      <c r="B195" s="295"/>
      <c r="G195" s="232"/>
    </row>
    <row r="196" spans="2:7">
      <c r="B196" s="295"/>
      <c r="G196" s="232"/>
    </row>
    <row r="197" spans="2:7">
      <c r="B197" s="295"/>
      <c r="G197" s="232"/>
    </row>
    <row r="198" spans="2:7">
      <c r="B198" s="295"/>
      <c r="G198" s="232"/>
    </row>
    <row r="199" spans="2:7">
      <c r="B199" s="295"/>
      <c r="G199" s="232"/>
    </row>
    <row r="200" spans="2:7">
      <c r="B200" s="295"/>
      <c r="G200" s="232"/>
    </row>
    <row r="201" spans="2:7">
      <c r="B201" s="295"/>
      <c r="G201" s="232"/>
    </row>
    <row r="202" spans="2:7">
      <c r="B202" s="295"/>
      <c r="G202" s="232"/>
    </row>
    <row r="203" spans="2:7">
      <c r="B203" s="295"/>
      <c r="G203" s="232"/>
    </row>
    <row r="204" spans="2:7">
      <c r="B204" s="295"/>
      <c r="G204" s="232"/>
    </row>
    <row r="205" spans="2:7">
      <c r="B205" s="295"/>
      <c r="G205" s="232"/>
    </row>
    <row r="206" spans="2:7">
      <c r="B206" s="295"/>
      <c r="G206" s="232"/>
    </row>
    <row r="207" spans="2:7">
      <c r="B207" s="295"/>
      <c r="G207" s="232"/>
    </row>
    <row r="208" spans="2:7">
      <c r="B208" s="295"/>
      <c r="G208" s="232"/>
    </row>
    <row r="209" spans="2:7">
      <c r="B209" s="295"/>
      <c r="G209" s="232"/>
    </row>
    <row r="210" spans="2:7">
      <c r="B210" s="295"/>
      <c r="G210" s="232"/>
    </row>
    <row r="211" spans="2:7">
      <c r="B211" s="295"/>
      <c r="G211" s="232"/>
    </row>
    <row r="212" spans="2:7">
      <c r="B212" s="295"/>
      <c r="G212" s="232"/>
    </row>
    <row r="213" spans="2:7">
      <c r="B213" s="295"/>
      <c r="G213" s="232"/>
    </row>
    <row r="214" spans="2:7">
      <c r="B214" s="295"/>
      <c r="G214" s="232"/>
    </row>
    <row r="215" spans="2:7">
      <c r="B215" s="295"/>
      <c r="G215" s="232"/>
    </row>
    <row r="216" spans="2:7">
      <c r="B216" s="295"/>
      <c r="G216" s="232"/>
    </row>
    <row r="217" spans="2:7">
      <c r="B217" s="295"/>
      <c r="G217" s="232"/>
    </row>
    <row r="218" spans="2:7">
      <c r="B218" s="295"/>
      <c r="G218" s="232"/>
    </row>
    <row r="219" spans="2:7">
      <c r="B219" s="295"/>
      <c r="G219" s="232"/>
    </row>
    <row r="220" spans="2:7">
      <c r="B220" s="295"/>
      <c r="G220" s="232"/>
    </row>
    <row r="221" spans="2:7">
      <c r="B221" s="295"/>
      <c r="G221" s="232"/>
    </row>
    <row r="222" spans="2:7">
      <c r="B222" s="295"/>
      <c r="G222" s="232"/>
    </row>
    <row r="223" spans="2:7">
      <c r="B223" s="295"/>
      <c r="G223" s="232"/>
    </row>
    <row r="224" spans="2:7">
      <c r="B224" s="295"/>
      <c r="G224" s="232"/>
    </row>
    <row r="225" spans="2:7">
      <c r="B225" s="295"/>
      <c r="G225" s="232"/>
    </row>
    <row r="226" spans="2:7">
      <c r="B226" s="295"/>
      <c r="G226" s="232"/>
    </row>
    <row r="227" spans="2:7">
      <c r="B227" s="295"/>
      <c r="G227" s="232"/>
    </row>
    <row r="228" spans="2:7">
      <c r="B228" s="295"/>
      <c r="G228" s="232"/>
    </row>
    <row r="229" spans="2:7">
      <c r="B229" s="295"/>
      <c r="G229" s="232"/>
    </row>
    <row r="230" spans="2:7">
      <c r="B230" s="295"/>
      <c r="G230" s="232"/>
    </row>
    <row r="231" spans="2:7">
      <c r="B231" s="295"/>
      <c r="G231" s="232"/>
    </row>
    <row r="232" spans="2:7">
      <c r="B232" s="295"/>
      <c r="G232" s="232"/>
    </row>
    <row r="233" spans="2:7">
      <c r="B233" s="295"/>
      <c r="G233" s="232"/>
    </row>
    <row r="234" spans="2:7">
      <c r="B234" s="295"/>
      <c r="G234" s="232"/>
    </row>
    <row r="235" spans="2:7">
      <c r="B235" s="295"/>
      <c r="G235" s="232"/>
    </row>
    <row r="236" spans="2:7">
      <c r="B236" s="295"/>
      <c r="G236" s="232"/>
    </row>
    <row r="237" spans="2:7">
      <c r="B237" s="295"/>
      <c r="G237" s="232"/>
    </row>
    <row r="238" spans="2:7">
      <c r="B238" s="295"/>
      <c r="G238" s="232"/>
    </row>
    <row r="239" spans="2:7">
      <c r="B239" s="295"/>
      <c r="G239" s="232"/>
    </row>
    <row r="240" spans="2:7">
      <c r="B240" s="295"/>
      <c r="G240" s="232"/>
    </row>
    <row r="241" spans="2:7">
      <c r="B241" s="295"/>
      <c r="G241" s="232"/>
    </row>
    <row r="242" spans="2:7">
      <c r="B242" s="295"/>
      <c r="G242" s="232"/>
    </row>
    <row r="243" spans="2:7">
      <c r="B243" s="295"/>
      <c r="G243" s="232"/>
    </row>
    <row r="244" spans="2:7">
      <c r="B244" s="295"/>
      <c r="G244" s="232"/>
    </row>
    <row r="245" spans="2:7">
      <c r="B245" s="295"/>
      <c r="G245" s="232"/>
    </row>
    <row r="246" spans="2:7">
      <c r="B246" s="295"/>
      <c r="G246" s="232"/>
    </row>
    <row r="247" spans="2:7">
      <c r="B247" s="295"/>
      <c r="G247" s="232"/>
    </row>
    <row r="248" spans="2:7">
      <c r="B248" s="295"/>
      <c r="G248" s="232"/>
    </row>
    <row r="249" spans="2:7">
      <c r="B249" s="295"/>
      <c r="G249" s="232"/>
    </row>
    <row r="250" spans="2:7">
      <c r="B250" s="295"/>
      <c r="G250" s="232"/>
    </row>
    <row r="251" spans="2:7">
      <c r="B251" s="295"/>
      <c r="G251" s="232"/>
    </row>
    <row r="252" spans="2:7">
      <c r="B252" s="295"/>
      <c r="G252" s="232"/>
    </row>
    <row r="253" spans="2:7">
      <c r="B253" s="295"/>
      <c r="G253" s="232"/>
    </row>
    <row r="254" spans="2:7">
      <c r="B254" s="295"/>
      <c r="G254" s="232"/>
    </row>
    <row r="255" spans="2:7">
      <c r="B255" s="295"/>
      <c r="G255" s="232"/>
    </row>
    <row r="256" spans="2:7">
      <c r="B256" s="295"/>
      <c r="G256" s="232"/>
    </row>
    <row r="257" spans="2:7">
      <c r="B257" s="295"/>
      <c r="G257" s="232"/>
    </row>
    <row r="258" spans="2:7">
      <c r="B258" s="295"/>
      <c r="G258" s="232"/>
    </row>
    <row r="259" spans="2:7">
      <c r="B259" s="295"/>
      <c r="G259" s="232"/>
    </row>
    <row r="260" spans="2:7">
      <c r="B260" s="295"/>
      <c r="G260" s="232"/>
    </row>
    <row r="261" spans="2:7">
      <c r="B261" s="295"/>
      <c r="G261" s="232"/>
    </row>
    <row r="262" spans="2:7">
      <c r="B262" s="295"/>
      <c r="G262" s="232"/>
    </row>
    <row r="263" spans="2:7">
      <c r="B263" s="295"/>
      <c r="G263" s="232"/>
    </row>
    <row r="264" spans="2:7">
      <c r="B264" s="295"/>
      <c r="G264" s="232"/>
    </row>
    <row r="265" spans="2:7">
      <c r="B265" s="295"/>
      <c r="G265" s="232"/>
    </row>
    <row r="266" spans="2:7">
      <c r="B266" s="295"/>
      <c r="G266" s="232"/>
    </row>
    <row r="267" spans="2:7">
      <c r="B267" s="295"/>
      <c r="G267" s="232"/>
    </row>
    <row r="268" spans="2:7">
      <c r="B268" s="295"/>
      <c r="G268" s="232"/>
    </row>
    <row r="269" spans="2:7">
      <c r="B269" s="295"/>
      <c r="G269" s="232"/>
    </row>
    <row r="270" spans="2:7">
      <c r="B270" s="295"/>
      <c r="G270" s="232"/>
    </row>
    <row r="271" spans="2:7">
      <c r="B271" s="295"/>
      <c r="G271" s="232"/>
    </row>
    <row r="272" spans="2:7">
      <c r="B272" s="295"/>
      <c r="G272" s="232"/>
    </row>
    <row r="273" spans="2:7">
      <c r="B273" s="295"/>
      <c r="G273" s="232"/>
    </row>
    <row r="274" spans="2:7">
      <c r="B274" s="295"/>
      <c r="G274" s="232"/>
    </row>
    <row r="275" spans="2:7">
      <c r="B275" s="295"/>
      <c r="G275" s="232"/>
    </row>
    <row r="276" spans="2:7">
      <c r="B276" s="295"/>
      <c r="G276" s="232"/>
    </row>
    <row r="277" spans="2:7">
      <c r="B277" s="295"/>
      <c r="G277" s="232"/>
    </row>
    <row r="278" spans="2:7">
      <c r="B278" s="295"/>
      <c r="G278" s="232"/>
    </row>
    <row r="279" spans="2:7">
      <c r="B279" s="295"/>
      <c r="G279" s="232"/>
    </row>
    <row r="280" spans="2:7">
      <c r="B280" s="295"/>
      <c r="G280" s="232"/>
    </row>
    <row r="281" spans="2:7">
      <c r="B281" s="295"/>
      <c r="G281" s="232"/>
    </row>
    <row r="282" spans="2:7">
      <c r="B282" s="295"/>
      <c r="G282" s="232"/>
    </row>
    <row r="283" spans="2:7">
      <c r="B283" s="295"/>
      <c r="G283" s="232"/>
    </row>
    <row r="284" spans="2:7">
      <c r="B284" s="295"/>
      <c r="G284" s="232"/>
    </row>
    <row r="285" spans="2:7">
      <c r="B285" s="295"/>
      <c r="G285" s="232"/>
    </row>
    <row r="286" spans="2:7">
      <c r="B286" s="295"/>
      <c r="G286" s="232"/>
    </row>
    <row r="287" spans="2:7">
      <c r="B287" s="295"/>
      <c r="G287" s="232"/>
    </row>
    <row r="288" spans="2:7">
      <c r="B288" s="295"/>
      <c r="G288" s="232"/>
    </row>
    <row r="289" spans="2:7">
      <c r="B289" s="295"/>
      <c r="G289" s="232"/>
    </row>
    <row r="290" spans="2:7">
      <c r="B290" s="295"/>
      <c r="G290" s="232"/>
    </row>
    <row r="291" spans="2:7">
      <c r="B291" s="295"/>
      <c r="G291" s="232"/>
    </row>
    <row r="292" spans="2:7">
      <c r="B292" s="295"/>
      <c r="G292" s="232"/>
    </row>
    <row r="293" spans="2:7">
      <c r="B293" s="295"/>
      <c r="G293" s="232"/>
    </row>
    <row r="294" spans="2:7">
      <c r="B294" s="295"/>
      <c r="G294" s="232"/>
    </row>
    <row r="295" spans="2:7">
      <c r="B295" s="295"/>
      <c r="G295" s="232"/>
    </row>
    <row r="296" spans="2:7">
      <c r="B296" s="295"/>
      <c r="G296" s="232"/>
    </row>
    <row r="297" spans="2:7">
      <c r="B297" s="295"/>
      <c r="G297" s="232"/>
    </row>
    <row r="298" spans="2:7">
      <c r="B298" s="295"/>
      <c r="G298" s="232"/>
    </row>
    <row r="299" spans="2:7">
      <c r="B299" s="295"/>
      <c r="G299" s="232"/>
    </row>
    <row r="300" spans="2:7">
      <c r="B300" s="295"/>
      <c r="G300" s="232"/>
    </row>
    <row r="301" spans="2:7">
      <c r="B301" s="295"/>
      <c r="G301" s="232"/>
    </row>
    <row r="302" spans="2:7">
      <c r="B302" s="295"/>
      <c r="G302" s="232"/>
    </row>
    <row r="303" spans="2:7">
      <c r="B303" s="295"/>
      <c r="G303" s="232"/>
    </row>
    <row r="304" spans="2:7">
      <c r="B304" s="295"/>
      <c r="G304" s="232"/>
    </row>
    <row r="305" spans="2:7">
      <c r="B305" s="295"/>
      <c r="G305" s="232"/>
    </row>
    <row r="306" spans="2:7">
      <c r="B306" s="295"/>
      <c r="G306" s="232"/>
    </row>
    <row r="307" spans="2:7">
      <c r="B307" s="295"/>
      <c r="G307" s="232"/>
    </row>
    <row r="308" spans="2:7">
      <c r="B308" s="295"/>
      <c r="G308" s="232"/>
    </row>
    <row r="309" spans="2:7">
      <c r="B309" s="295"/>
      <c r="G309" s="232"/>
    </row>
    <row r="310" spans="2:7">
      <c r="B310" s="295"/>
      <c r="G310" s="232"/>
    </row>
    <row r="311" spans="2:7">
      <c r="B311" s="295"/>
      <c r="G311" s="232"/>
    </row>
    <row r="312" spans="2:7">
      <c r="B312" s="295"/>
      <c r="G312" s="232"/>
    </row>
    <row r="313" spans="2:7">
      <c r="B313" s="295"/>
      <c r="G313" s="232"/>
    </row>
    <row r="314" spans="2:7">
      <c r="B314" s="295"/>
      <c r="G314" s="232"/>
    </row>
    <row r="315" spans="2:7">
      <c r="B315" s="295"/>
      <c r="G315" s="232"/>
    </row>
    <row r="316" spans="2:7">
      <c r="B316" s="295"/>
      <c r="G316" s="232"/>
    </row>
    <row r="317" spans="2:7">
      <c r="B317" s="295"/>
      <c r="G317" s="232"/>
    </row>
    <row r="318" spans="2:7">
      <c r="B318" s="295"/>
      <c r="G318" s="232"/>
    </row>
    <row r="319" spans="2:7">
      <c r="B319" s="295"/>
      <c r="G319" s="232"/>
    </row>
    <row r="320" spans="2:7">
      <c r="B320" s="295"/>
      <c r="G320" s="232"/>
    </row>
    <row r="321" spans="2:7">
      <c r="B321" s="295"/>
      <c r="G321" s="232"/>
    </row>
    <row r="322" spans="2:7">
      <c r="B322" s="295"/>
      <c r="G322" s="232"/>
    </row>
    <row r="323" spans="2:7">
      <c r="B323" s="295"/>
      <c r="G323" s="232"/>
    </row>
    <row r="324" spans="2:7">
      <c r="B324" s="295"/>
      <c r="G324" s="232"/>
    </row>
    <row r="325" spans="2:7">
      <c r="B325" s="295"/>
      <c r="G325" s="232"/>
    </row>
    <row r="326" spans="2:7">
      <c r="B326" s="295"/>
      <c r="G326" s="232"/>
    </row>
    <row r="327" spans="2:7">
      <c r="B327" s="295"/>
      <c r="G327" s="232"/>
    </row>
    <row r="328" spans="2:7">
      <c r="B328" s="295"/>
      <c r="G328" s="232"/>
    </row>
    <row r="329" spans="2:7">
      <c r="B329" s="295"/>
      <c r="G329" s="232"/>
    </row>
    <row r="330" spans="2:7">
      <c r="B330" s="295"/>
      <c r="G330" s="232"/>
    </row>
    <row r="331" spans="2:7">
      <c r="B331" s="295"/>
      <c r="G331" s="232"/>
    </row>
    <row r="332" spans="2:7">
      <c r="B332" s="295"/>
      <c r="G332" s="232"/>
    </row>
    <row r="333" spans="2:7">
      <c r="B333" s="295"/>
      <c r="G333" s="232"/>
    </row>
    <row r="334" spans="2:7">
      <c r="B334" s="295"/>
      <c r="G334" s="232"/>
    </row>
    <row r="335" spans="2:7">
      <c r="B335" s="295"/>
      <c r="G335" s="232"/>
    </row>
    <row r="336" spans="2:7">
      <c r="B336" s="295"/>
      <c r="G336" s="232"/>
    </row>
    <row r="337" spans="2:7">
      <c r="B337" s="295"/>
      <c r="G337" s="232"/>
    </row>
    <row r="338" spans="2:7">
      <c r="B338" s="295"/>
      <c r="G338" s="232"/>
    </row>
    <row r="339" spans="2:7">
      <c r="B339" s="295"/>
      <c r="G339" s="232"/>
    </row>
    <row r="340" spans="2:7">
      <c r="B340" s="295"/>
      <c r="G340" s="232"/>
    </row>
    <row r="341" spans="2:7">
      <c r="B341" s="295"/>
      <c r="G341" s="232"/>
    </row>
    <row r="342" spans="2:7">
      <c r="B342" s="295"/>
      <c r="G342" s="232"/>
    </row>
    <row r="343" spans="2:7">
      <c r="B343" s="295"/>
      <c r="G343" s="232"/>
    </row>
    <row r="344" spans="2:7">
      <c r="B344" s="295"/>
      <c r="G344" s="232"/>
    </row>
    <row r="345" spans="2:7">
      <c r="B345" s="295"/>
      <c r="G345" s="232"/>
    </row>
    <row r="346" spans="2:7">
      <c r="B346" s="295"/>
      <c r="G346" s="232"/>
    </row>
    <row r="347" spans="2:7">
      <c r="B347" s="295"/>
      <c r="G347" s="232"/>
    </row>
    <row r="348" spans="2:7">
      <c r="B348" s="295"/>
      <c r="G348" s="232"/>
    </row>
    <row r="349" spans="2:7">
      <c r="B349" s="295"/>
      <c r="G349" s="232"/>
    </row>
    <row r="350" spans="2:7">
      <c r="B350" s="295"/>
      <c r="G350" s="232"/>
    </row>
    <row r="351" spans="2:7">
      <c r="B351" s="295"/>
      <c r="G351" s="232"/>
    </row>
    <row r="352" spans="2:7">
      <c r="B352" s="295"/>
      <c r="G352" s="232"/>
    </row>
    <row r="353" spans="2:7">
      <c r="B353" s="295"/>
      <c r="G353" s="232"/>
    </row>
    <row r="354" spans="2:7">
      <c r="B354" s="295"/>
      <c r="G354" s="232"/>
    </row>
    <row r="355" spans="2:7">
      <c r="B355" s="295"/>
      <c r="G355" s="232"/>
    </row>
    <row r="356" spans="2:7">
      <c r="B356" s="295"/>
      <c r="G356" s="232"/>
    </row>
    <row r="357" spans="2:7">
      <c r="B357" s="295"/>
      <c r="G357" s="232"/>
    </row>
    <row r="358" spans="2:7">
      <c r="B358" s="295"/>
      <c r="G358" s="232"/>
    </row>
    <row r="359" spans="2:7">
      <c r="B359" s="295"/>
      <c r="G359" s="232"/>
    </row>
    <row r="360" spans="2:7">
      <c r="B360" s="295"/>
      <c r="G360" s="232"/>
    </row>
    <row r="361" spans="2:7">
      <c r="B361" s="295"/>
      <c r="G361" s="232"/>
    </row>
    <row r="362" spans="2:7">
      <c r="B362" s="295"/>
      <c r="G362" s="232"/>
    </row>
    <row r="363" spans="2:7">
      <c r="B363" s="295"/>
      <c r="G363" s="232"/>
    </row>
    <row r="364" spans="2:7">
      <c r="B364" s="295"/>
      <c r="G364" s="232"/>
    </row>
    <row r="365" spans="2:7">
      <c r="B365" s="295"/>
      <c r="G365" s="232"/>
    </row>
    <row r="366" spans="2:7">
      <c r="B366" s="295"/>
      <c r="G366" s="232"/>
    </row>
    <row r="367" spans="2:7">
      <c r="B367" s="295"/>
      <c r="G367" s="232"/>
    </row>
    <row r="368" spans="2:7">
      <c r="B368" s="295"/>
      <c r="G368" s="232"/>
    </row>
    <row r="369" spans="2:7">
      <c r="B369" s="295"/>
      <c r="G369" s="232"/>
    </row>
    <row r="370" spans="2:7">
      <c r="B370" s="295"/>
      <c r="G370" s="232"/>
    </row>
    <row r="371" spans="2:7">
      <c r="B371" s="295"/>
      <c r="G371" s="232"/>
    </row>
    <row r="372" spans="2:7">
      <c r="B372" s="295"/>
      <c r="G372" s="232"/>
    </row>
    <row r="373" spans="2:7">
      <c r="B373" s="295"/>
      <c r="G373" s="232"/>
    </row>
    <row r="374" spans="2:7">
      <c r="B374" s="295"/>
      <c r="G374" s="232"/>
    </row>
    <row r="375" spans="2:7">
      <c r="B375" s="295"/>
      <c r="G375" s="232"/>
    </row>
    <row r="376" spans="2:7">
      <c r="B376" s="295"/>
      <c r="G376" s="232"/>
    </row>
    <row r="377" spans="2:7">
      <c r="B377" s="295"/>
      <c r="G377" s="232"/>
    </row>
    <row r="378" spans="2:7">
      <c r="B378" s="295"/>
      <c r="G378" s="232"/>
    </row>
    <row r="379" spans="2:7">
      <c r="B379" s="295"/>
      <c r="G379" s="232"/>
    </row>
    <row r="380" spans="2:7">
      <c r="B380" s="295"/>
      <c r="G380" s="232"/>
    </row>
    <row r="381" spans="2:7">
      <c r="B381" s="295"/>
      <c r="G381" s="232"/>
    </row>
    <row r="382" spans="2:7">
      <c r="B382" s="295"/>
      <c r="G382" s="232"/>
    </row>
    <row r="383" spans="2:7">
      <c r="B383" s="295"/>
      <c r="G383" s="232"/>
    </row>
    <row r="384" spans="2:7">
      <c r="B384" s="295"/>
      <c r="G384" s="232"/>
    </row>
    <row r="385" spans="2:7">
      <c r="B385" s="295"/>
      <c r="G385" s="232"/>
    </row>
    <row r="386" spans="2:7">
      <c r="B386" s="295"/>
      <c r="G386" s="232"/>
    </row>
    <row r="387" spans="2:7">
      <c r="B387" s="295"/>
      <c r="G387" s="232"/>
    </row>
    <row r="388" spans="2:7">
      <c r="B388" s="295"/>
      <c r="G388" s="232"/>
    </row>
    <row r="389" spans="2:7">
      <c r="B389" s="295"/>
      <c r="G389" s="232"/>
    </row>
    <row r="390" spans="2:7">
      <c r="B390" s="295"/>
      <c r="G390" s="232"/>
    </row>
    <row r="391" spans="2:7">
      <c r="B391" s="295"/>
      <c r="G391" s="232"/>
    </row>
    <row r="392" spans="2:7">
      <c r="B392" s="295"/>
      <c r="G392" s="232"/>
    </row>
    <row r="393" spans="2:7">
      <c r="B393" s="295"/>
      <c r="G393" s="232"/>
    </row>
    <row r="394" spans="2:7">
      <c r="B394" s="295"/>
      <c r="G394" s="232"/>
    </row>
    <row r="395" spans="2:7">
      <c r="B395" s="295"/>
      <c r="G395" s="232"/>
    </row>
    <row r="396" spans="2:7">
      <c r="B396" s="295"/>
      <c r="G396" s="232"/>
    </row>
    <row r="397" spans="2:7">
      <c r="B397" s="295"/>
      <c r="G397" s="232"/>
    </row>
    <row r="398" spans="2:7">
      <c r="B398" s="295"/>
      <c r="G398" s="232"/>
    </row>
    <row r="399" spans="2:7">
      <c r="B399" s="295"/>
      <c r="G399" s="232"/>
    </row>
    <row r="400" spans="2:7">
      <c r="B400" s="295"/>
      <c r="G400" s="232"/>
    </row>
    <row r="401" spans="2:7">
      <c r="B401" s="295"/>
      <c r="G401" s="232"/>
    </row>
    <row r="402" spans="2:7">
      <c r="B402" s="295"/>
      <c r="G402" s="232"/>
    </row>
    <row r="403" spans="2:7">
      <c r="B403" s="295"/>
      <c r="G403" s="232"/>
    </row>
    <row r="404" spans="2:7">
      <c r="B404" s="295"/>
      <c r="G404" s="232"/>
    </row>
    <row r="405" spans="2:7">
      <c r="B405" s="295"/>
      <c r="G405" s="232"/>
    </row>
    <row r="406" spans="2:7">
      <c r="B406" s="295"/>
      <c r="G406" s="232"/>
    </row>
    <row r="407" spans="2:7">
      <c r="B407" s="295"/>
      <c r="G407" s="232"/>
    </row>
    <row r="408" spans="2:7">
      <c r="B408" s="295"/>
      <c r="G408" s="232"/>
    </row>
    <row r="409" spans="2:7">
      <c r="B409" s="295"/>
      <c r="G409" s="232"/>
    </row>
    <row r="410" spans="2:7">
      <c r="B410" s="295"/>
      <c r="G410" s="232"/>
    </row>
    <row r="411" spans="2:7">
      <c r="B411" s="295"/>
      <c r="G411" s="232"/>
    </row>
    <row r="412" spans="2:7">
      <c r="B412" s="295"/>
      <c r="G412" s="232"/>
    </row>
    <row r="413" spans="2:7">
      <c r="B413" s="295"/>
      <c r="G413" s="232"/>
    </row>
    <row r="414" spans="2:7">
      <c r="B414" s="295"/>
      <c r="G414" s="232"/>
    </row>
    <row r="415" spans="2:7">
      <c r="B415" s="295"/>
      <c r="G415" s="232"/>
    </row>
    <row r="416" spans="2:7">
      <c r="B416" s="295"/>
      <c r="G416" s="232"/>
    </row>
    <row r="417" spans="2:7">
      <c r="B417" s="295"/>
      <c r="G417" s="232"/>
    </row>
    <row r="418" spans="2:7">
      <c r="B418" s="295"/>
      <c r="G418" s="232"/>
    </row>
    <row r="419" spans="2:7">
      <c r="B419" s="295"/>
      <c r="G419" s="232"/>
    </row>
    <row r="420" spans="2:7">
      <c r="B420" s="295"/>
      <c r="G420" s="232"/>
    </row>
    <row r="421" spans="2:7">
      <c r="B421" s="295"/>
      <c r="G421" s="232"/>
    </row>
    <row r="422" spans="2:7">
      <c r="B422" s="295"/>
      <c r="G422" s="232"/>
    </row>
    <row r="423" spans="2:7">
      <c r="B423" s="295"/>
      <c r="G423" s="232"/>
    </row>
    <row r="424" spans="2:7">
      <c r="B424" s="295"/>
      <c r="G424" s="232"/>
    </row>
    <row r="425" spans="2:7">
      <c r="B425" s="295"/>
      <c r="G425" s="232"/>
    </row>
    <row r="426" spans="2:7">
      <c r="B426" s="295"/>
      <c r="G426" s="232"/>
    </row>
    <row r="427" spans="2:7">
      <c r="B427" s="295"/>
      <c r="G427" s="232"/>
    </row>
    <row r="428" spans="2:7">
      <c r="B428" s="295"/>
      <c r="G428" s="232"/>
    </row>
    <row r="429" spans="2:7">
      <c r="B429" s="295"/>
      <c r="G429" s="232"/>
    </row>
    <row r="430" spans="2:7">
      <c r="B430" s="295"/>
      <c r="G430" s="232"/>
    </row>
    <row r="431" spans="2:7">
      <c r="B431" s="295"/>
      <c r="G431" s="232"/>
    </row>
    <row r="432" spans="2:7">
      <c r="B432" s="295"/>
      <c r="G432" s="232"/>
    </row>
    <row r="433" spans="2:7">
      <c r="B433" s="295"/>
      <c r="G433" s="232"/>
    </row>
    <row r="434" spans="2:7">
      <c r="B434" s="295"/>
      <c r="G434" s="232"/>
    </row>
    <row r="435" spans="2:7">
      <c r="B435" s="295"/>
      <c r="G435" s="232"/>
    </row>
    <row r="436" spans="2:7">
      <c r="B436" s="295"/>
      <c r="G436" s="232"/>
    </row>
    <row r="437" spans="2:7">
      <c r="B437" s="295"/>
      <c r="G437" s="232"/>
    </row>
    <row r="438" spans="2:7">
      <c r="B438" s="295"/>
      <c r="G438" s="232"/>
    </row>
    <row r="439" spans="2:7">
      <c r="B439" s="295"/>
      <c r="G439" s="232"/>
    </row>
    <row r="440" spans="2:7">
      <c r="B440" s="295"/>
      <c r="G440" s="232"/>
    </row>
    <row r="441" spans="2:7">
      <c r="B441" s="295"/>
      <c r="G441" s="232"/>
    </row>
    <row r="442" spans="2:7">
      <c r="B442" s="295"/>
      <c r="G442" s="232"/>
    </row>
    <row r="443" spans="2:7">
      <c r="B443" s="295"/>
      <c r="G443" s="232"/>
    </row>
    <row r="444" spans="2:7">
      <c r="B444" s="295"/>
      <c r="G444" s="232"/>
    </row>
    <row r="445" spans="2:7">
      <c r="B445" s="295"/>
      <c r="G445" s="232"/>
    </row>
    <row r="446" spans="2:7">
      <c r="B446" s="295"/>
      <c r="G446" s="232"/>
    </row>
    <row r="447" spans="2:7">
      <c r="B447" s="295"/>
      <c r="G447" s="232"/>
    </row>
    <row r="448" spans="2:7">
      <c r="B448" s="295"/>
      <c r="G448" s="232"/>
    </row>
    <row r="449" spans="2:7">
      <c r="B449" s="295"/>
      <c r="G449" s="232"/>
    </row>
    <row r="450" spans="2:7">
      <c r="B450" s="295"/>
      <c r="G450" s="232"/>
    </row>
    <row r="451" spans="2:7">
      <c r="B451" s="295"/>
      <c r="G451" s="232"/>
    </row>
    <row r="452" spans="2:7">
      <c r="B452" s="295"/>
      <c r="G452" s="232"/>
    </row>
    <row r="453" spans="2:7">
      <c r="B453" s="295"/>
      <c r="G453" s="232"/>
    </row>
    <row r="454" spans="2:7">
      <c r="B454" s="295"/>
      <c r="G454" s="232"/>
    </row>
    <row r="455" spans="2:7">
      <c r="B455" s="295"/>
      <c r="G455" s="232"/>
    </row>
    <row r="456" spans="2:7">
      <c r="B456" s="295"/>
      <c r="G456" s="232"/>
    </row>
    <row r="457" spans="2:7">
      <c r="B457" s="295"/>
      <c r="G457" s="232"/>
    </row>
    <row r="458" spans="2:7">
      <c r="B458" s="295"/>
      <c r="G458" s="232"/>
    </row>
    <row r="459" spans="2:7">
      <c r="B459" s="295"/>
      <c r="G459" s="232"/>
    </row>
    <row r="460" spans="2:7">
      <c r="B460" s="295"/>
      <c r="G460" s="232"/>
    </row>
    <row r="461" spans="2:7">
      <c r="B461" s="295"/>
      <c r="G461" s="232"/>
    </row>
    <row r="462" spans="2:7">
      <c r="B462" s="295"/>
      <c r="G462" s="232"/>
    </row>
    <row r="463" spans="2:7">
      <c r="B463" s="295"/>
      <c r="G463" s="232"/>
    </row>
    <row r="464" spans="2:7">
      <c r="B464" s="295"/>
      <c r="G464" s="232"/>
    </row>
    <row r="465" spans="2:7">
      <c r="B465" s="295"/>
      <c r="G465" s="232"/>
    </row>
    <row r="466" spans="2:7">
      <c r="B466" s="295"/>
      <c r="G466" s="232"/>
    </row>
    <row r="467" spans="2:7">
      <c r="B467" s="295"/>
      <c r="G467" s="232"/>
    </row>
    <row r="468" spans="2:7">
      <c r="B468" s="295"/>
      <c r="G468" s="232"/>
    </row>
    <row r="469" spans="2:7">
      <c r="B469" s="295"/>
      <c r="G469" s="232"/>
    </row>
    <row r="470" spans="2:7">
      <c r="B470" s="295"/>
      <c r="G470" s="232"/>
    </row>
    <row r="471" spans="2:7">
      <c r="B471" s="295"/>
      <c r="G471" s="232"/>
    </row>
    <row r="472" spans="2:7">
      <c r="B472" s="295"/>
      <c r="G472" s="232"/>
    </row>
    <row r="473" spans="2:7">
      <c r="B473" s="295"/>
      <c r="G473" s="232"/>
    </row>
    <row r="474" spans="2:7">
      <c r="B474" s="295"/>
      <c r="G474" s="232"/>
    </row>
    <row r="475" spans="2:7">
      <c r="B475" s="295"/>
      <c r="G475" s="232"/>
    </row>
    <row r="476" spans="2:7">
      <c r="B476" s="295"/>
      <c r="G476" s="232"/>
    </row>
    <row r="477" spans="2:7">
      <c r="B477" s="295"/>
      <c r="G477" s="232"/>
    </row>
    <row r="478" spans="2:7">
      <c r="B478" s="295"/>
      <c r="G478" s="232"/>
    </row>
    <row r="479" spans="2:7">
      <c r="B479" s="295"/>
      <c r="G479" s="232"/>
    </row>
    <row r="480" spans="2:7">
      <c r="B480" s="295"/>
      <c r="G480" s="232"/>
    </row>
    <row r="481" spans="2:7">
      <c r="B481" s="295"/>
      <c r="G481" s="232"/>
    </row>
    <row r="482" spans="2:7">
      <c r="B482" s="295"/>
      <c r="G482" s="232"/>
    </row>
    <row r="483" spans="2:7">
      <c r="B483" s="295"/>
      <c r="G483" s="232"/>
    </row>
    <row r="484" spans="2:7">
      <c r="B484" s="295"/>
      <c r="G484" s="232"/>
    </row>
    <row r="485" spans="2:7">
      <c r="B485" s="295"/>
      <c r="G485" s="232"/>
    </row>
    <row r="486" spans="2:7">
      <c r="B486" s="295"/>
      <c r="G486" s="232"/>
    </row>
    <row r="487" spans="2:7">
      <c r="B487" s="295"/>
      <c r="G487" s="232"/>
    </row>
    <row r="488" spans="2:7">
      <c r="B488" s="295"/>
      <c r="G488" s="232"/>
    </row>
    <row r="489" spans="2:7">
      <c r="B489" s="295"/>
      <c r="G489" s="232"/>
    </row>
    <row r="490" spans="2:7">
      <c r="B490" s="295"/>
      <c r="G490" s="232"/>
    </row>
    <row r="491" spans="2:7">
      <c r="B491" s="295"/>
      <c r="G491" s="232"/>
    </row>
    <row r="492" spans="2:7">
      <c r="B492" s="295"/>
      <c r="G492" s="232"/>
    </row>
    <row r="493" spans="2:7">
      <c r="B493" s="295"/>
      <c r="G493" s="232"/>
    </row>
    <row r="494" spans="2:7">
      <c r="B494" s="295"/>
      <c r="G494" s="232"/>
    </row>
    <row r="495" spans="2:7">
      <c r="B495" s="295"/>
      <c r="G495" s="232"/>
    </row>
    <row r="496" spans="2:7">
      <c r="B496" s="295"/>
      <c r="G496" s="232"/>
    </row>
    <row r="497" spans="2:7">
      <c r="B497" s="295"/>
      <c r="G497" s="232"/>
    </row>
    <row r="498" spans="2:7">
      <c r="B498" s="295"/>
      <c r="G498" s="232"/>
    </row>
    <row r="499" spans="2:7">
      <c r="B499" s="295"/>
      <c r="G499" s="232"/>
    </row>
    <row r="500" spans="2:7">
      <c r="B500" s="295"/>
      <c r="G500" s="232"/>
    </row>
    <row r="501" spans="2:7">
      <c r="B501" s="295"/>
      <c r="G501" s="232"/>
    </row>
    <row r="502" spans="2:7">
      <c r="B502" s="295"/>
      <c r="G502" s="232"/>
    </row>
    <row r="503" spans="2:7">
      <c r="B503" s="295"/>
      <c r="G503" s="232"/>
    </row>
    <row r="504" spans="2:7">
      <c r="B504" s="295"/>
      <c r="G504" s="232"/>
    </row>
    <row r="505" spans="2:7">
      <c r="B505" s="295"/>
      <c r="G505" s="232"/>
    </row>
    <row r="506" spans="2:7">
      <c r="B506" s="295"/>
      <c r="G506" s="232"/>
    </row>
    <row r="507" spans="2:7">
      <c r="B507" s="295"/>
      <c r="G507" s="232"/>
    </row>
    <row r="508" spans="2:7">
      <c r="B508" s="295"/>
      <c r="G508" s="232"/>
    </row>
    <row r="509" spans="2:7">
      <c r="B509" s="295"/>
      <c r="G509" s="232"/>
    </row>
    <row r="510" spans="2:7">
      <c r="B510" s="295"/>
      <c r="G510" s="232"/>
    </row>
    <row r="511" spans="2:7">
      <c r="B511" s="295"/>
      <c r="G511" s="232"/>
    </row>
    <row r="512" spans="2:7">
      <c r="B512" s="295"/>
      <c r="G512" s="232"/>
    </row>
    <row r="513" spans="2:7">
      <c r="B513" s="295"/>
      <c r="G513" s="232"/>
    </row>
    <row r="514" spans="2:7">
      <c r="B514" s="295"/>
      <c r="G514" s="232"/>
    </row>
    <row r="515" spans="2:7">
      <c r="B515" s="295"/>
      <c r="G515" s="232"/>
    </row>
    <row r="516" spans="2:7">
      <c r="B516" s="295"/>
      <c r="G516" s="232"/>
    </row>
    <row r="517" spans="2:7">
      <c r="B517" s="295"/>
      <c r="G517" s="232"/>
    </row>
    <row r="518" spans="2:7">
      <c r="B518" s="295"/>
      <c r="G518" s="232"/>
    </row>
    <row r="519" spans="2:7">
      <c r="B519" s="295"/>
      <c r="G519" s="232"/>
    </row>
    <row r="520" spans="2:7">
      <c r="B520" s="295"/>
      <c r="G520" s="232"/>
    </row>
    <row r="521" spans="2:7">
      <c r="B521" s="295"/>
      <c r="G521" s="232"/>
    </row>
    <row r="522" spans="2:7">
      <c r="B522" s="295"/>
      <c r="G522" s="232"/>
    </row>
    <row r="523" spans="2:7">
      <c r="B523" s="295"/>
      <c r="G523" s="232"/>
    </row>
    <row r="524" spans="2:7">
      <c r="B524" s="295"/>
      <c r="G524" s="232"/>
    </row>
    <row r="525" spans="2:7">
      <c r="B525" s="295"/>
      <c r="G525" s="232"/>
    </row>
    <row r="526" spans="2:7">
      <c r="B526" s="295"/>
      <c r="G526" s="232"/>
    </row>
    <row r="527" spans="2:7">
      <c r="B527" s="295"/>
      <c r="G527" s="232"/>
    </row>
    <row r="528" spans="2:7">
      <c r="B528" s="295"/>
      <c r="G528" s="232"/>
    </row>
    <row r="529" spans="2:7">
      <c r="B529" s="295"/>
      <c r="G529" s="232"/>
    </row>
    <row r="530" spans="2:7">
      <c r="B530" s="295"/>
      <c r="G530" s="232"/>
    </row>
    <row r="531" spans="2:7">
      <c r="B531" s="295"/>
      <c r="G531" s="232"/>
    </row>
    <row r="532" spans="2:7">
      <c r="B532" s="295"/>
      <c r="G532" s="232"/>
    </row>
    <row r="533" spans="2:7">
      <c r="B533" s="295"/>
      <c r="G533" s="232"/>
    </row>
    <row r="534" spans="2:7">
      <c r="B534" s="295"/>
      <c r="G534" s="232"/>
    </row>
    <row r="535" spans="2:7">
      <c r="B535" s="295"/>
      <c r="G535" s="232"/>
    </row>
    <row r="536" spans="2:7">
      <c r="B536" s="295"/>
      <c r="G536" s="232"/>
    </row>
    <row r="537" spans="2:7">
      <c r="B537" s="295"/>
      <c r="G537" s="232"/>
    </row>
    <row r="538" spans="2:7">
      <c r="B538" s="295"/>
      <c r="G538" s="232"/>
    </row>
    <row r="539" spans="2:7">
      <c r="B539" s="295"/>
      <c r="G539" s="232"/>
    </row>
    <row r="540" spans="2:7">
      <c r="B540" s="295"/>
      <c r="G540" s="232"/>
    </row>
    <row r="541" spans="2:7">
      <c r="B541" s="295"/>
      <c r="G541" s="232"/>
    </row>
    <row r="542" spans="2:7">
      <c r="B542" s="295"/>
      <c r="G542" s="232"/>
    </row>
    <row r="543" spans="2:7">
      <c r="B543" s="295"/>
      <c r="G543" s="232"/>
    </row>
    <row r="544" spans="2:7">
      <c r="B544" s="295"/>
      <c r="G544" s="232"/>
    </row>
    <row r="545" spans="2:7">
      <c r="B545" s="295"/>
      <c r="G545" s="232"/>
    </row>
    <row r="546" spans="2:7">
      <c r="B546" s="295"/>
      <c r="G546" s="232"/>
    </row>
    <row r="547" spans="2:7">
      <c r="B547" s="295"/>
      <c r="G547" s="232"/>
    </row>
    <row r="548" spans="2:7">
      <c r="B548" s="295"/>
      <c r="G548" s="232"/>
    </row>
    <row r="549" spans="2:7">
      <c r="B549" s="295"/>
      <c r="G549" s="232"/>
    </row>
    <row r="550" spans="2:7">
      <c r="B550" s="295"/>
      <c r="G550" s="232"/>
    </row>
    <row r="551" spans="2:7">
      <c r="B551" s="295"/>
      <c r="G551" s="232"/>
    </row>
    <row r="552" spans="2:7">
      <c r="B552" s="295"/>
      <c r="G552" s="232"/>
    </row>
    <row r="553" spans="2:7">
      <c r="B553" s="295"/>
      <c r="G553" s="232"/>
    </row>
    <row r="554" spans="2:7">
      <c r="B554" s="295"/>
      <c r="G554" s="232"/>
    </row>
    <row r="555" spans="2:7">
      <c r="B555" s="295"/>
      <c r="G555" s="232"/>
    </row>
    <row r="556" spans="2:7">
      <c r="B556" s="295"/>
      <c r="G556" s="232"/>
    </row>
    <row r="557" spans="2:7">
      <c r="B557" s="295"/>
      <c r="G557" s="232"/>
    </row>
    <row r="558" spans="2:7">
      <c r="B558" s="295"/>
      <c r="G558" s="232"/>
    </row>
    <row r="559" spans="2:7">
      <c r="B559" s="295"/>
      <c r="G559" s="232"/>
    </row>
    <row r="560" spans="2:7">
      <c r="B560" s="295"/>
      <c r="G560" s="232"/>
    </row>
    <row r="561" spans="2:7">
      <c r="B561" s="295"/>
      <c r="G561" s="232"/>
    </row>
    <row r="562" spans="2:7">
      <c r="B562" s="295"/>
      <c r="G562" s="232"/>
    </row>
    <row r="563" spans="2:7">
      <c r="B563" s="295"/>
      <c r="G563" s="232"/>
    </row>
    <row r="564" spans="2:7">
      <c r="B564" s="295"/>
      <c r="G564" s="232"/>
    </row>
    <row r="565" spans="2:7">
      <c r="B565" s="295"/>
      <c r="G565" s="232"/>
    </row>
    <row r="566" spans="2:7">
      <c r="B566" s="295"/>
      <c r="G566" s="232"/>
    </row>
    <row r="567" spans="2:7">
      <c r="B567" s="295"/>
      <c r="G567" s="232"/>
    </row>
    <row r="568" spans="2:7">
      <c r="B568" s="295"/>
      <c r="G568" s="232"/>
    </row>
    <row r="569" spans="2:7">
      <c r="B569" s="295"/>
      <c r="G569" s="232"/>
    </row>
    <row r="570" spans="2:7">
      <c r="B570" s="295"/>
      <c r="G570" s="232"/>
    </row>
    <row r="571" spans="2:7">
      <c r="B571" s="295"/>
      <c r="G571" s="232"/>
    </row>
    <row r="572" spans="2:7">
      <c r="B572" s="295"/>
      <c r="G572" s="232"/>
    </row>
    <row r="573" spans="2:7">
      <c r="B573" s="295"/>
      <c r="G573" s="232"/>
    </row>
    <row r="574" spans="2:7">
      <c r="B574" s="295"/>
      <c r="G574" s="232"/>
    </row>
    <row r="575" spans="2:7">
      <c r="B575" s="295"/>
      <c r="G575" s="232"/>
    </row>
    <row r="576" spans="2:7">
      <c r="B576" s="295"/>
      <c r="G576" s="232"/>
    </row>
    <row r="577" spans="2:7">
      <c r="B577" s="295"/>
      <c r="G577" s="232"/>
    </row>
    <row r="578" spans="2:7">
      <c r="B578" s="295"/>
      <c r="G578" s="232"/>
    </row>
    <row r="579" spans="2:7">
      <c r="B579" s="295"/>
      <c r="G579" s="232"/>
    </row>
    <row r="580" spans="2:7">
      <c r="B580" s="295"/>
      <c r="G580" s="232"/>
    </row>
    <row r="581" spans="2:7">
      <c r="B581" s="295"/>
      <c r="G581" s="232"/>
    </row>
    <row r="582" spans="2:7">
      <c r="B582" s="295"/>
      <c r="G582" s="232"/>
    </row>
    <row r="583" spans="2:7">
      <c r="B583" s="295"/>
      <c r="G583" s="232"/>
    </row>
    <row r="584" spans="2:7">
      <c r="B584" s="295"/>
      <c r="G584" s="232"/>
    </row>
    <row r="585" spans="2:7">
      <c r="B585" s="295"/>
      <c r="G585" s="232"/>
    </row>
    <row r="586" spans="2:7">
      <c r="B586" s="295"/>
      <c r="G586" s="232"/>
    </row>
    <row r="587" spans="2:7">
      <c r="B587" s="295"/>
      <c r="G587" s="232"/>
    </row>
    <row r="588" spans="2:7">
      <c r="B588" s="295"/>
      <c r="G588" s="232"/>
    </row>
    <row r="589" spans="2:7">
      <c r="B589" s="295"/>
      <c r="G589" s="232"/>
    </row>
    <row r="590" spans="2:7">
      <c r="B590" s="295"/>
      <c r="G590" s="232"/>
    </row>
    <row r="591" spans="2:7">
      <c r="B591" s="295"/>
      <c r="G591" s="232"/>
    </row>
    <row r="592" spans="2:7">
      <c r="B592" s="295"/>
      <c r="G592" s="232"/>
    </row>
    <row r="593" spans="2:7">
      <c r="B593" s="295"/>
      <c r="G593" s="232"/>
    </row>
    <row r="594" spans="2:7">
      <c r="B594" s="295"/>
      <c r="G594" s="232"/>
    </row>
    <row r="595" spans="2:7">
      <c r="B595" s="295"/>
      <c r="G595" s="232"/>
    </row>
    <row r="596" spans="2:7">
      <c r="B596" s="295"/>
      <c r="G596" s="232"/>
    </row>
    <row r="597" spans="2:7">
      <c r="B597" s="295"/>
      <c r="G597" s="232"/>
    </row>
    <row r="598" spans="2:7">
      <c r="B598" s="295"/>
      <c r="G598" s="232"/>
    </row>
    <row r="599" spans="2:7">
      <c r="B599" s="295"/>
      <c r="G599" s="232"/>
    </row>
    <row r="600" spans="2:7">
      <c r="B600" s="295"/>
      <c r="G600" s="232"/>
    </row>
    <row r="601" spans="2:7">
      <c r="B601" s="295"/>
      <c r="G601" s="232"/>
    </row>
    <row r="602" spans="2:7">
      <c r="B602" s="295"/>
      <c r="G602" s="232"/>
    </row>
    <row r="603" spans="2:7">
      <c r="B603" s="295"/>
      <c r="G603" s="232"/>
    </row>
    <row r="604" spans="2:7">
      <c r="B604" s="295"/>
      <c r="G604" s="232"/>
    </row>
    <row r="605" spans="2:7">
      <c r="B605" s="295"/>
      <c r="G605" s="232"/>
    </row>
    <row r="606" spans="2:7">
      <c r="B606" s="295"/>
      <c r="G606" s="232"/>
    </row>
    <row r="607" spans="2:7">
      <c r="B607" s="295"/>
      <c r="G607" s="232"/>
    </row>
    <row r="608" spans="2:7">
      <c r="B608" s="295"/>
      <c r="G608" s="232"/>
    </row>
    <row r="609" spans="2:7">
      <c r="B609" s="295"/>
      <c r="G609" s="232"/>
    </row>
    <row r="610" spans="2:7">
      <c r="B610" s="295"/>
      <c r="G610" s="232"/>
    </row>
    <row r="611" spans="2:7">
      <c r="B611" s="295"/>
      <c r="G611" s="232"/>
    </row>
    <row r="612" spans="2:7">
      <c r="B612" s="295"/>
      <c r="G612" s="232"/>
    </row>
    <row r="613" spans="2:7">
      <c r="B613" s="295"/>
      <c r="G613" s="232"/>
    </row>
    <row r="614" spans="2:7">
      <c r="B614" s="295"/>
      <c r="G614" s="232"/>
    </row>
    <row r="615" spans="2:7">
      <c r="B615" s="295"/>
      <c r="G615" s="232"/>
    </row>
    <row r="616" spans="2:7">
      <c r="B616" s="295"/>
      <c r="G616" s="232"/>
    </row>
    <row r="617" spans="2:7">
      <c r="B617" s="295"/>
      <c r="G617" s="232"/>
    </row>
    <row r="618" spans="2:7">
      <c r="B618" s="295"/>
      <c r="G618" s="232"/>
    </row>
    <row r="619" spans="2:7">
      <c r="B619" s="295"/>
      <c r="G619" s="232"/>
    </row>
    <row r="620" spans="2:7">
      <c r="B620" s="295"/>
      <c r="G620" s="232"/>
    </row>
    <row r="621" spans="2:7">
      <c r="B621" s="295"/>
      <c r="G621" s="232"/>
    </row>
    <row r="622" spans="2:7">
      <c r="B622" s="295"/>
      <c r="G622" s="232"/>
    </row>
    <row r="623" spans="2:7">
      <c r="B623" s="295"/>
      <c r="G623" s="232"/>
    </row>
    <row r="624" spans="2:7">
      <c r="B624" s="295"/>
      <c r="G624" s="232"/>
    </row>
    <row r="625" spans="2:7">
      <c r="B625" s="295"/>
      <c r="G625" s="232"/>
    </row>
    <row r="626" spans="2:7">
      <c r="B626" s="295"/>
      <c r="G626" s="232"/>
    </row>
    <row r="627" spans="2:7">
      <c r="B627" s="295"/>
      <c r="G627" s="232"/>
    </row>
    <row r="628" spans="2:7">
      <c r="B628" s="295"/>
      <c r="G628" s="232"/>
    </row>
    <row r="629" spans="2:7">
      <c r="B629" s="295"/>
      <c r="G629" s="232"/>
    </row>
    <row r="630" spans="2:7">
      <c r="B630" s="295"/>
      <c r="G630" s="232"/>
    </row>
    <row r="631" spans="2:7">
      <c r="B631" s="295"/>
      <c r="G631" s="232"/>
    </row>
    <row r="632" spans="2:7">
      <c r="B632" s="295"/>
      <c r="G632" s="232"/>
    </row>
    <row r="633" spans="2:7">
      <c r="B633" s="295"/>
      <c r="G633" s="232"/>
    </row>
    <row r="634" spans="2:7">
      <c r="B634" s="295"/>
      <c r="G634" s="232"/>
    </row>
    <row r="635" spans="2:7">
      <c r="B635" s="295"/>
      <c r="G635" s="232"/>
    </row>
    <row r="636" spans="2:7">
      <c r="B636" s="295"/>
      <c r="G636" s="232"/>
    </row>
    <row r="637" spans="2:7">
      <c r="B637" s="295"/>
      <c r="G637" s="232"/>
    </row>
    <row r="638" spans="2:7">
      <c r="B638" s="295"/>
      <c r="G638" s="232"/>
    </row>
    <row r="639" spans="2:7">
      <c r="B639" s="295"/>
      <c r="G639" s="232"/>
    </row>
    <row r="640" spans="2:7">
      <c r="B640" s="295"/>
      <c r="G640" s="232"/>
    </row>
    <row r="641" spans="2:7">
      <c r="B641" s="295"/>
      <c r="G641" s="232"/>
    </row>
    <row r="642" spans="2:7">
      <c r="B642" s="295"/>
      <c r="G642" s="232"/>
    </row>
    <row r="643" spans="2:7">
      <c r="B643" s="295"/>
      <c r="G643" s="232"/>
    </row>
    <row r="644" spans="2:7">
      <c r="B644" s="295"/>
      <c r="G644" s="232"/>
    </row>
    <row r="645" spans="2:7">
      <c r="B645" s="295"/>
      <c r="G645" s="232"/>
    </row>
    <row r="646" spans="2:7">
      <c r="B646" s="295"/>
      <c r="G646" s="232"/>
    </row>
    <row r="647" spans="2:7">
      <c r="B647" s="295"/>
      <c r="G647" s="232"/>
    </row>
    <row r="648" spans="2:7">
      <c r="B648" s="295"/>
      <c r="G648" s="232"/>
    </row>
    <row r="649" spans="2:7">
      <c r="B649" s="295"/>
      <c r="G649" s="232"/>
    </row>
    <row r="650" spans="2:7">
      <c r="B650" s="295"/>
      <c r="G650" s="232"/>
    </row>
    <row r="651" spans="2:7">
      <c r="B651" s="295"/>
      <c r="G651" s="232"/>
    </row>
    <row r="652" spans="2:7">
      <c r="B652" s="295"/>
      <c r="G652" s="232"/>
    </row>
    <row r="653" spans="2:7">
      <c r="B653" s="295"/>
      <c r="G653" s="232"/>
    </row>
    <row r="654" spans="2:7">
      <c r="B654" s="295"/>
      <c r="G654" s="232"/>
    </row>
    <row r="655" spans="2:7">
      <c r="B655" s="295"/>
      <c r="G655" s="232"/>
    </row>
    <row r="656" spans="2:7">
      <c r="B656" s="295"/>
      <c r="G656" s="232"/>
    </row>
    <row r="657" spans="2:7">
      <c r="B657" s="295"/>
      <c r="G657" s="232"/>
    </row>
    <row r="658" spans="2:7">
      <c r="B658" s="295"/>
      <c r="G658" s="232"/>
    </row>
    <row r="659" spans="2:7">
      <c r="B659" s="295"/>
      <c r="G659" s="232"/>
    </row>
    <row r="660" spans="2:7">
      <c r="B660" s="295"/>
      <c r="G660" s="232"/>
    </row>
    <row r="661" spans="2:7">
      <c r="B661" s="295"/>
      <c r="G661" s="232"/>
    </row>
    <row r="662" spans="2:7">
      <c r="B662" s="295"/>
      <c r="G662" s="232"/>
    </row>
    <row r="663" spans="2:7">
      <c r="B663" s="295"/>
      <c r="G663" s="232"/>
    </row>
    <row r="664" spans="2:7">
      <c r="B664" s="295"/>
      <c r="G664" s="232"/>
    </row>
    <row r="665" spans="2:7">
      <c r="B665" s="295"/>
      <c r="G665" s="232"/>
    </row>
    <row r="666" spans="2:7">
      <c r="B666" s="295"/>
      <c r="G666" s="232"/>
    </row>
    <row r="667" spans="2:7">
      <c r="B667" s="295"/>
      <c r="G667" s="232"/>
    </row>
    <row r="668" spans="2:7">
      <c r="B668" s="295"/>
      <c r="G668" s="232"/>
    </row>
    <row r="669" spans="2:7">
      <c r="B669" s="295"/>
      <c r="G669" s="232"/>
    </row>
    <row r="670" spans="2:7">
      <c r="B670" s="295"/>
      <c r="G670" s="232"/>
    </row>
    <row r="671" spans="2:7">
      <c r="B671" s="295"/>
      <c r="G671" s="232"/>
    </row>
    <row r="672" spans="2:7">
      <c r="B672" s="295"/>
      <c r="G672" s="232"/>
    </row>
    <row r="673" spans="2:7">
      <c r="B673" s="295"/>
      <c r="G673" s="232"/>
    </row>
    <row r="674" spans="2:7">
      <c r="B674" s="295"/>
      <c r="G674" s="232"/>
    </row>
    <row r="675" spans="2:7">
      <c r="B675" s="295"/>
      <c r="G675" s="232"/>
    </row>
    <row r="676" spans="2:7">
      <c r="B676" s="295"/>
      <c r="G676" s="232"/>
    </row>
    <row r="677" spans="2:7">
      <c r="B677" s="295"/>
      <c r="G677" s="232"/>
    </row>
    <row r="678" spans="2:7">
      <c r="B678" s="295"/>
      <c r="G678" s="232"/>
    </row>
    <row r="679" spans="2:7">
      <c r="B679" s="295"/>
      <c r="G679" s="232"/>
    </row>
    <row r="680" spans="2:7">
      <c r="B680" s="295"/>
      <c r="G680" s="232"/>
    </row>
    <row r="681" spans="2:7">
      <c r="B681" s="295"/>
      <c r="G681" s="232"/>
    </row>
    <row r="682" spans="2:7">
      <c r="B682" s="295"/>
      <c r="G682" s="232"/>
    </row>
    <row r="683" spans="2:7">
      <c r="B683" s="295"/>
      <c r="G683" s="232"/>
    </row>
    <row r="684" spans="2:7">
      <c r="B684" s="295"/>
      <c r="G684" s="232"/>
    </row>
    <row r="685" spans="2:7">
      <c r="B685" s="295"/>
      <c r="G685" s="232"/>
    </row>
    <row r="686" spans="2:7">
      <c r="B686" s="295"/>
      <c r="G686" s="232"/>
    </row>
    <row r="687" spans="2:7">
      <c r="B687" s="295"/>
      <c r="G687" s="232"/>
    </row>
    <row r="688" spans="2:7">
      <c r="B688" s="295"/>
      <c r="G688" s="232"/>
    </row>
    <row r="689" spans="2:7">
      <c r="B689" s="295"/>
      <c r="G689" s="232"/>
    </row>
    <row r="690" spans="2:7">
      <c r="B690" s="295"/>
      <c r="G690" s="232"/>
    </row>
    <row r="691" spans="2:7">
      <c r="B691" s="295"/>
      <c r="G691" s="232"/>
    </row>
    <row r="692" spans="2:7">
      <c r="B692" s="295"/>
      <c r="G692" s="232"/>
    </row>
    <row r="693" spans="2:7">
      <c r="B693" s="295"/>
      <c r="G693" s="232"/>
    </row>
    <row r="694" spans="2:7">
      <c r="B694" s="295"/>
      <c r="G694" s="232"/>
    </row>
    <row r="695" spans="2:7">
      <c r="B695" s="295"/>
      <c r="G695" s="232"/>
    </row>
    <row r="696" spans="2:7">
      <c r="B696" s="295"/>
      <c r="G696" s="232"/>
    </row>
    <row r="697" spans="2:7">
      <c r="B697" s="295"/>
      <c r="G697" s="232"/>
    </row>
    <row r="698" spans="2:7">
      <c r="B698" s="295"/>
      <c r="G698" s="232"/>
    </row>
    <row r="699" spans="2:7">
      <c r="B699" s="295"/>
      <c r="G699" s="232"/>
    </row>
    <row r="700" spans="2:7">
      <c r="B700" s="295"/>
      <c r="G700" s="232"/>
    </row>
    <row r="701" spans="2:7">
      <c r="B701" s="295"/>
      <c r="G701" s="232"/>
    </row>
    <row r="702" spans="2:7">
      <c r="B702" s="295"/>
      <c r="G702" s="232"/>
    </row>
    <row r="703" spans="2:7">
      <c r="B703" s="295"/>
      <c r="G703" s="232"/>
    </row>
    <row r="704" spans="2:7">
      <c r="B704" s="295"/>
      <c r="G704" s="232"/>
    </row>
    <row r="705" spans="2:7">
      <c r="B705" s="295"/>
      <c r="G705" s="232"/>
    </row>
    <row r="706" spans="2:7">
      <c r="B706" s="295"/>
      <c r="G706" s="232"/>
    </row>
    <row r="707" spans="2:7">
      <c r="B707" s="295"/>
      <c r="G707" s="232"/>
    </row>
    <row r="708" spans="2:7">
      <c r="B708" s="295"/>
      <c r="G708" s="232"/>
    </row>
    <row r="709" spans="2:7">
      <c r="B709" s="295"/>
      <c r="G709" s="232"/>
    </row>
    <row r="710" spans="2:7">
      <c r="B710" s="295"/>
      <c r="G710" s="232"/>
    </row>
    <row r="711" spans="2:7">
      <c r="B711" s="295"/>
      <c r="G711" s="232"/>
    </row>
    <row r="712" spans="2:7">
      <c r="B712" s="295"/>
      <c r="G712" s="232"/>
    </row>
    <row r="713" spans="2:7">
      <c r="B713" s="295"/>
      <c r="G713" s="232"/>
    </row>
    <row r="714" spans="2:7">
      <c r="B714" s="295"/>
      <c r="G714" s="232"/>
    </row>
    <row r="715" spans="2:7">
      <c r="B715" s="295"/>
      <c r="G715" s="232"/>
    </row>
    <row r="716" spans="2:7">
      <c r="B716" s="295"/>
      <c r="G716" s="232"/>
    </row>
    <row r="717" spans="2:7">
      <c r="B717" s="295"/>
      <c r="G717" s="232"/>
    </row>
    <row r="718" spans="2:7">
      <c r="B718" s="295"/>
      <c r="G718" s="232"/>
    </row>
    <row r="719" spans="2:7">
      <c r="B719" s="295"/>
      <c r="G719" s="232"/>
    </row>
    <row r="720" spans="2:7">
      <c r="B720" s="295"/>
      <c r="G720" s="232"/>
    </row>
    <row r="721" spans="2:7">
      <c r="B721" s="295"/>
      <c r="G721" s="232"/>
    </row>
    <row r="722" spans="2:7">
      <c r="B722" s="295"/>
      <c r="G722" s="232"/>
    </row>
    <row r="723" spans="2:7">
      <c r="B723" s="295"/>
      <c r="G723" s="232"/>
    </row>
    <row r="724" spans="2:7">
      <c r="B724" s="295"/>
      <c r="G724" s="232"/>
    </row>
    <row r="725" spans="2:7">
      <c r="B725" s="295"/>
      <c r="G725" s="232"/>
    </row>
    <row r="726" spans="2:7">
      <c r="B726" s="295"/>
      <c r="G726" s="232"/>
    </row>
    <row r="727" spans="2:7">
      <c r="B727" s="295"/>
      <c r="G727" s="232"/>
    </row>
    <row r="728" spans="2:7">
      <c r="B728" s="295"/>
      <c r="G728" s="232"/>
    </row>
    <row r="729" spans="2:7">
      <c r="B729" s="295"/>
      <c r="G729" s="232"/>
    </row>
    <row r="730" spans="2:7">
      <c r="B730" s="295"/>
      <c r="G730" s="232"/>
    </row>
    <row r="731" spans="2:7">
      <c r="B731" s="295"/>
      <c r="G731" s="232"/>
    </row>
    <row r="732" spans="2:7">
      <c r="B732" s="295"/>
      <c r="G732" s="232"/>
    </row>
    <row r="733" spans="2:7">
      <c r="B733" s="295"/>
      <c r="G733" s="232"/>
    </row>
    <row r="734" spans="2:7">
      <c r="B734" s="295"/>
      <c r="G734" s="232"/>
    </row>
    <row r="735" spans="2:7">
      <c r="B735" s="295"/>
      <c r="G735" s="232"/>
    </row>
    <row r="736" spans="2:7">
      <c r="B736" s="295"/>
      <c r="G736" s="232"/>
    </row>
    <row r="737" spans="2:7">
      <c r="B737" s="295"/>
      <c r="G737" s="232"/>
    </row>
    <row r="738" spans="2:7">
      <c r="B738" s="295"/>
      <c r="G738" s="232"/>
    </row>
    <row r="739" spans="2:7">
      <c r="B739" s="295"/>
      <c r="G739" s="232"/>
    </row>
    <row r="740" spans="2:7">
      <c r="B740" s="295"/>
      <c r="G740" s="232"/>
    </row>
    <row r="741" spans="2:7">
      <c r="B741" s="295"/>
      <c r="G741" s="232"/>
    </row>
    <row r="742" spans="2:7">
      <c r="B742" s="295"/>
      <c r="G742" s="232"/>
    </row>
    <row r="743" spans="2:7">
      <c r="B743" s="295"/>
      <c r="G743" s="232"/>
    </row>
    <row r="744" spans="2:7">
      <c r="B744" s="295"/>
      <c r="G744" s="232"/>
    </row>
    <row r="745" spans="2:7">
      <c r="B745" s="295"/>
      <c r="G745" s="232"/>
    </row>
    <row r="746" spans="2:7">
      <c r="B746" s="295"/>
      <c r="G746" s="232"/>
    </row>
    <row r="747" spans="2:7">
      <c r="B747" s="295"/>
      <c r="G747" s="232"/>
    </row>
    <row r="748" spans="2:7">
      <c r="B748" s="295"/>
      <c r="G748" s="232"/>
    </row>
    <row r="749" spans="2:7">
      <c r="B749" s="295"/>
      <c r="G749" s="232"/>
    </row>
    <row r="750" spans="2:7">
      <c r="B750" s="295"/>
      <c r="G750" s="232"/>
    </row>
    <row r="751" spans="2:7">
      <c r="B751" s="295"/>
      <c r="G751" s="232"/>
    </row>
    <row r="752" spans="2:7">
      <c r="B752" s="295"/>
      <c r="G752" s="232"/>
    </row>
    <row r="753" spans="2:7">
      <c r="B753" s="295"/>
      <c r="G753" s="232"/>
    </row>
    <row r="754" spans="2:7">
      <c r="B754" s="295"/>
      <c r="G754" s="232"/>
    </row>
    <row r="755" spans="2:7">
      <c r="B755" s="295"/>
      <c r="G755" s="232"/>
    </row>
    <row r="756" spans="2:7">
      <c r="B756" s="295"/>
      <c r="G756" s="232"/>
    </row>
    <row r="757" spans="2:7">
      <c r="B757" s="295"/>
      <c r="G757" s="232"/>
    </row>
    <row r="758" spans="2:7">
      <c r="B758" s="295"/>
      <c r="G758" s="232"/>
    </row>
    <row r="759" spans="2:7">
      <c r="B759" s="295"/>
      <c r="G759" s="232"/>
    </row>
    <row r="760" spans="2:7">
      <c r="B760" s="295"/>
      <c r="G760" s="232"/>
    </row>
    <row r="761" spans="2:7">
      <c r="B761" s="295"/>
      <c r="G761" s="232"/>
    </row>
    <row r="762" spans="2:7">
      <c r="B762" s="295"/>
      <c r="G762" s="232"/>
    </row>
    <row r="763" spans="2:7">
      <c r="B763" s="295"/>
      <c r="G763" s="232"/>
    </row>
    <row r="764" spans="2:7">
      <c r="B764" s="295"/>
      <c r="G764" s="232"/>
    </row>
    <row r="765" spans="2:7">
      <c r="B765" s="295"/>
      <c r="G765" s="232"/>
    </row>
    <row r="766" spans="2:7">
      <c r="B766" s="295"/>
      <c r="G766" s="232"/>
    </row>
    <row r="767" spans="2:7">
      <c r="B767" s="295"/>
      <c r="G767" s="232"/>
    </row>
    <row r="768" spans="2:7">
      <c r="B768" s="295"/>
      <c r="G768" s="232"/>
    </row>
    <row r="769" spans="2:7">
      <c r="B769" s="295"/>
      <c r="G769" s="232"/>
    </row>
    <row r="770" spans="2:7">
      <c r="B770" s="295"/>
      <c r="G770" s="232"/>
    </row>
    <row r="771" spans="2:7">
      <c r="B771" s="295"/>
      <c r="G771" s="232"/>
    </row>
    <row r="772" spans="2:7">
      <c r="B772" s="295"/>
      <c r="G772" s="232"/>
    </row>
    <row r="773" spans="2:7">
      <c r="B773" s="295"/>
      <c r="G773" s="232"/>
    </row>
    <row r="774" spans="2:7">
      <c r="B774" s="295"/>
      <c r="G774" s="232"/>
    </row>
    <row r="775" spans="2:7">
      <c r="B775" s="295"/>
      <c r="G775" s="232"/>
    </row>
    <row r="776" spans="2:7">
      <c r="B776" s="295"/>
      <c r="G776" s="232"/>
    </row>
    <row r="777" spans="2:7">
      <c r="B777" s="295"/>
      <c r="G777" s="232"/>
    </row>
    <row r="778" spans="2:7">
      <c r="B778" s="295"/>
      <c r="G778" s="232"/>
    </row>
    <row r="779" spans="2:7">
      <c r="B779" s="295"/>
      <c r="G779" s="232"/>
    </row>
    <row r="780" spans="2:7">
      <c r="B780" s="295"/>
      <c r="G780" s="232"/>
    </row>
    <row r="781" spans="2:7">
      <c r="B781" s="295"/>
      <c r="G781" s="232"/>
    </row>
    <row r="782" spans="2:7">
      <c r="B782" s="295"/>
      <c r="G782" s="232"/>
    </row>
    <row r="783" spans="2:7">
      <c r="B783" s="295"/>
      <c r="G783" s="232"/>
    </row>
    <row r="784" spans="2:7">
      <c r="B784" s="295"/>
      <c r="G784" s="232"/>
    </row>
    <row r="785" spans="2:7">
      <c r="B785" s="295"/>
      <c r="G785" s="232"/>
    </row>
    <row r="786" spans="2:7">
      <c r="B786" s="295"/>
      <c r="G786" s="232"/>
    </row>
    <row r="787" spans="2:7">
      <c r="B787" s="295"/>
      <c r="G787" s="232"/>
    </row>
    <row r="788" spans="2:7">
      <c r="B788" s="295"/>
      <c r="G788" s="232"/>
    </row>
    <row r="789" spans="2:7">
      <c r="B789" s="295"/>
      <c r="G789" s="232"/>
    </row>
    <row r="790" spans="2:7">
      <c r="B790" s="295"/>
      <c r="G790" s="232"/>
    </row>
    <row r="791" spans="2:7">
      <c r="B791" s="295"/>
      <c r="G791" s="232"/>
    </row>
    <row r="792" spans="2:7">
      <c r="B792" s="295"/>
      <c r="G792" s="232"/>
    </row>
    <row r="793" spans="2:7">
      <c r="B793" s="295"/>
      <c r="G793" s="232"/>
    </row>
    <row r="794" spans="2:7">
      <c r="B794" s="295"/>
      <c r="G794" s="232"/>
    </row>
    <row r="795" spans="2:7">
      <c r="B795" s="295"/>
      <c r="G795" s="232"/>
    </row>
    <row r="796" spans="2:7">
      <c r="B796" s="295"/>
      <c r="G796" s="232"/>
    </row>
    <row r="797" spans="2:7">
      <c r="B797" s="295"/>
      <c r="G797" s="232"/>
    </row>
    <row r="798" spans="2:7">
      <c r="B798" s="295"/>
      <c r="G798" s="232"/>
    </row>
    <row r="799" spans="2:7">
      <c r="B799" s="295"/>
      <c r="G799" s="232"/>
    </row>
    <row r="800" spans="2:7">
      <c r="B800" s="295"/>
      <c r="G800" s="232"/>
    </row>
    <row r="801" spans="2:7">
      <c r="B801" s="295"/>
      <c r="G801" s="232"/>
    </row>
    <row r="802" spans="2:7">
      <c r="B802" s="295"/>
      <c r="G802" s="232"/>
    </row>
    <row r="803" spans="2:7">
      <c r="B803" s="295"/>
      <c r="G803" s="232"/>
    </row>
    <row r="804" spans="2:7">
      <c r="B804" s="295"/>
      <c r="G804" s="232"/>
    </row>
    <row r="805" spans="2:7">
      <c r="B805" s="295"/>
      <c r="G805" s="232"/>
    </row>
    <row r="806" spans="2:7">
      <c r="B806" s="295"/>
      <c r="G806" s="232"/>
    </row>
    <row r="807" spans="2:7">
      <c r="B807" s="295"/>
      <c r="G807" s="232"/>
    </row>
    <row r="808" spans="2:7">
      <c r="B808" s="295"/>
      <c r="G808" s="232"/>
    </row>
    <row r="809" spans="2:7">
      <c r="B809" s="295"/>
      <c r="G809" s="232"/>
    </row>
    <row r="810" spans="2:7">
      <c r="B810" s="295"/>
      <c r="G810" s="232"/>
    </row>
    <row r="811" spans="2:7">
      <c r="B811" s="295"/>
      <c r="G811" s="232"/>
    </row>
    <row r="812" spans="2:7">
      <c r="B812" s="295"/>
      <c r="G812" s="232"/>
    </row>
    <row r="813" spans="2:7">
      <c r="B813" s="295"/>
      <c r="G813" s="232"/>
    </row>
    <row r="814" spans="2:7">
      <c r="B814" s="295"/>
      <c r="G814" s="232"/>
    </row>
    <row r="815" spans="2:7">
      <c r="B815" s="295"/>
      <c r="G815" s="232"/>
    </row>
    <row r="816" spans="2:7">
      <c r="B816" s="295"/>
      <c r="G816" s="232"/>
    </row>
    <row r="817" spans="2:7">
      <c r="B817" s="295"/>
      <c r="G817" s="232"/>
    </row>
    <row r="818" spans="2:7">
      <c r="B818" s="295"/>
      <c r="G818" s="232"/>
    </row>
    <row r="819" spans="2:7">
      <c r="B819" s="295"/>
      <c r="G819" s="232"/>
    </row>
    <row r="820" spans="2:7">
      <c r="B820" s="295"/>
      <c r="G820" s="232"/>
    </row>
    <row r="821" spans="2:7">
      <c r="B821" s="295"/>
      <c r="G821" s="232"/>
    </row>
    <row r="822" spans="2:7">
      <c r="B822" s="295"/>
      <c r="G822" s="232"/>
    </row>
    <row r="823" spans="2:7">
      <c r="B823" s="295"/>
      <c r="G823" s="232"/>
    </row>
    <row r="824" spans="2:7">
      <c r="B824" s="295"/>
      <c r="G824" s="232"/>
    </row>
    <row r="825" spans="2:7">
      <c r="B825" s="295"/>
      <c r="G825" s="232"/>
    </row>
    <row r="826" spans="2:7">
      <c r="B826" s="295"/>
      <c r="G826" s="232"/>
    </row>
    <row r="827" spans="2:7">
      <c r="B827" s="295"/>
      <c r="G827" s="232"/>
    </row>
    <row r="828" spans="2:7">
      <c r="B828" s="295"/>
      <c r="G828" s="232"/>
    </row>
    <row r="829" spans="2:7">
      <c r="B829" s="295"/>
      <c r="G829" s="232"/>
    </row>
    <row r="830" spans="2:7">
      <c r="B830" s="295"/>
      <c r="G830" s="232"/>
    </row>
    <row r="831" spans="2:7">
      <c r="B831" s="295"/>
      <c r="G831" s="232"/>
    </row>
    <row r="832" spans="2:7">
      <c r="B832" s="295"/>
      <c r="G832" s="232"/>
    </row>
    <row r="833" spans="2:7">
      <c r="B833" s="295"/>
      <c r="G833" s="232"/>
    </row>
    <row r="834" spans="2:7">
      <c r="B834" s="295"/>
      <c r="G834" s="232"/>
    </row>
    <row r="835" spans="2:7">
      <c r="B835" s="295"/>
      <c r="G835" s="232"/>
    </row>
    <row r="836" spans="2:7">
      <c r="B836" s="295"/>
      <c r="G836" s="232"/>
    </row>
    <row r="837" spans="2:7">
      <c r="B837" s="295"/>
      <c r="G837" s="232"/>
    </row>
    <row r="838" spans="2:7">
      <c r="B838" s="295"/>
      <c r="G838" s="232"/>
    </row>
    <row r="839" spans="2:7">
      <c r="B839" s="295"/>
      <c r="G839" s="232"/>
    </row>
    <row r="840" spans="2:7">
      <c r="B840" s="295"/>
      <c r="G840" s="232"/>
    </row>
    <row r="841" spans="2:7">
      <c r="B841" s="295"/>
      <c r="G841" s="232"/>
    </row>
    <row r="842" spans="2:7">
      <c r="B842" s="295"/>
      <c r="G842" s="232"/>
    </row>
    <row r="843" spans="2:7">
      <c r="B843" s="295"/>
      <c r="G843" s="232"/>
    </row>
    <row r="844" spans="2:7">
      <c r="B844" s="295"/>
      <c r="G844" s="232"/>
    </row>
    <row r="845" spans="2:7">
      <c r="B845" s="295"/>
      <c r="G845" s="232"/>
    </row>
    <row r="846" spans="2:7">
      <c r="B846" s="295"/>
      <c r="G846" s="232"/>
    </row>
    <row r="847" spans="2:7">
      <c r="B847" s="295"/>
      <c r="G847" s="232"/>
    </row>
    <row r="848" spans="2:7">
      <c r="B848" s="295"/>
      <c r="G848" s="232"/>
    </row>
    <row r="849" spans="2:7">
      <c r="B849" s="295"/>
      <c r="G849" s="232"/>
    </row>
    <row r="850" spans="2:7">
      <c r="B850" s="295"/>
      <c r="G850" s="232"/>
    </row>
    <row r="851" spans="2:7">
      <c r="B851" s="295"/>
      <c r="G851" s="232"/>
    </row>
    <row r="852" spans="2:7">
      <c r="B852" s="295"/>
      <c r="G852" s="232"/>
    </row>
    <row r="853" spans="2:7">
      <c r="B853" s="295"/>
      <c r="G853" s="232"/>
    </row>
    <row r="854" spans="2:7">
      <c r="B854" s="295"/>
      <c r="G854" s="232"/>
    </row>
    <row r="855" spans="2:7">
      <c r="B855" s="295"/>
      <c r="G855" s="232"/>
    </row>
    <row r="856" spans="2:7">
      <c r="B856" s="295"/>
      <c r="G856" s="232"/>
    </row>
    <row r="857" spans="2:7">
      <c r="B857" s="295"/>
      <c r="G857" s="232"/>
    </row>
    <row r="858" spans="2:7">
      <c r="B858" s="295"/>
      <c r="G858" s="232"/>
    </row>
    <row r="859" spans="2:7">
      <c r="B859" s="295"/>
      <c r="G859" s="232"/>
    </row>
    <row r="860" spans="2:7">
      <c r="B860" s="295"/>
      <c r="G860" s="232"/>
    </row>
    <row r="861" spans="2:7">
      <c r="B861" s="295"/>
      <c r="G861" s="232"/>
    </row>
    <row r="862" spans="2:7">
      <c r="B862" s="295"/>
      <c r="G862" s="232"/>
    </row>
    <row r="863" spans="2:7">
      <c r="B863" s="295"/>
      <c r="G863" s="232"/>
    </row>
    <row r="864" spans="2:7">
      <c r="B864" s="295"/>
      <c r="G864" s="232"/>
    </row>
    <row r="865" spans="2:7">
      <c r="B865" s="295"/>
      <c r="G865" s="232"/>
    </row>
    <row r="866" spans="2:7">
      <c r="B866" s="295"/>
      <c r="G866" s="232"/>
    </row>
    <row r="867" spans="2:7">
      <c r="B867" s="295"/>
      <c r="G867" s="232"/>
    </row>
    <row r="868" spans="2:7">
      <c r="B868" s="295"/>
      <c r="G868" s="232"/>
    </row>
    <row r="869" spans="2:7">
      <c r="B869" s="295"/>
      <c r="G869" s="232"/>
    </row>
    <row r="870" spans="2:7">
      <c r="B870" s="295"/>
      <c r="G870" s="232"/>
    </row>
    <row r="871" spans="2:7">
      <c r="B871" s="295"/>
      <c r="G871" s="232"/>
    </row>
    <row r="872" spans="2:7">
      <c r="B872" s="295"/>
      <c r="G872" s="232"/>
    </row>
    <row r="873" spans="2:7">
      <c r="B873" s="295"/>
      <c r="G873" s="232"/>
    </row>
    <row r="874" spans="2:7">
      <c r="B874" s="295"/>
      <c r="G874" s="232"/>
    </row>
    <row r="875" spans="2:7">
      <c r="B875" s="295"/>
      <c r="G875" s="232"/>
    </row>
    <row r="876" spans="2:7">
      <c r="B876" s="295"/>
      <c r="G876" s="232"/>
    </row>
    <row r="877" spans="2:7">
      <c r="B877" s="295"/>
      <c r="G877" s="232"/>
    </row>
    <row r="878" spans="2:7">
      <c r="B878" s="295"/>
      <c r="G878" s="232"/>
    </row>
    <row r="879" spans="2:7">
      <c r="B879" s="295"/>
      <c r="G879" s="232"/>
    </row>
    <row r="880" spans="2:7">
      <c r="B880" s="295"/>
      <c r="G880" s="232"/>
    </row>
    <row r="881" spans="2:7">
      <c r="B881" s="295"/>
      <c r="G881" s="232"/>
    </row>
    <row r="882" spans="2:7">
      <c r="B882" s="295"/>
      <c r="G882" s="232"/>
    </row>
    <row r="883" spans="2:7">
      <c r="B883" s="295"/>
      <c r="G883" s="232"/>
    </row>
    <row r="884" spans="2:7">
      <c r="B884" s="295"/>
      <c r="G884" s="232"/>
    </row>
    <row r="885" spans="2:7">
      <c r="B885" s="295"/>
      <c r="G885" s="232"/>
    </row>
    <row r="886" spans="2:7">
      <c r="B886" s="295"/>
      <c r="G886" s="232"/>
    </row>
    <row r="887" spans="2:7">
      <c r="B887" s="295"/>
      <c r="G887" s="232"/>
    </row>
    <row r="888" spans="2:7">
      <c r="B888" s="295"/>
      <c r="G888" s="232"/>
    </row>
    <row r="889" spans="2:7">
      <c r="B889" s="295"/>
      <c r="G889" s="232"/>
    </row>
    <row r="890" spans="2:7">
      <c r="B890" s="295"/>
      <c r="G890" s="232"/>
    </row>
    <row r="891" spans="2:7">
      <c r="B891" s="295"/>
      <c r="G891" s="232"/>
    </row>
    <row r="892" spans="2:7">
      <c r="B892" s="295"/>
      <c r="G892" s="232"/>
    </row>
    <row r="893" spans="2:7">
      <c r="B893" s="295"/>
      <c r="G893" s="232"/>
    </row>
    <row r="894" spans="2:7">
      <c r="B894" s="295"/>
      <c r="G894" s="232"/>
    </row>
    <row r="895" spans="2:7">
      <c r="B895" s="295"/>
      <c r="G895" s="232"/>
    </row>
    <row r="896" spans="2:7">
      <c r="B896" s="295"/>
      <c r="G896" s="232"/>
    </row>
    <row r="897" spans="2:7">
      <c r="B897" s="295"/>
      <c r="G897" s="232"/>
    </row>
    <row r="898" spans="2:7">
      <c r="B898" s="295"/>
      <c r="G898" s="232"/>
    </row>
    <row r="899" spans="2:7">
      <c r="B899" s="295"/>
      <c r="G899" s="232"/>
    </row>
    <row r="900" spans="2:7">
      <c r="B900" s="295"/>
      <c r="G900" s="232"/>
    </row>
    <row r="901" spans="2:7">
      <c r="B901" s="295"/>
      <c r="G901" s="232"/>
    </row>
    <row r="902" spans="2:7">
      <c r="B902" s="295"/>
      <c r="G902" s="232"/>
    </row>
    <row r="903" spans="2:7">
      <c r="B903" s="295"/>
      <c r="G903" s="232"/>
    </row>
    <row r="904" spans="2:7">
      <c r="B904" s="295"/>
      <c r="G904" s="232"/>
    </row>
    <row r="905" spans="2:7">
      <c r="B905" s="295"/>
      <c r="G905" s="232"/>
    </row>
    <row r="906" spans="2:7">
      <c r="B906" s="295"/>
      <c r="G906" s="232"/>
    </row>
    <row r="907" spans="2:7">
      <c r="B907" s="295"/>
      <c r="G907" s="232"/>
    </row>
    <row r="908" spans="2:7">
      <c r="B908" s="295"/>
      <c r="G908" s="232"/>
    </row>
    <row r="909" spans="2:7">
      <c r="B909" s="295"/>
      <c r="G909" s="232"/>
    </row>
    <row r="910" spans="2:7">
      <c r="B910" s="295"/>
      <c r="G910" s="232"/>
    </row>
    <row r="911" spans="2:7">
      <c r="B911" s="295"/>
      <c r="G911" s="232"/>
    </row>
    <row r="912" spans="2:7">
      <c r="B912" s="295"/>
      <c r="G912" s="232"/>
    </row>
    <row r="913" spans="2:7">
      <c r="B913" s="295"/>
      <c r="G913" s="232"/>
    </row>
    <row r="914" spans="2:7">
      <c r="B914" s="295"/>
      <c r="G914" s="232"/>
    </row>
    <row r="915" spans="2:7">
      <c r="B915" s="295"/>
      <c r="G915" s="232"/>
    </row>
    <row r="916" spans="2:7">
      <c r="B916" s="295"/>
      <c r="G916" s="232"/>
    </row>
    <row r="917" spans="2:7">
      <c r="B917" s="295"/>
      <c r="G917" s="232"/>
    </row>
    <row r="918" spans="2:7">
      <c r="B918" s="295"/>
      <c r="G918" s="232"/>
    </row>
    <row r="919" spans="2:7">
      <c r="B919" s="295"/>
      <c r="G919" s="232"/>
    </row>
    <row r="920" spans="2:7">
      <c r="B920" s="295"/>
      <c r="G920" s="232"/>
    </row>
    <row r="921" spans="2:7">
      <c r="B921" s="295"/>
      <c r="G921" s="232"/>
    </row>
    <row r="922" spans="2:7">
      <c r="B922" s="295"/>
      <c r="G922" s="232"/>
    </row>
    <row r="923" spans="2:7">
      <c r="B923" s="295"/>
      <c r="G923" s="232"/>
    </row>
    <row r="924" spans="2:7">
      <c r="B924" s="295"/>
      <c r="G924" s="232"/>
    </row>
    <row r="925" spans="2:7">
      <c r="B925" s="295"/>
      <c r="G925" s="232"/>
    </row>
    <row r="926" spans="2:7">
      <c r="B926" s="295"/>
      <c r="G926" s="232"/>
    </row>
    <row r="927" spans="2:7">
      <c r="B927" s="295"/>
      <c r="G927" s="232"/>
    </row>
    <row r="928" spans="2:7">
      <c r="B928" s="295"/>
      <c r="G928" s="232"/>
    </row>
    <row r="929" spans="2:7">
      <c r="B929" s="295"/>
      <c r="G929" s="232"/>
    </row>
    <row r="930" spans="2:7">
      <c r="B930" s="295"/>
      <c r="G930" s="232"/>
    </row>
    <row r="931" spans="2:7">
      <c r="B931" s="295"/>
      <c r="G931" s="232"/>
    </row>
    <row r="932" spans="2:7">
      <c r="B932" s="295"/>
      <c r="G932" s="232"/>
    </row>
    <row r="933" spans="2:7">
      <c r="B933" s="295"/>
      <c r="G933" s="232"/>
    </row>
    <row r="934" spans="2:7">
      <c r="B934" s="295"/>
      <c r="G934" s="232"/>
    </row>
    <row r="935" spans="2:7">
      <c r="B935" s="295"/>
      <c r="G935" s="232"/>
    </row>
    <row r="936" spans="2:7">
      <c r="B936" s="295"/>
      <c r="G936" s="232"/>
    </row>
    <row r="937" spans="2:7">
      <c r="B937" s="295"/>
      <c r="G937" s="232"/>
    </row>
    <row r="938" spans="2:7">
      <c r="B938" s="295"/>
      <c r="G938" s="232"/>
    </row>
    <row r="939" spans="2:7">
      <c r="B939" s="295"/>
      <c r="G939" s="232"/>
    </row>
    <row r="940" spans="2:7">
      <c r="B940" s="295"/>
      <c r="G940" s="232"/>
    </row>
    <row r="941" spans="2:7">
      <c r="B941" s="295"/>
      <c r="G941" s="232"/>
    </row>
    <row r="942" spans="2:7">
      <c r="B942" s="295"/>
      <c r="G942" s="232"/>
    </row>
    <row r="943" spans="2:7">
      <c r="B943" s="295"/>
      <c r="G943" s="232"/>
    </row>
    <row r="944" spans="2:7">
      <c r="B944" s="295"/>
      <c r="G944" s="232"/>
    </row>
    <row r="945" spans="2:7">
      <c r="B945" s="295"/>
      <c r="G945" s="232"/>
    </row>
    <row r="946" spans="2:7">
      <c r="B946" s="295"/>
      <c r="G946" s="232"/>
    </row>
    <row r="947" spans="2:7">
      <c r="B947" s="295"/>
      <c r="G947" s="232"/>
    </row>
    <row r="948" spans="2:7">
      <c r="B948" s="295"/>
      <c r="G948" s="232"/>
    </row>
    <row r="949" spans="2:7">
      <c r="B949" s="295"/>
      <c r="G949" s="232"/>
    </row>
    <row r="950" spans="2:7">
      <c r="B950" s="295"/>
      <c r="G950" s="232"/>
    </row>
    <row r="951" spans="2:7">
      <c r="B951" s="295"/>
      <c r="G951" s="232"/>
    </row>
    <row r="952" spans="2:7">
      <c r="B952" s="295"/>
      <c r="G952" s="232"/>
    </row>
    <row r="953" spans="2:7">
      <c r="B953" s="295"/>
      <c r="G953" s="232"/>
    </row>
    <row r="954" spans="2:7">
      <c r="B954" s="295"/>
      <c r="G954" s="232"/>
    </row>
    <row r="955" spans="2:7">
      <c r="B955" s="295"/>
      <c r="G955" s="232"/>
    </row>
    <row r="956" spans="2:7">
      <c r="B956" s="295"/>
      <c r="G956" s="232"/>
    </row>
    <row r="957" spans="2:7">
      <c r="B957" s="295"/>
      <c r="G957" s="232"/>
    </row>
    <row r="958" spans="2:7">
      <c r="B958" s="295"/>
      <c r="G958" s="232"/>
    </row>
    <row r="959" spans="2:7">
      <c r="B959" s="295"/>
      <c r="G959" s="232"/>
    </row>
    <row r="960" spans="2:7">
      <c r="B960" s="295"/>
      <c r="G960" s="232"/>
    </row>
    <row r="961" spans="2:7">
      <c r="B961" s="295"/>
      <c r="G961" s="232"/>
    </row>
    <row r="962" spans="2:7">
      <c r="B962" s="295"/>
      <c r="G962" s="232"/>
    </row>
    <row r="963" spans="2:7">
      <c r="B963" s="295"/>
      <c r="G963" s="232"/>
    </row>
    <row r="964" spans="2:7">
      <c r="B964" s="295"/>
      <c r="G964" s="232"/>
    </row>
    <row r="965" spans="2:7">
      <c r="B965" s="295"/>
      <c r="G965" s="232"/>
    </row>
    <row r="966" spans="2:7">
      <c r="B966" s="295"/>
      <c r="G966" s="232"/>
    </row>
    <row r="967" spans="2:7">
      <c r="B967" s="295"/>
      <c r="G967" s="232"/>
    </row>
    <row r="968" spans="2:7">
      <c r="B968" s="295"/>
      <c r="G968" s="232"/>
    </row>
    <row r="969" spans="2:7">
      <c r="B969" s="295"/>
      <c r="G969" s="232"/>
    </row>
    <row r="970" spans="2:7">
      <c r="B970" s="295"/>
      <c r="G970" s="232"/>
    </row>
    <row r="971" spans="2:7">
      <c r="B971" s="295"/>
      <c r="G971" s="232"/>
    </row>
    <row r="972" spans="2:7">
      <c r="B972" s="295"/>
      <c r="G972" s="232"/>
    </row>
    <row r="973" spans="2:7">
      <c r="B973" s="295"/>
      <c r="G973" s="232"/>
    </row>
    <row r="974" spans="2:7">
      <c r="B974" s="295"/>
      <c r="G974" s="232"/>
    </row>
    <row r="975" spans="2:7">
      <c r="B975" s="295"/>
      <c r="G975" s="232"/>
    </row>
    <row r="976" spans="2:7">
      <c r="B976" s="295"/>
      <c r="G976" s="232"/>
    </row>
    <row r="977" spans="2:7">
      <c r="B977" s="295"/>
      <c r="G977" s="232"/>
    </row>
    <row r="978" spans="2:7">
      <c r="B978" s="295"/>
      <c r="G978" s="232"/>
    </row>
    <row r="979" spans="2:7">
      <c r="B979" s="295"/>
      <c r="G979" s="232"/>
    </row>
    <row r="980" spans="2:7">
      <c r="B980" s="295"/>
      <c r="G980" s="232"/>
    </row>
    <row r="981" spans="2:7">
      <c r="B981" s="295"/>
      <c r="G981" s="232"/>
    </row>
    <row r="982" spans="2:7">
      <c r="B982" s="295"/>
      <c r="G982" s="232"/>
    </row>
    <row r="983" spans="2:7">
      <c r="B983" s="295"/>
      <c r="G983" s="232"/>
    </row>
    <row r="984" spans="2:7">
      <c r="B984" s="295"/>
      <c r="G984" s="232"/>
    </row>
    <row r="985" spans="2:7">
      <c r="B985" s="295"/>
      <c r="G985" s="232"/>
    </row>
    <row r="986" spans="2:7">
      <c r="B986" s="295"/>
      <c r="G986" s="232"/>
    </row>
    <row r="987" spans="2:7">
      <c r="B987" s="295"/>
      <c r="G987" s="232"/>
    </row>
    <row r="988" spans="2:7">
      <c r="B988" s="295"/>
      <c r="G988" s="232"/>
    </row>
    <row r="989" spans="2:7">
      <c r="B989" s="295"/>
      <c r="G989" s="232"/>
    </row>
    <row r="990" spans="2:7">
      <c r="B990" s="295"/>
      <c r="G990" s="232"/>
    </row>
    <row r="991" spans="2:7">
      <c r="B991" s="295"/>
      <c r="G991" s="232"/>
    </row>
    <row r="992" spans="2:7">
      <c r="B992" s="295"/>
      <c r="G992" s="232"/>
    </row>
    <row r="993" spans="2:7">
      <c r="B993" s="295"/>
      <c r="G993" s="232"/>
    </row>
  </sheetData>
  <mergeCells count="1">
    <mergeCell ref="D1:E1"/>
  </mergeCells>
  <pageMargins left="0" right="0" top="0" bottom="0" header="0" footer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N60"/>
  <sheetViews>
    <sheetView workbookViewId="0"/>
  </sheetViews>
  <sheetFormatPr defaultColWidth="14.42578125" defaultRowHeight="15" customHeight="1"/>
  <cols>
    <col min="1" max="1" width="29" customWidth="1"/>
    <col min="2" max="2" width="22.85546875" customWidth="1"/>
    <col min="3" max="3" width="20.140625" customWidth="1"/>
    <col min="4" max="4" width="24.7109375" customWidth="1"/>
    <col min="5" max="5" width="22.5703125" customWidth="1"/>
    <col min="7" max="7" width="16.85546875" customWidth="1"/>
    <col min="10" max="10" width="16.85546875" customWidth="1"/>
    <col min="13" max="13" width="15.42578125" customWidth="1"/>
    <col min="14" max="14" width="19.140625" customWidth="1"/>
  </cols>
  <sheetData>
    <row r="1" spans="1:14">
      <c r="D1" s="91" t="s">
        <v>2022</v>
      </c>
      <c r="E1" s="91" t="s">
        <v>2023</v>
      </c>
    </row>
    <row r="4" spans="1:14">
      <c r="A4" s="321" t="s">
        <v>2024</v>
      </c>
    </row>
    <row r="5" spans="1:14">
      <c r="A5" s="322" t="s">
        <v>2025</v>
      </c>
      <c r="B5" s="322" t="s">
        <v>2026</v>
      </c>
      <c r="C5" s="322" t="s">
        <v>2027</v>
      </c>
      <c r="D5" s="322" t="s">
        <v>2028</v>
      </c>
      <c r="E5" s="322" t="s">
        <v>1910</v>
      </c>
      <c r="F5" s="322" t="s">
        <v>1911</v>
      </c>
      <c r="G5" s="322" t="s">
        <v>2029</v>
      </c>
      <c r="H5" s="322" t="s">
        <v>1894</v>
      </c>
      <c r="I5" s="322" t="s">
        <v>1895</v>
      </c>
      <c r="J5" s="322" t="s">
        <v>2030</v>
      </c>
      <c r="K5" s="322" t="s">
        <v>2031</v>
      </c>
      <c r="L5" s="322" t="s">
        <v>2032</v>
      </c>
      <c r="M5" s="322" t="s">
        <v>2033</v>
      </c>
      <c r="N5" s="322" t="s">
        <v>2034</v>
      </c>
    </row>
    <row r="6" spans="1:14">
      <c r="A6" s="323" t="s">
        <v>1835</v>
      </c>
      <c r="B6" s="324">
        <v>412.5</v>
      </c>
      <c r="C6" s="324">
        <v>529</v>
      </c>
      <c r="D6" s="324">
        <f t="shared" ref="D6:D8" si="0">B6+C6</f>
        <v>941.5</v>
      </c>
      <c r="E6" s="325">
        <v>0.7</v>
      </c>
      <c r="F6" s="324">
        <f t="shared" ref="F6:F8" si="1">D6*E6</f>
        <v>659.05</v>
      </c>
      <c r="G6" s="324">
        <f t="shared" ref="G6:G8" si="2">D6+F6</f>
        <v>1600.55</v>
      </c>
      <c r="H6" s="324">
        <f t="shared" ref="H6:H8" si="3">G6*0.19</f>
        <v>304.10449999999997</v>
      </c>
      <c r="I6" s="324">
        <f t="shared" ref="I6:I8" si="4">G6*0.205</f>
        <v>328.11274999999995</v>
      </c>
      <c r="J6" s="324">
        <f t="shared" ref="J6:J8" si="5">G6+H6+I6</f>
        <v>2232.7672499999999</v>
      </c>
      <c r="K6" s="323">
        <v>12</v>
      </c>
      <c r="L6" s="324">
        <f t="shared" ref="L6:L8" si="6">K6*G6</f>
        <v>19206.599999999999</v>
      </c>
      <c r="M6" s="324">
        <f t="shared" ref="M6:M8" si="7">K6*J6</f>
        <v>26793.206999999999</v>
      </c>
      <c r="N6" s="324">
        <v>4000</v>
      </c>
    </row>
    <row r="7" spans="1:14">
      <c r="A7" s="324" t="s">
        <v>1900</v>
      </c>
      <c r="B7" s="324">
        <v>215.25</v>
      </c>
      <c r="C7" s="324">
        <v>529</v>
      </c>
      <c r="D7" s="324">
        <f t="shared" si="0"/>
        <v>744.25</v>
      </c>
      <c r="E7" s="325">
        <v>0.8</v>
      </c>
      <c r="F7" s="324">
        <f t="shared" si="1"/>
        <v>595.4</v>
      </c>
      <c r="G7" s="324">
        <f t="shared" si="2"/>
        <v>1339.65</v>
      </c>
      <c r="H7" s="324">
        <f t="shared" si="3"/>
        <v>254.53350000000003</v>
      </c>
      <c r="I7" s="324">
        <f t="shared" si="4"/>
        <v>274.62824999999998</v>
      </c>
      <c r="J7" s="324">
        <f t="shared" si="5"/>
        <v>1868.8117500000001</v>
      </c>
      <c r="K7" s="323">
        <v>12</v>
      </c>
      <c r="L7" s="324">
        <f t="shared" si="6"/>
        <v>16075.800000000001</v>
      </c>
      <c r="M7" s="324">
        <f t="shared" si="7"/>
        <v>22425.741000000002</v>
      </c>
      <c r="N7" s="324">
        <v>3500</v>
      </c>
    </row>
    <row r="8" spans="1:14">
      <c r="A8" s="324" t="s">
        <v>1833</v>
      </c>
      <c r="B8" s="324">
        <v>172.875</v>
      </c>
      <c r="C8" s="324">
        <v>529</v>
      </c>
      <c r="D8" s="324">
        <f t="shared" si="0"/>
        <v>701.875</v>
      </c>
      <c r="E8" s="325">
        <v>0.8</v>
      </c>
      <c r="F8" s="324">
        <f t="shared" si="1"/>
        <v>561.5</v>
      </c>
      <c r="G8" s="324">
        <f t="shared" si="2"/>
        <v>1263.375</v>
      </c>
      <c r="H8" s="324">
        <f t="shared" si="3"/>
        <v>240.04124999999999</v>
      </c>
      <c r="I8" s="324">
        <f t="shared" si="4"/>
        <v>258.99187499999999</v>
      </c>
      <c r="J8" s="324">
        <f t="shared" si="5"/>
        <v>1762.4081249999999</v>
      </c>
      <c r="K8" s="323">
        <v>12</v>
      </c>
      <c r="L8" s="324">
        <f t="shared" si="6"/>
        <v>15160.5</v>
      </c>
      <c r="M8" s="324">
        <f t="shared" si="7"/>
        <v>21148.897499999999</v>
      </c>
      <c r="N8" s="324">
        <v>3200</v>
      </c>
    </row>
    <row r="11" spans="1:14">
      <c r="A11" s="321" t="s">
        <v>2035</v>
      </c>
    </row>
    <row r="12" spans="1:14">
      <c r="A12" s="322" t="s">
        <v>2025</v>
      </c>
      <c r="B12" s="322" t="s">
        <v>2026</v>
      </c>
      <c r="C12" s="322" t="s">
        <v>2027</v>
      </c>
      <c r="D12" s="322" t="s">
        <v>2028</v>
      </c>
      <c r="E12" s="322" t="s">
        <v>1910</v>
      </c>
      <c r="F12" s="322" t="s">
        <v>1911</v>
      </c>
      <c r="G12" s="322" t="s">
        <v>2029</v>
      </c>
      <c r="H12" s="322" t="s">
        <v>1894</v>
      </c>
      <c r="I12" s="322" t="s">
        <v>1895</v>
      </c>
      <c r="J12" s="322" t="s">
        <v>2030</v>
      </c>
      <c r="K12" s="322" t="s">
        <v>2031</v>
      </c>
      <c r="L12" s="322" t="s">
        <v>2032</v>
      </c>
      <c r="M12" s="322" t="s">
        <v>2033</v>
      </c>
      <c r="N12" s="322" t="s">
        <v>2034</v>
      </c>
    </row>
    <row r="13" spans="1:14">
      <c r="A13" s="323" t="s">
        <v>1835</v>
      </c>
      <c r="B13" s="324">
        <v>412.5</v>
      </c>
      <c r="C13" s="324">
        <v>529</v>
      </c>
      <c r="D13" s="324">
        <f t="shared" ref="D13:D15" si="8">B13+C13</f>
        <v>941.5</v>
      </c>
      <c r="E13" s="325">
        <v>0.7</v>
      </c>
      <c r="F13" s="324">
        <f t="shared" ref="F13:F15" si="9">D13*E13</f>
        <v>659.05</v>
      </c>
      <c r="G13" s="324">
        <f t="shared" ref="G13:G15" si="10">D13+F13</f>
        <v>1600.55</v>
      </c>
      <c r="H13" s="324">
        <f t="shared" ref="H13:H15" si="11">G13*0.19</f>
        <v>304.10449999999997</v>
      </c>
      <c r="I13" s="324">
        <f t="shared" ref="I13:I15" si="12">G13*0.205</f>
        <v>328.11274999999995</v>
      </c>
      <c r="J13" s="324">
        <f t="shared" ref="J13:J15" si="13">G13+H13+I13</f>
        <v>2232.7672499999999</v>
      </c>
      <c r="K13" s="323">
        <v>12</v>
      </c>
      <c r="L13" s="324">
        <f t="shared" ref="L13:L15" si="14">K13*G13</f>
        <v>19206.599999999999</v>
      </c>
      <c r="M13" s="324">
        <f t="shared" ref="M13:M15" si="15">K13*J13</f>
        <v>26793.206999999999</v>
      </c>
      <c r="N13" s="324">
        <v>3500</v>
      </c>
    </row>
    <row r="14" spans="1:14">
      <c r="A14" s="324" t="s">
        <v>1900</v>
      </c>
      <c r="B14" s="324">
        <v>215.25</v>
      </c>
      <c r="C14" s="324">
        <v>529</v>
      </c>
      <c r="D14" s="324">
        <f t="shared" si="8"/>
        <v>744.25</v>
      </c>
      <c r="E14" s="325">
        <v>0.8</v>
      </c>
      <c r="F14" s="324">
        <f t="shared" si="9"/>
        <v>595.4</v>
      </c>
      <c r="G14" s="324">
        <f t="shared" si="10"/>
        <v>1339.65</v>
      </c>
      <c r="H14" s="324">
        <f t="shared" si="11"/>
        <v>254.53350000000003</v>
      </c>
      <c r="I14" s="324">
        <f t="shared" si="12"/>
        <v>274.62824999999998</v>
      </c>
      <c r="J14" s="324">
        <f t="shared" si="13"/>
        <v>1868.8117500000001</v>
      </c>
      <c r="K14" s="323">
        <v>12</v>
      </c>
      <c r="L14" s="324">
        <f t="shared" si="14"/>
        <v>16075.800000000001</v>
      </c>
      <c r="M14" s="324">
        <f t="shared" si="15"/>
        <v>22425.741000000002</v>
      </c>
      <c r="N14" s="324">
        <v>3000</v>
      </c>
    </row>
    <row r="15" spans="1:14">
      <c r="A15" s="324" t="s">
        <v>1833</v>
      </c>
      <c r="B15" s="324">
        <v>172.875</v>
      </c>
      <c r="C15" s="324">
        <v>529</v>
      </c>
      <c r="D15" s="324">
        <f t="shared" si="8"/>
        <v>701.875</v>
      </c>
      <c r="E15" s="325">
        <v>0.8</v>
      </c>
      <c r="F15" s="324">
        <f t="shared" si="9"/>
        <v>561.5</v>
      </c>
      <c r="G15" s="324">
        <f t="shared" si="10"/>
        <v>1263.375</v>
      </c>
      <c r="H15" s="324">
        <f t="shared" si="11"/>
        <v>240.04124999999999</v>
      </c>
      <c r="I15" s="324">
        <f t="shared" si="12"/>
        <v>258.99187499999999</v>
      </c>
      <c r="J15" s="324">
        <f t="shared" si="13"/>
        <v>1762.4081249999999</v>
      </c>
      <c r="K15" s="323">
        <v>12</v>
      </c>
      <c r="L15" s="324">
        <f t="shared" si="14"/>
        <v>15160.5</v>
      </c>
      <c r="M15" s="324">
        <f t="shared" si="15"/>
        <v>21148.897499999999</v>
      </c>
      <c r="N15" s="324">
        <v>2800</v>
      </c>
    </row>
    <row r="18" spans="1:13">
      <c r="A18" s="321" t="s">
        <v>2036</v>
      </c>
    </row>
    <row r="19" spans="1:13">
      <c r="A19" s="322" t="s">
        <v>2025</v>
      </c>
      <c r="B19" s="322" t="s">
        <v>2026</v>
      </c>
      <c r="C19" s="322" t="s">
        <v>2027</v>
      </c>
      <c r="D19" s="322" t="s">
        <v>2028</v>
      </c>
      <c r="E19" s="322" t="s">
        <v>1910</v>
      </c>
      <c r="F19" s="322" t="s">
        <v>1911</v>
      </c>
      <c r="G19" s="322" t="s">
        <v>2029</v>
      </c>
      <c r="H19" s="322" t="s">
        <v>1894</v>
      </c>
      <c r="I19" s="322" t="s">
        <v>1895</v>
      </c>
      <c r="J19" s="322" t="s">
        <v>2030</v>
      </c>
      <c r="K19" s="322" t="s">
        <v>2031</v>
      </c>
      <c r="L19" s="322" t="s">
        <v>2032</v>
      </c>
      <c r="M19" s="322" t="s">
        <v>2033</v>
      </c>
    </row>
    <row r="20" spans="1:13">
      <c r="A20" s="323" t="s">
        <v>1835</v>
      </c>
      <c r="B20" s="324">
        <v>412.5</v>
      </c>
      <c r="C20" s="324">
        <v>529</v>
      </c>
      <c r="D20" s="324">
        <f t="shared" ref="D20:D22" si="16">B20+C20</f>
        <v>941.5</v>
      </c>
      <c r="E20" s="325">
        <v>0.9</v>
      </c>
      <c r="F20" s="324">
        <f t="shared" ref="F20:F22" si="17">D20*E20</f>
        <v>847.35</v>
      </c>
      <c r="G20" s="324">
        <f t="shared" ref="G20:G22" si="18">D20+F20</f>
        <v>1788.85</v>
      </c>
      <c r="H20" s="324">
        <f t="shared" ref="H20:H22" si="19">G20*0.19</f>
        <v>339.88149999999996</v>
      </c>
      <c r="I20" s="324">
        <f t="shared" ref="I20:I22" si="20">G20*0.205</f>
        <v>366.71424999999994</v>
      </c>
      <c r="J20" s="324">
        <f t="shared" ref="J20:J22" si="21">G20+H20+I20</f>
        <v>2495.4457499999999</v>
      </c>
      <c r="K20" s="323">
        <v>12</v>
      </c>
      <c r="L20" s="324">
        <f t="shared" ref="L20:L22" si="22">K20*G20</f>
        <v>21466.199999999997</v>
      </c>
      <c r="M20" s="324">
        <f t="shared" ref="M20:M22" si="23">K20*J20</f>
        <v>29945.348999999998</v>
      </c>
    </row>
    <row r="21" spans="1:13">
      <c r="A21" s="324" t="s">
        <v>1900</v>
      </c>
      <c r="B21" s="324">
        <v>215.25</v>
      </c>
      <c r="C21" s="324">
        <v>529</v>
      </c>
      <c r="D21" s="324">
        <f t="shared" si="16"/>
        <v>744.25</v>
      </c>
      <c r="E21" s="325">
        <v>1.1000000000000001</v>
      </c>
      <c r="F21" s="324">
        <f t="shared" si="17"/>
        <v>818.67500000000007</v>
      </c>
      <c r="G21" s="324">
        <f t="shared" si="18"/>
        <v>1562.9250000000002</v>
      </c>
      <c r="H21" s="324">
        <f t="shared" si="19"/>
        <v>296.95575000000002</v>
      </c>
      <c r="I21" s="324">
        <f t="shared" si="20"/>
        <v>320.39962500000001</v>
      </c>
      <c r="J21" s="324">
        <f t="shared" si="21"/>
        <v>2180.2803750000003</v>
      </c>
      <c r="K21" s="323">
        <v>12</v>
      </c>
      <c r="L21" s="324">
        <f t="shared" si="22"/>
        <v>18755.100000000002</v>
      </c>
      <c r="M21" s="324">
        <f t="shared" si="23"/>
        <v>26163.364500000003</v>
      </c>
    </row>
    <row r="22" spans="1:13">
      <c r="A22" s="324" t="s">
        <v>1833</v>
      </c>
      <c r="B22" s="324">
        <v>172.875</v>
      </c>
      <c r="C22" s="324">
        <v>529</v>
      </c>
      <c r="D22" s="324">
        <f t="shared" si="16"/>
        <v>701.875</v>
      </c>
      <c r="E22" s="325">
        <v>1.1000000000000001</v>
      </c>
      <c r="F22" s="324">
        <f t="shared" si="17"/>
        <v>772.06250000000011</v>
      </c>
      <c r="G22" s="324">
        <f t="shared" si="18"/>
        <v>1473.9375</v>
      </c>
      <c r="H22" s="324">
        <f t="shared" si="19"/>
        <v>280.04812500000003</v>
      </c>
      <c r="I22" s="324">
        <f t="shared" si="20"/>
        <v>302.15718749999996</v>
      </c>
      <c r="J22" s="324">
        <f t="shared" si="21"/>
        <v>2056.1428125000002</v>
      </c>
      <c r="K22" s="323">
        <v>12</v>
      </c>
      <c r="L22" s="324">
        <f t="shared" si="22"/>
        <v>17687.25</v>
      </c>
      <c r="M22" s="324">
        <f t="shared" si="23"/>
        <v>24673.713750000003</v>
      </c>
    </row>
    <row r="24" spans="1:13">
      <c r="A24" s="321" t="s">
        <v>2037</v>
      </c>
    </row>
    <row r="25" spans="1:13">
      <c r="A25" s="322" t="s">
        <v>2025</v>
      </c>
      <c r="B25" s="322" t="s">
        <v>2026</v>
      </c>
      <c r="C25" s="322" t="s">
        <v>2027</v>
      </c>
      <c r="D25" s="322" t="s">
        <v>2028</v>
      </c>
      <c r="E25" s="322" t="s">
        <v>1910</v>
      </c>
      <c r="F25" s="322" t="s">
        <v>1911</v>
      </c>
      <c r="G25" s="322" t="s">
        <v>2029</v>
      </c>
      <c r="H25" s="322" t="s">
        <v>1894</v>
      </c>
      <c r="I25" s="322" t="s">
        <v>1895</v>
      </c>
      <c r="J25" s="322" t="s">
        <v>2030</v>
      </c>
      <c r="K25" s="322" t="s">
        <v>2031</v>
      </c>
      <c r="L25" s="322" t="s">
        <v>2032</v>
      </c>
      <c r="M25" s="322" t="s">
        <v>2033</v>
      </c>
    </row>
    <row r="26" spans="1:13">
      <c r="A26" s="323" t="s">
        <v>1835</v>
      </c>
      <c r="B26" s="324">
        <v>412.5</v>
      </c>
      <c r="C26" s="324">
        <v>529</v>
      </c>
      <c r="D26" s="324">
        <f t="shared" ref="D26:D28" si="24">B26+C26</f>
        <v>941.5</v>
      </c>
      <c r="E26" s="325">
        <v>0.8</v>
      </c>
      <c r="F26" s="324">
        <f t="shared" ref="F26:F28" si="25">D26*E26</f>
        <v>753.2</v>
      </c>
      <c r="G26" s="324">
        <f t="shared" ref="G26:G28" si="26">D26+F26</f>
        <v>1694.7</v>
      </c>
      <c r="H26" s="324">
        <f t="shared" ref="H26:H28" si="27">G26*0.19</f>
        <v>321.99299999999999</v>
      </c>
      <c r="I26" s="324">
        <f t="shared" ref="I26:I28" si="28">G26*0.205</f>
        <v>347.4135</v>
      </c>
      <c r="J26" s="324">
        <f t="shared" ref="J26:J28" si="29">G26+H26+I26</f>
        <v>2364.1064999999999</v>
      </c>
      <c r="K26" s="323">
        <v>12</v>
      </c>
      <c r="L26" s="324">
        <f t="shared" ref="L26:L28" si="30">K26*G26</f>
        <v>20336.400000000001</v>
      </c>
      <c r="M26" s="324">
        <f t="shared" ref="M26:M28" si="31">K26*J26</f>
        <v>28369.277999999998</v>
      </c>
    </row>
    <row r="27" spans="1:13">
      <c r="A27" s="324" t="s">
        <v>1900</v>
      </c>
      <c r="B27" s="324">
        <v>215.25</v>
      </c>
      <c r="C27" s="324">
        <v>529</v>
      </c>
      <c r="D27" s="324">
        <f t="shared" si="24"/>
        <v>744.25</v>
      </c>
      <c r="E27" s="325">
        <v>0.95</v>
      </c>
      <c r="F27" s="324">
        <f t="shared" si="25"/>
        <v>707.03750000000002</v>
      </c>
      <c r="G27" s="324">
        <f t="shared" si="26"/>
        <v>1451.2874999999999</v>
      </c>
      <c r="H27" s="324">
        <f t="shared" si="27"/>
        <v>275.74462499999998</v>
      </c>
      <c r="I27" s="324">
        <f t="shared" si="28"/>
        <v>297.51393749999994</v>
      </c>
      <c r="J27" s="324">
        <f t="shared" si="29"/>
        <v>2024.5460624999998</v>
      </c>
      <c r="K27" s="323">
        <v>12</v>
      </c>
      <c r="L27" s="324">
        <f t="shared" si="30"/>
        <v>17415.449999999997</v>
      </c>
      <c r="M27" s="324">
        <f t="shared" si="31"/>
        <v>24294.552749999999</v>
      </c>
    </row>
    <row r="28" spans="1:13">
      <c r="A28" s="324" t="s">
        <v>1833</v>
      </c>
      <c r="B28" s="324">
        <v>172.875</v>
      </c>
      <c r="C28" s="324">
        <v>529</v>
      </c>
      <c r="D28" s="324">
        <f t="shared" si="24"/>
        <v>701.875</v>
      </c>
      <c r="E28" s="325">
        <v>0.95</v>
      </c>
      <c r="F28" s="324">
        <f t="shared" si="25"/>
        <v>666.78125</v>
      </c>
      <c r="G28" s="324">
        <f t="shared" si="26"/>
        <v>1368.65625</v>
      </c>
      <c r="H28" s="324">
        <f t="shared" si="27"/>
        <v>260.04468750000001</v>
      </c>
      <c r="I28" s="324">
        <f t="shared" si="28"/>
        <v>280.57453125000001</v>
      </c>
      <c r="J28" s="324">
        <f t="shared" si="29"/>
        <v>1909.2754687500001</v>
      </c>
      <c r="K28" s="323">
        <v>12</v>
      </c>
      <c r="L28" s="324">
        <f t="shared" si="30"/>
        <v>16423.875</v>
      </c>
      <c r="M28" s="324">
        <f t="shared" si="31"/>
        <v>22911.305625000001</v>
      </c>
    </row>
    <row r="30" spans="1:13">
      <c r="A30" s="321" t="s">
        <v>2036</v>
      </c>
    </row>
    <row r="31" spans="1:13">
      <c r="A31" s="322" t="s">
        <v>2025</v>
      </c>
      <c r="B31" s="322" t="s">
        <v>2038</v>
      </c>
      <c r="C31" s="322" t="s">
        <v>2039</v>
      </c>
      <c r="D31" s="322" t="s">
        <v>2040</v>
      </c>
      <c r="E31" s="322" t="s">
        <v>1910</v>
      </c>
      <c r="F31" s="322" t="s">
        <v>1911</v>
      </c>
      <c r="G31" s="322" t="s">
        <v>2041</v>
      </c>
      <c r="H31" s="322" t="s">
        <v>1894</v>
      </c>
      <c r="I31" s="322" t="s">
        <v>1895</v>
      </c>
      <c r="J31" s="322" t="s">
        <v>2042</v>
      </c>
      <c r="K31" s="322" t="s">
        <v>2043</v>
      </c>
      <c r="L31" s="322" t="s">
        <v>2032</v>
      </c>
      <c r="M31" s="322" t="s">
        <v>2033</v>
      </c>
    </row>
    <row r="32" spans="1:13">
      <c r="A32" s="323" t="s">
        <v>1835</v>
      </c>
      <c r="B32" s="324">
        <v>520</v>
      </c>
      <c r="C32" s="324">
        <f t="shared" ref="C32:C36" si="32">29+226+100</f>
        <v>355</v>
      </c>
      <c r="D32" s="324">
        <f t="shared" ref="D32:D36" si="33">B32+C32</f>
        <v>875</v>
      </c>
      <c r="E32" s="325">
        <v>0.25</v>
      </c>
      <c r="F32" s="324">
        <f t="shared" ref="F32:F36" si="34">D32*E32</f>
        <v>218.75</v>
      </c>
      <c r="G32" s="324">
        <f t="shared" ref="G32:G36" si="35">D32+F32</f>
        <v>1093.75</v>
      </c>
      <c r="H32" s="324">
        <f t="shared" ref="H32:H36" si="36">G32*0.19</f>
        <v>207.8125</v>
      </c>
      <c r="I32" s="324">
        <f t="shared" ref="I32:I36" si="37">G32*0.205</f>
        <v>224.21875</v>
      </c>
      <c r="J32" s="324">
        <f t="shared" ref="J32:J36" si="38">G32+H32+I32</f>
        <v>1525.78125</v>
      </c>
      <c r="K32" s="323">
        <v>12</v>
      </c>
      <c r="L32" s="324">
        <f t="shared" ref="L32:L36" si="39">K32*G32</f>
        <v>13125</v>
      </c>
      <c r="M32" s="324">
        <f t="shared" ref="M32:M36" si="40">K32*J32</f>
        <v>18309.375</v>
      </c>
    </row>
    <row r="33" spans="1:13">
      <c r="A33" s="324" t="s">
        <v>1900</v>
      </c>
      <c r="B33" s="324">
        <v>272</v>
      </c>
      <c r="C33" s="324">
        <f t="shared" si="32"/>
        <v>355</v>
      </c>
      <c r="D33" s="324">
        <f t="shared" si="33"/>
        <v>627</v>
      </c>
      <c r="E33" s="325">
        <v>0.25</v>
      </c>
      <c r="F33" s="324">
        <f t="shared" si="34"/>
        <v>156.75</v>
      </c>
      <c r="G33" s="324">
        <f t="shared" si="35"/>
        <v>783.75</v>
      </c>
      <c r="H33" s="324">
        <f t="shared" si="36"/>
        <v>148.91249999999999</v>
      </c>
      <c r="I33" s="324">
        <f t="shared" si="37"/>
        <v>160.66874999999999</v>
      </c>
      <c r="J33" s="324">
        <f t="shared" si="38"/>
        <v>1093.33125</v>
      </c>
      <c r="K33" s="323">
        <v>12</v>
      </c>
      <c r="L33" s="324">
        <f t="shared" si="39"/>
        <v>9405</v>
      </c>
      <c r="M33" s="324">
        <f t="shared" si="40"/>
        <v>13119.974999999999</v>
      </c>
    </row>
    <row r="34" spans="1:13">
      <c r="A34" s="324" t="s">
        <v>1833</v>
      </c>
      <c r="B34" s="324">
        <v>218</v>
      </c>
      <c r="C34" s="324">
        <f t="shared" si="32"/>
        <v>355</v>
      </c>
      <c r="D34" s="324">
        <f t="shared" si="33"/>
        <v>573</v>
      </c>
      <c r="E34" s="325">
        <v>0.25</v>
      </c>
      <c r="F34" s="324">
        <f t="shared" si="34"/>
        <v>143.25</v>
      </c>
      <c r="G34" s="324">
        <f t="shared" si="35"/>
        <v>716.25</v>
      </c>
      <c r="H34" s="324">
        <f t="shared" si="36"/>
        <v>136.08750000000001</v>
      </c>
      <c r="I34" s="324">
        <f t="shared" si="37"/>
        <v>146.83124999999998</v>
      </c>
      <c r="J34" s="324">
        <f t="shared" si="38"/>
        <v>999.16874999999993</v>
      </c>
      <c r="K34" s="323">
        <v>12</v>
      </c>
      <c r="L34" s="324">
        <f t="shared" si="39"/>
        <v>8595</v>
      </c>
      <c r="M34" s="324">
        <f t="shared" si="40"/>
        <v>11990.025</v>
      </c>
    </row>
    <row r="35" spans="1:13">
      <c r="A35" s="324" t="s">
        <v>1836</v>
      </c>
      <c r="B35" s="324">
        <v>568</v>
      </c>
      <c r="C35" s="324">
        <f t="shared" si="32"/>
        <v>355</v>
      </c>
      <c r="D35" s="324">
        <f t="shared" si="33"/>
        <v>923</v>
      </c>
      <c r="E35" s="325">
        <v>0.25</v>
      </c>
      <c r="F35" s="324">
        <f t="shared" si="34"/>
        <v>230.75</v>
      </c>
      <c r="G35" s="324">
        <f t="shared" si="35"/>
        <v>1153.75</v>
      </c>
      <c r="H35" s="324">
        <f t="shared" si="36"/>
        <v>219.21250000000001</v>
      </c>
      <c r="I35" s="324">
        <f t="shared" si="37"/>
        <v>236.51874999999998</v>
      </c>
      <c r="J35" s="324">
        <f t="shared" si="38"/>
        <v>1609.48125</v>
      </c>
      <c r="K35" s="323">
        <v>12</v>
      </c>
      <c r="L35" s="324">
        <f t="shared" si="39"/>
        <v>13845</v>
      </c>
      <c r="M35" s="324">
        <f t="shared" si="40"/>
        <v>19313.775000000001</v>
      </c>
    </row>
    <row r="36" spans="1:13">
      <c r="A36" s="324" t="s">
        <v>1837</v>
      </c>
      <c r="B36" s="324">
        <v>526</v>
      </c>
      <c r="C36" s="324">
        <f t="shared" si="32"/>
        <v>355</v>
      </c>
      <c r="D36" s="324">
        <f t="shared" si="33"/>
        <v>881</v>
      </c>
      <c r="E36" s="325">
        <v>0.25</v>
      </c>
      <c r="F36" s="324">
        <f t="shared" si="34"/>
        <v>220.25</v>
      </c>
      <c r="G36" s="324">
        <f t="shared" si="35"/>
        <v>1101.25</v>
      </c>
      <c r="H36" s="324">
        <f t="shared" si="36"/>
        <v>209.23750000000001</v>
      </c>
      <c r="I36" s="324">
        <f t="shared" si="37"/>
        <v>225.75624999999999</v>
      </c>
      <c r="J36" s="324">
        <f t="shared" si="38"/>
        <v>1536.2437499999999</v>
      </c>
      <c r="K36" s="323">
        <v>12</v>
      </c>
      <c r="L36" s="324">
        <f t="shared" si="39"/>
        <v>13215</v>
      </c>
      <c r="M36" s="324">
        <f t="shared" si="40"/>
        <v>18434.924999999999</v>
      </c>
    </row>
    <row r="38" spans="1:13">
      <c r="A38" s="321" t="s">
        <v>2044</v>
      </c>
    </row>
    <row r="39" spans="1:13">
      <c r="A39" s="322" t="s">
        <v>2025</v>
      </c>
      <c r="B39" s="322" t="s">
        <v>2038</v>
      </c>
      <c r="C39" s="322" t="s">
        <v>2039</v>
      </c>
      <c r="D39" s="322" t="s">
        <v>2040</v>
      </c>
      <c r="E39" s="322" t="s">
        <v>1910</v>
      </c>
      <c r="F39" s="322" t="s">
        <v>1911</v>
      </c>
      <c r="G39" s="322" t="s">
        <v>2041</v>
      </c>
      <c r="H39" s="322" t="s">
        <v>1894</v>
      </c>
      <c r="I39" s="322" t="s">
        <v>1895</v>
      </c>
      <c r="J39" s="322" t="s">
        <v>2042</v>
      </c>
      <c r="K39" s="322" t="s">
        <v>2043</v>
      </c>
      <c r="L39" s="322" t="s">
        <v>2032</v>
      </c>
      <c r="M39" s="322" t="s">
        <v>2033</v>
      </c>
    </row>
    <row r="40" spans="1:13">
      <c r="A40" s="324" t="s">
        <v>1833</v>
      </c>
      <c r="B40" s="324">
        <v>444.053</v>
      </c>
      <c r="C40" s="324">
        <v>350</v>
      </c>
      <c r="D40" s="324">
        <f t="shared" ref="D40:D44" si="41">B40+C40</f>
        <v>794.053</v>
      </c>
      <c r="E40" s="325">
        <v>0.8</v>
      </c>
      <c r="F40" s="324">
        <f t="shared" ref="F40:F44" si="42">D40*E40</f>
        <v>635.24240000000009</v>
      </c>
      <c r="G40" s="324">
        <f t="shared" ref="G40:G44" si="43">D40+F40</f>
        <v>1429.2954</v>
      </c>
      <c r="H40" s="324">
        <f t="shared" ref="H40:H44" si="44">G40*0.19</f>
        <v>271.566126</v>
      </c>
      <c r="I40" s="324">
        <f t="shared" ref="I40:I44" si="45">G40*0.205</f>
        <v>293.00555699999995</v>
      </c>
      <c r="J40" s="324">
        <f t="shared" ref="J40:J44" si="46">G40+H40+I40</f>
        <v>1993.8670829999999</v>
      </c>
      <c r="K40" s="323">
        <v>12</v>
      </c>
      <c r="L40" s="324">
        <f t="shared" ref="L40:L44" si="47">K40*G40</f>
        <v>17151.5448</v>
      </c>
      <c r="M40" s="324">
        <f t="shared" ref="M40:M44" si="48">K40*J40</f>
        <v>23926.404995999997</v>
      </c>
    </row>
    <row r="41" spans="1:13">
      <c r="A41" s="324" t="s">
        <v>1834</v>
      </c>
      <c r="B41" s="324">
        <v>497.50199999999995</v>
      </c>
      <c r="C41" s="324">
        <v>350</v>
      </c>
      <c r="D41" s="324">
        <f t="shared" si="41"/>
        <v>847.50199999999995</v>
      </c>
      <c r="E41" s="325">
        <v>0.8</v>
      </c>
      <c r="F41" s="324">
        <f t="shared" si="42"/>
        <v>678.00160000000005</v>
      </c>
      <c r="G41" s="324">
        <f t="shared" si="43"/>
        <v>1525.5036</v>
      </c>
      <c r="H41" s="324">
        <f t="shared" si="44"/>
        <v>289.84568400000001</v>
      </c>
      <c r="I41" s="324">
        <f t="shared" si="45"/>
        <v>312.72823799999998</v>
      </c>
      <c r="J41" s="324">
        <f t="shared" si="46"/>
        <v>2128.077522</v>
      </c>
      <c r="K41" s="323">
        <v>12</v>
      </c>
      <c r="L41" s="324">
        <f t="shared" si="47"/>
        <v>18306.0432</v>
      </c>
      <c r="M41" s="324">
        <f t="shared" si="48"/>
        <v>25536.930264000002</v>
      </c>
    </row>
    <row r="42" spans="1:13">
      <c r="A42" s="324" t="s">
        <v>1835</v>
      </c>
      <c r="B42" s="324">
        <v>746.30000000000007</v>
      </c>
      <c r="C42" s="324">
        <v>350</v>
      </c>
      <c r="D42" s="324">
        <f t="shared" si="41"/>
        <v>1096.3000000000002</v>
      </c>
      <c r="E42" s="325">
        <v>0.8</v>
      </c>
      <c r="F42" s="324">
        <f t="shared" si="42"/>
        <v>877.04000000000019</v>
      </c>
      <c r="G42" s="324">
        <f t="shared" si="43"/>
        <v>1973.3400000000004</v>
      </c>
      <c r="H42" s="324">
        <f t="shared" si="44"/>
        <v>374.9346000000001</v>
      </c>
      <c r="I42" s="324">
        <f t="shared" si="45"/>
        <v>404.53470000000004</v>
      </c>
      <c r="J42" s="324">
        <f t="shared" si="46"/>
        <v>2752.8093000000008</v>
      </c>
      <c r="K42" s="323">
        <v>12</v>
      </c>
      <c r="L42" s="324">
        <f t="shared" si="47"/>
        <v>23680.080000000005</v>
      </c>
      <c r="M42" s="324">
        <f t="shared" si="48"/>
        <v>33033.71160000001</v>
      </c>
    </row>
    <row r="43" spans="1:13">
      <c r="A43" s="324" t="s">
        <v>1836</v>
      </c>
      <c r="B43" s="324">
        <v>793.6</v>
      </c>
      <c r="C43" s="324">
        <v>350</v>
      </c>
      <c r="D43" s="324">
        <f t="shared" si="41"/>
        <v>1143.5999999999999</v>
      </c>
      <c r="E43" s="325">
        <v>0.8</v>
      </c>
      <c r="F43" s="324">
        <f t="shared" si="42"/>
        <v>914.88</v>
      </c>
      <c r="G43" s="324">
        <f t="shared" si="43"/>
        <v>2058.48</v>
      </c>
      <c r="H43" s="324">
        <f t="shared" si="44"/>
        <v>391.1112</v>
      </c>
      <c r="I43" s="324">
        <f t="shared" si="45"/>
        <v>421.98839999999996</v>
      </c>
      <c r="J43" s="324">
        <f t="shared" si="46"/>
        <v>2871.5796</v>
      </c>
      <c r="K43" s="323">
        <v>12</v>
      </c>
      <c r="L43" s="324">
        <f t="shared" si="47"/>
        <v>24701.760000000002</v>
      </c>
      <c r="M43" s="324">
        <f t="shared" si="48"/>
        <v>34458.955199999997</v>
      </c>
    </row>
    <row r="44" spans="1:13">
      <c r="A44" s="324" t="s">
        <v>1837</v>
      </c>
      <c r="B44" s="324">
        <v>751.50300000000004</v>
      </c>
      <c r="C44" s="324">
        <v>350</v>
      </c>
      <c r="D44" s="324">
        <f t="shared" si="41"/>
        <v>1101.5030000000002</v>
      </c>
      <c r="E44" s="325">
        <v>0.8</v>
      </c>
      <c r="F44" s="324">
        <f t="shared" si="42"/>
        <v>881.20240000000013</v>
      </c>
      <c r="G44" s="324">
        <f t="shared" si="43"/>
        <v>1982.7054000000003</v>
      </c>
      <c r="H44" s="324">
        <f t="shared" si="44"/>
        <v>376.71402600000005</v>
      </c>
      <c r="I44" s="324">
        <f t="shared" si="45"/>
        <v>406.45460700000001</v>
      </c>
      <c r="J44" s="324">
        <f t="shared" si="46"/>
        <v>2765.8740330000005</v>
      </c>
      <c r="K44" s="323">
        <v>12</v>
      </c>
      <c r="L44" s="324">
        <f t="shared" si="47"/>
        <v>23792.464800000002</v>
      </c>
      <c r="M44" s="324">
        <f t="shared" si="48"/>
        <v>33190.488396000008</v>
      </c>
    </row>
    <row r="46" spans="1:13">
      <c r="A46" s="321" t="s">
        <v>2045</v>
      </c>
    </row>
    <row r="47" spans="1:13">
      <c r="A47" s="322" t="s">
        <v>2025</v>
      </c>
      <c r="B47" s="322" t="s">
        <v>2038</v>
      </c>
      <c r="C47" s="322" t="s">
        <v>2039</v>
      </c>
      <c r="D47" s="322" t="s">
        <v>2040</v>
      </c>
      <c r="E47" s="322" t="s">
        <v>1910</v>
      </c>
      <c r="F47" s="322" t="s">
        <v>1911</v>
      </c>
      <c r="G47" s="322" t="s">
        <v>2041</v>
      </c>
      <c r="H47" s="322" t="s">
        <v>1894</v>
      </c>
      <c r="I47" s="322" t="s">
        <v>1895</v>
      </c>
      <c r="J47" s="322" t="s">
        <v>2042</v>
      </c>
      <c r="K47" s="322" t="s">
        <v>2043</v>
      </c>
      <c r="L47" s="322" t="s">
        <v>2032</v>
      </c>
      <c r="M47" s="322" t="s">
        <v>2033</v>
      </c>
    </row>
    <row r="48" spans="1:13">
      <c r="A48" s="324" t="s">
        <v>1833</v>
      </c>
      <c r="B48" s="324">
        <v>444.053</v>
      </c>
      <c r="C48" s="324">
        <v>350</v>
      </c>
      <c r="D48" s="324">
        <f t="shared" ref="D48:D52" si="49">B48+C48</f>
        <v>794.053</v>
      </c>
      <c r="E48" s="325">
        <v>0.8</v>
      </c>
      <c r="F48" s="324">
        <f t="shared" ref="F48:F52" si="50">D48*E48</f>
        <v>635.24240000000009</v>
      </c>
      <c r="G48" s="324">
        <f t="shared" ref="G48:G52" si="51">D48+F48</f>
        <v>1429.2954</v>
      </c>
      <c r="H48" s="324">
        <f t="shared" ref="H48:H52" si="52">G48*0.19</f>
        <v>271.566126</v>
      </c>
      <c r="I48" s="324">
        <f t="shared" ref="I48:I52" si="53">G48*0.205</f>
        <v>293.00555699999995</v>
      </c>
      <c r="J48" s="324">
        <f t="shared" ref="J48:J52" si="54">G48+H48+I48</f>
        <v>1993.8670829999999</v>
      </c>
      <c r="K48" s="323">
        <v>12</v>
      </c>
      <c r="L48" s="324">
        <f t="shared" ref="L48:L52" si="55">K48*G48</f>
        <v>17151.5448</v>
      </c>
      <c r="M48" s="324">
        <f t="shared" ref="M48:M52" si="56">K48*J48</f>
        <v>23926.404995999997</v>
      </c>
    </row>
    <row r="49" spans="1:13">
      <c r="A49" s="324" t="s">
        <v>1834</v>
      </c>
      <c r="B49" s="324">
        <v>497.50199999999995</v>
      </c>
      <c r="C49" s="324">
        <v>350</v>
      </c>
      <c r="D49" s="324">
        <f t="shared" si="49"/>
        <v>847.50199999999995</v>
      </c>
      <c r="E49" s="325">
        <v>0.8</v>
      </c>
      <c r="F49" s="324">
        <f t="shared" si="50"/>
        <v>678.00160000000005</v>
      </c>
      <c r="G49" s="324">
        <f t="shared" si="51"/>
        <v>1525.5036</v>
      </c>
      <c r="H49" s="324">
        <f t="shared" si="52"/>
        <v>289.84568400000001</v>
      </c>
      <c r="I49" s="324">
        <f t="shared" si="53"/>
        <v>312.72823799999998</v>
      </c>
      <c r="J49" s="324">
        <f t="shared" si="54"/>
        <v>2128.077522</v>
      </c>
      <c r="K49" s="323">
        <v>12</v>
      </c>
      <c r="L49" s="324">
        <f t="shared" si="55"/>
        <v>18306.0432</v>
      </c>
      <c r="M49" s="324">
        <f t="shared" si="56"/>
        <v>25536.930264000002</v>
      </c>
    </row>
    <row r="50" spans="1:13">
      <c r="A50" s="324" t="s">
        <v>1835</v>
      </c>
      <c r="B50" s="324">
        <v>746.30000000000007</v>
      </c>
      <c r="C50" s="324">
        <v>350</v>
      </c>
      <c r="D50" s="324">
        <f t="shared" si="49"/>
        <v>1096.3000000000002</v>
      </c>
      <c r="E50" s="325">
        <v>0.8</v>
      </c>
      <c r="F50" s="324">
        <f t="shared" si="50"/>
        <v>877.04000000000019</v>
      </c>
      <c r="G50" s="324">
        <f t="shared" si="51"/>
        <v>1973.3400000000004</v>
      </c>
      <c r="H50" s="324">
        <f t="shared" si="52"/>
        <v>374.9346000000001</v>
      </c>
      <c r="I50" s="324">
        <f t="shared" si="53"/>
        <v>404.53470000000004</v>
      </c>
      <c r="J50" s="324">
        <f t="shared" si="54"/>
        <v>2752.8093000000008</v>
      </c>
      <c r="K50" s="323">
        <v>12</v>
      </c>
      <c r="L50" s="324">
        <f t="shared" si="55"/>
        <v>23680.080000000005</v>
      </c>
      <c r="M50" s="324">
        <f t="shared" si="56"/>
        <v>33033.71160000001</v>
      </c>
    </row>
    <row r="51" spans="1:13">
      <c r="A51" s="324" t="s">
        <v>1836</v>
      </c>
      <c r="B51" s="324">
        <v>793.6</v>
      </c>
      <c r="C51" s="324">
        <v>350</v>
      </c>
      <c r="D51" s="324">
        <f t="shared" si="49"/>
        <v>1143.5999999999999</v>
      </c>
      <c r="E51" s="325">
        <v>0.8</v>
      </c>
      <c r="F51" s="324">
        <f t="shared" si="50"/>
        <v>914.88</v>
      </c>
      <c r="G51" s="324">
        <f t="shared" si="51"/>
        <v>2058.48</v>
      </c>
      <c r="H51" s="324">
        <f t="shared" si="52"/>
        <v>391.1112</v>
      </c>
      <c r="I51" s="324">
        <f t="shared" si="53"/>
        <v>421.98839999999996</v>
      </c>
      <c r="J51" s="324">
        <f t="shared" si="54"/>
        <v>2871.5796</v>
      </c>
      <c r="K51" s="323">
        <v>12</v>
      </c>
      <c r="L51" s="324">
        <f t="shared" si="55"/>
        <v>24701.760000000002</v>
      </c>
      <c r="M51" s="324">
        <f t="shared" si="56"/>
        <v>34458.955199999997</v>
      </c>
    </row>
    <row r="52" spans="1:13">
      <c r="A52" s="324" t="s">
        <v>1837</v>
      </c>
      <c r="B52" s="324">
        <v>751.50300000000004</v>
      </c>
      <c r="C52" s="324">
        <v>350</v>
      </c>
      <c r="D52" s="324">
        <f t="shared" si="49"/>
        <v>1101.5030000000002</v>
      </c>
      <c r="E52" s="325">
        <v>0.8</v>
      </c>
      <c r="F52" s="324">
        <f t="shared" si="50"/>
        <v>881.20240000000013</v>
      </c>
      <c r="G52" s="324">
        <f t="shared" si="51"/>
        <v>1982.7054000000003</v>
      </c>
      <c r="H52" s="324">
        <f t="shared" si="52"/>
        <v>376.71402600000005</v>
      </c>
      <c r="I52" s="324">
        <f t="shared" si="53"/>
        <v>406.45460700000001</v>
      </c>
      <c r="J52" s="324">
        <f t="shared" si="54"/>
        <v>2765.8740330000005</v>
      </c>
      <c r="K52" s="323">
        <v>12</v>
      </c>
      <c r="L52" s="324">
        <f t="shared" si="55"/>
        <v>23792.464800000002</v>
      </c>
      <c r="M52" s="324">
        <f t="shared" si="56"/>
        <v>33190.488396000008</v>
      </c>
    </row>
    <row r="54" spans="1:13">
      <c r="A54" s="321" t="s">
        <v>2046</v>
      </c>
    </row>
    <row r="55" spans="1:13">
      <c r="A55" s="322" t="s">
        <v>2025</v>
      </c>
      <c r="B55" s="322" t="s">
        <v>2038</v>
      </c>
      <c r="C55" s="322" t="s">
        <v>2039</v>
      </c>
      <c r="D55" s="322" t="s">
        <v>2040</v>
      </c>
      <c r="E55" s="322" t="s">
        <v>1910</v>
      </c>
      <c r="F55" s="322" t="s">
        <v>1911</v>
      </c>
      <c r="G55" s="322" t="s">
        <v>2041</v>
      </c>
      <c r="H55" s="322" t="s">
        <v>1894</v>
      </c>
      <c r="I55" s="322" t="s">
        <v>1895</v>
      </c>
      <c r="J55" s="322" t="s">
        <v>2042</v>
      </c>
      <c r="K55" s="322" t="s">
        <v>2043</v>
      </c>
      <c r="L55" s="322" t="s">
        <v>2032</v>
      </c>
      <c r="M55" s="322" t="s">
        <v>2033</v>
      </c>
    </row>
    <row r="56" spans="1:13">
      <c r="A56" s="323" t="s">
        <v>1835</v>
      </c>
      <c r="B56" s="324">
        <v>846</v>
      </c>
      <c r="C56" s="324">
        <f t="shared" ref="C56:C60" si="57">350/12</f>
        <v>29.166666666666668</v>
      </c>
      <c r="D56" s="324">
        <f t="shared" ref="D56:D60" si="58">B56+C56</f>
        <v>875.16666666666663</v>
      </c>
      <c r="E56" s="325">
        <v>0.8</v>
      </c>
      <c r="F56" s="324">
        <f t="shared" ref="F56:F60" si="59">D56*E56</f>
        <v>700.13333333333333</v>
      </c>
      <c r="G56" s="324">
        <f t="shared" ref="G56:G60" si="60">D56+F56</f>
        <v>1575.3</v>
      </c>
      <c r="H56" s="324">
        <f t="shared" ref="H56:H60" si="61">G56*0.19</f>
        <v>299.30700000000002</v>
      </c>
      <c r="I56" s="324">
        <f t="shared" ref="I56:I60" si="62">G56*0.205</f>
        <v>322.93649999999997</v>
      </c>
      <c r="J56" s="324">
        <f t="shared" ref="J56:J60" si="63">G56+H56+I56</f>
        <v>2197.5434999999998</v>
      </c>
      <c r="K56" s="323">
        <v>12</v>
      </c>
      <c r="L56" s="324">
        <f t="shared" ref="L56:L60" si="64">K56*G56</f>
        <v>18903.599999999999</v>
      </c>
      <c r="M56" s="324">
        <f t="shared" ref="M56:M60" si="65">K56*J56</f>
        <v>26370.521999999997</v>
      </c>
    </row>
    <row r="57" spans="1:13">
      <c r="A57" s="324" t="s">
        <v>1900</v>
      </c>
      <c r="B57" s="324">
        <v>598</v>
      </c>
      <c r="C57" s="324">
        <f t="shared" si="57"/>
        <v>29.166666666666668</v>
      </c>
      <c r="D57" s="324">
        <f t="shared" si="58"/>
        <v>627.16666666666663</v>
      </c>
      <c r="E57" s="325">
        <v>0.8</v>
      </c>
      <c r="F57" s="324">
        <f t="shared" si="59"/>
        <v>501.73333333333335</v>
      </c>
      <c r="G57" s="324">
        <f t="shared" si="60"/>
        <v>1128.9000000000001</v>
      </c>
      <c r="H57" s="324">
        <f t="shared" si="61"/>
        <v>214.49100000000001</v>
      </c>
      <c r="I57" s="324">
        <f t="shared" si="62"/>
        <v>231.42449999999999</v>
      </c>
      <c r="J57" s="324">
        <f t="shared" si="63"/>
        <v>1574.8155000000002</v>
      </c>
      <c r="K57" s="323">
        <v>12</v>
      </c>
      <c r="L57" s="324">
        <f t="shared" si="64"/>
        <v>13546.800000000001</v>
      </c>
      <c r="M57" s="324">
        <f t="shared" si="65"/>
        <v>18897.786</v>
      </c>
    </row>
    <row r="58" spans="1:13">
      <c r="A58" s="324" t="s">
        <v>1833</v>
      </c>
      <c r="B58" s="324">
        <v>544</v>
      </c>
      <c r="C58" s="324">
        <f t="shared" si="57"/>
        <v>29.166666666666668</v>
      </c>
      <c r="D58" s="324">
        <f t="shared" si="58"/>
        <v>573.16666666666663</v>
      </c>
      <c r="E58" s="325">
        <v>0.8</v>
      </c>
      <c r="F58" s="324">
        <f t="shared" si="59"/>
        <v>458.5333333333333</v>
      </c>
      <c r="G58" s="324">
        <f t="shared" si="60"/>
        <v>1031.6999999999998</v>
      </c>
      <c r="H58" s="324">
        <f t="shared" si="61"/>
        <v>196.02299999999997</v>
      </c>
      <c r="I58" s="324">
        <f t="shared" si="62"/>
        <v>211.49849999999995</v>
      </c>
      <c r="J58" s="324">
        <f t="shared" si="63"/>
        <v>1439.2214999999997</v>
      </c>
      <c r="K58" s="323">
        <v>12</v>
      </c>
      <c r="L58" s="324">
        <f t="shared" si="64"/>
        <v>12380.399999999998</v>
      </c>
      <c r="M58" s="324">
        <f t="shared" si="65"/>
        <v>17270.657999999996</v>
      </c>
    </row>
    <row r="59" spans="1:13">
      <c r="A59" s="324" t="s">
        <v>1836</v>
      </c>
      <c r="B59" s="324">
        <v>894</v>
      </c>
      <c r="C59" s="324">
        <f t="shared" si="57"/>
        <v>29.166666666666668</v>
      </c>
      <c r="D59" s="324">
        <f t="shared" si="58"/>
        <v>923.16666666666663</v>
      </c>
      <c r="E59" s="325">
        <v>0.7</v>
      </c>
      <c r="F59" s="324">
        <f t="shared" si="59"/>
        <v>646.21666666666658</v>
      </c>
      <c r="G59" s="324">
        <f t="shared" si="60"/>
        <v>1569.3833333333332</v>
      </c>
      <c r="H59" s="324">
        <f t="shared" si="61"/>
        <v>298.18283333333329</v>
      </c>
      <c r="I59" s="324">
        <f t="shared" si="62"/>
        <v>321.72358333333329</v>
      </c>
      <c r="J59" s="324">
        <f t="shared" si="63"/>
        <v>2189.2897499999999</v>
      </c>
      <c r="K59" s="323">
        <v>12</v>
      </c>
      <c r="L59" s="324">
        <f t="shared" si="64"/>
        <v>18832.599999999999</v>
      </c>
      <c r="M59" s="324">
        <f t="shared" si="65"/>
        <v>26271.476999999999</v>
      </c>
    </row>
    <row r="60" spans="1:13">
      <c r="A60" s="324" t="s">
        <v>1837</v>
      </c>
      <c r="B60" s="324">
        <v>852</v>
      </c>
      <c r="C60" s="324">
        <f t="shared" si="57"/>
        <v>29.166666666666668</v>
      </c>
      <c r="D60" s="324">
        <f t="shared" si="58"/>
        <v>881.16666666666663</v>
      </c>
      <c r="E60" s="325">
        <v>0.8</v>
      </c>
      <c r="F60" s="324">
        <f t="shared" si="59"/>
        <v>704.93333333333339</v>
      </c>
      <c r="G60" s="324">
        <f t="shared" si="60"/>
        <v>1586.1</v>
      </c>
      <c r="H60" s="324">
        <f t="shared" si="61"/>
        <v>301.35899999999998</v>
      </c>
      <c r="I60" s="324">
        <f t="shared" si="62"/>
        <v>325.15049999999997</v>
      </c>
      <c r="J60" s="324">
        <f t="shared" si="63"/>
        <v>2212.6094999999996</v>
      </c>
      <c r="K60" s="323">
        <v>12</v>
      </c>
      <c r="L60" s="324">
        <f t="shared" si="64"/>
        <v>19033.199999999997</v>
      </c>
      <c r="M60" s="324">
        <f t="shared" si="65"/>
        <v>26551.313999999995</v>
      </c>
    </row>
  </sheetData>
  <pageMargins left="0" right="0" top="0" bottom="0" header="0" footer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Z19"/>
  <sheetViews>
    <sheetView workbookViewId="0"/>
  </sheetViews>
  <sheetFormatPr defaultColWidth="14.42578125" defaultRowHeight="15" customHeight="1"/>
  <cols>
    <col min="1" max="1" width="19.85546875" customWidth="1"/>
    <col min="2" max="2" width="60.7109375" customWidth="1"/>
  </cols>
  <sheetData>
    <row r="1" spans="1:26">
      <c r="A1" s="56" t="s">
        <v>2047</v>
      </c>
      <c r="B1" s="56" t="s">
        <v>2048</v>
      </c>
      <c r="C1" s="56" t="s">
        <v>2049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>
      <c r="A2" s="15" t="s">
        <v>2050</v>
      </c>
      <c r="B2" s="15" t="s">
        <v>2051</v>
      </c>
    </row>
    <row r="3" spans="1:26">
      <c r="A3" s="15" t="s">
        <v>2052</v>
      </c>
      <c r="B3" s="15" t="s">
        <v>2053</v>
      </c>
    </row>
    <row r="4" spans="1:26">
      <c r="A4" s="15" t="s">
        <v>2054</v>
      </c>
      <c r="B4" s="15" t="s">
        <v>2055</v>
      </c>
    </row>
    <row r="5" spans="1:26">
      <c r="A5" s="15" t="s">
        <v>2056</v>
      </c>
      <c r="B5" s="15" t="s">
        <v>2057</v>
      </c>
    </row>
    <row r="6" spans="1:26">
      <c r="A6" s="15" t="s">
        <v>2058</v>
      </c>
      <c r="B6" s="15" t="s">
        <v>2059</v>
      </c>
    </row>
    <row r="7" spans="1:26">
      <c r="A7" s="15" t="s">
        <v>2060</v>
      </c>
      <c r="B7" s="15" t="s">
        <v>2061</v>
      </c>
    </row>
    <row r="8" spans="1:26">
      <c r="A8" s="15" t="s">
        <v>2062</v>
      </c>
      <c r="B8" s="15" t="s">
        <v>2063</v>
      </c>
    </row>
    <row r="9" spans="1:26">
      <c r="A9" s="15" t="s">
        <v>2064</v>
      </c>
      <c r="B9" s="15" t="s">
        <v>2065</v>
      </c>
      <c r="F9" s="56"/>
      <c r="G9" s="56"/>
    </row>
    <row r="10" spans="1:26">
      <c r="A10" s="15" t="s">
        <v>2066</v>
      </c>
      <c r="B10" s="15" t="s">
        <v>2067</v>
      </c>
      <c r="G10" s="326"/>
    </row>
    <row r="11" spans="1:26">
      <c r="A11" s="15" t="s">
        <v>2068</v>
      </c>
      <c r="B11" s="15" t="s">
        <v>2069</v>
      </c>
    </row>
    <row r="12" spans="1:26">
      <c r="A12" s="15"/>
      <c r="B12" s="15"/>
    </row>
    <row r="13" spans="1:26">
      <c r="A13" s="15"/>
      <c r="B13" s="15"/>
      <c r="G13" s="327"/>
    </row>
    <row r="14" spans="1:26">
      <c r="A14" s="15"/>
      <c r="B14" s="15"/>
      <c r="G14" s="326"/>
    </row>
    <row r="15" spans="1:26">
      <c r="A15" s="15"/>
      <c r="B15" s="15"/>
    </row>
    <row r="16" spans="1:26">
      <c r="A16" s="15"/>
      <c r="B16" s="15"/>
    </row>
    <row r="17" spans="1:2">
      <c r="A17" s="15"/>
      <c r="B17" s="15"/>
    </row>
    <row r="18" spans="1:2">
      <c r="A18" s="15"/>
      <c r="B18" s="15"/>
    </row>
    <row r="19" spans="1:2">
      <c r="A19" s="15"/>
      <c r="B19" s="15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58"/>
  <sheetViews>
    <sheetView workbookViewId="0">
      <pane ySplit="1" topLeftCell="A2" activePane="bottomLeft" state="frozen"/>
      <selection pane="bottomLeft" activeCell="B35" sqref="B35"/>
    </sheetView>
  </sheetViews>
  <sheetFormatPr defaultColWidth="14.42578125" defaultRowHeight="15" customHeight="1"/>
  <cols>
    <col min="2" max="2" width="39.28515625" customWidth="1"/>
    <col min="3" max="3" width="87.140625" customWidth="1"/>
    <col min="4" max="4" width="36.85546875" customWidth="1"/>
    <col min="6" max="6" width="63.7109375" customWidth="1"/>
    <col min="7" max="7" width="64" customWidth="1"/>
    <col min="8" max="8" width="15.5703125" customWidth="1"/>
  </cols>
  <sheetData>
    <row r="1" spans="1:27">
      <c r="A1" s="9" t="s">
        <v>51</v>
      </c>
      <c r="B1" s="9" t="s">
        <v>52</v>
      </c>
      <c r="C1" s="9" t="s">
        <v>53</v>
      </c>
      <c r="D1" s="9" t="s">
        <v>54</v>
      </c>
      <c r="E1" s="9" t="s">
        <v>55</v>
      </c>
      <c r="F1" s="9" t="s">
        <v>56</v>
      </c>
      <c r="G1" s="9" t="s">
        <v>57</v>
      </c>
      <c r="H1" s="9" t="s">
        <v>58</v>
      </c>
      <c r="I1" s="9" t="s">
        <v>58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>
      <c r="A2" s="11" t="s">
        <v>59</v>
      </c>
      <c r="B2" s="11" t="s">
        <v>60</v>
      </c>
      <c r="C2" s="11" t="s">
        <v>61</v>
      </c>
      <c r="D2" s="11"/>
      <c r="E2" s="11" t="s">
        <v>62</v>
      </c>
      <c r="F2" s="11" t="s">
        <v>63</v>
      </c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>
      <c r="A3" s="14" t="s">
        <v>64</v>
      </c>
      <c r="B3" s="14" t="s">
        <v>65</v>
      </c>
      <c r="C3" s="14" t="s">
        <v>66</v>
      </c>
      <c r="D3" s="14" t="s">
        <v>67</v>
      </c>
      <c r="E3" s="14" t="s">
        <v>68</v>
      </c>
      <c r="F3" s="14" t="s">
        <v>69</v>
      </c>
      <c r="G3" s="7"/>
      <c r="H3" s="7"/>
      <c r="I3" s="7"/>
    </row>
    <row r="4" spans="1:27">
      <c r="A4" s="11" t="s">
        <v>70</v>
      </c>
      <c r="B4" s="11" t="s">
        <v>71</v>
      </c>
      <c r="C4" s="11" t="s">
        <v>72</v>
      </c>
      <c r="D4" s="11" t="s">
        <v>73</v>
      </c>
      <c r="E4" s="11" t="s">
        <v>74</v>
      </c>
      <c r="F4" s="11" t="s">
        <v>75</v>
      </c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>
      <c r="A5" s="14" t="s">
        <v>76</v>
      </c>
      <c r="B5" s="14" t="s">
        <v>77</v>
      </c>
      <c r="C5" s="14" t="s">
        <v>78</v>
      </c>
      <c r="D5" s="14" t="s">
        <v>79</v>
      </c>
      <c r="E5" s="14" t="s">
        <v>80</v>
      </c>
      <c r="F5" s="14" t="s">
        <v>81</v>
      </c>
      <c r="G5" s="7"/>
      <c r="H5" s="7"/>
      <c r="I5" s="7"/>
    </row>
    <row r="6" spans="1:27">
      <c r="A6" s="11" t="s">
        <v>82</v>
      </c>
      <c r="B6" s="11" t="s">
        <v>83</v>
      </c>
      <c r="C6" s="11" t="s">
        <v>84</v>
      </c>
      <c r="D6" s="11" t="s">
        <v>85</v>
      </c>
      <c r="E6" s="11" t="s">
        <v>86</v>
      </c>
      <c r="F6" s="11" t="s">
        <v>87</v>
      </c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>
      <c r="A7" s="14" t="s">
        <v>88</v>
      </c>
      <c r="B7" s="14" t="s">
        <v>89</v>
      </c>
      <c r="C7" s="14" t="s">
        <v>90</v>
      </c>
      <c r="D7" s="14" t="s">
        <v>91</v>
      </c>
      <c r="E7" s="14" t="s">
        <v>92</v>
      </c>
      <c r="F7" s="14" t="s">
        <v>93</v>
      </c>
      <c r="G7" s="7"/>
      <c r="H7" s="7"/>
      <c r="I7" s="7"/>
    </row>
    <row r="8" spans="1:27">
      <c r="A8" s="14" t="s">
        <v>94</v>
      </c>
      <c r="B8" s="14" t="s">
        <v>95</v>
      </c>
      <c r="C8" s="15" t="s">
        <v>96</v>
      </c>
      <c r="D8" s="14" t="s">
        <v>97</v>
      </c>
      <c r="E8" s="14" t="s">
        <v>98</v>
      </c>
      <c r="F8" s="14" t="s">
        <v>99</v>
      </c>
      <c r="G8" s="7"/>
      <c r="H8" s="7"/>
      <c r="I8" s="7"/>
    </row>
    <row r="9" spans="1:27">
      <c r="A9" s="14" t="s">
        <v>100</v>
      </c>
      <c r="B9" s="14" t="s">
        <v>101</v>
      </c>
      <c r="C9" s="14" t="s">
        <v>102</v>
      </c>
      <c r="D9" s="14" t="s">
        <v>103</v>
      </c>
      <c r="E9" s="14" t="s">
        <v>104</v>
      </c>
      <c r="F9" s="14" t="s">
        <v>105</v>
      </c>
      <c r="G9" s="7"/>
      <c r="H9" s="7"/>
      <c r="I9" s="7"/>
    </row>
    <row r="10" spans="1:27">
      <c r="A10" s="14" t="s">
        <v>106</v>
      </c>
      <c r="B10" s="14" t="s">
        <v>107</v>
      </c>
      <c r="C10" s="14" t="s">
        <v>108</v>
      </c>
      <c r="D10" s="14" t="s">
        <v>109</v>
      </c>
      <c r="E10" s="14" t="s">
        <v>110</v>
      </c>
      <c r="F10" s="14" t="s">
        <v>111</v>
      </c>
      <c r="G10" s="7"/>
      <c r="H10" s="7" t="s">
        <v>112</v>
      </c>
      <c r="I10" s="7"/>
    </row>
    <row r="11" spans="1:27">
      <c r="A11" s="11" t="s">
        <v>113</v>
      </c>
      <c r="B11" s="11" t="s">
        <v>114</v>
      </c>
      <c r="C11" s="11" t="s">
        <v>115</v>
      </c>
      <c r="D11" s="11" t="s">
        <v>116</v>
      </c>
      <c r="E11" s="11" t="s">
        <v>117</v>
      </c>
      <c r="F11" s="11" t="s">
        <v>118</v>
      </c>
      <c r="G11" s="12"/>
      <c r="H11" s="12"/>
      <c r="I11" s="1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>
      <c r="A12" s="14" t="s">
        <v>119</v>
      </c>
      <c r="B12" s="14" t="s">
        <v>120</v>
      </c>
      <c r="C12" s="14" t="s">
        <v>121</v>
      </c>
      <c r="D12" s="14" t="s">
        <v>122</v>
      </c>
      <c r="E12" s="14" t="s">
        <v>123</v>
      </c>
      <c r="F12" s="14" t="s">
        <v>124</v>
      </c>
      <c r="G12" s="7"/>
      <c r="H12" s="7"/>
      <c r="I12" s="7"/>
    </row>
    <row r="13" spans="1:27">
      <c r="A13" s="14" t="s">
        <v>125</v>
      </c>
      <c r="B13" s="14" t="s">
        <v>126</v>
      </c>
      <c r="C13" s="14" t="s">
        <v>127</v>
      </c>
      <c r="D13" s="14" t="s">
        <v>128</v>
      </c>
      <c r="E13" s="14" t="s">
        <v>129</v>
      </c>
      <c r="F13" s="14"/>
      <c r="G13" s="7"/>
      <c r="H13" s="7"/>
      <c r="I13" s="7"/>
    </row>
    <row r="14" spans="1:27">
      <c r="A14" s="14" t="s">
        <v>130</v>
      </c>
      <c r="B14" s="14" t="s">
        <v>131</v>
      </c>
      <c r="C14" s="14" t="s">
        <v>132</v>
      </c>
      <c r="D14" s="14" t="s">
        <v>133</v>
      </c>
      <c r="E14" s="14" t="s">
        <v>134</v>
      </c>
      <c r="F14" s="14" t="s">
        <v>135</v>
      </c>
      <c r="G14" s="7"/>
      <c r="H14" s="7"/>
      <c r="I14" s="7"/>
    </row>
    <row r="15" spans="1:27">
      <c r="A15" s="14" t="s">
        <v>136</v>
      </c>
      <c r="B15" s="14" t="s">
        <v>137</v>
      </c>
      <c r="C15" s="14" t="s">
        <v>138</v>
      </c>
      <c r="D15" s="14" t="s">
        <v>139</v>
      </c>
      <c r="E15" s="14" t="s">
        <v>140</v>
      </c>
      <c r="F15" s="14" t="s">
        <v>141</v>
      </c>
      <c r="G15" s="7"/>
      <c r="H15" s="7"/>
      <c r="I15" s="7"/>
    </row>
    <row r="16" spans="1:27">
      <c r="A16" s="14" t="s">
        <v>142</v>
      </c>
      <c r="B16" s="14" t="s">
        <v>143</v>
      </c>
      <c r="C16" s="14" t="s">
        <v>144</v>
      </c>
      <c r="D16" s="14" t="s">
        <v>145</v>
      </c>
      <c r="E16" s="14" t="s">
        <v>146</v>
      </c>
      <c r="F16" s="14" t="s">
        <v>147</v>
      </c>
      <c r="G16" s="7"/>
      <c r="H16" s="7" t="s">
        <v>112</v>
      </c>
      <c r="I16" s="7" t="s">
        <v>148</v>
      </c>
    </row>
    <row r="17" spans="1:27">
      <c r="A17" s="14" t="s">
        <v>149</v>
      </c>
      <c r="B17" s="14" t="s">
        <v>150</v>
      </c>
      <c r="C17" s="14" t="s">
        <v>151</v>
      </c>
      <c r="D17" s="14" t="s">
        <v>152</v>
      </c>
      <c r="E17" s="14" t="s">
        <v>153</v>
      </c>
      <c r="F17" s="14" t="s">
        <v>154</v>
      </c>
      <c r="G17" s="7"/>
      <c r="H17" s="7"/>
      <c r="I17" s="7"/>
    </row>
    <row r="18" spans="1:27">
      <c r="A18" s="14" t="s">
        <v>155</v>
      </c>
      <c r="B18" s="14" t="s">
        <v>156</v>
      </c>
      <c r="C18" s="14" t="s">
        <v>157</v>
      </c>
      <c r="D18" s="14" t="s">
        <v>158</v>
      </c>
      <c r="E18" s="14" t="s">
        <v>159</v>
      </c>
      <c r="F18" s="14" t="s">
        <v>160</v>
      </c>
      <c r="G18" s="7"/>
      <c r="H18" s="7" t="s">
        <v>112</v>
      </c>
      <c r="I18" s="7"/>
    </row>
    <row r="19" spans="1:27">
      <c r="A19" s="14" t="s">
        <v>161</v>
      </c>
      <c r="B19" s="14" t="s">
        <v>162</v>
      </c>
      <c r="C19" s="14" t="s">
        <v>163</v>
      </c>
      <c r="D19" s="14" t="s">
        <v>164</v>
      </c>
      <c r="E19" s="14" t="s">
        <v>165</v>
      </c>
      <c r="F19" s="14" t="s">
        <v>166</v>
      </c>
      <c r="G19" s="7"/>
      <c r="H19" s="7"/>
      <c r="I19" s="7"/>
    </row>
    <row r="20" spans="1:27">
      <c r="A20" s="14" t="s">
        <v>167</v>
      </c>
      <c r="B20" s="14" t="s">
        <v>168</v>
      </c>
      <c r="C20" s="14" t="s">
        <v>169</v>
      </c>
      <c r="D20" s="14" t="s">
        <v>170</v>
      </c>
      <c r="E20" s="14" t="s">
        <v>171</v>
      </c>
      <c r="F20" s="14" t="s">
        <v>172</v>
      </c>
      <c r="G20" s="7"/>
      <c r="H20" s="7"/>
      <c r="I20" s="7"/>
    </row>
    <row r="21" spans="1:27">
      <c r="A21" s="11" t="s">
        <v>173</v>
      </c>
      <c r="B21" s="11" t="s">
        <v>174</v>
      </c>
      <c r="C21" s="11" t="s">
        <v>175</v>
      </c>
      <c r="D21" s="11" t="s">
        <v>176</v>
      </c>
      <c r="E21" s="11" t="s">
        <v>177</v>
      </c>
      <c r="F21" s="11" t="s">
        <v>178</v>
      </c>
      <c r="G21" s="12"/>
      <c r="H21" s="12"/>
      <c r="I21" s="12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>
      <c r="A22" s="11" t="s">
        <v>179</v>
      </c>
      <c r="B22" s="11" t="s">
        <v>180</v>
      </c>
      <c r="C22" s="11" t="s">
        <v>181</v>
      </c>
      <c r="D22" s="11" t="s">
        <v>182</v>
      </c>
      <c r="E22" s="11" t="s">
        <v>183</v>
      </c>
      <c r="F22" s="11" t="s">
        <v>184</v>
      </c>
      <c r="G22" s="12"/>
      <c r="H22" s="12"/>
      <c r="I22" s="12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>
      <c r="A23" s="11" t="s">
        <v>185</v>
      </c>
      <c r="B23" s="11" t="s">
        <v>186</v>
      </c>
      <c r="C23" s="11" t="s">
        <v>187</v>
      </c>
      <c r="D23" s="11" t="s">
        <v>188</v>
      </c>
      <c r="E23" s="11" t="s">
        <v>189</v>
      </c>
      <c r="F23" s="11" t="s">
        <v>190</v>
      </c>
      <c r="G23" s="12"/>
      <c r="H23" s="12"/>
      <c r="I23" s="12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>
      <c r="A24" s="11" t="s">
        <v>191</v>
      </c>
      <c r="B24" s="11" t="s">
        <v>192</v>
      </c>
      <c r="C24" s="11" t="s">
        <v>193</v>
      </c>
      <c r="D24" s="11" t="s">
        <v>194</v>
      </c>
      <c r="E24" s="11" t="s">
        <v>195</v>
      </c>
      <c r="F24" s="11" t="s">
        <v>196</v>
      </c>
      <c r="G24" s="12"/>
      <c r="H24" s="12"/>
      <c r="I24" s="12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>
      <c r="A25" s="14" t="s">
        <v>197</v>
      </c>
      <c r="B25" s="14" t="s">
        <v>198</v>
      </c>
      <c r="C25" s="14" t="s">
        <v>199</v>
      </c>
      <c r="D25" s="14" t="s">
        <v>200</v>
      </c>
      <c r="E25" s="14" t="s">
        <v>201</v>
      </c>
      <c r="F25" s="14" t="s">
        <v>202</v>
      </c>
      <c r="G25" s="7"/>
      <c r="H25" s="7"/>
      <c r="I25" s="7"/>
    </row>
    <row r="26" spans="1:27">
      <c r="A26" s="11" t="s">
        <v>203</v>
      </c>
      <c r="B26" s="11" t="s">
        <v>204</v>
      </c>
      <c r="C26" s="11" t="s">
        <v>205</v>
      </c>
      <c r="D26" s="11"/>
      <c r="E26" s="11" t="s">
        <v>206</v>
      </c>
      <c r="F26" s="11" t="s">
        <v>207</v>
      </c>
      <c r="G26" s="12"/>
      <c r="H26" s="12"/>
      <c r="I26" s="12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>
      <c r="A27" s="11" t="s">
        <v>208</v>
      </c>
      <c r="B27" s="11" t="s">
        <v>209</v>
      </c>
      <c r="C27" s="11" t="s">
        <v>210</v>
      </c>
      <c r="D27" s="11" t="s">
        <v>211</v>
      </c>
      <c r="E27" s="11" t="s">
        <v>212</v>
      </c>
      <c r="F27" s="11" t="s">
        <v>213</v>
      </c>
      <c r="G27" s="12"/>
      <c r="H27" s="12"/>
      <c r="I27" s="12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>
      <c r="A28" s="11" t="s">
        <v>214</v>
      </c>
      <c r="B28" s="11" t="s">
        <v>215</v>
      </c>
      <c r="C28" s="11" t="s">
        <v>216</v>
      </c>
      <c r="D28" s="11" t="s">
        <v>217</v>
      </c>
      <c r="E28" s="11" t="s">
        <v>218</v>
      </c>
      <c r="F28" s="11" t="s">
        <v>87</v>
      </c>
      <c r="G28" s="12"/>
      <c r="H28" s="12"/>
      <c r="I28" s="12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>
      <c r="A29" s="14" t="s">
        <v>219</v>
      </c>
      <c r="B29" s="14" t="s">
        <v>220</v>
      </c>
      <c r="C29" s="14" t="s">
        <v>221</v>
      </c>
      <c r="D29" s="14" t="s">
        <v>222</v>
      </c>
      <c r="E29" s="14" t="s">
        <v>223</v>
      </c>
      <c r="F29" s="14" t="s">
        <v>224</v>
      </c>
      <c r="G29" s="7"/>
      <c r="H29" s="7"/>
      <c r="I29" s="7"/>
    </row>
    <row r="30" spans="1:27">
      <c r="A30" s="14" t="s">
        <v>225</v>
      </c>
      <c r="B30" s="14" t="s">
        <v>226</v>
      </c>
      <c r="C30" s="14" t="s">
        <v>227</v>
      </c>
      <c r="D30" s="14" t="s">
        <v>228</v>
      </c>
      <c r="E30" s="14" t="s">
        <v>229</v>
      </c>
      <c r="F30" s="14" t="s">
        <v>230</v>
      </c>
      <c r="G30" s="7"/>
      <c r="H30" s="7"/>
      <c r="I30" s="7"/>
    </row>
    <row r="31" spans="1:27">
      <c r="A31" s="11" t="s">
        <v>231</v>
      </c>
      <c r="B31" s="11" t="s">
        <v>232</v>
      </c>
      <c r="C31" s="11" t="s">
        <v>233</v>
      </c>
      <c r="D31" s="11" t="s">
        <v>234</v>
      </c>
      <c r="E31" s="11" t="s">
        <v>235</v>
      </c>
      <c r="F31" s="11" t="s">
        <v>236</v>
      </c>
      <c r="G31" s="12"/>
      <c r="H31" s="12"/>
      <c r="I31" s="12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>
      <c r="A32" s="16" t="s">
        <v>237</v>
      </c>
      <c r="B32" s="16" t="s">
        <v>238</v>
      </c>
      <c r="C32" s="14" t="s">
        <v>239</v>
      </c>
      <c r="D32" s="14" t="s">
        <v>240</v>
      </c>
      <c r="E32" s="14" t="s">
        <v>241</v>
      </c>
      <c r="F32" s="14" t="s">
        <v>242</v>
      </c>
      <c r="G32" s="7" t="s">
        <v>243</v>
      </c>
      <c r="H32" s="7"/>
      <c r="I32" s="7"/>
    </row>
    <row r="33" spans="1:27">
      <c r="A33" s="11" t="s">
        <v>244</v>
      </c>
      <c r="B33" s="11" t="s">
        <v>245</v>
      </c>
      <c r="C33" s="11" t="s">
        <v>246</v>
      </c>
      <c r="D33" s="11" t="s">
        <v>247</v>
      </c>
      <c r="E33" s="11" t="s">
        <v>248</v>
      </c>
      <c r="F33" s="11" t="s">
        <v>249</v>
      </c>
      <c r="G33" s="12"/>
      <c r="H33" s="12"/>
      <c r="I33" s="12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>
      <c r="A34" s="14" t="s">
        <v>250</v>
      </c>
      <c r="B34" s="14" t="s">
        <v>251</v>
      </c>
      <c r="C34" s="14" t="s">
        <v>252</v>
      </c>
      <c r="D34" s="14"/>
      <c r="E34" s="14" t="s">
        <v>253</v>
      </c>
      <c r="F34" s="14" t="s">
        <v>254</v>
      </c>
      <c r="G34" s="7"/>
      <c r="H34" s="7"/>
      <c r="I34" s="7"/>
    </row>
    <row r="35" spans="1:27">
      <c r="A35" s="11" t="s">
        <v>255</v>
      </c>
      <c r="B35" s="11" t="s">
        <v>256</v>
      </c>
      <c r="C35" s="11" t="s">
        <v>257</v>
      </c>
      <c r="D35" s="11"/>
      <c r="E35" s="11" t="s">
        <v>258</v>
      </c>
      <c r="F35" s="11" t="s">
        <v>259</v>
      </c>
      <c r="G35" s="12"/>
      <c r="H35" s="12"/>
      <c r="I35" s="12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>
      <c r="A36" s="14" t="s">
        <v>260</v>
      </c>
      <c r="B36" s="14" t="s">
        <v>261</v>
      </c>
      <c r="C36" s="14" t="s">
        <v>262</v>
      </c>
      <c r="D36" s="14" t="s">
        <v>263</v>
      </c>
      <c r="E36" s="14" t="s">
        <v>264</v>
      </c>
      <c r="F36" s="14" t="s">
        <v>265</v>
      </c>
      <c r="G36" s="7"/>
      <c r="H36" s="7"/>
      <c r="I36" s="7"/>
    </row>
    <row r="37" spans="1:27">
      <c r="A37" s="11" t="s">
        <v>266</v>
      </c>
      <c r="B37" s="11" t="s">
        <v>267</v>
      </c>
      <c r="C37" s="11" t="s">
        <v>268</v>
      </c>
      <c r="D37" s="11" t="s">
        <v>269</v>
      </c>
      <c r="E37" s="11" t="s">
        <v>270</v>
      </c>
      <c r="F37" s="11" t="s">
        <v>271</v>
      </c>
      <c r="G37" s="12"/>
      <c r="H37" s="12"/>
      <c r="I37" s="12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>
      <c r="A38" s="11" t="s">
        <v>272</v>
      </c>
      <c r="B38" s="11" t="s">
        <v>273</v>
      </c>
      <c r="C38" s="11" t="s">
        <v>274</v>
      </c>
      <c r="D38" s="11" t="s">
        <v>275</v>
      </c>
      <c r="E38" s="11"/>
      <c r="F38" s="11" t="s">
        <v>276</v>
      </c>
      <c r="G38" s="12"/>
      <c r="H38" s="12"/>
      <c r="I38" s="12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>
      <c r="A39" s="14" t="s">
        <v>277</v>
      </c>
      <c r="B39" s="14" t="s">
        <v>278</v>
      </c>
      <c r="C39" s="14" t="s">
        <v>279</v>
      </c>
      <c r="D39" s="14" t="s">
        <v>280</v>
      </c>
      <c r="E39" s="14"/>
      <c r="F39" s="14" t="s">
        <v>281</v>
      </c>
      <c r="G39" s="7"/>
      <c r="H39" s="7"/>
      <c r="I39" s="7"/>
    </row>
    <row r="40" spans="1:27">
      <c r="A40" s="11" t="s">
        <v>282</v>
      </c>
      <c r="B40" s="11" t="s">
        <v>283</v>
      </c>
      <c r="C40" s="11" t="s">
        <v>284</v>
      </c>
      <c r="D40" s="11" t="s">
        <v>285</v>
      </c>
      <c r="E40" s="11" t="s">
        <v>286</v>
      </c>
      <c r="F40" s="11" t="s">
        <v>287</v>
      </c>
      <c r="G40" s="12"/>
      <c r="H40" s="12"/>
      <c r="I40" s="12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>
      <c r="A41" s="14" t="s">
        <v>288</v>
      </c>
      <c r="B41" s="14" t="s">
        <v>289</v>
      </c>
      <c r="C41" s="14" t="s">
        <v>290</v>
      </c>
      <c r="D41" s="14"/>
      <c r="E41" s="14" t="s">
        <v>291</v>
      </c>
      <c r="F41" s="14" t="s">
        <v>292</v>
      </c>
      <c r="G41" s="7"/>
      <c r="H41" s="7"/>
      <c r="I41" s="7"/>
    </row>
    <row r="42" spans="1:27">
      <c r="A42" s="11" t="s">
        <v>293</v>
      </c>
      <c r="B42" s="11" t="s">
        <v>294</v>
      </c>
      <c r="C42" s="11" t="s">
        <v>295</v>
      </c>
      <c r="D42" s="11" t="s">
        <v>296</v>
      </c>
      <c r="E42" s="11" t="s">
        <v>297</v>
      </c>
      <c r="F42" s="11" t="s">
        <v>298</v>
      </c>
      <c r="G42" s="12"/>
      <c r="H42" s="12"/>
      <c r="I42" s="12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>
      <c r="A43" s="14" t="s">
        <v>299</v>
      </c>
      <c r="B43" s="14" t="s">
        <v>300</v>
      </c>
      <c r="C43" s="14" t="s">
        <v>301</v>
      </c>
      <c r="D43" s="14" t="s">
        <v>302</v>
      </c>
      <c r="E43" s="14" t="s">
        <v>303</v>
      </c>
      <c r="F43" s="14" t="s">
        <v>304</v>
      </c>
      <c r="G43" s="7"/>
      <c r="H43" s="7"/>
      <c r="I43" s="7"/>
    </row>
    <row r="44" spans="1:27">
      <c r="A44" s="11" t="s">
        <v>305</v>
      </c>
      <c r="B44" s="11" t="s">
        <v>306</v>
      </c>
      <c r="C44" s="11" t="s">
        <v>307</v>
      </c>
      <c r="D44" s="11" t="s">
        <v>308</v>
      </c>
      <c r="E44" s="11" t="s">
        <v>309</v>
      </c>
      <c r="F44" s="11" t="s">
        <v>310</v>
      </c>
      <c r="G44" s="12"/>
      <c r="H44" s="12"/>
      <c r="I44" s="12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>
      <c r="A45" s="14" t="s">
        <v>311</v>
      </c>
      <c r="B45" s="14" t="s">
        <v>312</v>
      </c>
      <c r="C45" s="14" t="s">
        <v>313</v>
      </c>
      <c r="D45" s="14" t="s">
        <v>314</v>
      </c>
      <c r="E45" s="14">
        <v>930070870</v>
      </c>
      <c r="F45" s="14" t="s">
        <v>315</v>
      </c>
      <c r="G45" s="7"/>
      <c r="H45" s="7"/>
      <c r="I45" s="7"/>
    </row>
    <row r="46" spans="1:27">
      <c r="A46" s="14" t="s">
        <v>316</v>
      </c>
      <c r="B46" s="14" t="s">
        <v>317</v>
      </c>
      <c r="C46" s="14" t="s">
        <v>318</v>
      </c>
      <c r="D46" s="14" t="s">
        <v>319</v>
      </c>
      <c r="E46" s="14" t="s">
        <v>320</v>
      </c>
      <c r="F46" s="14" t="s">
        <v>321</v>
      </c>
      <c r="G46" s="7"/>
      <c r="H46" s="7"/>
      <c r="I46" s="7"/>
    </row>
    <row r="47" spans="1:27">
      <c r="A47" s="14" t="s">
        <v>322</v>
      </c>
      <c r="B47" s="14" t="s">
        <v>323</v>
      </c>
      <c r="C47" s="14" t="s">
        <v>324</v>
      </c>
      <c r="D47" s="14" t="s">
        <v>325</v>
      </c>
      <c r="E47" s="14" t="s">
        <v>326</v>
      </c>
      <c r="F47" s="14" t="s">
        <v>327</v>
      </c>
      <c r="G47" s="7" t="s">
        <v>328</v>
      </c>
      <c r="H47" s="7"/>
      <c r="I47" s="7"/>
    </row>
    <row r="48" spans="1:27">
      <c r="A48" s="11" t="s">
        <v>329</v>
      </c>
      <c r="B48" s="11" t="s">
        <v>330</v>
      </c>
      <c r="C48" s="11" t="s">
        <v>331</v>
      </c>
      <c r="D48" s="11" t="s">
        <v>332</v>
      </c>
      <c r="E48" s="11" t="s">
        <v>333</v>
      </c>
      <c r="F48" s="11" t="s">
        <v>334</v>
      </c>
      <c r="G48" s="12"/>
      <c r="H48" s="12"/>
      <c r="I48" s="12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>
      <c r="A49" s="11" t="s">
        <v>335</v>
      </c>
      <c r="B49" s="11" t="s">
        <v>336</v>
      </c>
      <c r="C49" s="11" t="s">
        <v>337</v>
      </c>
      <c r="D49" s="11" t="s">
        <v>338</v>
      </c>
      <c r="E49" s="11" t="s">
        <v>339</v>
      </c>
      <c r="F49" s="11" t="s">
        <v>340</v>
      </c>
      <c r="G49" s="12"/>
      <c r="H49" s="12"/>
      <c r="I49" s="12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>
      <c r="A50" s="11" t="s">
        <v>341</v>
      </c>
      <c r="B50" s="11" t="s">
        <v>342</v>
      </c>
      <c r="C50" s="11" t="s">
        <v>343</v>
      </c>
      <c r="D50" s="11" t="s">
        <v>344</v>
      </c>
      <c r="E50" s="11" t="s">
        <v>345</v>
      </c>
      <c r="F50" s="11" t="s">
        <v>346</v>
      </c>
      <c r="G50" s="12"/>
      <c r="H50" s="12"/>
      <c r="I50" s="12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>
      <c r="A51" s="11" t="s">
        <v>347</v>
      </c>
      <c r="B51" s="11" t="s">
        <v>348</v>
      </c>
      <c r="C51" s="11" t="s">
        <v>349</v>
      </c>
      <c r="D51" s="11" t="s">
        <v>350</v>
      </c>
      <c r="E51" s="11" t="s">
        <v>351</v>
      </c>
      <c r="F51" s="11" t="s">
        <v>352</v>
      </c>
      <c r="G51" s="12"/>
      <c r="H51" s="12"/>
      <c r="I51" s="12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>
      <c r="A52" s="11" t="s">
        <v>353</v>
      </c>
      <c r="B52" s="11" t="s">
        <v>354</v>
      </c>
      <c r="C52" s="11" t="s">
        <v>355</v>
      </c>
      <c r="D52" s="11" t="s">
        <v>356</v>
      </c>
      <c r="E52" s="11" t="s">
        <v>357</v>
      </c>
      <c r="F52" s="11" t="s">
        <v>358</v>
      </c>
      <c r="G52" s="12"/>
      <c r="H52" s="12"/>
      <c r="I52" s="12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>
      <c r="A53" s="14" t="s">
        <v>359</v>
      </c>
      <c r="B53" s="14" t="s">
        <v>360</v>
      </c>
      <c r="C53" s="17" t="s">
        <v>361</v>
      </c>
      <c r="D53" s="14"/>
      <c r="E53" s="14" t="s">
        <v>362</v>
      </c>
      <c r="F53" s="14" t="s">
        <v>363</v>
      </c>
      <c r="G53" s="7"/>
      <c r="H53" s="7"/>
      <c r="I53" s="7"/>
    </row>
    <row r="54" spans="1:27">
      <c r="A54" s="14" t="s">
        <v>364</v>
      </c>
      <c r="B54" s="14" t="s">
        <v>365</v>
      </c>
      <c r="C54" s="14" t="s">
        <v>366</v>
      </c>
      <c r="D54" s="14" t="s">
        <v>367</v>
      </c>
      <c r="E54" s="14" t="s">
        <v>368</v>
      </c>
      <c r="F54" s="14" t="s">
        <v>369</v>
      </c>
      <c r="G54" s="7"/>
      <c r="H54" s="7"/>
      <c r="I54" s="7"/>
    </row>
    <row r="55" spans="1:27">
      <c r="A55" s="14" t="s">
        <v>370</v>
      </c>
      <c r="B55" s="14" t="s">
        <v>371</v>
      </c>
      <c r="C55" s="14" t="s">
        <v>372</v>
      </c>
      <c r="D55" s="14" t="s">
        <v>373</v>
      </c>
      <c r="E55" s="14" t="s">
        <v>374</v>
      </c>
      <c r="F55" s="14" t="s">
        <v>375</v>
      </c>
      <c r="G55" s="7"/>
      <c r="H55" s="7"/>
      <c r="I55" s="7"/>
    </row>
    <row r="56" spans="1:27">
      <c r="A56" s="11" t="s">
        <v>376</v>
      </c>
      <c r="B56" s="11" t="s">
        <v>377</v>
      </c>
      <c r="C56" s="11" t="s">
        <v>378</v>
      </c>
      <c r="D56" s="11" t="s">
        <v>379</v>
      </c>
      <c r="E56" s="11" t="s">
        <v>380</v>
      </c>
      <c r="F56" s="11" t="s">
        <v>381</v>
      </c>
      <c r="G56" s="12"/>
      <c r="H56" s="12"/>
      <c r="I56" s="12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>
      <c r="A57" s="14" t="s">
        <v>382</v>
      </c>
      <c r="B57" s="14" t="s">
        <v>383</v>
      </c>
      <c r="C57" s="14" t="s">
        <v>384</v>
      </c>
      <c r="D57" s="14"/>
      <c r="E57" s="14" t="s">
        <v>385</v>
      </c>
      <c r="F57" s="14" t="s">
        <v>386</v>
      </c>
      <c r="G57" s="7"/>
      <c r="H57" s="7" t="s">
        <v>112</v>
      </c>
      <c r="I57" s="7"/>
    </row>
    <row r="58" spans="1:27">
      <c r="A58" s="11" t="s">
        <v>387</v>
      </c>
      <c r="B58" s="11" t="s">
        <v>388</v>
      </c>
      <c r="C58" s="11" t="s">
        <v>389</v>
      </c>
      <c r="D58" s="11"/>
      <c r="E58" s="11" t="s">
        <v>390</v>
      </c>
      <c r="F58" s="11" t="s">
        <v>391</v>
      </c>
      <c r="G58" s="12" t="s">
        <v>392</v>
      </c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>
      <c r="A59" s="14" t="s">
        <v>393</v>
      </c>
      <c r="B59" s="14" t="s">
        <v>394</v>
      </c>
      <c r="C59" s="14" t="s">
        <v>395</v>
      </c>
      <c r="D59" s="14"/>
      <c r="E59" s="14" t="s">
        <v>396</v>
      </c>
      <c r="F59" s="14" t="s">
        <v>397</v>
      </c>
      <c r="G59" s="7"/>
      <c r="H59" s="7"/>
      <c r="I59" s="7"/>
    </row>
    <row r="60" spans="1:27">
      <c r="A60" s="14" t="s">
        <v>398</v>
      </c>
      <c r="B60" s="14" t="s">
        <v>399</v>
      </c>
      <c r="C60" s="14" t="s">
        <v>400</v>
      </c>
      <c r="D60" s="14"/>
      <c r="E60" s="14" t="s">
        <v>401</v>
      </c>
      <c r="F60" s="14" t="s">
        <v>402</v>
      </c>
      <c r="G60" s="7"/>
      <c r="H60" s="7"/>
      <c r="I60" s="7"/>
    </row>
    <row r="61" spans="1:27">
      <c r="A61" s="14" t="s">
        <v>403</v>
      </c>
      <c r="B61" s="14" t="s">
        <v>404</v>
      </c>
      <c r="C61" s="14" t="s">
        <v>405</v>
      </c>
      <c r="D61" s="14" t="s">
        <v>406</v>
      </c>
      <c r="E61" s="14" t="s">
        <v>407</v>
      </c>
      <c r="F61" s="14" t="s">
        <v>408</v>
      </c>
      <c r="G61" s="7"/>
      <c r="H61" s="7" t="s">
        <v>112</v>
      </c>
      <c r="I61" s="7"/>
    </row>
    <row r="62" spans="1:27">
      <c r="A62" s="11" t="s">
        <v>409</v>
      </c>
      <c r="B62" s="11" t="s">
        <v>410</v>
      </c>
      <c r="C62" s="11" t="s">
        <v>411</v>
      </c>
      <c r="D62" s="11" t="s">
        <v>412</v>
      </c>
      <c r="E62" s="11" t="s">
        <v>413</v>
      </c>
      <c r="F62" s="11" t="s">
        <v>414</v>
      </c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>
      <c r="A63" s="11" t="s">
        <v>415</v>
      </c>
      <c r="B63" s="11" t="s">
        <v>416</v>
      </c>
      <c r="C63" s="11" t="s">
        <v>417</v>
      </c>
      <c r="D63" s="11" t="s">
        <v>418</v>
      </c>
      <c r="E63" s="11" t="s">
        <v>419</v>
      </c>
      <c r="F63" s="11" t="s">
        <v>420</v>
      </c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>
      <c r="A64" s="11" t="s">
        <v>421</v>
      </c>
      <c r="B64" s="11" t="s">
        <v>422</v>
      </c>
      <c r="C64" s="11" t="s">
        <v>423</v>
      </c>
      <c r="D64" s="11" t="s">
        <v>424</v>
      </c>
      <c r="E64" s="11" t="s">
        <v>425</v>
      </c>
      <c r="F64" s="11" t="s">
        <v>426</v>
      </c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>
      <c r="A65" s="11" t="s">
        <v>427</v>
      </c>
      <c r="B65" s="11" t="s">
        <v>428</v>
      </c>
      <c r="C65" s="11" t="s">
        <v>429</v>
      </c>
      <c r="D65" s="11" t="s">
        <v>430</v>
      </c>
      <c r="E65" s="11" t="s">
        <v>431</v>
      </c>
      <c r="F65" s="11" t="s">
        <v>432</v>
      </c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>
      <c r="A66" s="11" t="s">
        <v>433</v>
      </c>
      <c r="B66" s="11" t="s">
        <v>434</v>
      </c>
      <c r="C66" s="11" t="s">
        <v>435</v>
      </c>
      <c r="D66" s="11" t="s">
        <v>436</v>
      </c>
      <c r="E66" s="11" t="s">
        <v>437</v>
      </c>
      <c r="F66" s="11" t="s">
        <v>438</v>
      </c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>
      <c r="A67" s="11" t="s">
        <v>439</v>
      </c>
      <c r="B67" s="11" t="s">
        <v>440</v>
      </c>
      <c r="C67" s="11" t="s">
        <v>441</v>
      </c>
      <c r="D67" s="11" t="s">
        <v>442</v>
      </c>
      <c r="E67" s="11" t="s">
        <v>443</v>
      </c>
      <c r="F67" s="11" t="s">
        <v>444</v>
      </c>
      <c r="G67" s="12" t="s">
        <v>445</v>
      </c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>
      <c r="A68" s="14" t="s">
        <v>446</v>
      </c>
      <c r="B68" s="14" t="s">
        <v>447</v>
      </c>
      <c r="C68" s="14" t="s">
        <v>448</v>
      </c>
      <c r="D68" s="14" t="s">
        <v>449</v>
      </c>
      <c r="E68" s="14" t="s">
        <v>450</v>
      </c>
      <c r="F68" s="14" t="s">
        <v>451</v>
      </c>
      <c r="G68" s="7"/>
      <c r="H68" s="7"/>
      <c r="I68" s="7"/>
    </row>
    <row r="69" spans="1:27">
      <c r="A69" s="14" t="s">
        <v>452</v>
      </c>
      <c r="B69" s="14" t="s">
        <v>453</v>
      </c>
      <c r="C69" s="14" t="s">
        <v>454</v>
      </c>
      <c r="D69" s="14" t="s">
        <v>455</v>
      </c>
      <c r="E69" s="14" t="s">
        <v>456</v>
      </c>
      <c r="F69" s="14" t="s">
        <v>457</v>
      </c>
      <c r="G69" s="7"/>
      <c r="H69" s="7" t="s">
        <v>112</v>
      </c>
      <c r="I69" s="7"/>
    </row>
    <row r="70" spans="1:27">
      <c r="A70" s="14" t="s">
        <v>458</v>
      </c>
      <c r="B70" s="14" t="s">
        <v>459</v>
      </c>
      <c r="C70" s="14" t="s">
        <v>460</v>
      </c>
      <c r="D70" s="14"/>
      <c r="E70" s="14" t="s">
        <v>461</v>
      </c>
      <c r="F70" s="14" t="s">
        <v>462</v>
      </c>
      <c r="G70" s="7"/>
      <c r="H70" s="7"/>
      <c r="I70" s="7"/>
    </row>
    <row r="71" spans="1:27">
      <c r="A71" s="11" t="s">
        <v>463</v>
      </c>
      <c r="B71" s="11" t="s">
        <v>464</v>
      </c>
      <c r="C71" s="11" t="s">
        <v>465</v>
      </c>
      <c r="D71" s="11" t="s">
        <v>466</v>
      </c>
      <c r="E71" s="11" t="s">
        <v>467</v>
      </c>
      <c r="F71" s="11" t="s">
        <v>468</v>
      </c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>
      <c r="A72" s="14" t="s">
        <v>469</v>
      </c>
      <c r="B72" s="14" t="s">
        <v>470</v>
      </c>
      <c r="C72" s="14" t="s">
        <v>471</v>
      </c>
      <c r="D72" s="14" t="s">
        <v>472</v>
      </c>
      <c r="E72" s="14" t="s">
        <v>473</v>
      </c>
      <c r="F72" s="14" t="s">
        <v>474</v>
      </c>
      <c r="G72" s="7"/>
      <c r="H72" s="7"/>
      <c r="I72" s="7"/>
    </row>
    <row r="73" spans="1:27">
      <c r="A73" s="14" t="s">
        <v>475</v>
      </c>
      <c r="B73" s="14" t="s">
        <v>476</v>
      </c>
      <c r="C73" s="14" t="s">
        <v>477</v>
      </c>
      <c r="D73" s="14"/>
      <c r="E73" s="14" t="s">
        <v>478</v>
      </c>
      <c r="F73" s="14" t="s">
        <v>479</v>
      </c>
      <c r="G73" s="7"/>
      <c r="H73" s="7"/>
      <c r="I73" s="7"/>
    </row>
    <row r="74" spans="1:27">
      <c r="A74" s="14" t="s">
        <v>480</v>
      </c>
      <c r="B74" s="14" t="s">
        <v>481</v>
      </c>
      <c r="C74" s="14" t="s">
        <v>482</v>
      </c>
      <c r="D74" s="14" t="s">
        <v>483</v>
      </c>
      <c r="E74" s="14" t="s">
        <v>484</v>
      </c>
      <c r="F74" s="14" t="s">
        <v>485</v>
      </c>
      <c r="G74" s="7"/>
      <c r="H74" s="7"/>
      <c r="I74" s="7"/>
    </row>
    <row r="75" spans="1:27">
      <c r="A75" s="14" t="s">
        <v>486</v>
      </c>
      <c r="B75" s="14" t="s">
        <v>487</v>
      </c>
      <c r="C75" s="14" t="s">
        <v>488</v>
      </c>
      <c r="D75" s="14" t="s">
        <v>489</v>
      </c>
      <c r="E75" s="14" t="s">
        <v>490</v>
      </c>
      <c r="F75" s="14" t="s">
        <v>491</v>
      </c>
      <c r="G75" s="7"/>
      <c r="H75" s="7"/>
      <c r="I75" s="7"/>
    </row>
    <row r="76" spans="1:27">
      <c r="A76" s="14" t="s">
        <v>492</v>
      </c>
      <c r="B76" s="14" t="s">
        <v>493</v>
      </c>
      <c r="C76" s="14" t="s">
        <v>494</v>
      </c>
      <c r="D76" s="14" t="s">
        <v>495</v>
      </c>
      <c r="E76" s="14" t="s">
        <v>496</v>
      </c>
      <c r="F76" s="14" t="s">
        <v>497</v>
      </c>
      <c r="G76" s="7"/>
      <c r="H76" s="7"/>
      <c r="I76" s="7"/>
    </row>
    <row r="77" spans="1:27">
      <c r="A77" s="14" t="s">
        <v>498</v>
      </c>
      <c r="B77" s="14" t="s">
        <v>499</v>
      </c>
      <c r="C77" s="14" t="s">
        <v>500</v>
      </c>
      <c r="D77" s="14" t="s">
        <v>501</v>
      </c>
      <c r="E77" s="14" t="s">
        <v>502</v>
      </c>
      <c r="F77" s="14" t="s">
        <v>503</v>
      </c>
      <c r="G77" s="7"/>
      <c r="H77" s="7"/>
      <c r="I77" s="7"/>
    </row>
    <row r="78" spans="1:27">
      <c r="A78" s="14" t="s">
        <v>504</v>
      </c>
      <c r="B78" s="14" t="s">
        <v>505</v>
      </c>
      <c r="C78" s="14" t="s">
        <v>506</v>
      </c>
      <c r="D78" s="17" t="s">
        <v>507</v>
      </c>
      <c r="E78" s="14" t="s">
        <v>508</v>
      </c>
      <c r="F78" s="14" t="s">
        <v>509</v>
      </c>
      <c r="G78" s="7"/>
      <c r="H78" s="7"/>
      <c r="I78" s="7"/>
    </row>
    <row r="79" spans="1:27">
      <c r="A79" s="11" t="s">
        <v>510</v>
      </c>
      <c r="B79" s="11" t="s">
        <v>511</v>
      </c>
      <c r="C79" s="11" t="s">
        <v>512</v>
      </c>
      <c r="D79" s="11" t="s">
        <v>513</v>
      </c>
      <c r="E79" s="11" t="s">
        <v>514</v>
      </c>
      <c r="F79" s="11" t="s">
        <v>515</v>
      </c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>
      <c r="A80" s="14" t="s">
        <v>516</v>
      </c>
      <c r="B80" s="14" t="s">
        <v>517</v>
      </c>
      <c r="C80" s="14" t="s">
        <v>518</v>
      </c>
      <c r="D80" s="14" t="s">
        <v>519</v>
      </c>
      <c r="E80" s="14" t="s">
        <v>520</v>
      </c>
      <c r="F80" s="14" t="s">
        <v>521</v>
      </c>
      <c r="G80" s="7"/>
      <c r="H80" s="7"/>
      <c r="I80" s="7"/>
    </row>
    <row r="81" spans="1:27">
      <c r="A81" s="14" t="s">
        <v>522</v>
      </c>
      <c r="B81" s="14" t="s">
        <v>523</v>
      </c>
      <c r="C81" s="14" t="s">
        <v>524</v>
      </c>
      <c r="D81" s="14" t="s">
        <v>525</v>
      </c>
      <c r="E81" s="14" t="s">
        <v>526</v>
      </c>
      <c r="F81" s="14" t="s">
        <v>527</v>
      </c>
      <c r="G81" s="7"/>
      <c r="H81" s="7"/>
      <c r="I81" s="7"/>
    </row>
    <row r="82" spans="1:27">
      <c r="A82" s="11" t="s">
        <v>528</v>
      </c>
      <c r="B82" s="11" t="s">
        <v>529</v>
      </c>
      <c r="C82" s="11" t="s">
        <v>530</v>
      </c>
      <c r="D82" s="11" t="s">
        <v>531</v>
      </c>
      <c r="E82" s="11" t="s">
        <v>532</v>
      </c>
      <c r="F82" s="11" t="s">
        <v>533</v>
      </c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>
      <c r="A83" s="11" t="s">
        <v>534</v>
      </c>
      <c r="B83" s="11" t="s">
        <v>535</v>
      </c>
      <c r="C83" s="11" t="s">
        <v>536</v>
      </c>
      <c r="D83" s="11" t="s">
        <v>537</v>
      </c>
      <c r="E83" s="11" t="s">
        <v>538</v>
      </c>
      <c r="F83" s="11" t="s">
        <v>539</v>
      </c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>
      <c r="A84" s="14" t="s">
        <v>540</v>
      </c>
      <c r="B84" s="14" t="s">
        <v>541</v>
      </c>
      <c r="C84" s="14" t="s">
        <v>542</v>
      </c>
      <c r="D84" s="14" t="s">
        <v>543</v>
      </c>
      <c r="E84" s="14" t="s">
        <v>544</v>
      </c>
      <c r="F84" s="14" t="s">
        <v>545</v>
      </c>
      <c r="G84" s="7"/>
      <c r="H84" s="7"/>
      <c r="I84" s="7"/>
    </row>
    <row r="85" spans="1:27">
      <c r="A85" s="14" t="s">
        <v>546</v>
      </c>
      <c r="B85" s="14" t="s">
        <v>547</v>
      </c>
      <c r="C85" s="14" t="s">
        <v>548</v>
      </c>
      <c r="D85" s="14" t="s">
        <v>549</v>
      </c>
      <c r="E85" s="14" t="s">
        <v>550</v>
      </c>
      <c r="F85" s="14" t="s">
        <v>551</v>
      </c>
      <c r="G85" s="7"/>
      <c r="H85" s="7"/>
      <c r="I85" s="7"/>
    </row>
    <row r="86" spans="1:27">
      <c r="A86" s="14" t="s">
        <v>552</v>
      </c>
      <c r="B86" s="14" t="s">
        <v>553</v>
      </c>
      <c r="C86" s="14" t="s">
        <v>554</v>
      </c>
      <c r="D86" s="14" t="s">
        <v>555</v>
      </c>
      <c r="E86" s="14" t="s">
        <v>556</v>
      </c>
      <c r="F86" s="14" t="s">
        <v>557</v>
      </c>
      <c r="G86" s="7"/>
      <c r="H86" s="7"/>
      <c r="I86" s="7"/>
    </row>
    <row r="87" spans="1:27">
      <c r="A87" s="14" t="s">
        <v>558</v>
      </c>
      <c r="B87" s="14" t="s">
        <v>559</v>
      </c>
      <c r="C87" s="14" t="s">
        <v>560</v>
      </c>
      <c r="D87" s="14" t="s">
        <v>561</v>
      </c>
      <c r="E87" s="14" t="s">
        <v>562</v>
      </c>
      <c r="F87" s="14" t="s">
        <v>563</v>
      </c>
      <c r="G87" s="7"/>
      <c r="H87" s="7"/>
      <c r="I87" s="7"/>
    </row>
    <row r="88" spans="1:27">
      <c r="A88" s="14" t="s">
        <v>564</v>
      </c>
      <c r="B88" s="14" t="s">
        <v>565</v>
      </c>
      <c r="C88" s="14" t="s">
        <v>566</v>
      </c>
      <c r="D88" s="14" t="s">
        <v>567</v>
      </c>
      <c r="E88" s="14" t="s">
        <v>568</v>
      </c>
      <c r="F88" s="14" t="s">
        <v>569</v>
      </c>
      <c r="G88" s="7"/>
      <c r="H88" s="7"/>
      <c r="I88" s="7"/>
    </row>
    <row r="89" spans="1:27">
      <c r="A89" s="14" t="s">
        <v>570</v>
      </c>
      <c r="B89" s="14" t="s">
        <v>571</v>
      </c>
      <c r="C89" s="14" t="s">
        <v>572</v>
      </c>
      <c r="D89" s="14" t="s">
        <v>573</v>
      </c>
      <c r="E89" s="14" t="s">
        <v>574</v>
      </c>
      <c r="F89" s="14" t="s">
        <v>575</v>
      </c>
      <c r="G89" s="7"/>
      <c r="H89" s="7"/>
      <c r="I89" s="7"/>
    </row>
    <row r="90" spans="1:27">
      <c r="A90" s="14" t="s">
        <v>576</v>
      </c>
      <c r="B90" s="14" t="s">
        <v>577</v>
      </c>
      <c r="C90" s="14" t="s">
        <v>578</v>
      </c>
      <c r="D90" s="14" t="s">
        <v>579</v>
      </c>
      <c r="E90" s="14" t="s">
        <v>580</v>
      </c>
      <c r="F90" s="14" t="s">
        <v>581</v>
      </c>
      <c r="G90" s="7">
        <f>27900*0.85</f>
        <v>23715</v>
      </c>
      <c r="H90" s="7"/>
      <c r="I90" s="7"/>
    </row>
    <row r="91" spans="1:27">
      <c r="A91" s="14" t="s">
        <v>582</v>
      </c>
      <c r="B91" s="14" t="s">
        <v>583</v>
      </c>
      <c r="C91" s="14" t="s">
        <v>584</v>
      </c>
      <c r="D91" s="14" t="s">
        <v>585</v>
      </c>
      <c r="E91" s="14" t="s">
        <v>586</v>
      </c>
      <c r="F91" s="14" t="s">
        <v>587</v>
      </c>
      <c r="G91" s="7"/>
      <c r="H91" s="7"/>
      <c r="I91" s="7"/>
    </row>
    <row r="92" spans="1:27">
      <c r="A92" s="11" t="s">
        <v>588</v>
      </c>
      <c r="B92" s="11" t="s">
        <v>589</v>
      </c>
      <c r="C92" s="11" t="s">
        <v>590</v>
      </c>
      <c r="D92" s="11"/>
      <c r="E92" s="11" t="s">
        <v>591</v>
      </c>
      <c r="F92" s="11" t="s">
        <v>592</v>
      </c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>
      <c r="A93" s="14" t="s">
        <v>593</v>
      </c>
      <c r="B93" s="14" t="s">
        <v>594</v>
      </c>
      <c r="C93" s="14" t="s">
        <v>595</v>
      </c>
      <c r="D93" s="14" t="s">
        <v>596</v>
      </c>
      <c r="E93" s="14" t="s">
        <v>597</v>
      </c>
      <c r="F93" s="14" t="s">
        <v>598</v>
      </c>
      <c r="G93" s="7"/>
      <c r="H93" s="7"/>
      <c r="I93" s="7"/>
    </row>
    <row r="94" spans="1:27">
      <c r="A94" s="14" t="s">
        <v>599</v>
      </c>
      <c r="B94" s="14" t="s">
        <v>600</v>
      </c>
      <c r="C94" s="14" t="s">
        <v>601</v>
      </c>
      <c r="D94" s="14" t="s">
        <v>602</v>
      </c>
      <c r="E94" s="14">
        <v>977643750</v>
      </c>
      <c r="F94" s="14" t="s">
        <v>603</v>
      </c>
      <c r="G94" s="7"/>
      <c r="H94" s="7"/>
      <c r="I94" s="7"/>
    </row>
    <row r="95" spans="1:27">
      <c r="A95" s="14" t="s">
        <v>604</v>
      </c>
      <c r="B95" s="14" t="s">
        <v>605</v>
      </c>
      <c r="C95" s="14" t="s">
        <v>606</v>
      </c>
      <c r="D95" s="14" t="s">
        <v>607</v>
      </c>
      <c r="E95" s="14">
        <v>983659696</v>
      </c>
      <c r="F95" s="14" t="s">
        <v>608</v>
      </c>
      <c r="G95" s="7"/>
      <c r="H95" s="7"/>
      <c r="I95" s="7"/>
    </row>
    <row r="96" spans="1:27">
      <c r="A96" s="11" t="s">
        <v>609</v>
      </c>
      <c r="B96" s="11" t="s">
        <v>610</v>
      </c>
      <c r="C96" s="11" t="s">
        <v>611</v>
      </c>
      <c r="D96" s="11" t="s">
        <v>612</v>
      </c>
      <c r="E96" s="11">
        <v>996186666</v>
      </c>
      <c r="F96" s="11" t="s">
        <v>613</v>
      </c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>
      <c r="A97" s="14" t="s">
        <v>614</v>
      </c>
      <c r="B97" s="14" t="s">
        <v>615</v>
      </c>
      <c r="C97" s="14" t="s">
        <v>616</v>
      </c>
      <c r="D97" s="14" t="s">
        <v>617</v>
      </c>
      <c r="E97" s="14" t="s">
        <v>618</v>
      </c>
      <c r="F97" s="14" t="s">
        <v>619</v>
      </c>
      <c r="G97" s="7" t="s">
        <v>620</v>
      </c>
      <c r="H97" s="7"/>
      <c r="I97" s="7"/>
    </row>
    <row r="98" spans="1:27">
      <c r="A98" s="14" t="s">
        <v>621</v>
      </c>
      <c r="B98" s="14" t="s">
        <v>622</v>
      </c>
      <c r="C98" s="14" t="s">
        <v>623</v>
      </c>
      <c r="D98" s="14" t="s">
        <v>624</v>
      </c>
      <c r="E98" s="14" t="s">
        <v>625</v>
      </c>
      <c r="F98" s="14" t="s">
        <v>626</v>
      </c>
      <c r="G98" s="7"/>
      <c r="H98" s="7"/>
      <c r="I98" s="7"/>
    </row>
    <row r="99" spans="1:27">
      <c r="A99" s="18" t="s">
        <v>627</v>
      </c>
      <c r="B99" s="18" t="s">
        <v>628</v>
      </c>
      <c r="C99" s="18" t="s">
        <v>629</v>
      </c>
      <c r="D99" s="18" t="s">
        <v>630</v>
      </c>
      <c r="E99" s="18" t="s">
        <v>631</v>
      </c>
      <c r="F99" s="18"/>
      <c r="G99" s="19" t="s">
        <v>632</v>
      </c>
      <c r="H99" s="19"/>
      <c r="I99" s="19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>
      <c r="A100" s="14" t="s">
        <v>633</v>
      </c>
      <c r="B100" s="14" t="s">
        <v>634</v>
      </c>
      <c r="C100" s="14" t="s">
        <v>635</v>
      </c>
      <c r="D100" s="14" t="s">
        <v>636</v>
      </c>
      <c r="E100" s="14" t="s">
        <v>637</v>
      </c>
      <c r="F100" s="14" t="s">
        <v>638</v>
      </c>
      <c r="G100" s="7"/>
      <c r="H100" s="7"/>
      <c r="I100" s="7"/>
    </row>
    <row r="101" spans="1:27">
      <c r="A101" s="14" t="s">
        <v>639</v>
      </c>
      <c r="B101" s="14" t="s">
        <v>640</v>
      </c>
      <c r="C101" s="14" t="s">
        <v>641</v>
      </c>
      <c r="D101" s="14" t="s">
        <v>642</v>
      </c>
      <c r="E101" s="14" t="s">
        <v>643</v>
      </c>
      <c r="F101" s="14" t="s">
        <v>644</v>
      </c>
      <c r="G101" s="7"/>
      <c r="H101" s="7"/>
      <c r="I101" s="7"/>
    </row>
    <row r="102" spans="1:27">
      <c r="A102" s="14" t="s">
        <v>645</v>
      </c>
      <c r="B102" s="14" t="s">
        <v>646</v>
      </c>
      <c r="C102" s="14" t="s">
        <v>647</v>
      </c>
      <c r="D102" s="14" t="s">
        <v>648</v>
      </c>
      <c r="E102" s="14" t="s">
        <v>649</v>
      </c>
      <c r="F102" s="14" t="s">
        <v>249</v>
      </c>
      <c r="G102" s="7" t="s">
        <v>650</v>
      </c>
      <c r="H102" s="7"/>
      <c r="I102" s="7"/>
    </row>
    <row r="103" spans="1:27">
      <c r="A103" s="14" t="s">
        <v>651</v>
      </c>
      <c r="B103" s="14" t="s">
        <v>652</v>
      </c>
      <c r="C103" s="14" t="s">
        <v>653</v>
      </c>
      <c r="E103" s="14" t="s">
        <v>654</v>
      </c>
      <c r="F103" s="14" t="s">
        <v>655</v>
      </c>
      <c r="G103" s="7"/>
      <c r="H103" s="7"/>
      <c r="I103" s="7"/>
    </row>
    <row r="104" spans="1:27">
      <c r="A104" s="14" t="s">
        <v>656</v>
      </c>
      <c r="B104" s="14" t="s">
        <v>657</v>
      </c>
      <c r="C104" s="14" t="s">
        <v>658</v>
      </c>
      <c r="D104" s="14" t="s">
        <v>659</v>
      </c>
      <c r="E104" s="14" t="s">
        <v>660</v>
      </c>
      <c r="F104" s="14" t="s">
        <v>661</v>
      </c>
      <c r="G104" s="7"/>
      <c r="H104" s="7"/>
      <c r="I104" s="7"/>
    </row>
    <row r="105" spans="1:27">
      <c r="A105" s="14" t="s">
        <v>662</v>
      </c>
      <c r="B105" s="14" t="s">
        <v>663</v>
      </c>
      <c r="C105" s="14" t="s">
        <v>664</v>
      </c>
      <c r="D105" s="14" t="s">
        <v>665</v>
      </c>
      <c r="E105" s="14" t="s">
        <v>666</v>
      </c>
      <c r="F105" s="14" t="s">
        <v>667</v>
      </c>
      <c r="G105" s="7" t="s">
        <v>668</v>
      </c>
      <c r="H105" s="7"/>
      <c r="I105" s="7"/>
    </row>
    <row r="106" spans="1:27">
      <c r="A106" s="14" t="s">
        <v>669</v>
      </c>
      <c r="B106" s="14" t="s">
        <v>670</v>
      </c>
      <c r="C106" s="14" t="s">
        <v>671</v>
      </c>
      <c r="D106" s="14" t="s">
        <v>672</v>
      </c>
      <c r="E106" s="14" t="s">
        <v>159</v>
      </c>
      <c r="F106" s="14" t="s">
        <v>673</v>
      </c>
      <c r="G106" s="7"/>
      <c r="H106" s="7"/>
      <c r="I106" s="7"/>
    </row>
    <row r="107" spans="1:27">
      <c r="A107" s="14" t="s">
        <v>674</v>
      </c>
      <c r="B107" s="14" t="s">
        <v>675</v>
      </c>
      <c r="C107" s="14" t="s">
        <v>676</v>
      </c>
      <c r="D107" s="14"/>
      <c r="E107" s="14" t="s">
        <v>677</v>
      </c>
      <c r="F107" s="14" t="s">
        <v>678</v>
      </c>
      <c r="G107" s="7"/>
      <c r="H107" s="7"/>
      <c r="I107" s="7"/>
    </row>
    <row r="108" spans="1:27">
      <c r="A108" s="14" t="s">
        <v>679</v>
      </c>
      <c r="B108" s="14" t="s">
        <v>680</v>
      </c>
      <c r="C108" s="14" t="s">
        <v>681</v>
      </c>
      <c r="D108" s="14" t="s">
        <v>682</v>
      </c>
      <c r="E108" s="14" t="s">
        <v>683</v>
      </c>
      <c r="F108" s="14" t="s">
        <v>684</v>
      </c>
      <c r="G108" s="7"/>
      <c r="H108" s="7"/>
      <c r="I108" s="7"/>
    </row>
    <row r="109" spans="1:27">
      <c r="A109" s="14" t="s">
        <v>685</v>
      </c>
      <c r="B109" s="14" t="s">
        <v>686</v>
      </c>
      <c r="C109" s="14" t="s">
        <v>687</v>
      </c>
      <c r="D109" s="14" t="s">
        <v>688</v>
      </c>
      <c r="E109" s="14" t="s">
        <v>689</v>
      </c>
      <c r="F109" s="14" t="s">
        <v>690</v>
      </c>
      <c r="G109" s="7" t="s">
        <v>691</v>
      </c>
      <c r="H109" s="7"/>
      <c r="I109" s="7"/>
    </row>
    <row r="110" spans="1:27">
      <c r="A110" s="14" t="s">
        <v>692</v>
      </c>
      <c r="B110" s="14" t="s">
        <v>693</v>
      </c>
      <c r="C110" s="14" t="s">
        <v>694</v>
      </c>
      <c r="D110" s="14" t="s">
        <v>695</v>
      </c>
      <c r="E110" s="14" t="s">
        <v>696</v>
      </c>
      <c r="F110" s="14"/>
      <c r="G110" s="7"/>
      <c r="H110" s="7"/>
      <c r="I110" s="7"/>
    </row>
    <row r="111" spans="1:27">
      <c r="A111" s="14" t="s">
        <v>697</v>
      </c>
      <c r="B111" s="14" t="s">
        <v>698</v>
      </c>
      <c r="C111" s="14" t="s">
        <v>699</v>
      </c>
      <c r="D111" s="14" t="s">
        <v>700</v>
      </c>
      <c r="E111" s="14" t="s">
        <v>701</v>
      </c>
      <c r="F111" s="14" t="s">
        <v>702</v>
      </c>
      <c r="G111" s="7" t="s">
        <v>703</v>
      </c>
      <c r="H111" s="7"/>
      <c r="I111" s="7"/>
    </row>
    <row r="112" spans="1:27">
      <c r="A112" s="14" t="s">
        <v>704</v>
      </c>
      <c r="B112" s="14" t="s">
        <v>705</v>
      </c>
      <c r="C112" s="14" t="s">
        <v>706</v>
      </c>
      <c r="D112" s="14" t="s">
        <v>707</v>
      </c>
      <c r="E112" s="14" t="s">
        <v>708</v>
      </c>
      <c r="F112" s="14" t="s">
        <v>709</v>
      </c>
      <c r="G112" s="7"/>
      <c r="H112" s="7"/>
      <c r="I112" s="7"/>
    </row>
    <row r="113" spans="1:9">
      <c r="A113" s="14" t="s">
        <v>710</v>
      </c>
      <c r="B113" s="14" t="s">
        <v>711</v>
      </c>
      <c r="C113" s="14" t="s">
        <v>712</v>
      </c>
      <c r="D113" s="14" t="s">
        <v>713</v>
      </c>
      <c r="E113" s="14" t="s">
        <v>714</v>
      </c>
      <c r="F113" s="14" t="s">
        <v>715</v>
      </c>
      <c r="G113" s="7"/>
      <c r="H113" s="7"/>
      <c r="I113" s="7"/>
    </row>
    <row r="114" spans="1:9">
      <c r="A114" s="14" t="s">
        <v>716</v>
      </c>
      <c r="B114" s="14" t="s">
        <v>717</v>
      </c>
      <c r="C114" s="14" t="s">
        <v>718</v>
      </c>
      <c r="D114" s="14" t="s">
        <v>719</v>
      </c>
      <c r="E114" s="14" t="s">
        <v>720</v>
      </c>
      <c r="F114" s="14" t="s">
        <v>721</v>
      </c>
      <c r="G114" s="7"/>
      <c r="H114" s="7"/>
      <c r="I114" s="7"/>
    </row>
    <row r="115" spans="1:9">
      <c r="A115" s="14" t="s">
        <v>722</v>
      </c>
      <c r="B115" s="14" t="s">
        <v>723</v>
      </c>
      <c r="C115" s="14" t="s">
        <v>724</v>
      </c>
      <c r="D115" s="14" t="s">
        <v>725</v>
      </c>
      <c r="E115" s="14" t="s">
        <v>726</v>
      </c>
      <c r="F115" s="14" t="s">
        <v>727</v>
      </c>
      <c r="G115" s="7"/>
      <c r="H115" s="7"/>
      <c r="I115" s="7"/>
    </row>
    <row r="116" spans="1:9">
      <c r="A116" s="14" t="s">
        <v>728</v>
      </c>
      <c r="B116" s="14" t="s">
        <v>729</v>
      </c>
      <c r="C116" s="14" t="s">
        <v>730</v>
      </c>
      <c r="D116" s="14" t="s">
        <v>731</v>
      </c>
      <c r="E116" s="14" t="s">
        <v>732</v>
      </c>
      <c r="F116" s="14" t="s">
        <v>733</v>
      </c>
      <c r="G116" s="7" t="s">
        <v>734</v>
      </c>
      <c r="H116" s="7"/>
      <c r="I116" s="7"/>
    </row>
    <row r="117" spans="1:9">
      <c r="A117" s="14" t="s">
        <v>735</v>
      </c>
      <c r="B117" s="14" t="s">
        <v>736</v>
      </c>
      <c r="C117" s="14" t="s">
        <v>737</v>
      </c>
      <c r="D117" s="14" t="s">
        <v>738</v>
      </c>
      <c r="E117" s="14" t="s">
        <v>739</v>
      </c>
      <c r="F117" s="14" t="s">
        <v>740</v>
      </c>
      <c r="G117" s="7" t="s">
        <v>734</v>
      </c>
      <c r="H117" s="7"/>
      <c r="I117" s="7"/>
    </row>
    <row r="118" spans="1:9">
      <c r="A118" s="14" t="s">
        <v>741</v>
      </c>
      <c r="B118" s="14" t="s">
        <v>742</v>
      </c>
      <c r="C118" s="14" t="s">
        <v>743</v>
      </c>
      <c r="D118" s="14" t="s">
        <v>744</v>
      </c>
      <c r="E118" s="14" t="s">
        <v>745</v>
      </c>
      <c r="F118" s="14" t="s">
        <v>746</v>
      </c>
      <c r="G118" s="7"/>
      <c r="H118" s="7"/>
      <c r="I118" s="7"/>
    </row>
    <row r="119" spans="1:9">
      <c r="A119" s="14" t="s">
        <v>747</v>
      </c>
      <c r="B119" s="14" t="s">
        <v>748</v>
      </c>
      <c r="C119" s="14" t="s">
        <v>749</v>
      </c>
      <c r="D119" s="14"/>
      <c r="E119" s="14" t="s">
        <v>625</v>
      </c>
      <c r="F119" s="14" t="s">
        <v>750</v>
      </c>
      <c r="G119" s="7" t="s">
        <v>751</v>
      </c>
      <c r="H119" s="7"/>
      <c r="I119" s="7"/>
    </row>
    <row r="120" spans="1:9">
      <c r="A120" s="14" t="s">
        <v>621</v>
      </c>
      <c r="B120" s="14" t="s">
        <v>752</v>
      </c>
      <c r="C120" s="14" t="s">
        <v>460</v>
      </c>
      <c r="D120" s="14"/>
      <c r="E120" s="14" t="s">
        <v>461</v>
      </c>
      <c r="F120" s="14" t="s">
        <v>462</v>
      </c>
      <c r="G120" s="7"/>
      <c r="H120" s="7"/>
      <c r="I120" s="7"/>
    </row>
    <row r="121" spans="1:9">
      <c r="A121" s="14" t="s">
        <v>753</v>
      </c>
      <c r="B121" s="14" t="s">
        <v>754</v>
      </c>
      <c r="C121" s="14" t="s">
        <v>755</v>
      </c>
      <c r="D121" s="14" t="s">
        <v>756</v>
      </c>
      <c r="E121" s="14" t="s">
        <v>757</v>
      </c>
      <c r="F121" s="14" t="s">
        <v>758</v>
      </c>
      <c r="G121" s="7"/>
      <c r="H121" s="7"/>
      <c r="I121" s="7"/>
    </row>
    <row r="122" spans="1:9">
      <c r="A122" s="14" t="s">
        <v>759</v>
      </c>
      <c r="B122" s="14" t="s">
        <v>760</v>
      </c>
      <c r="C122" s="14" t="s">
        <v>761</v>
      </c>
      <c r="D122" s="14" t="s">
        <v>762</v>
      </c>
      <c r="E122" s="14" t="s">
        <v>763</v>
      </c>
      <c r="F122" s="14" t="s">
        <v>764</v>
      </c>
      <c r="G122" s="7"/>
      <c r="H122" s="7"/>
      <c r="I122" s="7"/>
    </row>
    <row r="123" spans="1:9">
      <c r="A123" s="14" t="s">
        <v>765</v>
      </c>
      <c r="B123" s="14" t="s">
        <v>766</v>
      </c>
      <c r="C123" s="14" t="s">
        <v>767</v>
      </c>
      <c r="D123" s="14" t="s">
        <v>768</v>
      </c>
      <c r="E123" s="14" t="s">
        <v>769</v>
      </c>
      <c r="F123" s="14" t="s">
        <v>770</v>
      </c>
      <c r="G123" s="7"/>
    </row>
    <row r="124" spans="1:9">
      <c r="A124" s="14" t="s">
        <v>771</v>
      </c>
      <c r="B124" s="14" t="s">
        <v>772</v>
      </c>
      <c r="C124" s="14" t="s">
        <v>773</v>
      </c>
      <c r="D124" s="14" t="s">
        <v>774</v>
      </c>
      <c r="E124" s="14" t="s">
        <v>775</v>
      </c>
      <c r="F124" s="14" t="s">
        <v>776</v>
      </c>
      <c r="G124" s="7"/>
    </row>
    <row r="125" spans="1:9">
      <c r="A125" s="14" t="s">
        <v>777</v>
      </c>
      <c r="B125" s="14" t="s">
        <v>778</v>
      </c>
      <c r="C125" s="14" t="s">
        <v>779</v>
      </c>
      <c r="D125" s="14"/>
      <c r="E125" s="14" t="s">
        <v>780</v>
      </c>
      <c r="F125" s="14" t="s">
        <v>781</v>
      </c>
      <c r="G125" s="7"/>
    </row>
    <row r="126" spans="1:9">
      <c r="A126" s="14" t="s">
        <v>782</v>
      </c>
      <c r="B126" s="14" t="s">
        <v>783</v>
      </c>
      <c r="C126" s="14" t="s">
        <v>784</v>
      </c>
      <c r="D126" s="14"/>
      <c r="E126" s="14" t="s">
        <v>780</v>
      </c>
      <c r="F126" s="14" t="s">
        <v>785</v>
      </c>
      <c r="G126" s="7"/>
    </row>
    <row r="127" spans="1:9">
      <c r="A127" s="14" t="s">
        <v>786</v>
      </c>
      <c r="B127" s="14" t="s">
        <v>787</v>
      </c>
      <c r="C127" s="14" t="s">
        <v>788</v>
      </c>
      <c r="D127" s="14" t="s">
        <v>789</v>
      </c>
      <c r="E127" s="14" t="s">
        <v>790</v>
      </c>
      <c r="F127" s="14" t="s">
        <v>791</v>
      </c>
      <c r="G127" s="7"/>
    </row>
    <row r="128" spans="1:9">
      <c r="A128" s="14" t="s">
        <v>792</v>
      </c>
      <c r="B128" s="14" t="s">
        <v>793</v>
      </c>
      <c r="C128" s="14" t="s">
        <v>794</v>
      </c>
      <c r="D128" s="14" t="s">
        <v>774</v>
      </c>
      <c r="E128" s="14" t="s">
        <v>775</v>
      </c>
      <c r="F128" s="14" t="s">
        <v>795</v>
      </c>
      <c r="G128" s="7" t="s">
        <v>796</v>
      </c>
    </row>
    <row r="129" spans="1:7">
      <c r="A129" s="14" t="s">
        <v>797</v>
      </c>
      <c r="B129" s="14" t="s">
        <v>798</v>
      </c>
      <c r="C129" s="14" t="s">
        <v>799</v>
      </c>
      <c r="D129" s="14" t="s">
        <v>800</v>
      </c>
      <c r="E129" s="14" t="s">
        <v>801</v>
      </c>
      <c r="F129" s="14" t="s">
        <v>802</v>
      </c>
      <c r="G129" s="7" t="s">
        <v>803</v>
      </c>
    </row>
    <row r="130" spans="1:7">
      <c r="A130" s="14" t="s">
        <v>804</v>
      </c>
      <c r="B130" s="14" t="s">
        <v>805</v>
      </c>
      <c r="C130" s="14" t="s">
        <v>806</v>
      </c>
      <c r="D130" s="14" t="s">
        <v>807</v>
      </c>
      <c r="E130" s="14">
        <v>920736610</v>
      </c>
      <c r="F130" s="14" t="s">
        <v>808</v>
      </c>
      <c r="G130" s="7"/>
    </row>
    <row r="131" spans="1:7">
      <c r="A131" s="14" t="s">
        <v>809</v>
      </c>
      <c r="B131" s="14" t="s">
        <v>810</v>
      </c>
      <c r="C131" s="14" t="s">
        <v>811</v>
      </c>
      <c r="D131" s="14" t="s">
        <v>812</v>
      </c>
      <c r="E131" s="14" t="s">
        <v>813</v>
      </c>
      <c r="F131" s="14" t="s">
        <v>814</v>
      </c>
      <c r="G131" s="7"/>
    </row>
    <row r="132" spans="1:7">
      <c r="A132" s="14" t="s">
        <v>815</v>
      </c>
      <c r="B132" s="14" t="s">
        <v>816</v>
      </c>
      <c r="C132" s="14" t="s">
        <v>817</v>
      </c>
      <c r="D132" s="14" t="s">
        <v>818</v>
      </c>
      <c r="E132" s="14" t="s">
        <v>819</v>
      </c>
      <c r="F132" s="14" t="s">
        <v>820</v>
      </c>
      <c r="G132" s="7" t="s">
        <v>821</v>
      </c>
    </row>
    <row r="133" spans="1:7">
      <c r="A133" s="14" t="s">
        <v>822</v>
      </c>
      <c r="B133" s="14" t="s">
        <v>823</v>
      </c>
      <c r="C133" s="14" t="s">
        <v>824</v>
      </c>
      <c r="D133" s="14" t="s">
        <v>825</v>
      </c>
      <c r="E133" s="14" t="s">
        <v>826</v>
      </c>
      <c r="F133" s="14" t="s">
        <v>827</v>
      </c>
      <c r="G133" s="7" t="s">
        <v>828</v>
      </c>
    </row>
    <row r="134" spans="1:7">
      <c r="A134" s="14" t="s">
        <v>829</v>
      </c>
      <c r="B134" s="14" t="s">
        <v>830</v>
      </c>
      <c r="C134" s="14" t="s">
        <v>831</v>
      </c>
      <c r="D134" s="14"/>
      <c r="E134" s="14" t="s">
        <v>385</v>
      </c>
      <c r="F134" s="14" t="s">
        <v>832</v>
      </c>
      <c r="G134" s="7" t="s">
        <v>833</v>
      </c>
    </row>
    <row r="135" spans="1:7">
      <c r="A135" s="14" t="s">
        <v>834</v>
      </c>
      <c r="B135" s="14" t="s">
        <v>835</v>
      </c>
      <c r="C135" s="14" t="s">
        <v>836</v>
      </c>
      <c r="D135" s="14" t="s">
        <v>837</v>
      </c>
      <c r="E135" s="14" t="s">
        <v>838</v>
      </c>
      <c r="F135" s="14" t="s">
        <v>839</v>
      </c>
      <c r="G135" s="7"/>
    </row>
    <row r="136" spans="1:7">
      <c r="A136" s="14" t="s">
        <v>840</v>
      </c>
      <c r="B136" s="14" t="s">
        <v>841</v>
      </c>
      <c r="C136" s="14" t="s">
        <v>842</v>
      </c>
      <c r="D136" s="14"/>
      <c r="E136" s="14" t="s">
        <v>843</v>
      </c>
      <c r="F136" s="14" t="s">
        <v>844</v>
      </c>
      <c r="G136" s="7"/>
    </row>
    <row r="137" spans="1:7">
      <c r="A137" s="14" t="s">
        <v>845</v>
      </c>
      <c r="B137" s="14" t="s">
        <v>846</v>
      </c>
      <c r="C137" s="14" t="s">
        <v>847</v>
      </c>
      <c r="D137" s="14"/>
      <c r="E137" s="14" t="s">
        <v>848</v>
      </c>
      <c r="F137" s="14" t="s">
        <v>849</v>
      </c>
      <c r="G137" s="7" t="s">
        <v>850</v>
      </c>
    </row>
    <row r="138" spans="1:7">
      <c r="A138" s="14" t="s">
        <v>851</v>
      </c>
      <c r="B138" s="14" t="s">
        <v>852</v>
      </c>
      <c r="C138" s="14" t="s">
        <v>853</v>
      </c>
      <c r="D138" s="14" t="s">
        <v>854</v>
      </c>
      <c r="E138" s="14" t="s">
        <v>855</v>
      </c>
      <c r="F138" s="14" t="s">
        <v>856</v>
      </c>
      <c r="G138" s="7"/>
    </row>
    <row r="139" spans="1:7">
      <c r="A139" s="14" t="s">
        <v>857</v>
      </c>
      <c r="B139" s="14" t="s">
        <v>858</v>
      </c>
      <c r="C139" s="14" t="s">
        <v>859</v>
      </c>
      <c r="D139" s="14" t="s">
        <v>860</v>
      </c>
      <c r="E139" s="14" t="s">
        <v>861</v>
      </c>
      <c r="F139" s="14" t="s">
        <v>862</v>
      </c>
      <c r="G139" s="7"/>
    </row>
    <row r="140" spans="1:7">
      <c r="A140" s="14" t="s">
        <v>863</v>
      </c>
      <c r="B140" s="14" t="s">
        <v>864</v>
      </c>
      <c r="C140" s="14" t="s">
        <v>865</v>
      </c>
      <c r="D140" s="17" t="s">
        <v>866</v>
      </c>
      <c r="E140" s="14" t="s">
        <v>867</v>
      </c>
      <c r="F140" s="14" t="s">
        <v>868</v>
      </c>
      <c r="G140" s="7" t="s">
        <v>869</v>
      </c>
    </row>
    <row r="141" spans="1:7">
      <c r="A141" s="14" t="s">
        <v>870</v>
      </c>
      <c r="B141" s="14" t="s">
        <v>871</v>
      </c>
      <c r="C141" s="14" t="s">
        <v>872</v>
      </c>
      <c r="D141" s="14" t="s">
        <v>873</v>
      </c>
      <c r="E141" s="14">
        <v>988943023</v>
      </c>
      <c r="F141" s="14" t="s">
        <v>874</v>
      </c>
      <c r="G141" s="7" t="s">
        <v>875</v>
      </c>
    </row>
    <row r="142" spans="1:7">
      <c r="A142" s="14" t="s">
        <v>876</v>
      </c>
      <c r="B142" s="14" t="s">
        <v>877</v>
      </c>
      <c r="C142" s="14" t="s">
        <v>878</v>
      </c>
      <c r="D142" s="14" t="s">
        <v>879</v>
      </c>
      <c r="E142" s="14">
        <v>942264166</v>
      </c>
      <c r="F142" s="14" t="s">
        <v>880</v>
      </c>
      <c r="G142" s="7" t="s">
        <v>881</v>
      </c>
    </row>
    <row r="143" spans="1:7">
      <c r="A143" s="14" t="s">
        <v>882</v>
      </c>
      <c r="B143" s="14" t="s">
        <v>883</v>
      </c>
      <c r="C143" s="14" t="s">
        <v>884</v>
      </c>
      <c r="D143" s="14" t="s">
        <v>885</v>
      </c>
      <c r="E143" s="14">
        <v>988372000</v>
      </c>
      <c r="F143" s="14" t="s">
        <v>886</v>
      </c>
      <c r="G143" s="7" t="s">
        <v>887</v>
      </c>
    </row>
    <row r="144" spans="1:7">
      <c r="A144" s="14" t="s">
        <v>888</v>
      </c>
      <c r="B144" s="14" t="s">
        <v>889</v>
      </c>
      <c r="C144" s="14" t="s">
        <v>890</v>
      </c>
      <c r="D144" s="14" t="s">
        <v>891</v>
      </c>
      <c r="E144" s="14" t="s">
        <v>892</v>
      </c>
      <c r="F144" s="14" t="s">
        <v>893</v>
      </c>
      <c r="G144" s="7" t="s">
        <v>894</v>
      </c>
    </row>
    <row r="145" spans="1:7">
      <c r="A145" s="14" t="s">
        <v>895</v>
      </c>
      <c r="B145" s="14" t="s">
        <v>896</v>
      </c>
      <c r="C145" s="14" t="s">
        <v>897</v>
      </c>
      <c r="D145" s="14"/>
      <c r="E145" s="14" t="s">
        <v>898</v>
      </c>
      <c r="F145" s="14" t="s">
        <v>899</v>
      </c>
      <c r="G145" s="7"/>
    </row>
    <row r="146" spans="1:7">
      <c r="A146" s="14" t="s">
        <v>900</v>
      </c>
      <c r="B146" s="14" t="s">
        <v>901</v>
      </c>
      <c r="C146" s="14" t="s">
        <v>902</v>
      </c>
      <c r="D146" s="14" t="s">
        <v>903</v>
      </c>
      <c r="E146" s="14" t="s">
        <v>904</v>
      </c>
      <c r="F146" s="14" t="s">
        <v>905</v>
      </c>
      <c r="G146" s="7"/>
    </row>
    <row r="147" spans="1:7">
      <c r="A147" s="14" t="s">
        <v>906</v>
      </c>
      <c r="B147" s="14" t="s">
        <v>907</v>
      </c>
      <c r="C147" s="14" t="s">
        <v>908</v>
      </c>
      <c r="D147" s="14" t="s">
        <v>909</v>
      </c>
      <c r="E147" s="14">
        <v>935231364</v>
      </c>
      <c r="F147" s="14" t="s">
        <v>910</v>
      </c>
      <c r="G147" s="7" t="s">
        <v>911</v>
      </c>
    </row>
    <row r="148" spans="1:7">
      <c r="A148" s="14" t="s">
        <v>912</v>
      </c>
      <c r="B148" s="14" t="s">
        <v>913</v>
      </c>
      <c r="C148" s="14" t="s">
        <v>914</v>
      </c>
      <c r="D148" s="14" t="s">
        <v>915</v>
      </c>
      <c r="E148" s="14" t="s">
        <v>916</v>
      </c>
      <c r="F148" s="14" t="s">
        <v>917</v>
      </c>
      <c r="G148" s="7"/>
    </row>
    <row r="149" spans="1:7">
      <c r="A149" s="14" t="s">
        <v>918</v>
      </c>
      <c r="B149" s="14" t="s">
        <v>919</v>
      </c>
      <c r="C149" s="14" t="s">
        <v>920</v>
      </c>
      <c r="D149" s="14" t="s">
        <v>921</v>
      </c>
      <c r="E149" s="14" t="s">
        <v>922</v>
      </c>
      <c r="F149" s="14" t="s">
        <v>923</v>
      </c>
      <c r="G149" s="7"/>
    </row>
    <row r="150" spans="1:7">
      <c r="A150" s="14" t="s">
        <v>924</v>
      </c>
      <c r="B150" s="14" t="s">
        <v>925</v>
      </c>
      <c r="C150" s="14" t="s">
        <v>926</v>
      </c>
      <c r="D150" s="14" t="s">
        <v>927</v>
      </c>
      <c r="E150" s="14" t="s">
        <v>928</v>
      </c>
      <c r="F150" s="14" t="s">
        <v>929</v>
      </c>
      <c r="G150" s="7"/>
    </row>
    <row r="151" spans="1:7">
      <c r="A151" s="14" t="s">
        <v>930</v>
      </c>
      <c r="B151" s="14" t="s">
        <v>931</v>
      </c>
      <c r="C151" s="14" t="s">
        <v>932</v>
      </c>
      <c r="D151" s="14" t="s">
        <v>933</v>
      </c>
      <c r="E151" s="14" t="s">
        <v>934</v>
      </c>
      <c r="F151" s="14" t="s">
        <v>935</v>
      </c>
      <c r="G151" s="7"/>
    </row>
    <row r="152" spans="1:7">
      <c r="A152" s="14" t="s">
        <v>936</v>
      </c>
      <c r="B152" s="14" t="s">
        <v>937</v>
      </c>
      <c r="C152" s="14" t="s">
        <v>938</v>
      </c>
      <c r="D152" s="14" t="s">
        <v>939</v>
      </c>
      <c r="E152" s="14" t="s">
        <v>940</v>
      </c>
      <c r="F152" s="14" t="s">
        <v>941</v>
      </c>
      <c r="G152" s="7" t="s">
        <v>942</v>
      </c>
    </row>
    <row r="153" spans="1:7">
      <c r="A153" s="14" t="s">
        <v>943</v>
      </c>
      <c r="B153" s="14" t="s">
        <v>944</v>
      </c>
      <c r="C153" s="14" t="s">
        <v>945</v>
      </c>
      <c r="D153" s="14" t="s">
        <v>946</v>
      </c>
      <c r="E153" s="14" t="s">
        <v>947</v>
      </c>
      <c r="F153" s="14" t="s">
        <v>948</v>
      </c>
      <c r="G153" s="7"/>
    </row>
    <row r="154" spans="1:7">
      <c r="A154" s="14" t="s">
        <v>949</v>
      </c>
      <c r="B154" s="14" t="s">
        <v>950</v>
      </c>
      <c r="C154" s="14" t="s">
        <v>951</v>
      </c>
      <c r="D154" s="14" t="s">
        <v>952</v>
      </c>
      <c r="E154" s="14" t="s">
        <v>953</v>
      </c>
      <c r="F154" s="14" t="s">
        <v>954</v>
      </c>
      <c r="G154" s="7"/>
    </row>
    <row r="155" spans="1:7">
      <c r="A155" s="14" t="s">
        <v>955</v>
      </c>
      <c r="B155" s="14" t="s">
        <v>956</v>
      </c>
      <c r="C155" s="14" t="s">
        <v>957</v>
      </c>
      <c r="D155" s="14" t="s">
        <v>958</v>
      </c>
      <c r="E155" s="14" t="s">
        <v>959</v>
      </c>
      <c r="F155" s="14" t="s">
        <v>960</v>
      </c>
      <c r="G155" s="7"/>
    </row>
    <row r="156" spans="1:7">
      <c r="A156" s="14" t="s">
        <v>961</v>
      </c>
      <c r="B156" s="14" t="s">
        <v>962</v>
      </c>
      <c r="C156" s="14" t="s">
        <v>963</v>
      </c>
      <c r="D156" s="14" t="s">
        <v>964</v>
      </c>
      <c r="E156" s="14" t="s">
        <v>965</v>
      </c>
      <c r="F156" s="14" t="s">
        <v>966</v>
      </c>
      <c r="G156" s="7"/>
    </row>
    <row r="157" spans="1:7">
      <c r="A157" s="14" t="s">
        <v>967</v>
      </c>
      <c r="B157" s="14" t="s">
        <v>968</v>
      </c>
      <c r="C157" s="14" t="s">
        <v>969</v>
      </c>
      <c r="D157" s="14"/>
      <c r="E157" s="14" t="s">
        <v>970</v>
      </c>
      <c r="F157" s="14" t="s">
        <v>971</v>
      </c>
      <c r="G157" s="7"/>
    </row>
    <row r="158" spans="1:7">
      <c r="A158" s="14" t="s">
        <v>972</v>
      </c>
      <c r="B158" s="14" t="s">
        <v>973</v>
      </c>
      <c r="C158" s="14" t="s">
        <v>974</v>
      </c>
      <c r="D158" s="14" t="s">
        <v>975</v>
      </c>
      <c r="E158" s="14" t="s">
        <v>976</v>
      </c>
      <c r="F158" s="14" t="s">
        <v>977</v>
      </c>
      <c r="G158" s="7" t="s">
        <v>978</v>
      </c>
    </row>
  </sheetData>
  <autoFilter ref="A1:I158" xr:uid="{00000000-0009-0000-0000-000001000000}"/>
  <hyperlinks>
    <hyperlink ref="C53" r:id="rId1" xr:uid="{00000000-0004-0000-0100-000000000000}"/>
    <hyperlink ref="D78" r:id="rId2" xr:uid="{00000000-0004-0000-0100-000001000000}"/>
    <hyperlink ref="D140" r:id="rId3" xr:uid="{00000000-0004-0000-0100-000002000000}"/>
  </hyperlinks>
  <pageMargins left="0" right="0" top="0" bottom="0" header="0" footer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D33"/>
  <sheetViews>
    <sheetView workbookViewId="0"/>
  </sheetViews>
  <sheetFormatPr defaultColWidth="14.42578125" defaultRowHeight="15" customHeight="1"/>
  <cols>
    <col min="1" max="1" width="26.140625" customWidth="1"/>
    <col min="2" max="2" width="19.140625" customWidth="1"/>
    <col min="3" max="3" width="11.28515625" customWidth="1"/>
  </cols>
  <sheetData>
    <row r="1" spans="1:4">
      <c r="A1" s="173" t="s">
        <v>2070</v>
      </c>
      <c r="B1" s="173" t="s">
        <v>2071</v>
      </c>
      <c r="C1" s="173" t="s">
        <v>2072</v>
      </c>
      <c r="D1" s="173" t="s">
        <v>2073</v>
      </c>
    </row>
    <row r="2" spans="1:4">
      <c r="A2" s="15" t="s">
        <v>2074</v>
      </c>
      <c r="B2" s="15"/>
      <c r="C2" s="15" t="s">
        <v>2075</v>
      </c>
    </row>
    <row r="3" spans="1:4">
      <c r="A3" s="15" t="s">
        <v>2076</v>
      </c>
      <c r="B3" s="15"/>
      <c r="C3" s="15" t="s">
        <v>2075</v>
      </c>
    </row>
    <row r="4" spans="1:4">
      <c r="A4" s="15" t="s">
        <v>2077</v>
      </c>
      <c r="B4" s="15"/>
      <c r="C4" s="15" t="s">
        <v>2075</v>
      </c>
    </row>
    <row r="5" spans="1:4">
      <c r="A5" s="15" t="s">
        <v>2078</v>
      </c>
      <c r="B5" s="15"/>
      <c r="C5" s="15" t="s">
        <v>2075</v>
      </c>
    </row>
    <row r="6" spans="1:4">
      <c r="A6" s="15" t="s">
        <v>2079</v>
      </c>
      <c r="B6" s="15"/>
      <c r="C6" s="15" t="s">
        <v>2075</v>
      </c>
    </row>
    <row r="7" spans="1:4">
      <c r="A7" s="15" t="s">
        <v>2080</v>
      </c>
      <c r="B7" s="15"/>
      <c r="C7" s="15" t="s">
        <v>2081</v>
      </c>
    </row>
    <row r="8" spans="1:4">
      <c r="A8" s="15" t="s">
        <v>2082</v>
      </c>
      <c r="B8" s="15" t="s">
        <v>2083</v>
      </c>
      <c r="C8" s="15" t="s">
        <v>2075</v>
      </c>
    </row>
    <row r="9" spans="1:4">
      <c r="A9" s="15" t="s">
        <v>2084</v>
      </c>
      <c r="B9" s="15" t="s">
        <v>2085</v>
      </c>
      <c r="C9" s="15" t="s">
        <v>2075</v>
      </c>
    </row>
    <row r="10" spans="1:4">
      <c r="A10" s="15" t="s">
        <v>2086</v>
      </c>
      <c r="B10" s="15"/>
      <c r="C10" s="15" t="s">
        <v>2087</v>
      </c>
    </row>
    <row r="11" spans="1:4">
      <c r="A11" s="15" t="s">
        <v>2088</v>
      </c>
      <c r="B11" s="15" t="s">
        <v>2089</v>
      </c>
      <c r="C11" s="15" t="s">
        <v>2075</v>
      </c>
    </row>
    <row r="12" spans="1:4">
      <c r="A12" s="15" t="s">
        <v>2090</v>
      </c>
      <c r="B12" s="15" t="s">
        <v>2091</v>
      </c>
      <c r="C12" s="15" t="s">
        <v>2075</v>
      </c>
      <c r="D12" s="15" t="s">
        <v>2092</v>
      </c>
    </row>
    <row r="13" spans="1:4">
      <c r="A13" s="15" t="s">
        <v>2093</v>
      </c>
      <c r="B13" s="15" t="s">
        <v>2094</v>
      </c>
      <c r="C13" s="15" t="s">
        <v>2095</v>
      </c>
    </row>
    <row r="14" spans="1:4">
      <c r="A14" s="15" t="s">
        <v>2096</v>
      </c>
      <c r="B14" s="15" t="s">
        <v>2097</v>
      </c>
      <c r="C14" s="15" t="s">
        <v>2098</v>
      </c>
    </row>
    <row r="15" spans="1:4">
      <c r="A15" s="15" t="s">
        <v>2099</v>
      </c>
      <c r="B15" s="15" t="s">
        <v>2100</v>
      </c>
      <c r="C15" s="15" t="s">
        <v>2098</v>
      </c>
      <c r="D15" s="15" t="s">
        <v>2092</v>
      </c>
    </row>
    <row r="16" spans="1:4">
      <c r="A16" s="15" t="s">
        <v>2101</v>
      </c>
      <c r="B16" s="15" t="s">
        <v>2102</v>
      </c>
      <c r="C16" s="15" t="s">
        <v>2098</v>
      </c>
    </row>
    <row r="17" spans="1:4">
      <c r="A17" s="15" t="s">
        <v>2103</v>
      </c>
      <c r="B17" s="15"/>
      <c r="C17" s="15" t="s">
        <v>2081</v>
      </c>
    </row>
    <row r="18" spans="1:4">
      <c r="A18" s="15" t="s">
        <v>2104</v>
      </c>
      <c r="B18" s="15" t="s">
        <v>2105</v>
      </c>
      <c r="C18" s="15" t="s">
        <v>2075</v>
      </c>
    </row>
    <row r="19" spans="1:4">
      <c r="A19" s="15" t="s">
        <v>1613</v>
      </c>
      <c r="B19" s="15" t="s">
        <v>1615</v>
      </c>
      <c r="C19" s="15" t="s">
        <v>2075</v>
      </c>
      <c r="D19" s="91" t="s">
        <v>2092</v>
      </c>
    </row>
    <row r="20" spans="1:4">
      <c r="A20" s="15" t="s">
        <v>2106</v>
      </c>
      <c r="B20" s="15" t="s">
        <v>1582</v>
      </c>
      <c r="C20" s="15" t="s">
        <v>2075</v>
      </c>
    </row>
    <row r="21" spans="1:4">
      <c r="A21" s="15" t="s">
        <v>1084</v>
      </c>
      <c r="B21" s="15" t="s">
        <v>2091</v>
      </c>
      <c r="C21" s="15" t="s">
        <v>2075</v>
      </c>
    </row>
    <row r="22" spans="1:4">
      <c r="A22" s="15" t="s">
        <v>2107</v>
      </c>
      <c r="B22" s="15" t="s">
        <v>2108</v>
      </c>
      <c r="C22" s="15" t="s">
        <v>2075</v>
      </c>
    </row>
    <row r="23" spans="1:4">
      <c r="A23" s="15" t="s">
        <v>2109</v>
      </c>
      <c r="B23" s="15" t="s">
        <v>1548</v>
      </c>
      <c r="C23" s="15" t="s">
        <v>2075</v>
      </c>
    </row>
    <row r="24" spans="1:4">
      <c r="A24" s="15" t="s">
        <v>2110</v>
      </c>
      <c r="B24" s="15" t="s">
        <v>2111</v>
      </c>
      <c r="C24" s="15" t="s">
        <v>2075</v>
      </c>
    </row>
    <row r="25" spans="1:4">
      <c r="A25" s="15" t="s">
        <v>2112</v>
      </c>
      <c r="B25" s="15" t="s">
        <v>1582</v>
      </c>
      <c r="C25" s="15" t="s">
        <v>2098</v>
      </c>
    </row>
    <row r="26" spans="1:4">
      <c r="A26" s="15" t="s">
        <v>2113</v>
      </c>
      <c r="B26" s="15" t="s">
        <v>2114</v>
      </c>
      <c r="C26" s="15" t="s">
        <v>2098</v>
      </c>
    </row>
    <row r="27" spans="1:4">
      <c r="A27" s="15" t="s">
        <v>2115</v>
      </c>
      <c r="B27" s="15" t="s">
        <v>2116</v>
      </c>
      <c r="C27" s="15" t="s">
        <v>2098</v>
      </c>
      <c r="D27" s="91" t="s">
        <v>2117</v>
      </c>
    </row>
    <row r="28" spans="1:4">
      <c r="A28" s="15" t="s">
        <v>2118</v>
      </c>
      <c r="B28" s="15" t="s">
        <v>2108</v>
      </c>
      <c r="C28" s="15" t="s">
        <v>2075</v>
      </c>
    </row>
    <row r="29" spans="1:4">
      <c r="A29" s="15" t="s">
        <v>2119</v>
      </c>
      <c r="B29" s="15" t="s">
        <v>2120</v>
      </c>
      <c r="C29" s="15" t="s">
        <v>2075</v>
      </c>
      <c r="D29" s="15"/>
    </row>
    <row r="30" spans="1:4">
      <c r="A30" s="15" t="s">
        <v>2121</v>
      </c>
      <c r="B30" s="15" t="s">
        <v>2122</v>
      </c>
      <c r="C30" s="15" t="s">
        <v>2075</v>
      </c>
      <c r="D30" s="15" t="s">
        <v>2123</v>
      </c>
    </row>
    <row r="31" spans="1:4">
      <c r="A31" s="15" t="s">
        <v>2124</v>
      </c>
      <c r="B31" s="15" t="s">
        <v>2125</v>
      </c>
      <c r="C31" s="15" t="s">
        <v>2095</v>
      </c>
      <c r="D31" s="15"/>
    </row>
    <row r="32" spans="1:4">
      <c r="A32" s="15" t="s">
        <v>2126</v>
      </c>
      <c r="B32" s="15" t="s">
        <v>2125</v>
      </c>
      <c r="C32" s="15" t="s">
        <v>2075</v>
      </c>
      <c r="D32" s="15"/>
    </row>
    <row r="33" spans="1:4">
      <c r="A33" s="15" t="s">
        <v>2127</v>
      </c>
      <c r="B33" s="15" t="s">
        <v>1615</v>
      </c>
      <c r="C33" s="15" t="s">
        <v>2128</v>
      </c>
      <c r="D33" s="15"/>
    </row>
  </sheetData>
  <pageMargins left="0" right="0" top="0" bottom="0" header="0" footer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J33"/>
  <sheetViews>
    <sheetView workbookViewId="0">
      <pane xSplit="1" ySplit="2" topLeftCell="B3" activePane="bottomRight" state="frozen"/>
      <selection pane="bottomRight" activeCell="B3" sqref="B3"/>
      <selection pane="bottomLeft" activeCell="A3" sqref="A3"/>
      <selection pane="topRight" activeCell="B1" sqref="B1"/>
    </sheetView>
  </sheetViews>
  <sheetFormatPr defaultColWidth="14.42578125" defaultRowHeight="15" customHeight="1"/>
  <cols>
    <col min="1" max="1" width="28.5703125" customWidth="1"/>
    <col min="2" max="2" width="21" customWidth="1"/>
    <col min="3" max="8" width="20.85546875" customWidth="1"/>
  </cols>
  <sheetData>
    <row r="1" spans="1:10">
      <c r="D1" s="286" t="s">
        <v>2129</v>
      </c>
    </row>
    <row r="2" spans="1:10" ht="34.5" customHeight="1">
      <c r="A2" s="56" t="s">
        <v>2130</v>
      </c>
      <c r="B2" s="56" t="s">
        <v>2131</v>
      </c>
      <c r="C2" s="328" t="s">
        <v>2132</v>
      </c>
      <c r="D2" s="328" t="s">
        <v>2133</v>
      </c>
      <c r="E2" s="328" t="s">
        <v>2134</v>
      </c>
      <c r="F2" s="328" t="s">
        <v>2135</v>
      </c>
      <c r="G2" s="328" t="s">
        <v>2136</v>
      </c>
      <c r="H2" s="328" t="s">
        <v>2137</v>
      </c>
      <c r="I2" s="328" t="s">
        <v>2138</v>
      </c>
      <c r="J2" s="328" t="s">
        <v>2139</v>
      </c>
    </row>
    <row r="3" spans="1:10">
      <c r="A3" s="270" t="s">
        <v>1833</v>
      </c>
      <c r="B3" s="7" t="s">
        <v>2140</v>
      </c>
      <c r="C3" s="172">
        <v>762</v>
      </c>
      <c r="D3" s="172">
        <f t="shared" ref="D3:D10" si="0">C3/0.9</f>
        <v>846.66666666666663</v>
      </c>
      <c r="E3" s="172">
        <f t="shared" ref="E3:E10" si="1">C3/0.8</f>
        <v>952.5</v>
      </c>
      <c r="F3" s="172">
        <f t="shared" ref="F3:H3" si="2">C3*0.47</f>
        <v>358.14</v>
      </c>
      <c r="G3" s="329">
        <f t="shared" si="2"/>
        <v>397.93333333333328</v>
      </c>
      <c r="H3" s="172">
        <f t="shared" si="2"/>
        <v>447.67499999999995</v>
      </c>
      <c r="I3" s="329">
        <f t="shared" ref="I3:I10" si="3">C3*29</f>
        <v>22098</v>
      </c>
      <c r="J3" s="330">
        <v>45642</v>
      </c>
    </row>
    <row r="4" spans="1:10">
      <c r="A4" s="274" t="s">
        <v>1900</v>
      </c>
      <c r="B4" s="7" t="s">
        <v>2141</v>
      </c>
      <c r="C4" s="172">
        <v>927</v>
      </c>
      <c r="D4" s="172">
        <f t="shared" si="0"/>
        <v>1030</v>
      </c>
      <c r="E4" s="172">
        <f t="shared" si="1"/>
        <v>1158.75</v>
      </c>
      <c r="F4" s="172">
        <f t="shared" ref="F4:H4" si="4">C4*0.47</f>
        <v>435.69</v>
      </c>
      <c r="G4" s="329">
        <f t="shared" si="4"/>
        <v>484.09999999999997</v>
      </c>
      <c r="H4" s="172">
        <f t="shared" si="4"/>
        <v>544.61249999999995</v>
      </c>
      <c r="I4" s="329">
        <f t="shared" si="3"/>
        <v>26883</v>
      </c>
      <c r="J4" s="330">
        <v>45642</v>
      </c>
    </row>
    <row r="5" spans="1:10">
      <c r="A5" s="275" t="s">
        <v>1835</v>
      </c>
      <c r="B5" s="7" t="s">
        <v>2142</v>
      </c>
      <c r="C5" s="172">
        <v>1183</v>
      </c>
      <c r="D5" s="172">
        <f t="shared" si="0"/>
        <v>1314.4444444444443</v>
      </c>
      <c r="E5" s="172">
        <f t="shared" si="1"/>
        <v>1478.75</v>
      </c>
      <c r="F5" s="172">
        <f t="shared" ref="F5:H5" si="5">C5*0.47</f>
        <v>556.01</v>
      </c>
      <c r="G5" s="329">
        <f t="shared" si="5"/>
        <v>617.78888888888878</v>
      </c>
      <c r="H5" s="172">
        <f t="shared" si="5"/>
        <v>695.01249999999993</v>
      </c>
      <c r="I5" s="329">
        <f t="shared" si="3"/>
        <v>34307</v>
      </c>
      <c r="J5" s="330">
        <v>45642</v>
      </c>
    </row>
    <row r="6" spans="1:10">
      <c r="A6" s="276" t="s">
        <v>1836</v>
      </c>
      <c r="B6" s="7" t="s">
        <v>2143</v>
      </c>
      <c r="C6" s="172">
        <v>1581</v>
      </c>
      <c r="D6" s="172">
        <f t="shared" si="0"/>
        <v>1756.6666666666665</v>
      </c>
      <c r="E6" s="172">
        <f t="shared" si="1"/>
        <v>1976.25</v>
      </c>
      <c r="F6" s="172">
        <f t="shared" ref="F6:H6" si="6">C6*0.47</f>
        <v>743.06999999999994</v>
      </c>
      <c r="G6" s="329">
        <f t="shared" si="6"/>
        <v>825.63333333333321</v>
      </c>
      <c r="H6" s="172">
        <f t="shared" si="6"/>
        <v>928.83749999999998</v>
      </c>
      <c r="I6" s="329">
        <f t="shared" si="3"/>
        <v>45849</v>
      </c>
      <c r="J6" s="330">
        <v>45642</v>
      </c>
    </row>
    <row r="7" spans="1:10">
      <c r="A7" s="279" t="s">
        <v>1837</v>
      </c>
      <c r="B7" s="7" t="s">
        <v>2144</v>
      </c>
      <c r="C7" s="172">
        <v>1291</v>
      </c>
      <c r="D7" s="172">
        <f t="shared" si="0"/>
        <v>1434.4444444444443</v>
      </c>
      <c r="E7" s="172">
        <f t="shared" si="1"/>
        <v>1613.75</v>
      </c>
      <c r="F7" s="172">
        <f t="shared" ref="F7:H7" si="7">C7*0.47</f>
        <v>606.77</v>
      </c>
      <c r="G7" s="329">
        <f t="shared" si="7"/>
        <v>674.18888888888875</v>
      </c>
      <c r="H7" s="172">
        <f t="shared" si="7"/>
        <v>758.46249999999998</v>
      </c>
      <c r="I7" s="329">
        <f t="shared" si="3"/>
        <v>37439</v>
      </c>
      <c r="J7" s="330">
        <v>45642</v>
      </c>
    </row>
    <row r="8" spans="1:10">
      <c r="A8" s="281" t="s">
        <v>1838</v>
      </c>
      <c r="B8" s="7" t="s">
        <v>2145</v>
      </c>
      <c r="C8" s="172">
        <v>1006</v>
      </c>
      <c r="D8" s="172">
        <f t="shared" si="0"/>
        <v>1117.7777777777778</v>
      </c>
      <c r="E8" s="172">
        <f t="shared" si="1"/>
        <v>1257.5</v>
      </c>
      <c r="F8" s="172">
        <f t="shared" ref="F8:H8" si="8">C8*0.47</f>
        <v>472.82</v>
      </c>
      <c r="G8" s="329">
        <f t="shared" si="8"/>
        <v>525.3555555555555</v>
      </c>
      <c r="H8" s="172">
        <f t="shared" si="8"/>
        <v>591.02499999999998</v>
      </c>
      <c r="I8" s="329">
        <f t="shared" si="3"/>
        <v>29174</v>
      </c>
      <c r="J8" s="330">
        <v>45642</v>
      </c>
    </row>
    <row r="9" spans="1:10">
      <c r="A9" s="331" t="s">
        <v>1839</v>
      </c>
      <c r="B9" s="7" t="s">
        <v>2146</v>
      </c>
      <c r="C9" s="172">
        <v>1027</v>
      </c>
      <c r="D9" s="172">
        <f t="shared" si="0"/>
        <v>1141.1111111111111</v>
      </c>
      <c r="E9" s="172">
        <f t="shared" si="1"/>
        <v>1283.75</v>
      </c>
      <c r="F9" s="172">
        <f t="shared" ref="F9:H9" si="9">C9*0.47</f>
        <v>482.69</v>
      </c>
      <c r="G9" s="329">
        <f t="shared" si="9"/>
        <v>536.32222222222219</v>
      </c>
      <c r="H9" s="172">
        <f t="shared" si="9"/>
        <v>603.36249999999995</v>
      </c>
      <c r="I9" s="329">
        <f t="shared" si="3"/>
        <v>29783</v>
      </c>
      <c r="J9" s="330">
        <v>45642</v>
      </c>
    </row>
    <row r="10" spans="1:10">
      <c r="A10" s="332" t="s">
        <v>4</v>
      </c>
      <c r="B10" s="7" t="s">
        <v>2147</v>
      </c>
      <c r="C10" s="172">
        <v>707</v>
      </c>
      <c r="D10" s="172">
        <f t="shared" si="0"/>
        <v>785.55555555555554</v>
      </c>
      <c r="E10" s="172">
        <f t="shared" si="1"/>
        <v>883.75</v>
      </c>
      <c r="F10" s="172">
        <f t="shared" ref="F10:H10" si="10">C10*0.47</f>
        <v>332.28999999999996</v>
      </c>
      <c r="G10" s="329">
        <f t="shared" si="10"/>
        <v>369.21111111111111</v>
      </c>
      <c r="H10" s="172">
        <f t="shared" si="10"/>
        <v>415.36249999999995</v>
      </c>
      <c r="I10" s="329">
        <f t="shared" si="3"/>
        <v>20503</v>
      </c>
      <c r="J10" s="330">
        <v>45642</v>
      </c>
    </row>
    <row r="12" spans="1:10">
      <c r="B12" s="7" t="s">
        <v>2148</v>
      </c>
      <c r="C12" s="172">
        <f t="shared" ref="C12:D12" si="11">AVERAGE(C3:C10)</f>
        <v>1060.5</v>
      </c>
      <c r="D12" s="172">
        <f t="shared" si="11"/>
        <v>1178.3333333333333</v>
      </c>
    </row>
    <row r="13" spans="1:10">
      <c r="B13" s="7" t="s">
        <v>2149</v>
      </c>
      <c r="C13" s="172">
        <f t="shared" ref="C13:D13" si="12">C12*0.473</f>
        <v>501.61649999999997</v>
      </c>
      <c r="D13" s="172">
        <f t="shared" si="12"/>
        <v>557.35166666666657</v>
      </c>
    </row>
    <row r="15" spans="1:10">
      <c r="B15" s="56" t="s">
        <v>2150</v>
      </c>
    </row>
    <row r="16" spans="1:10">
      <c r="B16" s="91" t="s">
        <v>2151</v>
      </c>
      <c r="E16" s="232"/>
    </row>
    <row r="17" spans="2:5">
      <c r="B17" s="91" t="s">
        <v>2152</v>
      </c>
      <c r="C17" s="232"/>
      <c r="D17" s="232"/>
      <c r="E17" s="232"/>
    </row>
    <row r="18" spans="2:5">
      <c r="B18" s="91" t="s">
        <v>2153</v>
      </c>
      <c r="C18" s="232"/>
      <c r="D18" s="232"/>
      <c r="E18" s="232"/>
    </row>
    <row r="19" spans="2:5">
      <c r="B19" s="232" t="s">
        <v>2154</v>
      </c>
      <c r="C19" s="232"/>
      <c r="D19" s="232"/>
      <c r="E19" s="232"/>
    </row>
    <row r="20" spans="2:5">
      <c r="B20" s="91" t="s">
        <v>2155</v>
      </c>
      <c r="C20" s="232"/>
      <c r="D20" s="232"/>
      <c r="E20" s="232"/>
    </row>
    <row r="21" spans="2:5">
      <c r="B21" s="232" t="s">
        <v>2156</v>
      </c>
      <c r="C21" s="232"/>
      <c r="D21" s="232"/>
      <c r="E21" s="232"/>
    </row>
    <row r="22" spans="2:5">
      <c r="B22" s="232" t="s">
        <v>2157</v>
      </c>
      <c r="C22" s="232"/>
      <c r="D22" s="232"/>
      <c r="E22" s="232"/>
    </row>
    <row r="23" spans="2:5">
      <c r="B23" s="232" t="s">
        <v>2158</v>
      </c>
      <c r="C23" s="232"/>
      <c r="D23" s="232"/>
      <c r="E23" s="232"/>
    </row>
    <row r="24" spans="2:5">
      <c r="B24" s="232" t="s">
        <v>2159</v>
      </c>
      <c r="C24" s="232"/>
      <c r="D24" s="232"/>
      <c r="E24" s="232"/>
    </row>
    <row r="25" spans="2:5">
      <c r="B25" s="232" t="s">
        <v>2160</v>
      </c>
      <c r="C25" s="232"/>
      <c r="D25" s="232"/>
      <c r="E25" s="232"/>
    </row>
    <row r="26" spans="2:5">
      <c r="B26" s="232"/>
      <c r="C26" s="232"/>
      <c r="D26" s="232"/>
      <c r="E26" s="232"/>
    </row>
    <row r="27" spans="2:5">
      <c r="B27" s="259" t="s">
        <v>2161</v>
      </c>
      <c r="C27" s="232"/>
      <c r="D27" s="232"/>
    </row>
    <row r="28" spans="2:5">
      <c r="B28" s="232" t="s">
        <v>1879</v>
      </c>
    </row>
    <row r="29" spans="2:5">
      <c r="B29" s="232" t="s">
        <v>1880</v>
      </c>
    </row>
    <row r="30" spans="2:5">
      <c r="B30" s="232" t="s">
        <v>2162</v>
      </c>
    </row>
    <row r="31" spans="2:5">
      <c r="B31" s="91" t="s">
        <v>1878</v>
      </c>
    </row>
    <row r="32" spans="2:5">
      <c r="B32" s="91" t="s">
        <v>2163</v>
      </c>
    </row>
    <row r="33" spans="2:2">
      <c r="B33" s="91" t="s">
        <v>2164</v>
      </c>
    </row>
  </sheetData>
  <pageMargins left="0" right="0" top="0" bottom="0" header="0" footer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H13"/>
  <sheetViews>
    <sheetView workbookViewId="0"/>
  </sheetViews>
  <sheetFormatPr defaultColWidth="14.42578125" defaultRowHeight="15" customHeight="1"/>
  <cols>
    <col min="1" max="1" width="20.28515625" customWidth="1"/>
    <col min="3" max="3" width="15.42578125" customWidth="1"/>
  </cols>
  <sheetData>
    <row r="1" spans="1:8">
      <c r="A1" s="401" t="s">
        <v>2165</v>
      </c>
      <c r="B1" s="420"/>
      <c r="C1" s="420"/>
      <c r="D1" s="420"/>
      <c r="E1" s="420"/>
      <c r="H1" s="263" t="s">
        <v>2166</v>
      </c>
    </row>
    <row r="2" spans="1:8">
      <c r="A2" s="15"/>
      <c r="B2" s="333" t="s">
        <v>2167</v>
      </c>
      <c r="C2" s="333" t="s">
        <v>2168</v>
      </c>
      <c r="D2" s="91" t="s">
        <v>2169</v>
      </c>
      <c r="H2" s="263" t="s">
        <v>2170</v>
      </c>
    </row>
    <row r="3" spans="1:8">
      <c r="A3" s="173" t="s">
        <v>2171</v>
      </c>
      <c r="B3" s="242">
        <v>100000</v>
      </c>
      <c r="C3" s="242">
        <v>100000</v>
      </c>
      <c r="D3" s="232">
        <v>100000</v>
      </c>
      <c r="E3" s="232"/>
      <c r="H3" s="263" t="s">
        <v>2172</v>
      </c>
    </row>
    <row r="4" spans="1:8">
      <c r="A4" s="173" t="s">
        <v>2173</v>
      </c>
      <c r="B4" s="242">
        <v>120000</v>
      </c>
      <c r="C4" s="242">
        <v>160000</v>
      </c>
      <c r="D4" s="232">
        <f>B4+C4</f>
        <v>280000</v>
      </c>
      <c r="E4" s="232"/>
      <c r="H4" s="91" t="s">
        <v>2174</v>
      </c>
    </row>
    <row r="5" spans="1:8">
      <c r="A5" s="173" t="s">
        <v>2175</v>
      </c>
      <c r="B5" s="242">
        <v>20000</v>
      </c>
      <c r="C5" s="242">
        <v>20000</v>
      </c>
      <c r="D5" s="232">
        <v>20000</v>
      </c>
      <c r="E5" s="232"/>
    </row>
    <row r="6" spans="1:8">
      <c r="A6" s="173" t="s">
        <v>2176</v>
      </c>
      <c r="B6" s="242">
        <v>14000</v>
      </c>
      <c r="C6" s="242">
        <v>36000</v>
      </c>
      <c r="D6" s="232">
        <v>50000</v>
      </c>
      <c r="E6" s="232"/>
    </row>
    <row r="7" spans="1:8">
      <c r="A7" s="173" t="s">
        <v>2177</v>
      </c>
      <c r="B7" s="242"/>
      <c r="C7" s="242"/>
      <c r="D7" s="232"/>
      <c r="E7" s="232"/>
    </row>
    <row r="8" spans="1:8">
      <c r="A8" s="173" t="s">
        <v>2178</v>
      </c>
      <c r="B8" s="242">
        <v>30000</v>
      </c>
      <c r="C8" s="242">
        <v>30000</v>
      </c>
      <c r="D8" s="232">
        <v>60000</v>
      </c>
      <c r="E8" s="232"/>
    </row>
    <row r="9" spans="1:8">
      <c r="A9" s="173" t="s">
        <v>2179</v>
      </c>
      <c r="B9" s="242">
        <v>10000</v>
      </c>
      <c r="C9" s="242">
        <v>10000</v>
      </c>
      <c r="D9" s="232">
        <v>10000</v>
      </c>
      <c r="E9" s="232"/>
    </row>
    <row r="10" spans="1:8">
      <c r="A10" s="333" t="s">
        <v>2180</v>
      </c>
      <c r="B10" s="334">
        <f t="shared" ref="B10:D10" si="0">(B3+B4)-(B5+B6+B7+B8+B9)</f>
        <v>146000</v>
      </c>
      <c r="C10" s="334">
        <f t="shared" si="0"/>
        <v>164000</v>
      </c>
      <c r="D10" s="334">
        <f t="shared" si="0"/>
        <v>240000</v>
      </c>
      <c r="E10" s="232"/>
    </row>
    <row r="11" spans="1:8">
      <c r="B11" s="232"/>
      <c r="C11" s="232"/>
      <c r="D11" s="232"/>
      <c r="E11" s="232"/>
    </row>
    <row r="12" spans="1:8">
      <c r="B12" s="232"/>
      <c r="C12" s="232"/>
      <c r="D12" s="232"/>
      <c r="E12" s="232"/>
    </row>
    <row r="13" spans="1:8">
      <c r="B13" s="232"/>
      <c r="C13" s="232"/>
      <c r="D13" s="232"/>
      <c r="E13" s="232"/>
    </row>
  </sheetData>
  <mergeCells count="1">
    <mergeCell ref="A1:E1"/>
  </mergeCells>
  <pageMargins left="0" right="0" top="0" bottom="0" header="0" footer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AY11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8.5703125" customWidth="1"/>
    <col min="3" max="3" width="21.5703125" customWidth="1"/>
    <col min="4" max="5" width="10.28515625" customWidth="1"/>
    <col min="6" max="6" width="7.7109375" customWidth="1"/>
    <col min="7" max="7" width="10.28515625" customWidth="1"/>
    <col min="8" max="9" width="10.140625" customWidth="1"/>
  </cols>
  <sheetData>
    <row r="1" spans="1:51" ht="30.75" customHeight="1">
      <c r="A1" s="335" t="s">
        <v>2181</v>
      </c>
      <c r="B1" s="336" t="s">
        <v>1975</v>
      </c>
      <c r="C1" s="336" t="s">
        <v>2131</v>
      </c>
      <c r="D1" s="336" t="s">
        <v>2182</v>
      </c>
      <c r="E1" s="336" t="s">
        <v>2183</v>
      </c>
      <c r="F1" s="336" t="s">
        <v>2184</v>
      </c>
      <c r="G1" s="336" t="s">
        <v>2185</v>
      </c>
      <c r="H1" s="336" t="s">
        <v>2186</v>
      </c>
      <c r="I1" s="335" t="s">
        <v>2187</v>
      </c>
      <c r="J1" s="337"/>
      <c r="K1" s="338" t="s">
        <v>1833</v>
      </c>
      <c r="L1" s="339" t="s">
        <v>1900</v>
      </c>
      <c r="M1" s="340" t="s">
        <v>1835</v>
      </c>
      <c r="N1" s="341" t="s">
        <v>1836</v>
      </c>
      <c r="O1" s="342" t="s">
        <v>1837</v>
      </c>
      <c r="P1" s="343" t="s">
        <v>1838</v>
      </c>
      <c r="Q1" s="344" t="s">
        <v>1839</v>
      </c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</row>
    <row r="2" spans="1:51">
      <c r="A2" s="68">
        <v>1</v>
      </c>
      <c r="B2" s="345" t="s">
        <v>1833</v>
      </c>
      <c r="C2" s="345" t="s">
        <v>2188</v>
      </c>
      <c r="D2" s="346">
        <v>44100</v>
      </c>
      <c r="E2" s="346">
        <v>44115</v>
      </c>
      <c r="F2" s="347">
        <v>3.8</v>
      </c>
      <c r="G2" s="348">
        <v>228</v>
      </c>
      <c r="H2" s="349"/>
      <c r="I2" s="349"/>
      <c r="J2" s="337"/>
      <c r="K2" s="337">
        <v>0</v>
      </c>
      <c r="L2" s="337">
        <v>0</v>
      </c>
      <c r="M2" s="337">
        <v>0</v>
      </c>
      <c r="N2" s="337">
        <v>0</v>
      </c>
      <c r="O2" s="337">
        <v>0</v>
      </c>
      <c r="P2" s="337">
        <v>0</v>
      </c>
      <c r="Q2" s="337">
        <v>0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</row>
    <row r="3" spans="1:51">
      <c r="A3" s="350">
        <v>2</v>
      </c>
      <c r="B3" s="351" t="s">
        <v>1833</v>
      </c>
      <c r="C3" s="351" t="s">
        <v>2188</v>
      </c>
      <c r="D3" s="352">
        <v>44135</v>
      </c>
      <c r="E3" s="352">
        <v>44149</v>
      </c>
      <c r="F3" s="353">
        <v>5.0999999999999996</v>
      </c>
      <c r="G3" s="354">
        <v>180</v>
      </c>
      <c r="H3" s="44"/>
      <c r="I3" s="44"/>
      <c r="J3" s="337"/>
      <c r="K3" s="337">
        <v>0</v>
      </c>
      <c r="L3" s="337">
        <v>0</v>
      </c>
      <c r="M3" s="337">
        <v>0</v>
      </c>
      <c r="N3" s="337">
        <v>0</v>
      </c>
      <c r="O3" s="337">
        <v>0</v>
      </c>
      <c r="P3" s="337">
        <v>0</v>
      </c>
      <c r="Q3" s="337">
        <v>0</v>
      </c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</row>
    <row r="4" spans="1:51">
      <c r="A4" s="350">
        <v>3</v>
      </c>
      <c r="B4" s="355" t="s">
        <v>1900</v>
      </c>
      <c r="C4" s="355" t="s">
        <v>2189</v>
      </c>
      <c r="D4" s="356">
        <v>44142</v>
      </c>
      <c r="E4" s="352">
        <v>44156</v>
      </c>
      <c r="F4" s="353">
        <v>5.6</v>
      </c>
      <c r="G4" s="354">
        <v>155</v>
      </c>
      <c r="H4" s="44"/>
      <c r="I4" s="44"/>
      <c r="J4" s="337"/>
      <c r="K4" s="337">
        <v>0</v>
      </c>
      <c r="L4" s="337">
        <v>0</v>
      </c>
      <c r="M4" s="337">
        <v>0</v>
      </c>
      <c r="N4" s="337">
        <v>0</v>
      </c>
      <c r="O4" s="337">
        <v>0</v>
      </c>
      <c r="P4" s="337">
        <v>0</v>
      </c>
      <c r="Q4" s="337">
        <v>0</v>
      </c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</row>
    <row r="5" spans="1:51">
      <c r="A5" s="350">
        <v>4</v>
      </c>
      <c r="B5" s="357" t="s">
        <v>1835</v>
      </c>
      <c r="C5" s="357" t="s">
        <v>2142</v>
      </c>
      <c r="D5" s="356">
        <v>44170</v>
      </c>
      <c r="E5" s="352">
        <v>44184</v>
      </c>
      <c r="F5" s="353">
        <v>6.8</v>
      </c>
      <c r="G5" s="354">
        <v>143</v>
      </c>
      <c r="H5" s="44"/>
      <c r="I5" s="44"/>
      <c r="J5" s="337"/>
      <c r="K5" s="337">
        <v>0</v>
      </c>
      <c r="L5" s="337">
        <v>0</v>
      </c>
      <c r="M5" s="337">
        <v>0</v>
      </c>
      <c r="N5" s="337">
        <v>0</v>
      </c>
      <c r="O5" s="337">
        <v>0</v>
      </c>
      <c r="P5" s="337">
        <v>0</v>
      </c>
      <c r="Q5" s="337">
        <v>0</v>
      </c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</row>
    <row r="6" spans="1:51">
      <c r="A6" s="350">
        <v>5</v>
      </c>
      <c r="B6" s="357" t="s">
        <v>1835</v>
      </c>
      <c r="C6" s="357" t="s">
        <v>2142</v>
      </c>
      <c r="D6" s="352">
        <v>44276</v>
      </c>
      <c r="E6" s="356">
        <v>44289</v>
      </c>
      <c r="F6" s="353">
        <v>5.6</v>
      </c>
      <c r="G6" s="354">
        <v>225</v>
      </c>
      <c r="H6" s="44"/>
      <c r="I6" s="44"/>
      <c r="J6" s="337"/>
      <c r="K6" s="337">
        <v>0</v>
      </c>
      <c r="L6" s="337">
        <v>0</v>
      </c>
      <c r="M6" s="337">
        <v>0</v>
      </c>
      <c r="N6" s="337">
        <v>0</v>
      </c>
      <c r="O6" s="337">
        <v>0</v>
      </c>
      <c r="P6" s="337">
        <v>0</v>
      </c>
      <c r="Q6" s="337">
        <v>0</v>
      </c>
      <c r="R6" s="21"/>
      <c r="S6" s="21"/>
      <c r="T6" s="21"/>
      <c r="U6" s="21"/>
      <c r="V6" s="21"/>
      <c r="W6" s="21"/>
      <c r="X6" s="406" t="s">
        <v>2185</v>
      </c>
      <c r="Y6" s="407"/>
      <c r="Z6" s="407"/>
      <c r="AA6" s="407"/>
      <c r="AB6" s="407"/>
      <c r="AC6" s="407"/>
      <c r="AD6" s="408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422" t="s">
        <v>2190</v>
      </c>
      <c r="AP6" s="420"/>
      <c r="AQ6" s="420"/>
      <c r="AR6" s="21"/>
      <c r="AS6" s="21"/>
      <c r="AT6" s="21"/>
      <c r="AU6" s="21"/>
      <c r="AV6" s="21"/>
      <c r="AW6" s="21"/>
      <c r="AX6" s="21"/>
      <c r="AY6" s="21"/>
    </row>
    <row r="7" spans="1:51">
      <c r="A7" s="350">
        <v>6</v>
      </c>
      <c r="B7" s="351" t="s">
        <v>1833</v>
      </c>
      <c r="C7" s="351" t="s">
        <v>2188</v>
      </c>
      <c r="D7" s="352">
        <v>44296</v>
      </c>
      <c r="E7" s="352">
        <v>44310</v>
      </c>
      <c r="F7" s="353">
        <v>5.4</v>
      </c>
      <c r="G7" s="354">
        <v>300</v>
      </c>
      <c r="H7" s="44"/>
      <c r="I7" s="44"/>
      <c r="J7" s="337"/>
      <c r="K7" s="337">
        <v>0</v>
      </c>
      <c r="L7" s="337">
        <v>0</v>
      </c>
      <c r="M7" s="337">
        <v>0</v>
      </c>
      <c r="N7" s="337">
        <v>0</v>
      </c>
      <c r="O7" s="337">
        <v>0</v>
      </c>
      <c r="P7" s="337">
        <v>0</v>
      </c>
      <c r="Q7" s="337">
        <v>0</v>
      </c>
      <c r="R7" s="21"/>
      <c r="S7" s="21"/>
      <c r="T7" s="72" t="s">
        <v>1477</v>
      </c>
      <c r="U7" s="349" t="s">
        <v>2185</v>
      </c>
      <c r="V7" s="349" t="s">
        <v>2186</v>
      </c>
      <c r="W7" s="349" t="s">
        <v>2187</v>
      </c>
      <c r="X7" s="345" t="s">
        <v>1833</v>
      </c>
      <c r="Y7" s="339" t="s">
        <v>1900</v>
      </c>
      <c r="Z7" s="340" t="s">
        <v>1835</v>
      </c>
      <c r="AA7" s="341" t="s">
        <v>1836</v>
      </c>
      <c r="AB7" s="342" t="s">
        <v>1837</v>
      </c>
      <c r="AC7" s="343" t="s">
        <v>1838</v>
      </c>
      <c r="AD7" s="344" t="s">
        <v>1839</v>
      </c>
      <c r="AE7" s="21" t="s">
        <v>2191</v>
      </c>
      <c r="AF7" s="422" t="s">
        <v>2192</v>
      </c>
      <c r="AG7" s="420"/>
      <c r="AH7" s="21"/>
      <c r="AI7" s="21"/>
      <c r="AJ7" s="21"/>
      <c r="AK7" s="21"/>
      <c r="AL7" s="21"/>
      <c r="AM7" s="21"/>
      <c r="AN7" s="21"/>
      <c r="AO7" s="338" t="s">
        <v>1833</v>
      </c>
      <c r="AP7" s="339" t="s">
        <v>1900</v>
      </c>
      <c r="AQ7" s="340" t="s">
        <v>1835</v>
      </c>
      <c r="AR7" s="341" t="s">
        <v>1836</v>
      </c>
      <c r="AS7" s="342" t="s">
        <v>1837</v>
      </c>
      <c r="AT7" s="343" t="s">
        <v>1838</v>
      </c>
      <c r="AU7" s="344" t="s">
        <v>1839</v>
      </c>
      <c r="AV7" s="349" t="s">
        <v>2191</v>
      </c>
      <c r="AW7" s="21"/>
      <c r="AX7" s="21"/>
      <c r="AY7" s="21"/>
    </row>
    <row r="8" spans="1:51">
      <c r="A8" s="350">
        <v>7</v>
      </c>
      <c r="B8" s="351" t="s">
        <v>1833</v>
      </c>
      <c r="C8" s="351" t="s">
        <v>2188</v>
      </c>
      <c r="D8" s="356">
        <v>44324</v>
      </c>
      <c r="E8" s="352">
        <v>44338</v>
      </c>
      <c r="F8" s="353">
        <v>5.0999999999999996</v>
      </c>
      <c r="G8" s="354">
        <v>371</v>
      </c>
      <c r="H8" s="44"/>
      <c r="I8" s="44"/>
      <c r="J8" s="337"/>
      <c r="K8" s="337">
        <v>0</v>
      </c>
      <c r="L8" s="337">
        <v>0</v>
      </c>
      <c r="M8" s="337">
        <v>0</v>
      </c>
      <c r="N8" s="337">
        <v>0</v>
      </c>
      <c r="O8" s="337">
        <v>0</v>
      </c>
      <c r="P8" s="337">
        <v>0</v>
      </c>
      <c r="Q8" s="337">
        <v>0</v>
      </c>
      <c r="R8" s="21"/>
      <c r="S8" s="21"/>
      <c r="T8" s="358">
        <v>45281</v>
      </c>
      <c r="U8" s="354">
        <v>1021</v>
      </c>
      <c r="V8" s="354">
        <v>1127</v>
      </c>
      <c r="W8" s="354">
        <v>8</v>
      </c>
      <c r="X8" s="354">
        <v>320</v>
      </c>
      <c r="Y8" s="354">
        <v>368</v>
      </c>
      <c r="Z8" s="44"/>
      <c r="AA8" s="354">
        <v>333</v>
      </c>
      <c r="AB8" s="44"/>
      <c r="AC8" s="44"/>
      <c r="AD8" s="44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spans="1:51">
      <c r="A9" s="350">
        <v>8</v>
      </c>
      <c r="B9" s="351" t="s">
        <v>1833</v>
      </c>
      <c r="C9" s="351" t="s">
        <v>2188</v>
      </c>
      <c r="D9" s="356">
        <v>44325</v>
      </c>
      <c r="E9" s="352">
        <v>44339</v>
      </c>
      <c r="F9" s="353">
        <v>5.0999999999999996</v>
      </c>
      <c r="G9" s="354">
        <v>364</v>
      </c>
      <c r="H9" s="44"/>
      <c r="I9" s="44"/>
      <c r="J9" s="337"/>
      <c r="K9" s="337">
        <v>0</v>
      </c>
      <c r="L9" s="337">
        <v>0</v>
      </c>
      <c r="M9" s="337">
        <v>0</v>
      </c>
      <c r="N9" s="337">
        <v>0</v>
      </c>
      <c r="O9" s="337">
        <v>0</v>
      </c>
      <c r="P9" s="337">
        <v>0</v>
      </c>
      <c r="Q9" s="337">
        <v>0</v>
      </c>
      <c r="R9" s="21"/>
      <c r="S9" s="21"/>
      <c r="T9" s="358">
        <v>44948</v>
      </c>
      <c r="U9" s="354">
        <v>733</v>
      </c>
      <c r="V9" s="354">
        <v>777</v>
      </c>
      <c r="W9" s="354">
        <v>0</v>
      </c>
      <c r="X9" s="354">
        <v>378</v>
      </c>
      <c r="Y9" s="44"/>
      <c r="Z9" s="354">
        <v>355</v>
      </c>
      <c r="AA9" s="44"/>
      <c r="AB9" s="44"/>
      <c r="AC9" s="44"/>
      <c r="AD9" s="44"/>
      <c r="AE9" s="403" t="s">
        <v>2193</v>
      </c>
      <c r="AF9" s="403">
        <v>3239</v>
      </c>
      <c r="AG9" s="21"/>
      <c r="AH9" s="21"/>
      <c r="AI9" s="21"/>
      <c r="AJ9" s="21"/>
      <c r="AK9" s="21"/>
      <c r="AL9" s="21"/>
      <c r="AM9" s="21"/>
      <c r="AN9" s="21"/>
      <c r="AO9" s="405">
        <v>1136</v>
      </c>
      <c r="AP9" s="405">
        <v>370</v>
      </c>
      <c r="AQ9" s="405">
        <v>701</v>
      </c>
      <c r="AR9" s="405">
        <v>700</v>
      </c>
      <c r="AS9" s="405">
        <v>332</v>
      </c>
      <c r="AT9" s="405">
        <v>0</v>
      </c>
      <c r="AU9" s="405">
        <v>0</v>
      </c>
      <c r="AV9" s="405" t="s">
        <v>2193</v>
      </c>
      <c r="AW9" s="21"/>
      <c r="AX9" s="21"/>
      <c r="AY9" s="21"/>
    </row>
    <row r="10" spans="1:51">
      <c r="A10" s="350">
        <v>9</v>
      </c>
      <c r="B10" s="355" t="s">
        <v>1900</v>
      </c>
      <c r="C10" s="355" t="s">
        <v>2189</v>
      </c>
      <c r="D10" s="356">
        <v>44352</v>
      </c>
      <c r="E10" s="352">
        <v>44366</v>
      </c>
      <c r="F10" s="353">
        <v>5.3</v>
      </c>
      <c r="G10" s="354">
        <v>300</v>
      </c>
      <c r="H10" s="44"/>
      <c r="I10" s="44"/>
      <c r="J10" s="337"/>
      <c r="K10" s="337">
        <v>0</v>
      </c>
      <c r="L10" s="337">
        <v>0</v>
      </c>
      <c r="M10" s="337">
        <v>0</v>
      </c>
      <c r="N10" s="337">
        <v>0</v>
      </c>
      <c r="O10" s="337">
        <v>0</v>
      </c>
      <c r="P10" s="337">
        <v>0</v>
      </c>
      <c r="Q10" s="337">
        <v>0</v>
      </c>
      <c r="R10" s="21"/>
      <c r="S10" s="21"/>
      <c r="T10" s="358">
        <v>44979</v>
      </c>
      <c r="U10" s="354">
        <v>1089</v>
      </c>
      <c r="V10" s="354">
        <v>1170</v>
      </c>
      <c r="W10" s="354">
        <v>18</v>
      </c>
      <c r="X10" s="354">
        <v>377</v>
      </c>
      <c r="Y10" s="44"/>
      <c r="Z10" s="44"/>
      <c r="AA10" s="354">
        <v>380</v>
      </c>
      <c r="AB10" s="354">
        <v>332</v>
      </c>
      <c r="AC10" s="44"/>
      <c r="AD10" s="44"/>
      <c r="AE10" s="420"/>
      <c r="AF10" s="420"/>
      <c r="AG10" s="21"/>
      <c r="AH10" s="21"/>
      <c r="AI10" s="21"/>
      <c r="AJ10" s="21"/>
      <c r="AK10" s="21"/>
      <c r="AL10" s="21"/>
      <c r="AM10" s="21"/>
      <c r="AN10" s="21"/>
      <c r="AO10" s="423"/>
      <c r="AP10" s="423"/>
      <c r="AQ10" s="423"/>
      <c r="AR10" s="423"/>
      <c r="AS10" s="423"/>
      <c r="AT10" s="423"/>
      <c r="AU10" s="423"/>
      <c r="AV10" s="423"/>
      <c r="AW10" s="21"/>
      <c r="AX10" s="21"/>
      <c r="AY10" s="21"/>
    </row>
    <row r="11" spans="1:51">
      <c r="A11" s="350">
        <v>10</v>
      </c>
      <c r="B11" s="357" t="s">
        <v>1835</v>
      </c>
      <c r="C11" s="357" t="s">
        <v>2142</v>
      </c>
      <c r="D11" s="352">
        <v>44367</v>
      </c>
      <c r="E11" s="356">
        <v>44380</v>
      </c>
      <c r="F11" s="353">
        <v>5.5</v>
      </c>
      <c r="G11" s="354">
        <v>210</v>
      </c>
      <c r="H11" s="44"/>
      <c r="I11" s="44"/>
      <c r="J11" s="337"/>
      <c r="K11" s="337">
        <v>0</v>
      </c>
      <c r="L11" s="337">
        <v>0</v>
      </c>
      <c r="M11" s="337">
        <v>0</v>
      </c>
      <c r="N11" s="337">
        <v>0</v>
      </c>
      <c r="O11" s="337">
        <v>0</v>
      </c>
      <c r="P11" s="337">
        <v>0</v>
      </c>
      <c r="Q11" s="337">
        <v>0</v>
      </c>
      <c r="R11" s="21"/>
      <c r="S11" s="21"/>
      <c r="T11" s="358">
        <v>45007</v>
      </c>
      <c r="U11" s="354">
        <v>1417</v>
      </c>
      <c r="V11" s="354">
        <v>2693</v>
      </c>
      <c r="W11" s="354">
        <v>4</v>
      </c>
      <c r="X11" s="354">
        <v>381</v>
      </c>
      <c r="Y11" s="354">
        <v>370</v>
      </c>
      <c r="Z11" s="354">
        <v>346</v>
      </c>
      <c r="AA11" s="354">
        <v>320</v>
      </c>
      <c r="AB11" s="44"/>
      <c r="AC11" s="44"/>
      <c r="AD11" s="44"/>
      <c r="AE11" s="420"/>
      <c r="AF11" s="420"/>
      <c r="AG11" s="21"/>
      <c r="AH11" s="21"/>
      <c r="AI11" s="21"/>
      <c r="AJ11" s="21"/>
      <c r="AK11" s="21"/>
      <c r="AL11" s="21"/>
      <c r="AM11" s="21"/>
      <c r="AN11" s="21"/>
      <c r="AO11" s="424"/>
      <c r="AP11" s="424"/>
      <c r="AQ11" s="424"/>
      <c r="AR11" s="424"/>
      <c r="AS11" s="424"/>
      <c r="AT11" s="424"/>
      <c r="AU11" s="424"/>
      <c r="AV11" s="424"/>
      <c r="AW11" s="21"/>
      <c r="AX11" s="21"/>
      <c r="AY11" s="21"/>
    </row>
    <row r="12" spans="1:51">
      <c r="A12" s="350">
        <v>11</v>
      </c>
      <c r="B12" s="351" t="s">
        <v>1833</v>
      </c>
      <c r="C12" s="351" t="s">
        <v>2188</v>
      </c>
      <c r="D12" s="352">
        <v>44394</v>
      </c>
      <c r="E12" s="352">
        <v>44408</v>
      </c>
      <c r="F12" s="347">
        <v>5.0999999999999996</v>
      </c>
      <c r="G12" s="354">
        <v>374</v>
      </c>
      <c r="H12" s="44"/>
      <c r="I12" s="44"/>
      <c r="J12" s="337"/>
      <c r="K12" s="337">
        <v>1</v>
      </c>
      <c r="L12" s="337">
        <v>0</v>
      </c>
      <c r="M12" s="337">
        <v>0</v>
      </c>
      <c r="N12" s="337">
        <v>0</v>
      </c>
      <c r="O12" s="337">
        <v>0</v>
      </c>
      <c r="P12" s="337">
        <v>0</v>
      </c>
      <c r="Q12" s="337">
        <v>0</v>
      </c>
      <c r="R12" s="21"/>
      <c r="S12" s="21"/>
      <c r="T12" s="358">
        <v>45038</v>
      </c>
      <c r="U12" s="354">
        <v>783</v>
      </c>
      <c r="V12" s="354">
        <v>1098</v>
      </c>
      <c r="W12" s="354">
        <v>9</v>
      </c>
      <c r="X12" s="354">
        <v>388</v>
      </c>
      <c r="Y12" s="44"/>
      <c r="Z12" s="44"/>
      <c r="AA12" s="44"/>
      <c r="AB12" s="354">
        <v>395</v>
      </c>
      <c r="AC12" s="44"/>
      <c r="AD12" s="44"/>
      <c r="AE12" s="403" t="s">
        <v>2194</v>
      </c>
      <c r="AF12" s="403">
        <v>2628</v>
      </c>
      <c r="AG12" s="21"/>
      <c r="AH12" s="21"/>
      <c r="AI12" s="21"/>
      <c r="AJ12" s="21"/>
      <c r="AK12" s="21"/>
      <c r="AL12" s="21"/>
      <c r="AM12" s="21"/>
      <c r="AN12" s="21"/>
      <c r="AO12" s="404">
        <v>763</v>
      </c>
      <c r="AP12" s="404">
        <v>370</v>
      </c>
      <c r="AQ12" s="404">
        <v>0</v>
      </c>
      <c r="AR12" s="404">
        <v>700</v>
      </c>
      <c r="AS12" s="404">
        <v>795</v>
      </c>
      <c r="AT12" s="404">
        <v>0</v>
      </c>
      <c r="AU12" s="404">
        <v>0</v>
      </c>
      <c r="AV12" s="404" t="s">
        <v>2194</v>
      </c>
      <c r="AW12" s="21"/>
      <c r="AX12" s="21"/>
      <c r="AY12" s="21"/>
    </row>
    <row r="13" spans="1:51">
      <c r="A13" s="350">
        <v>12</v>
      </c>
      <c r="B13" s="359" t="s">
        <v>1836</v>
      </c>
      <c r="C13" s="359" t="s">
        <v>2143</v>
      </c>
      <c r="D13" s="352">
        <v>44430</v>
      </c>
      <c r="E13" s="360">
        <v>44444</v>
      </c>
      <c r="F13" s="353">
        <v>5.8</v>
      </c>
      <c r="G13" s="44"/>
      <c r="H13" s="44"/>
      <c r="I13" s="44"/>
      <c r="J13" s="337"/>
      <c r="K13" s="337">
        <v>0</v>
      </c>
      <c r="L13" s="337">
        <v>0</v>
      </c>
      <c r="M13" s="337">
        <v>0</v>
      </c>
      <c r="N13" s="337">
        <v>1</v>
      </c>
      <c r="O13" s="337">
        <v>0</v>
      </c>
      <c r="P13" s="337">
        <v>0</v>
      </c>
      <c r="Q13" s="337">
        <v>0</v>
      </c>
      <c r="R13" s="21"/>
      <c r="S13" s="21"/>
      <c r="T13" s="358">
        <v>45068</v>
      </c>
      <c r="U13" s="354">
        <v>1070</v>
      </c>
      <c r="V13" s="354">
        <v>1507</v>
      </c>
      <c r="W13" s="354">
        <v>12</v>
      </c>
      <c r="X13" s="44"/>
      <c r="Y13" s="354">
        <v>370</v>
      </c>
      <c r="Z13" s="44"/>
      <c r="AA13" s="354">
        <v>700</v>
      </c>
      <c r="AB13" s="44"/>
      <c r="AC13" s="44"/>
      <c r="AD13" s="44"/>
      <c r="AE13" s="420"/>
      <c r="AF13" s="420"/>
      <c r="AG13" s="21"/>
      <c r="AH13" s="21"/>
      <c r="AI13" s="21"/>
      <c r="AJ13" s="21"/>
      <c r="AK13" s="21"/>
      <c r="AL13" s="21"/>
      <c r="AM13" s="21"/>
      <c r="AN13" s="21"/>
      <c r="AO13" s="423"/>
      <c r="AP13" s="423"/>
      <c r="AQ13" s="423"/>
      <c r="AR13" s="423"/>
      <c r="AS13" s="423"/>
      <c r="AT13" s="423"/>
      <c r="AU13" s="423"/>
      <c r="AV13" s="423"/>
      <c r="AW13" s="21"/>
      <c r="AX13" s="21"/>
      <c r="AY13" s="21"/>
    </row>
    <row r="14" spans="1:51">
      <c r="A14" s="350">
        <v>13</v>
      </c>
      <c r="B14" s="357" t="s">
        <v>1835</v>
      </c>
      <c r="C14" s="357" t="s">
        <v>2142</v>
      </c>
      <c r="D14" s="356">
        <v>44445</v>
      </c>
      <c r="E14" s="44"/>
      <c r="F14" s="354"/>
      <c r="G14" s="44"/>
      <c r="H14" s="44"/>
      <c r="I14" s="44"/>
      <c r="J14" s="337"/>
      <c r="K14" s="337">
        <v>0</v>
      </c>
      <c r="L14" s="337">
        <v>0</v>
      </c>
      <c r="M14" s="337">
        <v>1</v>
      </c>
      <c r="N14" s="337">
        <v>0</v>
      </c>
      <c r="O14" s="337">
        <v>0</v>
      </c>
      <c r="P14" s="337">
        <v>0</v>
      </c>
      <c r="Q14" s="337">
        <v>0</v>
      </c>
      <c r="R14" s="21"/>
      <c r="S14" s="21"/>
      <c r="T14" s="358">
        <v>45099</v>
      </c>
      <c r="U14" s="354">
        <v>775</v>
      </c>
      <c r="V14" s="354">
        <v>1375</v>
      </c>
      <c r="W14" s="354">
        <v>4</v>
      </c>
      <c r="X14" s="354">
        <v>375</v>
      </c>
      <c r="Y14" s="44"/>
      <c r="Z14" s="44"/>
      <c r="AA14" s="44"/>
      <c r="AB14" s="354">
        <v>400</v>
      </c>
      <c r="AC14" s="44"/>
      <c r="AD14" s="44"/>
      <c r="AE14" s="420"/>
      <c r="AF14" s="420"/>
      <c r="AG14" s="21"/>
      <c r="AH14" s="21"/>
      <c r="AI14" s="21"/>
      <c r="AJ14" s="21"/>
      <c r="AK14" s="21"/>
      <c r="AL14" s="21"/>
      <c r="AM14" s="21"/>
      <c r="AN14" s="21"/>
      <c r="AO14" s="424"/>
      <c r="AP14" s="424"/>
      <c r="AQ14" s="424"/>
      <c r="AR14" s="424"/>
      <c r="AS14" s="424"/>
      <c r="AT14" s="424"/>
      <c r="AU14" s="424"/>
      <c r="AV14" s="424"/>
      <c r="AW14" s="21"/>
      <c r="AX14" s="21"/>
      <c r="AY14" s="21"/>
    </row>
    <row r="15" spans="1:51">
      <c r="A15" s="350">
        <v>14</v>
      </c>
      <c r="B15" s="351" t="s">
        <v>1833</v>
      </c>
      <c r="C15" s="351" t="s">
        <v>2188</v>
      </c>
      <c r="D15" s="352">
        <v>44514</v>
      </c>
      <c r="E15" s="356">
        <v>44531</v>
      </c>
      <c r="F15" s="354">
        <v>5</v>
      </c>
      <c r="G15" s="354">
        <v>320</v>
      </c>
      <c r="H15" s="354">
        <v>183</v>
      </c>
      <c r="I15" s="354">
        <v>8</v>
      </c>
      <c r="J15" s="337"/>
      <c r="K15" s="337">
        <v>1</v>
      </c>
      <c r="L15" s="337">
        <v>0</v>
      </c>
      <c r="M15" s="337">
        <v>0</v>
      </c>
      <c r="N15" s="337">
        <v>0</v>
      </c>
      <c r="O15" s="337">
        <v>0</v>
      </c>
      <c r="P15" s="337">
        <v>0</v>
      </c>
      <c r="Q15" s="337">
        <v>0</v>
      </c>
      <c r="R15" s="21"/>
      <c r="S15" s="21"/>
      <c r="T15" s="358">
        <v>45129</v>
      </c>
      <c r="U15" s="354">
        <v>1829</v>
      </c>
      <c r="V15" s="354">
        <v>3832</v>
      </c>
      <c r="W15" s="354">
        <v>6</v>
      </c>
      <c r="X15" s="354">
        <v>380</v>
      </c>
      <c r="Y15" s="44"/>
      <c r="Z15" s="354">
        <v>368</v>
      </c>
      <c r="AA15" s="44"/>
      <c r="AB15" s="44"/>
      <c r="AC15" s="354">
        <v>1081</v>
      </c>
      <c r="AD15" s="44"/>
      <c r="AE15" s="403" t="s">
        <v>2195</v>
      </c>
      <c r="AF15" s="403">
        <v>5383</v>
      </c>
      <c r="AG15" s="420"/>
      <c r="AH15" s="420"/>
      <c r="AI15" s="420"/>
      <c r="AJ15" s="420"/>
      <c r="AK15" s="420"/>
      <c r="AL15" s="420"/>
      <c r="AM15" s="420"/>
      <c r="AN15" s="21"/>
      <c r="AO15" s="404">
        <v>1036</v>
      </c>
      <c r="AP15" s="404">
        <v>332</v>
      </c>
      <c r="AQ15" s="404">
        <v>730</v>
      </c>
      <c r="AR15" s="404">
        <v>1419</v>
      </c>
      <c r="AS15" s="404">
        <v>405</v>
      </c>
      <c r="AT15" s="404">
        <v>1461</v>
      </c>
      <c r="AU15" s="404">
        <v>0</v>
      </c>
      <c r="AV15" s="404" t="s">
        <v>2195</v>
      </c>
      <c r="AW15" s="21"/>
      <c r="AX15" s="21"/>
      <c r="AY15" s="21"/>
    </row>
    <row r="16" spans="1:51">
      <c r="A16" s="350">
        <v>15</v>
      </c>
      <c r="B16" s="355" t="s">
        <v>1900</v>
      </c>
      <c r="C16" s="355" t="s">
        <v>2189</v>
      </c>
      <c r="D16" s="352">
        <v>44527</v>
      </c>
      <c r="E16" s="352">
        <v>44547</v>
      </c>
      <c r="F16" s="354">
        <v>5.6</v>
      </c>
      <c r="G16" s="354">
        <v>368</v>
      </c>
      <c r="H16" s="354">
        <v>258</v>
      </c>
      <c r="I16" s="354">
        <v>0</v>
      </c>
      <c r="J16" s="337"/>
      <c r="K16" s="337">
        <v>0</v>
      </c>
      <c r="L16" s="337">
        <v>1</v>
      </c>
      <c r="M16" s="337">
        <v>0</v>
      </c>
      <c r="N16" s="337">
        <v>0</v>
      </c>
      <c r="O16" s="337">
        <v>0</v>
      </c>
      <c r="P16" s="337">
        <v>0</v>
      </c>
      <c r="Q16" s="337">
        <v>0</v>
      </c>
      <c r="R16" s="21"/>
      <c r="S16" s="21"/>
      <c r="T16" s="358">
        <v>45160</v>
      </c>
      <c r="U16" s="354">
        <v>1089</v>
      </c>
      <c r="V16" s="354">
        <v>1656</v>
      </c>
      <c r="W16" s="354">
        <v>10</v>
      </c>
      <c r="X16" s="44"/>
      <c r="Y16" s="354">
        <v>332</v>
      </c>
      <c r="Z16" s="44"/>
      <c r="AA16" s="354">
        <v>352</v>
      </c>
      <c r="AB16" s="354">
        <v>405</v>
      </c>
      <c r="AC16" s="44"/>
      <c r="AD16" s="44"/>
      <c r="AE16" s="420"/>
      <c r="AF16" s="420"/>
      <c r="AG16" s="420"/>
      <c r="AH16" s="420"/>
      <c r="AI16" s="420"/>
      <c r="AJ16" s="420"/>
      <c r="AK16" s="420"/>
      <c r="AL16" s="420"/>
      <c r="AM16" s="420"/>
      <c r="AN16" s="21"/>
      <c r="AO16" s="423"/>
      <c r="AP16" s="423"/>
      <c r="AQ16" s="423"/>
      <c r="AR16" s="423"/>
      <c r="AS16" s="423"/>
      <c r="AT16" s="423"/>
      <c r="AU16" s="423"/>
      <c r="AV16" s="423"/>
      <c r="AW16" s="21"/>
      <c r="AX16" s="21"/>
      <c r="AY16" s="21"/>
    </row>
    <row r="17" spans="1:51">
      <c r="A17" s="350">
        <v>16</v>
      </c>
      <c r="B17" s="359" t="s">
        <v>1836</v>
      </c>
      <c r="C17" s="359" t="s">
        <v>2143</v>
      </c>
      <c r="D17" s="352">
        <v>44543</v>
      </c>
      <c r="E17" s="352">
        <v>44558</v>
      </c>
      <c r="F17" s="354">
        <v>5.9</v>
      </c>
      <c r="G17" s="354">
        <v>333</v>
      </c>
      <c r="H17" s="354">
        <v>686</v>
      </c>
      <c r="I17" s="354">
        <v>0</v>
      </c>
      <c r="J17" s="337"/>
      <c r="K17" s="337">
        <v>0</v>
      </c>
      <c r="L17" s="337">
        <v>0</v>
      </c>
      <c r="M17" s="337">
        <v>0</v>
      </c>
      <c r="N17" s="337">
        <v>1</v>
      </c>
      <c r="O17" s="337">
        <v>0</v>
      </c>
      <c r="P17" s="337">
        <v>0</v>
      </c>
      <c r="Q17" s="337">
        <v>0</v>
      </c>
      <c r="R17" s="21"/>
      <c r="S17" s="21"/>
      <c r="T17" s="358">
        <v>45191</v>
      </c>
      <c r="U17" s="354">
        <v>2465</v>
      </c>
      <c r="V17" s="354">
        <v>3316</v>
      </c>
      <c r="W17" s="354">
        <v>30</v>
      </c>
      <c r="X17" s="354">
        <v>656</v>
      </c>
      <c r="Y17" s="44"/>
      <c r="Z17" s="354">
        <v>362</v>
      </c>
      <c r="AA17" s="354">
        <v>1067</v>
      </c>
      <c r="AB17" s="44"/>
      <c r="AC17" s="354">
        <v>380</v>
      </c>
      <c r="AD17" s="44"/>
      <c r="AE17" s="420"/>
      <c r="AF17" s="420"/>
      <c r="AG17" s="420"/>
      <c r="AH17" s="420"/>
      <c r="AI17" s="420"/>
      <c r="AJ17" s="420"/>
      <c r="AK17" s="420"/>
      <c r="AL17" s="420"/>
      <c r="AM17" s="420"/>
      <c r="AN17" s="21"/>
      <c r="AO17" s="424"/>
      <c r="AP17" s="424"/>
      <c r="AQ17" s="424"/>
      <c r="AR17" s="424"/>
      <c r="AS17" s="424"/>
      <c r="AT17" s="424"/>
      <c r="AU17" s="424"/>
      <c r="AV17" s="424"/>
      <c r="AW17" s="21"/>
      <c r="AX17" s="21"/>
      <c r="AY17" s="21"/>
    </row>
    <row r="18" spans="1:51">
      <c r="A18" s="350">
        <v>17</v>
      </c>
      <c r="B18" s="357" t="s">
        <v>1835</v>
      </c>
      <c r="C18" s="357" t="s">
        <v>2142</v>
      </c>
      <c r="D18" s="352">
        <v>44560</v>
      </c>
      <c r="E18" s="352">
        <v>44574</v>
      </c>
      <c r="F18" s="354">
        <v>7</v>
      </c>
      <c r="G18" s="354">
        <v>355</v>
      </c>
      <c r="H18" s="44"/>
      <c r="I18" s="44"/>
      <c r="J18" s="337"/>
      <c r="K18" s="337">
        <v>0</v>
      </c>
      <c r="L18" s="337">
        <v>0</v>
      </c>
      <c r="M18" s="337">
        <v>1</v>
      </c>
      <c r="N18" s="337">
        <v>0</v>
      </c>
      <c r="O18" s="337">
        <v>0</v>
      </c>
      <c r="P18" s="337">
        <v>0</v>
      </c>
      <c r="Q18" s="337">
        <v>0</v>
      </c>
      <c r="R18" s="21"/>
      <c r="S18" s="21"/>
      <c r="T18" s="358">
        <v>45221</v>
      </c>
      <c r="U18" s="354">
        <v>2177</v>
      </c>
      <c r="V18" s="354">
        <v>2609</v>
      </c>
      <c r="W18" s="354">
        <v>32</v>
      </c>
      <c r="X18" s="354">
        <v>746</v>
      </c>
      <c r="Y18" s="354">
        <v>332</v>
      </c>
      <c r="Z18" s="44"/>
      <c r="AA18" s="354">
        <v>704</v>
      </c>
      <c r="AB18" s="354">
        <v>395</v>
      </c>
      <c r="AC18" s="44"/>
      <c r="AD18" s="44"/>
      <c r="AE18" s="402" t="s">
        <v>2196</v>
      </c>
      <c r="AF18" s="403">
        <v>5889</v>
      </c>
      <c r="AG18" s="420"/>
      <c r="AH18" s="420"/>
      <c r="AI18" s="420"/>
      <c r="AJ18" s="420"/>
      <c r="AK18" s="420"/>
      <c r="AL18" s="420"/>
      <c r="AM18" s="420"/>
      <c r="AN18" s="21"/>
      <c r="AO18" s="404">
        <v>1493</v>
      </c>
      <c r="AP18" s="404">
        <v>1088</v>
      </c>
      <c r="AQ18" s="404">
        <v>365</v>
      </c>
      <c r="AR18" s="404">
        <v>1758</v>
      </c>
      <c r="AS18" s="404">
        <v>1185</v>
      </c>
      <c r="AT18" s="404">
        <v>0</v>
      </c>
      <c r="AU18" s="404">
        <v>0</v>
      </c>
      <c r="AV18" s="404" t="s">
        <v>2196</v>
      </c>
      <c r="AW18" s="21"/>
      <c r="AX18" s="21"/>
      <c r="AY18" s="21"/>
    </row>
    <row r="19" spans="1:51">
      <c r="A19" s="350">
        <v>18</v>
      </c>
      <c r="B19" s="351" t="s">
        <v>1833</v>
      </c>
      <c r="C19" s="351" t="s">
        <v>2188</v>
      </c>
      <c r="D19" s="356">
        <v>44566</v>
      </c>
      <c r="E19" s="352">
        <v>44585</v>
      </c>
      <c r="F19" s="354">
        <v>5.3</v>
      </c>
      <c r="G19" s="354">
        <v>378</v>
      </c>
      <c r="H19" s="354">
        <v>777</v>
      </c>
      <c r="I19" s="354">
        <v>0</v>
      </c>
      <c r="J19" s="337"/>
      <c r="K19" s="337">
        <v>1</v>
      </c>
      <c r="L19" s="337">
        <v>0</v>
      </c>
      <c r="M19" s="337">
        <v>0</v>
      </c>
      <c r="N19" s="337">
        <v>0</v>
      </c>
      <c r="O19" s="337">
        <v>0</v>
      </c>
      <c r="P19" s="337">
        <v>0</v>
      </c>
      <c r="Q19" s="337">
        <v>0</v>
      </c>
      <c r="R19" s="21"/>
      <c r="S19" s="21"/>
      <c r="T19" s="358">
        <v>45252</v>
      </c>
      <c r="U19" s="354">
        <v>1821</v>
      </c>
      <c r="V19" s="354">
        <v>3046</v>
      </c>
      <c r="W19" s="354">
        <v>13</v>
      </c>
      <c r="X19" s="354">
        <v>379</v>
      </c>
      <c r="Y19" s="354">
        <v>379</v>
      </c>
      <c r="Z19" s="354">
        <v>365</v>
      </c>
      <c r="AA19" s="354">
        <v>698</v>
      </c>
      <c r="AB19" s="44"/>
      <c r="AC19" s="44"/>
      <c r="AD19" s="44"/>
      <c r="AE19" s="421"/>
      <c r="AF19" s="420"/>
      <c r="AG19" s="420"/>
      <c r="AH19" s="420"/>
      <c r="AI19" s="420"/>
      <c r="AJ19" s="420"/>
      <c r="AK19" s="420"/>
      <c r="AL19" s="420"/>
      <c r="AM19" s="420"/>
      <c r="AN19" s="21"/>
      <c r="AO19" s="423"/>
      <c r="AP19" s="423"/>
      <c r="AQ19" s="423"/>
      <c r="AR19" s="423"/>
      <c r="AS19" s="423"/>
      <c r="AT19" s="423"/>
      <c r="AU19" s="423"/>
      <c r="AV19" s="423"/>
      <c r="AW19" s="21"/>
      <c r="AX19" s="21"/>
      <c r="AY19" s="21"/>
    </row>
    <row r="20" spans="1:51">
      <c r="A20" s="350">
        <v>19</v>
      </c>
      <c r="B20" s="361" t="s">
        <v>1837</v>
      </c>
      <c r="C20" s="361" t="s">
        <v>2144</v>
      </c>
      <c r="D20" s="352">
        <v>44580</v>
      </c>
      <c r="E20" s="356">
        <v>44600</v>
      </c>
      <c r="F20" s="354">
        <v>5.3</v>
      </c>
      <c r="G20" s="354">
        <v>332</v>
      </c>
      <c r="H20" s="354">
        <v>681</v>
      </c>
      <c r="I20" s="354">
        <v>0</v>
      </c>
      <c r="J20" s="337"/>
      <c r="K20" s="337">
        <v>0</v>
      </c>
      <c r="L20" s="337">
        <v>0</v>
      </c>
      <c r="M20" s="337">
        <v>0</v>
      </c>
      <c r="N20" s="337">
        <v>0</v>
      </c>
      <c r="O20" s="337">
        <v>1</v>
      </c>
      <c r="P20" s="337">
        <v>0</v>
      </c>
      <c r="Q20" s="337">
        <v>0</v>
      </c>
      <c r="R20" s="21"/>
      <c r="S20" s="21"/>
      <c r="T20" s="358">
        <v>45282</v>
      </c>
      <c r="U20" s="354">
        <v>1891</v>
      </c>
      <c r="V20" s="354">
        <v>2911</v>
      </c>
      <c r="W20" s="354">
        <v>18</v>
      </c>
      <c r="X20" s="354">
        <v>368</v>
      </c>
      <c r="Y20" s="354">
        <v>377</v>
      </c>
      <c r="Z20" s="44"/>
      <c r="AA20" s="354">
        <v>356</v>
      </c>
      <c r="AB20" s="354">
        <v>790</v>
      </c>
      <c r="AC20" s="44"/>
      <c r="AD20" s="44"/>
      <c r="AE20" s="421"/>
      <c r="AF20" s="420"/>
      <c r="AG20" s="420"/>
      <c r="AH20" s="420"/>
      <c r="AI20" s="420"/>
      <c r="AJ20" s="420"/>
      <c r="AK20" s="420"/>
      <c r="AL20" s="420"/>
      <c r="AM20" s="420"/>
      <c r="AN20" s="21"/>
      <c r="AO20" s="424"/>
      <c r="AP20" s="424"/>
      <c r="AQ20" s="424"/>
      <c r="AR20" s="424"/>
      <c r="AS20" s="424"/>
      <c r="AT20" s="424"/>
      <c r="AU20" s="424"/>
      <c r="AV20" s="424"/>
      <c r="AW20" s="21"/>
      <c r="AX20" s="21"/>
      <c r="AY20" s="21"/>
    </row>
    <row r="21" spans="1:51">
      <c r="A21" s="350">
        <v>20</v>
      </c>
      <c r="B21" s="359" t="s">
        <v>1836</v>
      </c>
      <c r="C21" s="359" t="s">
        <v>2143</v>
      </c>
      <c r="D21" s="356">
        <v>44601</v>
      </c>
      <c r="E21" s="352">
        <v>44615</v>
      </c>
      <c r="F21" s="354">
        <v>6</v>
      </c>
      <c r="G21" s="354">
        <v>380</v>
      </c>
      <c r="H21" s="354">
        <v>427</v>
      </c>
      <c r="I21" s="354">
        <v>6</v>
      </c>
      <c r="J21" s="337"/>
      <c r="K21" s="337">
        <v>0</v>
      </c>
      <c r="L21" s="337">
        <v>0</v>
      </c>
      <c r="M21" s="337">
        <v>0</v>
      </c>
      <c r="N21" s="337">
        <v>1</v>
      </c>
      <c r="O21" s="337">
        <v>0</v>
      </c>
      <c r="P21" s="337">
        <v>0</v>
      </c>
      <c r="Q21" s="337">
        <v>0</v>
      </c>
      <c r="R21" s="21"/>
      <c r="S21" s="21"/>
      <c r="T21" s="358">
        <v>44949</v>
      </c>
      <c r="U21" s="354">
        <v>1824</v>
      </c>
      <c r="V21" s="354">
        <v>2870</v>
      </c>
      <c r="W21" s="354">
        <v>15</v>
      </c>
      <c r="X21" s="354">
        <v>372</v>
      </c>
      <c r="Y21" s="44"/>
      <c r="Z21" s="354">
        <v>363</v>
      </c>
      <c r="AA21" s="354">
        <v>350</v>
      </c>
      <c r="AB21" s="44"/>
      <c r="AC21" s="354">
        <v>359</v>
      </c>
      <c r="AD21" s="354">
        <v>380</v>
      </c>
      <c r="AE21" s="403" t="s">
        <v>2197</v>
      </c>
      <c r="AF21" s="403">
        <v>5174</v>
      </c>
      <c r="AG21" s="420"/>
      <c r="AH21" s="420"/>
      <c r="AI21" s="420"/>
      <c r="AJ21" s="420"/>
      <c r="AK21" s="420"/>
      <c r="AL21" s="420"/>
      <c r="AM21" s="420"/>
      <c r="AN21" s="21"/>
      <c r="AO21" s="404">
        <v>1134</v>
      </c>
      <c r="AP21" s="404">
        <v>367</v>
      </c>
      <c r="AQ21" s="404">
        <v>724</v>
      </c>
      <c r="AR21" s="404">
        <v>1050</v>
      </c>
      <c r="AS21" s="404">
        <v>395</v>
      </c>
      <c r="AT21" s="404">
        <v>359</v>
      </c>
      <c r="AU21" s="404">
        <v>1145</v>
      </c>
      <c r="AV21" s="404" t="s">
        <v>2197</v>
      </c>
      <c r="AW21" s="21"/>
      <c r="AX21" s="21"/>
      <c r="AY21" s="21"/>
    </row>
    <row r="22" spans="1:51">
      <c r="A22" s="350">
        <v>21</v>
      </c>
      <c r="B22" s="351" t="s">
        <v>1833</v>
      </c>
      <c r="C22" s="351" t="s">
        <v>2188</v>
      </c>
      <c r="D22" s="352">
        <v>44602</v>
      </c>
      <c r="E22" s="352">
        <v>44615</v>
      </c>
      <c r="F22" s="354">
        <v>5.3</v>
      </c>
      <c r="G22" s="354">
        <v>377</v>
      </c>
      <c r="H22" s="354">
        <v>62</v>
      </c>
      <c r="I22" s="354">
        <v>12</v>
      </c>
      <c r="J22" s="337"/>
      <c r="K22" s="337">
        <v>1</v>
      </c>
      <c r="L22" s="337">
        <v>0</v>
      </c>
      <c r="M22" s="337">
        <v>0</v>
      </c>
      <c r="N22" s="337">
        <v>0</v>
      </c>
      <c r="O22" s="337">
        <v>0</v>
      </c>
      <c r="P22" s="337">
        <v>0</v>
      </c>
      <c r="Q22" s="337">
        <v>0</v>
      </c>
      <c r="R22" s="21"/>
      <c r="S22" s="21"/>
      <c r="T22" s="358">
        <v>44980</v>
      </c>
      <c r="U22" s="354">
        <v>1880</v>
      </c>
      <c r="V22" s="354">
        <v>2226</v>
      </c>
      <c r="W22" s="354">
        <v>27</v>
      </c>
      <c r="X22" s="354">
        <v>383</v>
      </c>
      <c r="Y22" s="354">
        <v>367</v>
      </c>
      <c r="Z22" s="44"/>
      <c r="AA22" s="354">
        <v>350</v>
      </c>
      <c r="AB22" s="354">
        <v>395</v>
      </c>
      <c r="AC22" s="44"/>
      <c r="AD22" s="354">
        <v>385</v>
      </c>
      <c r="AE22" s="420"/>
      <c r="AF22" s="420"/>
      <c r="AG22" s="420"/>
      <c r="AH22" s="420"/>
      <c r="AI22" s="420"/>
      <c r="AJ22" s="420"/>
      <c r="AK22" s="420"/>
      <c r="AL22" s="420"/>
      <c r="AM22" s="420"/>
      <c r="AN22" s="21"/>
      <c r="AO22" s="423"/>
      <c r="AP22" s="423"/>
      <c r="AQ22" s="423"/>
      <c r="AR22" s="423"/>
      <c r="AS22" s="423"/>
      <c r="AT22" s="423"/>
      <c r="AU22" s="423"/>
      <c r="AV22" s="423"/>
      <c r="AW22" s="21"/>
      <c r="AX22" s="21"/>
      <c r="AY22" s="21"/>
    </row>
    <row r="23" spans="1:51">
      <c r="A23" s="350">
        <v>22</v>
      </c>
      <c r="B23" s="355" t="s">
        <v>1900</v>
      </c>
      <c r="C23" s="355" t="s">
        <v>2189</v>
      </c>
      <c r="D23" s="352">
        <v>44616</v>
      </c>
      <c r="E23" s="356">
        <v>44627</v>
      </c>
      <c r="F23" s="354">
        <v>5.5</v>
      </c>
      <c r="G23" s="354">
        <v>370</v>
      </c>
      <c r="H23" s="354">
        <v>767</v>
      </c>
      <c r="I23" s="354">
        <v>0</v>
      </c>
      <c r="J23" s="337"/>
      <c r="K23" s="337">
        <v>0</v>
      </c>
      <c r="L23" s="337">
        <v>1</v>
      </c>
      <c r="M23" s="337">
        <v>0</v>
      </c>
      <c r="N23" s="337">
        <v>0</v>
      </c>
      <c r="O23" s="337">
        <v>0</v>
      </c>
      <c r="P23" s="337">
        <v>0</v>
      </c>
      <c r="Q23" s="337">
        <v>0</v>
      </c>
      <c r="R23" s="21"/>
      <c r="S23" s="21"/>
      <c r="T23" s="358">
        <v>45008</v>
      </c>
      <c r="U23" s="354">
        <v>1470</v>
      </c>
      <c r="V23" s="354">
        <v>2765</v>
      </c>
      <c r="W23" s="354">
        <v>6</v>
      </c>
      <c r="X23" s="354">
        <v>379</v>
      </c>
      <c r="Y23" s="44"/>
      <c r="Z23" s="354">
        <v>361</v>
      </c>
      <c r="AA23" s="354">
        <v>350</v>
      </c>
      <c r="AB23" s="44"/>
      <c r="AC23" s="44"/>
      <c r="AD23" s="354">
        <v>380</v>
      </c>
      <c r="AE23" s="420"/>
      <c r="AF23" s="420"/>
      <c r="AG23" s="420"/>
      <c r="AH23" s="420"/>
      <c r="AI23" s="420"/>
      <c r="AJ23" s="420"/>
      <c r="AK23" s="420"/>
      <c r="AL23" s="420"/>
      <c r="AM23" s="420"/>
      <c r="AN23" s="21"/>
      <c r="AO23" s="424"/>
      <c r="AP23" s="424"/>
      <c r="AQ23" s="424"/>
      <c r="AR23" s="424"/>
      <c r="AS23" s="424"/>
      <c r="AT23" s="424"/>
      <c r="AU23" s="424"/>
      <c r="AV23" s="424"/>
      <c r="AW23" s="21"/>
      <c r="AX23" s="21"/>
      <c r="AY23" s="21"/>
    </row>
    <row r="24" spans="1:51">
      <c r="A24" s="350">
        <v>23</v>
      </c>
      <c r="B24" s="351" t="s">
        <v>1833</v>
      </c>
      <c r="C24" s="351" t="s">
        <v>2188</v>
      </c>
      <c r="D24" s="352">
        <v>44617</v>
      </c>
      <c r="E24" s="356">
        <v>44625</v>
      </c>
      <c r="F24" s="354">
        <v>4.9000000000000004</v>
      </c>
      <c r="G24" s="354">
        <v>381</v>
      </c>
      <c r="H24" s="354">
        <v>534</v>
      </c>
      <c r="I24" s="354">
        <v>4</v>
      </c>
      <c r="J24" s="337"/>
      <c r="K24" s="337">
        <v>1</v>
      </c>
      <c r="L24" s="337">
        <v>0</v>
      </c>
      <c r="M24" s="337">
        <v>0</v>
      </c>
      <c r="N24" s="337">
        <v>0</v>
      </c>
      <c r="O24" s="337">
        <v>0</v>
      </c>
      <c r="P24" s="337">
        <v>0</v>
      </c>
      <c r="Q24" s="337">
        <v>0</v>
      </c>
      <c r="R24" s="21"/>
      <c r="S24" s="21"/>
      <c r="T24" s="358">
        <v>45039</v>
      </c>
      <c r="U24" s="354">
        <v>1871</v>
      </c>
      <c r="V24" s="354">
        <v>3492</v>
      </c>
      <c r="W24" s="354">
        <v>8</v>
      </c>
      <c r="X24" s="354">
        <v>376</v>
      </c>
      <c r="Y24" s="354">
        <v>365</v>
      </c>
      <c r="Z24" s="44"/>
      <c r="AA24" s="354">
        <v>355</v>
      </c>
      <c r="AB24" s="354">
        <v>400</v>
      </c>
      <c r="AC24" s="354">
        <v>375</v>
      </c>
      <c r="AD24" s="44"/>
      <c r="AE24" s="403" t="s">
        <v>2198</v>
      </c>
      <c r="AF24" s="403">
        <v>4815</v>
      </c>
      <c r="AG24" s="420"/>
      <c r="AH24" s="420"/>
      <c r="AI24" s="420"/>
      <c r="AJ24" s="420"/>
      <c r="AK24" s="420"/>
      <c r="AL24" s="420"/>
      <c r="AM24" s="420"/>
      <c r="AN24" s="21"/>
      <c r="AO24" s="404">
        <v>742</v>
      </c>
      <c r="AP24" s="404">
        <v>745</v>
      </c>
      <c r="AQ24" s="404">
        <v>726</v>
      </c>
      <c r="AR24" s="404">
        <v>709</v>
      </c>
      <c r="AS24" s="404">
        <v>785</v>
      </c>
      <c r="AT24" s="404">
        <v>375</v>
      </c>
      <c r="AU24" s="404">
        <v>733</v>
      </c>
      <c r="AV24" s="404" t="s">
        <v>2198</v>
      </c>
      <c r="AW24" s="21"/>
      <c r="AX24" s="21"/>
      <c r="AY24" s="21"/>
    </row>
    <row r="25" spans="1:51">
      <c r="A25" s="350">
        <v>24</v>
      </c>
      <c r="B25" s="359" t="s">
        <v>1836</v>
      </c>
      <c r="C25" s="359" t="s">
        <v>2143</v>
      </c>
      <c r="D25" s="356">
        <v>44626</v>
      </c>
      <c r="E25" s="352">
        <v>44647</v>
      </c>
      <c r="F25" s="354">
        <v>5.8</v>
      </c>
      <c r="G25" s="354">
        <v>320</v>
      </c>
      <c r="H25" s="354">
        <v>656</v>
      </c>
      <c r="I25" s="354">
        <v>0</v>
      </c>
      <c r="J25" s="337"/>
      <c r="K25" s="337">
        <v>0</v>
      </c>
      <c r="L25" s="337">
        <v>0</v>
      </c>
      <c r="M25" s="337">
        <v>0</v>
      </c>
      <c r="N25" s="337">
        <v>1</v>
      </c>
      <c r="O25" s="337">
        <v>0</v>
      </c>
      <c r="P25" s="337">
        <v>0</v>
      </c>
      <c r="Q25" s="337">
        <v>0</v>
      </c>
      <c r="R25" s="21"/>
      <c r="S25" s="21"/>
      <c r="T25" s="358">
        <v>45069</v>
      </c>
      <c r="U25" s="354">
        <v>2213</v>
      </c>
      <c r="V25" s="354">
        <v>4597</v>
      </c>
      <c r="W25" s="354">
        <v>2</v>
      </c>
      <c r="X25" s="354">
        <v>366</v>
      </c>
      <c r="Y25" s="354">
        <v>380</v>
      </c>
      <c r="Z25" s="354">
        <v>360</v>
      </c>
      <c r="AA25" s="354">
        <v>354</v>
      </c>
      <c r="AB25" s="354">
        <v>385</v>
      </c>
      <c r="AC25" s="44"/>
      <c r="AD25" s="354">
        <v>368</v>
      </c>
      <c r="AE25" s="420"/>
      <c r="AF25" s="420"/>
      <c r="AG25" s="420"/>
      <c r="AH25" s="420"/>
      <c r="AI25" s="420"/>
      <c r="AJ25" s="420"/>
      <c r="AK25" s="420"/>
      <c r="AL25" s="420"/>
      <c r="AM25" s="420"/>
      <c r="AN25" s="21"/>
      <c r="AO25" s="423"/>
      <c r="AP25" s="423"/>
      <c r="AQ25" s="423"/>
      <c r="AR25" s="423"/>
      <c r="AS25" s="423"/>
      <c r="AT25" s="423"/>
      <c r="AU25" s="423"/>
      <c r="AV25" s="423"/>
      <c r="AW25" s="21"/>
      <c r="AX25" s="21"/>
      <c r="AY25" s="21"/>
    </row>
    <row r="26" spans="1:51">
      <c r="A26" s="350">
        <v>25</v>
      </c>
      <c r="B26" s="357" t="s">
        <v>1835</v>
      </c>
      <c r="C26" s="357" t="s">
        <v>2142</v>
      </c>
      <c r="D26" s="356">
        <v>44628</v>
      </c>
      <c r="E26" s="352">
        <v>44649</v>
      </c>
      <c r="F26" s="354">
        <v>6.3</v>
      </c>
      <c r="G26" s="354">
        <v>346</v>
      </c>
      <c r="H26" s="354">
        <v>736</v>
      </c>
      <c r="I26" s="354">
        <v>0</v>
      </c>
      <c r="J26" s="337"/>
      <c r="K26" s="337">
        <v>0</v>
      </c>
      <c r="L26" s="337">
        <v>0</v>
      </c>
      <c r="M26" s="337">
        <v>1</v>
      </c>
      <c r="N26" s="337">
        <v>0</v>
      </c>
      <c r="O26" s="337">
        <v>0</v>
      </c>
      <c r="P26" s="337">
        <v>0</v>
      </c>
      <c r="Q26" s="337">
        <v>0</v>
      </c>
      <c r="R26" s="21"/>
      <c r="S26" s="21"/>
      <c r="T26" s="358">
        <v>45100</v>
      </c>
      <c r="U26" s="354">
        <v>731</v>
      </c>
      <c r="V26" s="354">
        <v>1558</v>
      </c>
      <c r="W26" s="354">
        <v>0</v>
      </c>
      <c r="X26" s="44"/>
      <c r="Y26" s="44"/>
      <c r="Z26" s="354">
        <v>366</v>
      </c>
      <c r="AA26" s="44"/>
      <c r="AB26" s="44"/>
      <c r="AC26" s="44"/>
      <c r="AD26" s="354">
        <v>365</v>
      </c>
      <c r="AE26" s="420"/>
      <c r="AF26" s="420"/>
      <c r="AG26" s="420"/>
      <c r="AH26" s="420"/>
      <c r="AI26" s="420"/>
      <c r="AJ26" s="420"/>
      <c r="AK26" s="420"/>
      <c r="AL26" s="420"/>
      <c r="AM26" s="420"/>
      <c r="AN26" s="21"/>
      <c r="AO26" s="424"/>
      <c r="AP26" s="424"/>
      <c r="AQ26" s="424"/>
      <c r="AR26" s="424"/>
      <c r="AS26" s="424"/>
      <c r="AT26" s="424"/>
      <c r="AU26" s="424"/>
      <c r="AV26" s="424"/>
      <c r="AW26" s="21"/>
      <c r="AX26" s="21"/>
      <c r="AY26" s="21"/>
    </row>
    <row r="27" spans="1:51">
      <c r="A27" s="350">
        <v>26</v>
      </c>
      <c r="B27" s="351" t="s">
        <v>1833</v>
      </c>
      <c r="C27" s="351" t="s">
        <v>2188</v>
      </c>
      <c r="D27" s="352">
        <v>44648</v>
      </c>
      <c r="E27" s="352">
        <v>44666</v>
      </c>
      <c r="F27" s="354">
        <v>5.4</v>
      </c>
      <c r="G27" s="354">
        <v>388</v>
      </c>
      <c r="H27" s="354">
        <v>517</v>
      </c>
      <c r="I27" s="354">
        <v>5</v>
      </c>
      <c r="J27" s="337"/>
      <c r="K27" s="337">
        <v>1</v>
      </c>
      <c r="L27" s="337">
        <v>0</v>
      </c>
      <c r="M27" s="337">
        <v>0</v>
      </c>
      <c r="N27" s="337">
        <v>0</v>
      </c>
      <c r="O27" s="337">
        <v>0</v>
      </c>
      <c r="P27" s="337">
        <v>0</v>
      </c>
      <c r="Q27" s="337">
        <v>0</v>
      </c>
      <c r="R27" s="21"/>
      <c r="S27" s="21"/>
      <c r="T27" s="358">
        <v>45130</v>
      </c>
      <c r="U27" s="354">
        <v>729</v>
      </c>
      <c r="V27" s="354">
        <v>1557</v>
      </c>
      <c r="W27" s="354">
        <v>0</v>
      </c>
      <c r="X27" s="354">
        <v>360</v>
      </c>
      <c r="Y27" s="44"/>
      <c r="Z27" s="44"/>
      <c r="AA27" s="44"/>
      <c r="AB27" s="44"/>
      <c r="AC27" s="354">
        <v>369</v>
      </c>
      <c r="AD27" s="44"/>
      <c r="AE27" s="403" t="s">
        <v>2199</v>
      </c>
      <c r="AF27" s="403">
        <v>2994</v>
      </c>
      <c r="AG27" s="420"/>
      <c r="AH27" s="420"/>
      <c r="AI27" s="420"/>
      <c r="AJ27" s="420"/>
      <c r="AK27" s="420"/>
      <c r="AL27" s="420"/>
      <c r="AM27" s="420"/>
      <c r="AN27" s="21"/>
      <c r="AO27" s="404">
        <v>744</v>
      </c>
      <c r="AP27" s="404">
        <v>384</v>
      </c>
      <c r="AQ27" s="404">
        <v>0</v>
      </c>
      <c r="AR27" s="404">
        <v>710</v>
      </c>
      <c r="AS27" s="404">
        <v>397</v>
      </c>
      <c r="AT27" s="404">
        <v>369</v>
      </c>
      <c r="AU27" s="404">
        <v>390</v>
      </c>
      <c r="AV27" s="404" t="s">
        <v>2199</v>
      </c>
      <c r="AW27" s="21"/>
      <c r="AX27" s="21"/>
      <c r="AY27" s="21"/>
    </row>
    <row r="28" spans="1:51">
      <c r="A28" s="350">
        <v>27</v>
      </c>
      <c r="B28" s="361" t="s">
        <v>1837</v>
      </c>
      <c r="C28" s="361" t="s">
        <v>2144</v>
      </c>
      <c r="D28" s="352">
        <v>44650</v>
      </c>
      <c r="E28" s="352">
        <v>44668</v>
      </c>
      <c r="F28" s="354">
        <v>5.9</v>
      </c>
      <c r="G28" s="354">
        <v>395</v>
      </c>
      <c r="H28" s="354">
        <v>581</v>
      </c>
      <c r="I28" s="354">
        <v>4</v>
      </c>
      <c r="J28" s="337"/>
      <c r="K28" s="337">
        <v>0</v>
      </c>
      <c r="L28" s="337">
        <v>0</v>
      </c>
      <c r="M28" s="337">
        <v>0</v>
      </c>
      <c r="N28" s="337">
        <v>0</v>
      </c>
      <c r="O28" s="337">
        <v>1</v>
      </c>
      <c r="P28" s="337">
        <v>0</v>
      </c>
      <c r="Q28" s="337">
        <v>0</v>
      </c>
      <c r="R28" s="21"/>
      <c r="S28" s="21"/>
      <c r="T28" s="358">
        <v>45161</v>
      </c>
      <c r="U28" s="354">
        <v>757</v>
      </c>
      <c r="V28" s="354">
        <v>1365</v>
      </c>
      <c r="W28" s="354">
        <v>4</v>
      </c>
      <c r="X28" s="44"/>
      <c r="Y28" s="44"/>
      <c r="Z28" s="44"/>
      <c r="AA28" s="354">
        <v>360</v>
      </c>
      <c r="AB28" s="354">
        <v>397</v>
      </c>
      <c r="AC28" s="44"/>
      <c r="AD28" s="44"/>
      <c r="AE28" s="420"/>
      <c r="AF28" s="420"/>
      <c r="AG28" s="420"/>
      <c r="AH28" s="420"/>
      <c r="AI28" s="420"/>
      <c r="AJ28" s="420"/>
      <c r="AK28" s="420"/>
      <c r="AL28" s="420"/>
      <c r="AM28" s="420"/>
      <c r="AN28" s="21"/>
      <c r="AO28" s="423"/>
      <c r="AP28" s="423"/>
      <c r="AQ28" s="423"/>
      <c r="AR28" s="423"/>
      <c r="AS28" s="423"/>
      <c r="AT28" s="423"/>
      <c r="AU28" s="423"/>
      <c r="AV28" s="423"/>
      <c r="AW28" s="21"/>
      <c r="AX28" s="21"/>
      <c r="AY28" s="21"/>
    </row>
    <row r="29" spans="1:51">
      <c r="A29" s="350">
        <v>28</v>
      </c>
      <c r="B29" s="355" t="s">
        <v>1900</v>
      </c>
      <c r="C29" s="355" t="s">
        <v>2189</v>
      </c>
      <c r="D29" s="352">
        <v>44674</v>
      </c>
      <c r="E29" s="356">
        <v>44689</v>
      </c>
      <c r="F29" s="354">
        <v>5.4</v>
      </c>
      <c r="G29" s="354">
        <v>370</v>
      </c>
      <c r="H29" s="354">
        <v>763</v>
      </c>
      <c r="I29" s="354">
        <v>0</v>
      </c>
      <c r="J29" s="337"/>
      <c r="K29" s="337">
        <v>0</v>
      </c>
      <c r="L29" s="337">
        <v>1</v>
      </c>
      <c r="M29" s="337">
        <v>0</v>
      </c>
      <c r="N29" s="337">
        <v>0</v>
      </c>
      <c r="O29" s="337">
        <v>0</v>
      </c>
      <c r="P29" s="337">
        <v>0</v>
      </c>
      <c r="Q29" s="337">
        <v>0</v>
      </c>
      <c r="R29" s="21"/>
      <c r="S29" s="21"/>
      <c r="T29" s="358">
        <v>45192</v>
      </c>
      <c r="U29" s="354">
        <v>1508</v>
      </c>
      <c r="V29" s="354">
        <v>2526</v>
      </c>
      <c r="W29" s="354">
        <v>11</v>
      </c>
      <c r="X29" s="354">
        <v>384</v>
      </c>
      <c r="Y29" s="354">
        <v>384</v>
      </c>
      <c r="Z29" s="44"/>
      <c r="AA29" s="354">
        <v>350</v>
      </c>
      <c r="AB29" s="44"/>
      <c r="AC29" s="44"/>
      <c r="AD29" s="354">
        <v>390</v>
      </c>
      <c r="AE29" s="420"/>
      <c r="AF29" s="420"/>
      <c r="AG29" s="420"/>
      <c r="AH29" s="420"/>
      <c r="AI29" s="420"/>
      <c r="AJ29" s="420"/>
      <c r="AK29" s="420"/>
      <c r="AL29" s="420"/>
      <c r="AM29" s="420"/>
      <c r="AN29" s="21"/>
      <c r="AO29" s="424"/>
      <c r="AP29" s="424"/>
      <c r="AQ29" s="424"/>
      <c r="AR29" s="424"/>
      <c r="AS29" s="424"/>
      <c r="AT29" s="424"/>
      <c r="AU29" s="424"/>
      <c r="AV29" s="424"/>
      <c r="AW29" s="21"/>
      <c r="AX29" s="21"/>
      <c r="AY29" s="21"/>
    </row>
    <row r="30" spans="1:51">
      <c r="A30" s="350">
        <v>29</v>
      </c>
      <c r="B30" s="359" t="s">
        <v>1836</v>
      </c>
      <c r="C30" s="359" t="s">
        <v>2143</v>
      </c>
      <c r="D30" s="352">
        <v>44675</v>
      </c>
      <c r="E30" s="352">
        <v>44692</v>
      </c>
      <c r="F30" s="354">
        <v>6</v>
      </c>
      <c r="G30" s="354">
        <v>345</v>
      </c>
      <c r="H30" s="354">
        <v>367</v>
      </c>
      <c r="I30" s="354">
        <v>6</v>
      </c>
      <c r="J30" s="337"/>
      <c r="K30" s="337">
        <v>0</v>
      </c>
      <c r="L30" s="337">
        <v>0</v>
      </c>
      <c r="M30" s="337">
        <v>0</v>
      </c>
      <c r="N30" s="337">
        <v>1</v>
      </c>
      <c r="O30" s="337">
        <v>0</v>
      </c>
      <c r="P30" s="337">
        <v>0</v>
      </c>
      <c r="Q30" s="337">
        <v>0</v>
      </c>
      <c r="R30" s="21"/>
      <c r="S30" s="21"/>
      <c r="T30" s="358">
        <v>45222</v>
      </c>
      <c r="U30" s="354">
        <v>1114</v>
      </c>
      <c r="V30" s="354">
        <v>1515</v>
      </c>
      <c r="W30" s="354">
        <v>14</v>
      </c>
      <c r="X30" s="354">
        <v>387</v>
      </c>
      <c r="Y30" s="44"/>
      <c r="Z30" s="354">
        <v>369</v>
      </c>
      <c r="AA30" s="354">
        <v>358</v>
      </c>
      <c r="AB30" s="44"/>
      <c r="AC30" s="44"/>
      <c r="AD30" s="44"/>
      <c r="AE30" s="402" t="s">
        <v>2200</v>
      </c>
      <c r="AF30" s="403">
        <v>1114</v>
      </c>
      <c r="AG30" s="21"/>
      <c r="AH30" s="21"/>
      <c r="AI30" s="21"/>
      <c r="AJ30" s="21"/>
      <c r="AK30" s="21"/>
      <c r="AL30" s="21"/>
      <c r="AM30" s="21"/>
      <c r="AN30" s="21"/>
      <c r="AO30" s="404">
        <v>387</v>
      </c>
      <c r="AP30" s="404">
        <v>0</v>
      </c>
      <c r="AQ30" s="404">
        <v>369</v>
      </c>
      <c r="AR30" s="404">
        <v>358</v>
      </c>
      <c r="AS30" s="404">
        <v>0</v>
      </c>
      <c r="AT30" s="404">
        <v>0</v>
      </c>
      <c r="AU30" s="404">
        <v>0</v>
      </c>
      <c r="AV30" s="404" t="s">
        <v>2200</v>
      </c>
      <c r="AW30" s="21"/>
      <c r="AX30" s="21"/>
      <c r="AY30" s="21"/>
    </row>
    <row r="31" spans="1:51">
      <c r="A31" s="350">
        <v>30</v>
      </c>
      <c r="B31" s="362" t="s">
        <v>1838</v>
      </c>
      <c r="C31" s="362" t="s">
        <v>2145</v>
      </c>
      <c r="D31" s="352">
        <v>44694</v>
      </c>
      <c r="E31" s="356">
        <v>44902</v>
      </c>
      <c r="F31" s="354">
        <v>6.6</v>
      </c>
      <c r="G31" s="354">
        <v>0</v>
      </c>
      <c r="H31" s="354">
        <v>0</v>
      </c>
      <c r="I31" s="354">
        <v>0</v>
      </c>
      <c r="J31" s="337"/>
      <c r="K31" s="337">
        <v>0</v>
      </c>
      <c r="L31" s="337">
        <v>0</v>
      </c>
      <c r="M31" s="337">
        <v>0</v>
      </c>
      <c r="N31" s="337">
        <v>0</v>
      </c>
      <c r="O31" s="337">
        <v>0</v>
      </c>
      <c r="P31" s="337">
        <v>1</v>
      </c>
      <c r="Q31" s="337">
        <v>0</v>
      </c>
      <c r="R31" s="21"/>
      <c r="S31" s="21"/>
      <c r="T31" s="358">
        <v>45253</v>
      </c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21"/>
      <c r="AF31" s="420"/>
      <c r="AG31" s="21"/>
      <c r="AH31" s="21"/>
      <c r="AI31" s="21"/>
      <c r="AJ31" s="21"/>
      <c r="AK31" s="21"/>
      <c r="AL31" s="21"/>
      <c r="AM31" s="21"/>
      <c r="AN31" s="21"/>
      <c r="AO31" s="423"/>
      <c r="AP31" s="423"/>
      <c r="AQ31" s="423"/>
      <c r="AR31" s="423"/>
      <c r="AS31" s="423"/>
      <c r="AT31" s="423"/>
      <c r="AU31" s="423"/>
      <c r="AV31" s="423"/>
      <c r="AW31" s="21"/>
      <c r="AX31" s="21"/>
      <c r="AY31" s="21"/>
    </row>
    <row r="32" spans="1:51">
      <c r="A32" s="350">
        <v>31</v>
      </c>
      <c r="B32" s="359" t="s">
        <v>1836</v>
      </c>
      <c r="C32" s="359" t="s">
        <v>2143</v>
      </c>
      <c r="D32" s="352">
        <v>44695</v>
      </c>
      <c r="E32" s="352">
        <v>44709</v>
      </c>
      <c r="F32" s="354">
        <v>5.9</v>
      </c>
      <c r="G32" s="354">
        <v>355</v>
      </c>
      <c r="H32" s="354">
        <v>377</v>
      </c>
      <c r="I32" s="354">
        <v>6</v>
      </c>
      <c r="J32" s="337"/>
      <c r="K32" s="337">
        <v>0</v>
      </c>
      <c r="L32" s="337">
        <v>0</v>
      </c>
      <c r="M32" s="337">
        <v>0</v>
      </c>
      <c r="N32" s="337">
        <v>1</v>
      </c>
      <c r="O32" s="337">
        <v>0</v>
      </c>
      <c r="P32" s="337">
        <v>0</v>
      </c>
      <c r="Q32" s="337">
        <v>0</v>
      </c>
      <c r="R32" s="21"/>
      <c r="S32" s="21"/>
      <c r="T32" s="358">
        <v>45283</v>
      </c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21"/>
      <c r="AF32" s="420"/>
      <c r="AG32" s="21"/>
      <c r="AH32" s="21"/>
      <c r="AI32" s="21"/>
      <c r="AJ32" s="21"/>
      <c r="AK32" s="21"/>
      <c r="AL32" s="21"/>
      <c r="AM32" s="21"/>
      <c r="AN32" s="21"/>
      <c r="AO32" s="424"/>
      <c r="AP32" s="424"/>
      <c r="AQ32" s="424"/>
      <c r="AR32" s="424"/>
      <c r="AS32" s="424"/>
      <c r="AT32" s="424"/>
      <c r="AU32" s="424"/>
      <c r="AV32" s="424"/>
      <c r="AW32" s="21"/>
      <c r="AX32" s="21"/>
      <c r="AY32" s="21"/>
    </row>
    <row r="33" spans="1:51">
      <c r="A33" s="350">
        <v>32</v>
      </c>
      <c r="B33" s="361" t="s">
        <v>1837</v>
      </c>
      <c r="C33" s="361" t="s">
        <v>2144</v>
      </c>
      <c r="D33" s="352">
        <v>44711</v>
      </c>
      <c r="E33" s="352">
        <v>44726</v>
      </c>
      <c r="F33" s="354">
        <v>5.3</v>
      </c>
      <c r="G33" s="354">
        <v>400</v>
      </c>
      <c r="H33" s="354">
        <v>838</v>
      </c>
      <c r="I33" s="354">
        <v>0</v>
      </c>
      <c r="J33" s="337"/>
      <c r="K33" s="337">
        <v>0</v>
      </c>
      <c r="L33" s="337">
        <v>0</v>
      </c>
      <c r="M33" s="337">
        <v>0</v>
      </c>
      <c r="N33" s="337">
        <v>0</v>
      </c>
      <c r="O33" s="337">
        <v>1</v>
      </c>
      <c r="P33" s="337">
        <v>0</v>
      </c>
      <c r="Q33" s="337">
        <v>0</v>
      </c>
      <c r="R33" s="21"/>
      <c r="S33" s="21"/>
      <c r="T33" s="21"/>
      <c r="U33" s="21"/>
      <c r="V33" s="21"/>
      <c r="W33" s="21"/>
      <c r="X33" s="363" t="s">
        <v>1833</v>
      </c>
      <c r="Y33" s="355" t="s">
        <v>1900</v>
      </c>
      <c r="Z33" s="357" t="s">
        <v>1835</v>
      </c>
      <c r="AA33" s="359" t="s">
        <v>1836</v>
      </c>
      <c r="AB33" s="361" t="s">
        <v>1837</v>
      </c>
      <c r="AC33" s="362" t="s">
        <v>1838</v>
      </c>
      <c r="AD33" s="364" t="s">
        <v>1839</v>
      </c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</row>
    <row r="34" spans="1:51">
      <c r="A34" s="350">
        <v>33</v>
      </c>
      <c r="B34" s="351" t="s">
        <v>1833</v>
      </c>
      <c r="C34" s="351" t="s">
        <v>2188</v>
      </c>
      <c r="D34" s="352">
        <v>44727</v>
      </c>
      <c r="E34" s="365">
        <v>44738</v>
      </c>
      <c r="F34" s="354">
        <v>5.3</v>
      </c>
      <c r="G34" s="354">
        <v>375</v>
      </c>
      <c r="H34" s="354">
        <v>537</v>
      </c>
      <c r="I34" s="354">
        <v>4</v>
      </c>
      <c r="J34" s="337"/>
      <c r="K34" s="337">
        <v>1</v>
      </c>
      <c r="L34" s="337">
        <v>0</v>
      </c>
      <c r="M34" s="337">
        <v>0</v>
      </c>
      <c r="N34" s="337">
        <v>0</v>
      </c>
      <c r="O34" s="337">
        <v>0</v>
      </c>
      <c r="P34" s="337">
        <v>0</v>
      </c>
      <c r="Q34" s="337">
        <v>0</v>
      </c>
      <c r="R34" s="21"/>
      <c r="S34" s="21"/>
      <c r="T34" s="21"/>
      <c r="U34" s="21"/>
      <c r="V34" s="21"/>
      <c r="W34" s="21"/>
      <c r="X34" s="420"/>
      <c r="Y34" s="420"/>
      <c r="Z34" s="420"/>
      <c r="AA34" s="420"/>
      <c r="AB34" s="420"/>
      <c r="AC34" s="420"/>
      <c r="AD34" s="420"/>
      <c r="AE34" s="420"/>
      <c r="AF34" s="21"/>
      <c r="AG34" s="21"/>
      <c r="AH34" s="21"/>
      <c r="AI34" s="21"/>
      <c r="AJ34" s="21"/>
      <c r="AK34" s="21"/>
      <c r="AL34" s="21"/>
      <c r="AM34" s="21"/>
      <c r="AN34" s="21"/>
      <c r="AO34" s="420"/>
      <c r="AP34" s="420"/>
      <c r="AQ34" s="420"/>
      <c r="AR34" s="420"/>
      <c r="AS34" s="420"/>
      <c r="AT34" s="420"/>
      <c r="AU34" s="420"/>
      <c r="AV34" s="420"/>
      <c r="AW34" s="420"/>
      <c r="AX34" s="420"/>
      <c r="AY34" s="420"/>
    </row>
    <row r="35" spans="1:51">
      <c r="A35" s="350">
        <v>34</v>
      </c>
      <c r="B35" s="362" t="s">
        <v>1838</v>
      </c>
      <c r="C35" s="362" t="s">
        <v>2145</v>
      </c>
      <c r="D35" s="352">
        <v>44728</v>
      </c>
      <c r="E35" s="366">
        <v>44748</v>
      </c>
      <c r="F35" s="354">
        <v>11.3</v>
      </c>
      <c r="G35" s="354">
        <v>368</v>
      </c>
      <c r="H35" s="354">
        <v>893</v>
      </c>
      <c r="I35" s="354">
        <v>0</v>
      </c>
      <c r="J35" s="337"/>
      <c r="K35" s="337">
        <v>0</v>
      </c>
      <c r="L35" s="337">
        <v>0</v>
      </c>
      <c r="M35" s="337">
        <v>0</v>
      </c>
      <c r="N35" s="337">
        <v>0</v>
      </c>
      <c r="O35" s="337">
        <v>0</v>
      </c>
      <c r="P35" s="337">
        <v>1</v>
      </c>
      <c r="Q35" s="337">
        <v>0</v>
      </c>
      <c r="R35" s="21"/>
      <c r="S35" s="21"/>
      <c r="T35" s="21"/>
      <c r="U35" s="21"/>
      <c r="V35" s="21"/>
      <c r="W35" s="21"/>
      <c r="X35" s="420"/>
      <c r="Y35" s="420"/>
      <c r="Z35" s="420"/>
      <c r="AA35" s="420"/>
      <c r="AB35" s="420"/>
      <c r="AC35" s="420"/>
      <c r="AD35" s="420"/>
      <c r="AE35" s="420"/>
      <c r="AF35" s="21"/>
      <c r="AG35" s="21"/>
      <c r="AH35" s="21"/>
      <c r="AI35" s="21"/>
      <c r="AJ35" s="21"/>
      <c r="AK35" s="21"/>
      <c r="AL35" s="21"/>
      <c r="AM35" s="21"/>
      <c r="AN35" s="21"/>
      <c r="AO35" s="420"/>
      <c r="AP35" s="420"/>
      <c r="AQ35" s="420"/>
      <c r="AR35" s="420"/>
      <c r="AS35" s="420"/>
      <c r="AT35" s="420"/>
      <c r="AU35" s="420"/>
      <c r="AV35" s="420"/>
      <c r="AW35" s="420"/>
      <c r="AX35" s="420"/>
      <c r="AY35" s="420"/>
    </row>
    <row r="36" spans="1:51">
      <c r="A36" s="350">
        <v>35</v>
      </c>
      <c r="B36" s="362" t="s">
        <v>1838</v>
      </c>
      <c r="C36" s="362" t="s">
        <v>2145</v>
      </c>
      <c r="D36" s="352">
        <v>44731</v>
      </c>
      <c r="E36" s="356">
        <v>44750</v>
      </c>
      <c r="F36" s="354">
        <v>10.8</v>
      </c>
      <c r="G36" s="354">
        <v>355</v>
      </c>
      <c r="H36" s="354">
        <v>875</v>
      </c>
      <c r="I36" s="354">
        <v>0</v>
      </c>
      <c r="J36" s="337"/>
      <c r="K36" s="337">
        <v>0</v>
      </c>
      <c r="L36" s="337">
        <v>0</v>
      </c>
      <c r="M36" s="337">
        <v>0</v>
      </c>
      <c r="N36" s="337">
        <v>0</v>
      </c>
      <c r="O36" s="337">
        <v>0</v>
      </c>
      <c r="P36" s="337">
        <v>1</v>
      </c>
      <c r="Q36" s="337">
        <v>0</v>
      </c>
      <c r="R36" s="21"/>
      <c r="S36" s="21"/>
      <c r="T36" s="72" t="s">
        <v>2201</v>
      </c>
      <c r="U36" s="349" t="s">
        <v>2185</v>
      </c>
      <c r="V36" s="349" t="s">
        <v>2186</v>
      </c>
      <c r="W36" s="349" t="s">
        <v>2187</v>
      </c>
      <c r="X36" s="420"/>
      <c r="Y36" s="420"/>
      <c r="Z36" s="420"/>
      <c r="AA36" s="420"/>
      <c r="AB36" s="420"/>
      <c r="AC36" s="420"/>
      <c r="AD36" s="420"/>
      <c r="AE36" s="420"/>
      <c r="AF36" s="21"/>
      <c r="AG36" s="21"/>
      <c r="AH36" s="21"/>
      <c r="AI36" s="21"/>
      <c r="AJ36" s="21"/>
      <c r="AK36" s="21"/>
      <c r="AL36" s="21"/>
      <c r="AM36" s="21"/>
      <c r="AN36" s="21"/>
      <c r="AO36" s="420"/>
      <c r="AP36" s="420"/>
      <c r="AQ36" s="420"/>
      <c r="AR36" s="420"/>
      <c r="AS36" s="420"/>
      <c r="AT36" s="420"/>
      <c r="AU36" s="420"/>
      <c r="AV36" s="420"/>
      <c r="AW36" s="420"/>
      <c r="AX36" s="420"/>
      <c r="AY36" s="420"/>
    </row>
    <row r="37" spans="1:51">
      <c r="A37" s="350">
        <v>36</v>
      </c>
      <c r="B37" s="362" t="s">
        <v>1838</v>
      </c>
      <c r="C37" s="362" t="s">
        <v>2145</v>
      </c>
      <c r="D37" s="352">
        <v>44733</v>
      </c>
      <c r="E37" s="356">
        <v>44751</v>
      </c>
      <c r="F37" s="354">
        <v>11.2</v>
      </c>
      <c r="G37" s="354">
        <v>358</v>
      </c>
      <c r="H37" s="354">
        <v>866</v>
      </c>
      <c r="I37" s="354">
        <v>0</v>
      </c>
      <c r="J37" s="337"/>
      <c r="K37" s="337">
        <v>0</v>
      </c>
      <c r="L37" s="337">
        <v>0</v>
      </c>
      <c r="M37" s="337">
        <v>0</v>
      </c>
      <c r="N37" s="337">
        <v>0</v>
      </c>
      <c r="O37" s="337">
        <v>0</v>
      </c>
      <c r="P37" s="337">
        <v>1</v>
      </c>
      <c r="Q37" s="337">
        <v>0</v>
      </c>
      <c r="R37" s="21"/>
      <c r="S37" s="21"/>
      <c r="T37" s="353">
        <v>2021</v>
      </c>
      <c r="U37" s="367">
        <v>1021</v>
      </c>
      <c r="V37" s="367">
        <v>1127</v>
      </c>
      <c r="W37" s="44">
        <v>8</v>
      </c>
      <c r="X37" s="420"/>
      <c r="Y37" s="420"/>
      <c r="Z37" s="420"/>
      <c r="AA37" s="420"/>
      <c r="AB37" s="420"/>
      <c r="AC37" s="420"/>
      <c r="AD37" s="420"/>
      <c r="AE37" s="420"/>
      <c r="AF37" s="21"/>
      <c r="AG37" s="21"/>
      <c r="AH37" s="21"/>
      <c r="AI37" s="21"/>
      <c r="AJ37" s="21"/>
      <c r="AK37" s="21"/>
      <c r="AL37" s="21"/>
      <c r="AM37" s="21"/>
      <c r="AN37" s="21"/>
      <c r="AO37" s="420"/>
      <c r="AP37" s="420"/>
      <c r="AQ37" s="420"/>
      <c r="AR37" s="420"/>
      <c r="AS37" s="420"/>
      <c r="AT37" s="420"/>
      <c r="AU37" s="420"/>
      <c r="AV37" s="420"/>
      <c r="AW37" s="420"/>
      <c r="AX37" s="420"/>
      <c r="AY37" s="420"/>
    </row>
    <row r="38" spans="1:51">
      <c r="A38" s="350">
        <v>37</v>
      </c>
      <c r="B38" s="357" t="s">
        <v>1835</v>
      </c>
      <c r="C38" s="357" t="s">
        <v>2142</v>
      </c>
      <c r="D38" s="352">
        <v>44742</v>
      </c>
      <c r="E38" s="352">
        <v>44759</v>
      </c>
      <c r="F38" s="354">
        <v>5.9</v>
      </c>
      <c r="G38" s="354">
        <v>368</v>
      </c>
      <c r="H38" s="354">
        <v>774</v>
      </c>
      <c r="I38" s="354">
        <v>0</v>
      </c>
      <c r="J38" s="337"/>
      <c r="K38" s="337">
        <v>0</v>
      </c>
      <c r="L38" s="337">
        <v>0</v>
      </c>
      <c r="M38" s="337">
        <v>1</v>
      </c>
      <c r="N38" s="337">
        <v>0</v>
      </c>
      <c r="O38" s="337">
        <v>0</v>
      </c>
      <c r="P38" s="337">
        <v>0</v>
      </c>
      <c r="Q38" s="337">
        <v>0</v>
      </c>
      <c r="R38" s="21"/>
      <c r="S38" s="21"/>
      <c r="T38" s="353">
        <v>2022</v>
      </c>
      <c r="U38" s="367">
        <v>17139</v>
      </c>
      <c r="V38" s="367">
        <v>25990</v>
      </c>
      <c r="W38" s="44">
        <v>156</v>
      </c>
      <c r="X38" s="420"/>
      <c r="Y38" s="420"/>
      <c r="Z38" s="420"/>
      <c r="AA38" s="420"/>
      <c r="AB38" s="420"/>
      <c r="AC38" s="420"/>
      <c r="AD38" s="420"/>
      <c r="AE38" s="420"/>
      <c r="AF38" s="21"/>
      <c r="AG38" s="21"/>
      <c r="AH38" s="21"/>
      <c r="AI38" s="21"/>
      <c r="AJ38" s="21"/>
      <c r="AK38" s="21"/>
      <c r="AL38" s="21"/>
      <c r="AM38" s="21"/>
      <c r="AN38" s="21"/>
      <c r="AO38" s="420"/>
      <c r="AP38" s="420"/>
      <c r="AQ38" s="420"/>
      <c r="AR38" s="420"/>
      <c r="AS38" s="420"/>
      <c r="AT38" s="420"/>
      <c r="AU38" s="420"/>
      <c r="AV38" s="420"/>
      <c r="AW38" s="420"/>
      <c r="AX38" s="420"/>
      <c r="AY38" s="420"/>
    </row>
    <row r="39" spans="1:51">
      <c r="A39" s="350">
        <v>38</v>
      </c>
      <c r="B39" s="351" t="s">
        <v>1833</v>
      </c>
      <c r="C39" s="351" t="s">
        <v>2188</v>
      </c>
      <c r="D39" s="356">
        <v>44749</v>
      </c>
      <c r="E39" s="352">
        <v>44762</v>
      </c>
      <c r="F39" s="354">
        <v>5.3</v>
      </c>
      <c r="G39" s="354">
        <v>380</v>
      </c>
      <c r="H39" s="354">
        <v>424</v>
      </c>
      <c r="I39" s="354">
        <v>6</v>
      </c>
      <c r="J39" s="337"/>
      <c r="K39" s="337">
        <v>1</v>
      </c>
      <c r="L39" s="337">
        <v>0</v>
      </c>
      <c r="M39" s="337">
        <v>0</v>
      </c>
      <c r="N39" s="337">
        <v>0</v>
      </c>
      <c r="O39" s="337">
        <v>0</v>
      </c>
      <c r="P39" s="337">
        <v>0</v>
      </c>
      <c r="Q39" s="337">
        <v>0</v>
      </c>
      <c r="R39" s="21"/>
      <c r="S39" s="21"/>
      <c r="T39" s="353">
        <v>2023</v>
      </c>
      <c r="U39" s="367">
        <v>14097</v>
      </c>
      <c r="V39" s="367">
        <v>24471</v>
      </c>
      <c r="W39" s="44">
        <v>87</v>
      </c>
      <c r="X39" s="420"/>
      <c r="Y39" s="420"/>
      <c r="Z39" s="420"/>
      <c r="AA39" s="420"/>
      <c r="AB39" s="420"/>
      <c r="AC39" s="420"/>
      <c r="AD39" s="420"/>
      <c r="AE39" s="420"/>
      <c r="AF39" s="21"/>
      <c r="AG39" s="21"/>
      <c r="AH39" s="21"/>
      <c r="AI39" s="21"/>
      <c r="AJ39" s="21"/>
      <c r="AK39" s="21"/>
      <c r="AL39" s="21"/>
      <c r="AM39" s="21"/>
      <c r="AN39" s="21"/>
      <c r="AO39" s="420"/>
      <c r="AP39" s="420"/>
      <c r="AQ39" s="420"/>
      <c r="AR39" s="420"/>
      <c r="AS39" s="420"/>
      <c r="AT39" s="420"/>
      <c r="AU39" s="420"/>
      <c r="AV39" s="420"/>
      <c r="AW39" s="420"/>
      <c r="AX39" s="420"/>
      <c r="AY39" s="420"/>
    </row>
    <row r="40" spans="1:51">
      <c r="A40" s="350">
        <v>39</v>
      </c>
      <c r="B40" s="359" t="s">
        <v>1836</v>
      </c>
      <c r="C40" s="359" t="s">
        <v>2143</v>
      </c>
      <c r="D40" s="352">
        <v>44761</v>
      </c>
      <c r="E40" s="356">
        <v>44775</v>
      </c>
      <c r="F40" s="354">
        <v>5.9</v>
      </c>
      <c r="G40" s="354">
        <v>352</v>
      </c>
      <c r="H40" s="354">
        <v>354</v>
      </c>
      <c r="I40" s="354">
        <v>6</v>
      </c>
      <c r="J40" s="337"/>
      <c r="K40" s="337">
        <v>0</v>
      </c>
      <c r="L40" s="337">
        <v>0</v>
      </c>
      <c r="M40" s="337">
        <v>0</v>
      </c>
      <c r="N40" s="337">
        <v>1</v>
      </c>
      <c r="O40" s="337">
        <v>0</v>
      </c>
      <c r="P40" s="337">
        <v>0</v>
      </c>
      <c r="Q40" s="337">
        <v>0</v>
      </c>
      <c r="R40" s="21"/>
      <c r="S40" s="21"/>
      <c r="T40" s="21"/>
      <c r="U40" s="21"/>
      <c r="V40" s="21"/>
      <c r="W40" s="21"/>
      <c r="X40" s="420"/>
      <c r="Y40" s="420"/>
      <c r="Z40" s="420"/>
      <c r="AA40" s="420"/>
      <c r="AB40" s="420"/>
      <c r="AC40" s="420"/>
      <c r="AD40" s="420"/>
      <c r="AE40" s="420"/>
      <c r="AF40" s="21"/>
      <c r="AG40" s="21"/>
      <c r="AH40" s="21"/>
      <c r="AI40" s="21"/>
      <c r="AJ40" s="21"/>
      <c r="AK40" s="21"/>
      <c r="AL40" s="21"/>
      <c r="AM40" s="21"/>
      <c r="AN40" s="21"/>
      <c r="AO40" s="420"/>
      <c r="AP40" s="420"/>
      <c r="AQ40" s="420"/>
      <c r="AR40" s="420"/>
      <c r="AS40" s="420"/>
      <c r="AT40" s="420"/>
      <c r="AU40" s="420"/>
      <c r="AV40" s="420"/>
      <c r="AW40" s="420"/>
      <c r="AX40" s="420"/>
      <c r="AY40" s="420"/>
    </row>
    <row r="41" spans="1:51">
      <c r="A41" s="350">
        <v>40</v>
      </c>
      <c r="B41" s="361" t="s">
        <v>1837</v>
      </c>
      <c r="C41" s="361" t="s">
        <v>2144</v>
      </c>
      <c r="D41" s="352">
        <v>44762</v>
      </c>
      <c r="E41" s="352">
        <v>44798</v>
      </c>
      <c r="F41" s="354">
        <v>5</v>
      </c>
      <c r="G41" s="354">
        <v>405</v>
      </c>
      <c r="H41" s="354">
        <v>605</v>
      </c>
      <c r="I41" s="354">
        <v>4</v>
      </c>
      <c r="J41" s="337"/>
      <c r="K41" s="337">
        <v>0</v>
      </c>
      <c r="L41" s="337">
        <v>0</v>
      </c>
      <c r="M41" s="337">
        <v>0</v>
      </c>
      <c r="N41" s="337">
        <v>0</v>
      </c>
      <c r="O41" s="337">
        <v>1</v>
      </c>
      <c r="P41" s="337">
        <v>0</v>
      </c>
      <c r="Q41" s="337">
        <v>0</v>
      </c>
      <c r="R41" s="21"/>
      <c r="S41" s="21"/>
      <c r="T41" s="72" t="s">
        <v>2202</v>
      </c>
      <c r="U41" s="368">
        <v>32257</v>
      </c>
      <c r="V41" s="368">
        <v>51588</v>
      </c>
      <c r="W41" s="349">
        <v>251</v>
      </c>
      <c r="X41" s="420"/>
      <c r="Y41" s="420"/>
      <c r="Z41" s="420"/>
      <c r="AA41" s="420"/>
      <c r="AB41" s="420"/>
      <c r="AC41" s="420"/>
      <c r="AD41" s="420"/>
      <c r="AE41" s="420"/>
      <c r="AF41" s="21"/>
      <c r="AG41" s="21"/>
      <c r="AH41" s="21"/>
      <c r="AI41" s="21"/>
      <c r="AJ41" s="21"/>
      <c r="AK41" s="21"/>
      <c r="AL41" s="21"/>
      <c r="AM41" s="21"/>
      <c r="AN41" s="21"/>
      <c r="AO41" s="420"/>
      <c r="AP41" s="420"/>
      <c r="AQ41" s="420"/>
      <c r="AR41" s="420"/>
      <c r="AS41" s="420"/>
      <c r="AT41" s="420"/>
      <c r="AU41" s="420"/>
      <c r="AV41" s="420"/>
      <c r="AW41" s="420"/>
      <c r="AX41" s="420"/>
      <c r="AY41" s="420"/>
    </row>
    <row r="42" spans="1:51">
      <c r="A42" s="350">
        <v>41</v>
      </c>
      <c r="B42" s="362" t="s">
        <v>1838</v>
      </c>
      <c r="C42" s="362" t="s">
        <v>2145</v>
      </c>
      <c r="D42" s="356">
        <v>44780</v>
      </c>
      <c r="E42" s="356">
        <v>44806</v>
      </c>
      <c r="F42" s="354">
        <v>6.4</v>
      </c>
      <c r="G42" s="354">
        <v>380</v>
      </c>
      <c r="H42" s="354">
        <v>811</v>
      </c>
      <c r="I42" s="354">
        <v>0</v>
      </c>
      <c r="J42" s="337"/>
      <c r="K42" s="337">
        <v>0</v>
      </c>
      <c r="L42" s="337">
        <v>0</v>
      </c>
      <c r="M42" s="337">
        <v>0</v>
      </c>
      <c r="N42" s="337">
        <v>0</v>
      </c>
      <c r="O42" s="337">
        <v>0</v>
      </c>
      <c r="P42" s="337">
        <v>1</v>
      </c>
      <c r="Q42" s="337">
        <v>0</v>
      </c>
      <c r="R42" s="21"/>
      <c r="S42" s="21"/>
      <c r="T42" s="21"/>
      <c r="U42" s="21"/>
      <c r="V42" s="21"/>
      <c r="W42" s="21"/>
      <c r="X42" s="420"/>
      <c r="Y42" s="420"/>
      <c r="Z42" s="420"/>
      <c r="AA42" s="420"/>
      <c r="AB42" s="420"/>
      <c r="AC42" s="420"/>
      <c r="AD42" s="420"/>
      <c r="AE42" s="420"/>
      <c r="AF42" s="21"/>
      <c r="AG42" s="21"/>
      <c r="AH42" s="21"/>
      <c r="AI42" s="21"/>
      <c r="AJ42" s="21"/>
      <c r="AK42" s="21"/>
      <c r="AL42" s="21"/>
      <c r="AM42" s="21"/>
      <c r="AN42" s="21"/>
      <c r="AO42" s="420"/>
      <c r="AP42" s="420"/>
      <c r="AQ42" s="420"/>
      <c r="AR42" s="420"/>
      <c r="AS42" s="420"/>
      <c r="AT42" s="420"/>
      <c r="AU42" s="420"/>
      <c r="AV42" s="420"/>
      <c r="AW42" s="420"/>
      <c r="AX42" s="420"/>
      <c r="AY42" s="420"/>
    </row>
    <row r="43" spans="1:51">
      <c r="A43" s="350">
        <v>42</v>
      </c>
      <c r="B43" s="355" t="s">
        <v>1900</v>
      </c>
      <c r="C43" s="355" t="s">
        <v>2189</v>
      </c>
      <c r="D43" s="356">
        <v>44781</v>
      </c>
      <c r="E43" s="352">
        <v>44795</v>
      </c>
      <c r="F43" s="354">
        <v>5.4</v>
      </c>
      <c r="G43" s="354">
        <v>332</v>
      </c>
      <c r="H43" s="354">
        <v>697</v>
      </c>
      <c r="I43" s="354">
        <v>0</v>
      </c>
      <c r="J43" s="337"/>
      <c r="K43" s="337">
        <v>0</v>
      </c>
      <c r="L43" s="337">
        <v>1</v>
      </c>
      <c r="M43" s="337">
        <v>0</v>
      </c>
      <c r="N43" s="337">
        <v>0</v>
      </c>
      <c r="O43" s="337">
        <v>0</v>
      </c>
      <c r="P43" s="337">
        <v>0</v>
      </c>
      <c r="Q43" s="337">
        <v>0</v>
      </c>
      <c r="R43" s="21"/>
      <c r="S43" s="21"/>
      <c r="T43" s="21"/>
      <c r="U43" s="21"/>
      <c r="V43" s="21"/>
      <c r="W43" s="21"/>
      <c r="X43" s="420"/>
      <c r="Y43" s="420"/>
      <c r="Z43" s="420"/>
      <c r="AA43" s="420"/>
      <c r="AB43" s="420"/>
      <c r="AC43" s="420"/>
      <c r="AD43" s="420"/>
      <c r="AE43" s="420"/>
      <c r="AF43" s="21"/>
      <c r="AG43" s="21"/>
      <c r="AH43" s="21"/>
      <c r="AI43" s="21"/>
      <c r="AJ43" s="21"/>
      <c r="AK43" s="21"/>
      <c r="AL43" s="21"/>
      <c r="AM43" s="21"/>
      <c r="AN43" s="21"/>
      <c r="AO43" s="420"/>
      <c r="AP43" s="420"/>
      <c r="AQ43" s="420"/>
      <c r="AR43" s="420"/>
      <c r="AS43" s="420"/>
      <c r="AT43" s="420"/>
      <c r="AU43" s="420"/>
      <c r="AV43" s="420"/>
      <c r="AW43" s="420"/>
      <c r="AX43" s="420"/>
      <c r="AY43" s="420"/>
    </row>
    <row r="44" spans="1:51">
      <c r="A44" s="350">
        <v>43</v>
      </c>
      <c r="B44" s="359" t="s">
        <v>1836</v>
      </c>
      <c r="C44" s="359" t="s">
        <v>2143</v>
      </c>
      <c r="D44" s="352">
        <v>44796</v>
      </c>
      <c r="E44" s="356">
        <v>44807</v>
      </c>
      <c r="F44" s="354">
        <v>6</v>
      </c>
      <c r="G44" s="354">
        <v>352</v>
      </c>
      <c r="H44" s="354">
        <v>294</v>
      </c>
      <c r="I44" s="354">
        <v>7</v>
      </c>
      <c r="J44" s="337"/>
      <c r="K44" s="337">
        <v>0</v>
      </c>
      <c r="L44" s="337">
        <v>0</v>
      </c>
      <c r="M44" s="337">
        <v>0</v>
      </c>
      <c r="N44" s="337">
        <v>1</v>
      </c>
      <c r="O44" s="337">
        <v>0</v>
      </c>
      <c r="P44" s="337">
        <v>0</v>
      </c>
      <c r="Q44" s="337">
        <v>0</v>
      </c>
      <c r="R44" s="21"/>
      <c r="S44" s="21"/>
      <c r="T44" s="21"/>
      <c r="U44" s="21"/>
      <c r="V44" s="21"/>
      <c r="W44" s="21"/>
      <c r="X44" s="420"/>
      <c r="Y44" s="420"/>
      <c r="Z44" s="420"/>
      <c r="AA44" s="420"/>
      <c r="AB44" s="420"/>
      <c r="AC44" s="420"/>
      <c r="AD44" s="420"/>
      <c r="AE44" s="420"/>
      <c r="AF44" s="21"/>
      <c r="AG44" s="21"/>
      <c r="AH44" s="21"/>
      <c r="AI44" s="21"/>
      <c r="AJ44" s="21"/>
      <c r="AK44" s="21"/>
      <c r="AL44" s="21"/>
      <c r="AM44" s="21"/>
      <c r="AN44" s="21"/>
      <c r="AO44" s="420"/>
      <c r="AP44" s="420"/>
      <c r="AQ44" s="420"/>
      <c r="AR44" s="420"/>
      <c r="AS44" s="420"/>
      <c r="AT44" s="420"/>
      <c r="AU44" s="420"/>
      <c r="AV44" s="420"/>
      <c r="AW44" s="420"/>
      <c r="AX44" s="420"/>
      <c r="AY44" s="420"/>
    </row>
    <row r="45" spans="1:51">
      <c r="A45" s="350">
        <v>44</v>
      </c>
      <c r="B45" s="351" t="s">
        <v>1833</v>
      </c>
      <c r="C45" s="351" t="s">
        <v>2188</v>
      </c>
      <c r="D45" s="352">
        <v>44804</v>
      </c>
      <c r="E45" s="352">
        <v>44815</v>
      </c>
      <c r="F45" s="354">
        <v>4.7</v>
      </c>
      <c r="G45" s="354">
        <v>323</v>
      </c>
      <c r="H45" s="354">
        <v>0</v>
      </c>
      <c r="I45" s="354">
        <v>11</v>
      </c>
      <c r="J45" s="337"/>
      <c r="K45" s="337">
        <v>1</v>
      </c>
      <c r="L45" s="337">
        <v>0</v>
      </c>
      <c r="M45" s="337">
        <v>0</v>
      </c>
      <c r="N45" s="337">
        <v>0</v>
      </c>
      <c r="O45" s="337">
        <v>0</v>
      </c>
      <c r="P45" s="337">
        <v>0</v>
      </c>
      <c r="Q45" s="337">
        <v>0</v>
      </c>
      <c r="R45" s="21"/>
      <c r="S45" s="21"/>
      <c r="T45" s="21"/>
      <c r="U45" s="21"/>
      <c r="V45" s="21"/>
      <c r="W45" s="21"/>
      <c r="X45" s="420"/>
      <c r="Y45" s="420"/>
      <c r="Z45" s="420"/>
      <c r="AA45" s="420"/>
      <c r="AB45" s="420"/>
      <c r="AC45" s="420"/>
      <c r="AD45" s="420"/>
      <c r="AE45" s="420"/>
      <c r="AF45" s="21"/>
      <c r="AG45" s="21"/>
      <c r="AH45" s="21"/>
      <c r="AI45" s="21"/>
      <c r="AJ45" s="21"/>
      <c r="AK45" s="21"/>
      <c r="AL45" s="21"/>
      <c r="AM45" s="21"/>
      <c r="AN45" s="21"/>
      <c r="AO45" s="420"/>
      <c r="AP45" s="420"/>
      <c r="AQ45" s="420"/>
      <c r="AR45" s="420"/>
      <c r="AS45" s="420"/>
      <c r="AT45" s="420"/>
      <c r="AU45" s="420"/>
      <c r="AV45" s="420"/>
      <c r="AW45" s="420"/>
      <c r="AX45" s="420"/>
      <c r="AY45" s="420"/>
    </row>
    <row r="46" spans="1:51">
      <c r="A46" s="350">
        <v>45</v>
      </c>
      <c r="B46" s="351" t="s">
        <v>1833</v>
      </c>
      <c r="C46" s="351" t="s">
        <v>2188</v>
      </c>
      <c r="D46" s="356">
        <v>44805</v>
      </c>
      <c r="E46" s="352">
        <v>44817</v>
      </c>
      <c r="F46" s="354">
        <v>4.3</v>
      </c>
      <c r="G46" s="354">
        <v>333</v>
      </c>
      <c r="H46" s="354">
        <v>694</v>
      </c>
      <c r="I46" s="354">
        <v>0</v>
      </c>
      <c r="J46" s="337"/>
      <c r="K46" s="337">
        <v>1</v>
      </c>
      <c r="L46" s="337">
        <v>0</v>
      </c>
      <c r="M46" s="337">
        <v>0</v>
      </c>
      <c r="N46" s="337">
        <v>0</v>
      </c>
      <c r="O46" s="337">
        <v>0</v>
      </c>
      <c r="P46" s="337">
        <v>0</v>
      </c>
      <c r="Q46" s="337">
        <v>0</v>
      </c>
      <c r="R46" s="21"/>
      <c r="S46" s="21"/>
      <c r="T46" s="21"/>
      <c r="U46" s="21"/>
      <c r="V46" s="21"/>
      <c r="W46" s="21"/>
      <c r="X46" s="420"/>
      <c r="Y46" s="420"/>
      <c r="Z46" s="420"/>
      <c r="AA46" s="420"/>
      <c r="AB46" s="420"/>
      <c r="AC46" s="420"/>
      <c r="AD46" s="420"/>
      <c r="AE46" s="420"/>
      <c r="AF46" s="21"/>
      <c r="AG46" s="21"/>
      <c r="AH46" s="21"/>
      <c r="AI46" s="21"/>
      <c r="AJ46" s="21"/>
      <c r="AK46" s="21"/>
      <c r="AL46" s="21"/>
      <c r="AM46" s="21"/>
      <c r="AN46" s="21"/>
      <c r="AO46" s="420"/>
      <c r="AP46" s="420"/>
      <c r="AQ46" s="420"/>
      <c r="AR46" s="420"/>
      <c r="AS46" s="420"/>
      <c r="AT46" s="420"/>
      <c r="AU46" s="420"/>
      <c r="AV46" s="420"/>
      <c r="AW46" s="420"/>
      <c r="AX46" s="420"/>
      <c r="AY46" s="420"/>
    </row>
    <row r="47" spans="1:51">
      <c r="A47" s="350">
        <v>46</v>
      </c>
      <c r="B47" s="359" t="s">
        <v>1836</v>
      </c>
      <c r="C47" s="359" t="s">
        <v>2143</v>
      </c>
      <c r="D47" s="356">
        <v>44813</v>
      </c>
      <c r="E47" s="352">
        <v>44826</v>
      </c>
      <c r="F47" s="354">
        <v>6.2</v>
      </c>
      <c r="G47" s="354">
        <v>360</v>
      </c>
      <c r="H47" s="354">
        <v>754</v>
      </c>
      <c r="I47" s="354">
        <v>0</v>
      </c>
      <c r="J47" s="337"/>
      <c r="K47" s="337">
        <v>0</v>
      </c>
      <c r="L47" s="337">
        <v>0</v>
      </c>
      <c r="M47" s="337">
        <v>0</v>
      </c>
      <c r="N47" s="337">
        <v>1</v>
      </c>
      <c r="O47" s="337">
        <v>0</v>
      </c>
      <c r="P47" s="337">
        <v>0</v>
      </c>
      <c r="Q47" s="337">
        <v>0</v>
      </c>
      <c r="R47" s="21"/>
      <c r="S47" s="21"/>
      <c r="T47" s="21"/>
      <c r="U47" s="21"/>
      <c r="V47" s="21"/>
      <c r="W47" s="21"/>
      <c r="X47" s="420"/>
      <c r="Y47" s="420"/>
      <c r="Z47" s="420"/>
      <c r="AA47" s="420"/>
      <c r="AB47" s="420"/>
      <c r="AC47" s="420"/>
      <c r="AD47" s="420"/>
      <c r="AE47" s="420"/>
      <c r="AF47" s="21"/>
      <c r="AG47" s="21"/>
      <c r="AH47" s="21"/>
      <c r="AI47" s="21"/>
      <c r="AJ47" s="21"/>
      <c r="AK47" s="21"/>
      <c r="AL47" s="21"/>
      <c r="AM47" s="21"/>
      <c r="AN47" s="21"/>
      <c r="AO47" s="420"/>
      <c r="AP47" s="420"/>
      <c r="AQ47" s="420"/>
      <c r="AR47" s="420"/>
      <c r="AS47" s="420"/>
      <c r="AT47" s="420"/>
      <c r="AU47" s="420"/>
      <c r="AV47" s="420"/>
      <c r="AW47" s="420"/>
      <c r="AX47" s="420"/>
      <c r="AY47" s="420"/>
    </row>
    <row r="48" spans="1:51">
      <c r="A48" s="350">
        <v>47</v>
      </c>
      <c r="B48" s="359" t="s">
        <v>1836</v>
      </c>
      <c r="C48" s="359" t="s">
        <v>2143</v>
      </c>
      <c r="D48" s="352">
        <v>44814</v>
      </c>
      <c r="E48" s="352">
        <v>44826</v>
      </c>
      <c r="F48" s="44"/>
      <c r="G48" s="354">
        <v>355</v>
      </c>
      <c r="H48" s="354">
        <v>0</v>
      </c>
      <c r="I48" s="354">
        <v>12</v>
      </c>
      <c r="J48" s="337"/>
      <c r="K48" s="337">
        <v>0</v>
      </c>
      <c r="L48" s="337">
        <v>0</v>
      </c>
      <c r="M48" s="337">
        <v>0</v>
      </c>
      <c r="N48" s="337">
        <v>1</v>
      </c>
      <c r="O48" s="337">
        <v>0</v>
      </c>
      <c r="P48" s="337">
        <v>0</v>
      </c>
      <c r="Q48" s="337">
        <v>0</v>
      </c>
      <c r="R48" s="21"/>
      <c r="S48" s="21"/>
      <c r="T48" s="21"/>
      <c r="U48" s="21"/>
      <c r="V48" s="21"/>
      <c r="W48" s="21"/>
      <c r="X48" s="420"/>
      <c r="Y48" s="420"/>
      <c r="Z48" s="420"/>
      <c r="AA48" s="420"/>
      <c r="AB48" s="420"/>
      <c r="AC48" s="420"/>
      <c r="AD48" s="420"/>
      <c r="AE48" s="420"/>
      <c r="AF48" s="21"/>
      <c r="AG48" s="21"/>
      <c r="AH48" s="21"/>
      <c r="AI48" s="21"/>
      <c r="AJ48" s="21"/>
      <c r="AK48" s="21"/>
      <c r="AL48" s="21"/>
      <c r="AM48" s="21"/>
      <c r="AN48" s="21"/>
      <c r="AO48" s="420"/>
      <c r="AP48" s="420"/>
      <c r="AQ48" s="420"/>
      <c r="AR48" s="420"/>
      <c r="AS48" s="420"/>
      <c r="AT48" s="420"/>
      <c r="AU48" s="420"/>
      <c r="AV48" s="420"/>
      <c r="AW48" s="420"/>
      <c r="AX48" s="420"/>
      <c r="AY48" s="420"/>
    </row>
    <row r="49" spans="1:51">
      <c r="A49" s="350">
        <v>48</v>
      </c>
      <c r="B49" s="357" t="s">
        <v>1835</v>
      </c>
      <c r="C49" s="357" t="s">
        <v>2142</v>
      </c>
      <c r="D49" s="352">
        <v>44818</v>
      </c>
      <c r="E49" s="352">
        <v>44833</v>
      </c>
      <c r="F49" s="354">
        <v>5.9</v>
      </c>
      <c r="G49" s="354">
        <v>362</v>
      </c>
      <c r="H49" s="354">
        <v>763</v>
      </c>
      <c r="I49" s="354">
        <v>0</v>
      </c>
      <c r="J49" s="337"/>
      <c r="K49" s="337">
        <v>0</v>
      </c>
      <c r="L49" s="337">
        <v>0</v>
      </c>
      <c r="M49" s="337">
        <v>1</v>
      </c>
      <c r="N49" s="337">
        <v>0</v>
      </c>
      <c r="O49" s="337">
        <v>0</v>
      </c>
      <c r="P49" s="337">
        <v>0</v>
      </c>
      <c r="Q49" s="337">
        <v>0</v>
      </c>
      <c r="R49" s="21"/>
      <c r="S49" s="21"/>
      <c r="T49" s="21"/>
      <c r="U49" s="21"/>
      <c r="V49" s="21"/>
      <c r="W49" s="21"/>
      <c r="X49" s="420"/>
      <c r="Y49" s="420"/>
      <c r="Z49" s="420"/>
      <c r="AA49" s="420"/>
      <c r="AB49" s="420"/>
      <c r="AC49" s="420"/>
      <c r="AD49" s="420"/>
      <c r="AE49" s="420"/>
      <c r="AF49" s="21"/>
      <c r="AG49" s="21"/>
      <c r="AH49" s="21"/>
      <c r="AI49" s="21"/>
      <c r="AJ49" s="21"/>
      <c r="AK49" s="21"/>
      <c r="AL49" s="21"/>
      <c r="AM49" s="21"/>
      <c r="AN49" s="21"/>
      <c r="AO49" s="420"/>
      <c r="AP49" s="420"/>
      <c r="AQ49" s="420"/>
      <c r="AR49" s="420"/>
      <c r="AS49" s="420"/>
      <c r="AT49" s="420"/>
      <c r="AU49" s="420"/>
      <c r="AV49" s="420"/>
      <c r="AW49" s="420"/>
      <c r="AX49" s="420"/>
      <c r="AY49" s="420"/>
    </row>
    <row r="50" spans="1:51">
      <c r="A50" s="350">
        <v>49</v>
      </c>
      <c r="B50" s="351" t="s">
        <v>1833</v>
      </c>
      <c r="C50" s="351" t="s">
        <v>2188</v>
      </c>
      <c r="D50" s="352">
        <v>44830</v>
      </c>
      <c r="E50" s="352">
        <v>44846</v>
      </c>
      <c r="F50" s="354">
        <v>4.9000000000000004</v>
      </c>
      <c r="G50" s="354">
        <v>372</v>
      </c>
      <c r="H50" s="354">
        <v>294</v>
      </c>
      <c r="I50" s="354">
        <v>8</v>
      </c>
      <c r="J50" s="337"/>
      <c r="K50" s="337">
        <v>1</v>
      </c>
      <c r="L50" s="337">
        <v>0</v>
      </c>
      <c r="M50" s="337">
        <v>0</v>
      </c>
      <c r="N50" s="337">
        <v>0</v>
      </c>
      <c r="O50" s="337">
        <v>0</v>
      </c>
      <c r="P50" s="337">
        <v>0</v>
      </c>
      <c r="Q50" s="337">
        <v>0</v>
      </c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420"/>
      <c r="AP50" s="420"/>
      <c r="AQ50" s="420"/>
      <c r="AR50" s="420"/>
      <c r="AS50" s="420"/>
      <c r="AT50" s="420"/>
      <c r="AU50" s="420"/>
      <c r="AV50" s="420"/>
      <c r="AW50" s="420"/>
      <c r="AX50" s="420"/>
      <c r="AY50" s="420"/>
    </row>
    <row r="51" spans="1:51">
      <c r="A51" s="350">
        <v>50</v>
      </c>
      <c r="B51" s="355" t="s">
        <v>1900</v>
      </c>
      <c r="C51" s="355" t="s">
        <v>2189</v>
      </c>
      <c r="D51" s="352">
        <v>44832</v>
      </c>
      <c r="E51" s="352">
        <v>44845</v>
      </c>
      <c r="F51" s="354">
        <v>5.0999999999999996</v>
      </c>
      <c r="G51" s="354">
        <v>332</v>
      </c>
      <c r="H51" s="354">
        <v>695</v>
      </c>
      <c r="I51" s="354">
        <v>0</v>
      </c>
      <c r="J51" s="337"/>
      <c r="K51" s="337">
        <v>0</v>
      </c>
      <c r="L51" s="337">
        <v>1</v>
      </c>
      <c r="M51" s="337">
        <v>0</v>
      </c>
      <c r="N51" s="337">
        <v>0</v>
      </c>
      <c r="O51" s="337">
        <v>0</v>
      </c>
      <c r="P51" s="337">
        <v>0</v>
      </c>
      <c r="Q51" s="337">
        <v>0</v>
      </c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420"/>
      <c r="AP51" s="420"/>
      <c r="AQ51" s="420"/>
      <c r="AR51" s="420"/>
      <c r="AS51" s="420"/>
      <c r="AT51" s="420"/>
      <c r="AU51" s="420"/>
      <c r="AV51" s="420"/>
      <c r="AW51" s="420"/>
      <c r="AX51" s="420"/>
      <c r="AY51" s="420"/>
    </row>
    <row r="52" spans="1:51">
      <c r="A52" s="350">
        <v>51</v>
      </c>
      <c r="B52" s="361" t="s">
        <v>1837</v>
      </c>
      <c r="C52" s="361" t="s">
        <v>2144</v>
      </c>
      <c r="D52" s="356">
        <v>44838</v>
      </c>
      <c r="E52" s="352">
        <v>44853</v>
      </c>
      <c r="F52" s="354">
        <v>5.3</v>
      </c>
      <c r="G52" s="354">
        <v>395</v>
      </c>
      <c r="H52" s="354">
        <v>707</v>
      </c>
      <c r="I52" s="354">
        <v>2</v>
      </c>
      <c r="J52" s="337"/>
      <c r="K52" s="337">
        <v>0</v>
      </c>
      <c r="L52" s="337">
        <v>0</v>
      </c>
      <c r="M52" s="337">
        <v>0</v>
      </c>
      <c r="N52" s="337">
        <v>0</v>
      </c>
      <c r="O52" s="337">
        <v>1</v>
      </c>
      <c r="P52" s="337">
        <v>0</v>
      </c>
      <c r="Q52" s="337">
        <v>0</v>
      </c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420"/>
      <c r="AP52" s="420"/>
      <c r="AQ52" s="420"/>
      <c r="AR52" s="420"/>
      <c r="AS52" s="420"/>
      <c r="AT52" s="420"/>
      <c r="AU52" s="420"/>
      <c r="AV52" s="420"/>
      <c r="AW52" s="420"/>
      <c r="AX52" s="420"/>
      <c r="AY52" s="420"/>
    </row>
    <row r="53" spans="1:51">
      <c r="A53" s="350">
        <v>52</v>
      </c>
      <c r="B53" s="359" t="s">
        <v>1836</v>
      </c>
      <c r="C53" s="359" t="s">
        <v>2143</v>
      </c>
      <c r="D53" s="356">
        <v>44839</v>
      </c>
      <c r="E53" s="352">
        <v>44853</v>
      </c>
      <c r="F53" s="354">
        <v>6</v>
      </c>
      <c r="G53" s="354">
        <v>354</v>
      </c>
      <c r="H53" s="354">
        <v>0</v>
      </c>
      <c r="I53" s="354">
        <v>12</v>
      </c>
      <c r="J53" s="337"/>
      <c r="K53" s="337">
        <v>0</v>
      </c>
      <c r="L53" s="337">
        <v>0</v>
      </c>
      <c r="M53" s="337">
        <v>0</v>
      </c>
      <c r="N53" s="337">
        <v>1</v>
      </c>
      <c r="O53" s="337">
        <v>0</v>
      </c>
      <c r="P53" s="337">
        <v>0</v>
      </c>
      <c r="Q53" s="337">
        <v>0</v>
      </c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420"/>
      <c r="AP53" s="420"/>
      <c r="AQ53" s="420"/>
      <c r="AR53" s="420"/>
      <c r="AS53" s="420"/>
      <c r="AT53" s="420"/>
      <c r="AU53" s="420"/>
      <c r="AV53" s="420"/>
      <c r="AW53" s="420"/>
      <c r="AX53" s="420"/>
      <c r="AY53" s="420"/>
    </row>
    <row r="54" spans="1:51">
      <c r="A54" s="350">
        <v>53</v>
      </c>
      <c r="B54" s="359" t="s">
        <v>1836</v>
      </c>
      <c r="C54" s="359" t="s">
        <v>2143</v>
      </c>
      <c r="D54" s="352">
        <v>44847</v>
      </c>
      <c r="E54" s="352">
        <v>44860</v>
      </c>
      <c r="F54" s="354">
        <v>6</v>
      </c>
      <c r="G54" s="354">
        <v>350</v>
      </c>
      <c r="H54" s="354">
        <v>368</v>
      </c>
      <c r="I54" s="354">
        <v>6</v>
      </c>
      <c r="J54" s="337"/>
      <c r="K54" s="337">
        <v>0</v>
      </c>
      <c r="L54" s="337">
        <v>0</v>
      </c>
      <c r="M54" s="337">
        <v>0</v>
      </c>
      <c r="N54" s="337">
        <v>1</v>
      </c>
      <c r="O54" s="337">
        <v>0</v>
      </c>
      <c r="P54" s="337">
        <v>0</v>
      </c>
      <c r="Q54" s="337">
        <v>0</v>
      </c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420"/>
      <c r="AP54" s="420"/>
      <c r="AQ54" s="420"/>
      <c r="AR54" s="420"/>
      <c r="AS54" s="420"/>
      <c r="AT54" s="420"/>
      <c r="AU54" s="420"/>
      <c r="AV54" s="420"/>
      <c r="AW54" s="420"/>
      <c r="AX54" s="420"/>
      <c r="AY54" s="420"/>
    </row>
    <row r="55" spans="1:51">
      <c r="A55" s="350">
        <v>54</v>
      </c>
      <c r="B55" s="351" t="s">
        <v>1833</v>
      </c>
      <c r="C55" s="351" t="s">
        <v>2188</v>
      </c>
      <c r="D55" s="352">
        <v>44848</v>
      </c>
      <c r="E55" s="352">
        <v>44861</v>
      </c>
      <c r="F55" s="354">
        <v>4.9000000000000004</v>
      </c>
      <c r="G55" s="354">
        <v>374</v>
      </c>
      <c r="H55" s="354">
        <v>545</v>
      </c>
      <c r="I55" s="354">
        <v>4</v>
      </c>
      <c r="J55" s="337"/>
      <c r="K55" s="337">
        <v>1</v>
      </c>
      <c r="L55" s="337">
        <v>0</v>
      </c>
      <c r="M55" s="337">
        <v>0</v>
      </c>
      <c r="N55" s="337">
        <v>0</v>
      </c>
      <c r="O55" s="337">
        <v>0</v>
      </c>
      <c r="P55" s="337">
        <v>0</v>
      </c>
      <c r="Q55" s="337">
        <v>0</v>
      </c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420"/>
      <c r="AP55" s="420"/>
      <c r="AQ55" s="420"/>
      <c r="AR55" s="420"/>
      <c r="AS55" s="420"/>
      <c r="AT55" s="420"/>
      <c r="AU55" s="420"/>
      <c r="AV55" s="420"/>
      <c r="AW55" s="420"/>
      <c r="AX55" s="420"/>
      <c r="AY55" s="420"/>
    </row>
    <row r="56" spans="1:51">
      <c r="A56" s="350">
        <v>55</v>
      </c>
      <c r="B56" s="357" t="s">
        <v>1835</v>
      </c>
      <c r="C56" s="357" t="s">
        <v>2142</v>
      </c>
      <c r="D56" s="352">
        <v>44854</v>
      </c>
      <c r="E56" s="356">
        <v>44868</v>
      </c>
      <c r="F56" s="354">
        <v>5.9</v>
      </c>
      <c r="G56" s="354">
        <v>365</v>
      </c>
      <c r="H56" s="354">
        <v>770</v>
      </c>
      <c r="I56" s="354">
        <v>0</v>
      </c>
      <c r="J56" s="337"/>
      <c r="K56" s="337">
        <v>0</v>
      </c>
      <c r="L56" s="337">
        <v>0</v>
      </c>
      <c r="M56" s="337">
        <v>1</v>
      </c>
      <c r="N56" s="337">
        <v>0</v>
      </c>
      <c r="O56" s="337">
        <v>0</v>
      </c>
      <c r="P56" s="337">
        <v>0</v>
      </c>
      <c r="Q56" s="337">
        <v>0</v>
      </c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420"/>
      <c r="AP56" s="420"/>
      <c r="AQ56" s="420"/>
      <c r="AR56" s="420"/>
      <c r="AS56" s="420"/>
      <c r="AT56" s="420"/>
      <c r="AU56" s="420"/>
      <c r="AV56" s="420"/>
      <c r="AW56" s="420"/>
      <c r="AX56" s="420"/>
      <c r="AY56" s="420"/>
    </row>
    <row r="57" spans="1:51">
      <c r="A57" s="350">
        <v>56</v>
      </c>
      <c r="B57" s="355" t="s">
        <v>1900</v>
      </c>
      <c r="C57" s="355" t="s">
        <v>2189</v>
      </c>
      <c r="D57" s="352">
        <v>44855</v>
      </c>
      <c r="E57" s="356">
        <v>44867</v>
      </c>
      <c r="F57" s="354">
        <v>5.3</v>
      </c>
      <c r="G57" s="354">
        <v>379</v>
      </c>
      <c r="H57" s="354">
        <v>799</v>
      </c>
      <c r="I57" s="354">
        <v>0</v>
      </c>
      <c r="J57" s="337"/>
      <c r="K57" s="337">
        <v>0</v>
      </c>
      <c r="L57" s="337">
        <v>1</v>
      </c>
      <c r="M57" s="337">
        <v>0</v>
      </c>
      <c r="N57" s="337">
        <v>0</v>
      </c>
      <c r="O57" s="337">
        <v>0</v>
      </c>
      <c r="P57" s="337">
        <v>0</v>
      </c>
      <c r="Q57" s="337">
        <v>0</v>
      </c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420"/>
      <c r="AP57" s="420"/>
      <c r="AQ57" s="420"/>
      <c r="AR57" s="420"/>
      <c r="AS57" s="420"/>
      <c r="AT57" s="420"/>
      <c r="AU57" s="420"/>
      <c r="AV57" s="420"/>
      <c r="AW57" s="420"/>
      <c r="AX57" s="420"/>
      <c r="AY57" s="420"/>
    </row>
    <row r="58" spans="1:51">
      <c r="A58" s="350">
        <v>57</v>
      </c>
      <c r="B58" s="359" t="s">
        <v>1836</v>
      </c>
      <c r="C58" s="359" t="s">
        <v>2143</v>
      </c>
      <c r="D58" s="352">
        <v>44862</v>
      </c>
      <c r="E58" s="352">
        <v>44876</v>
      </c>
      <c r="F58" s="354">
        <v>6.3</v>
      </c>
      <c r="G58" s="354">
        <v>347</v>
      </c>
      <c r="H58" s="354">
        <v>367</v>
      </c>
      <c r="I58" s="354">
        <v>6</v>
      </c>
      <c r="J58" s="337"/>
      <c r="K58" s="337">
        <v>0</v>
      </c>
      <c r="L58" s="337">
        <v>0</v>
      </c>
      <c r="M58" s="337">
        <v>0</v>
      </c>
      <c r="N58" s="337">
        <v>1</v>
      </c>
      <c r="O58" s="337">
        <v>0</v>
      </c>
      <c r="P58" s="337">
        <v>0</v>
      </c>
      <c r="Q58" s="337">
        <v>0</v>
      </c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420"/>
      <c r="AP58" s="420"/>
      <c r="AQ58" s="420"/>
      <c r="AR58" s="420"/>
      <c r="AS58" s="420"/>
      <c r="AT58" s="420"/>
      <c r="AU58" s="420"/>
      <c r="AV58" s="420"/>
      <c r="AW58" s="420"/>
      <c r="AX58" s="420"/>
      <c r="AY58" s="420"/>
    </row>
    <row r="59" spans="1:51">
      <c r="A59" s="350">
        <v>58</v>
      </c>
      <c r="B59" s="351" t="s">
        <v>1833</v>
      </c>
      <c r="C59" s="351" t="s">
        <v>2188</v>
      </c>
      <c r="D59" s="352">
        <v>44863</v>
      </c>
      <c r="E59" s="352">
        <v>44877</v>
      </c>
      <c r="F59" s="354">
        <v>5</v>
      </c>
      <c r="G59" s="354">
        <v>379</v>
      </c>
      <c r="H59" s="354">
        <v>553</v>
      </c>
      <c r="I59" s="354">
        <v>4</v>
      </c>
      <c r="J59" s="337"/>
      <c r="K59" s="337">
        <v>1</v>
      </c>
      <c r="L59" s="337">
        <v>0</v>
      </c>
      <c r="M59" s="337">
        <v>0</v>
      </c>
      <c r="N59" s="337">
        <v>0</v>
      </c>
      <c r="O59" s="337">
        <v>0</v>
      </c>
      <c r="P59" s="337">
        <v>0</v>
      </c>
      <c r="Q59" s="337">
        <v>0</v>
      </c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420"/>
      <c r="AP59" s="420"/>
      <c r="AQ59" s="420"/>
      <c r="AR59" s="420"/>
      <c r="AS59" s="420"/>
      <c r="AT59" s="420"/>
      <c r="AU59" s="420"/>
      <c r="AV59" s="420"/>
      <c r="AW59" s="420"/>
      <c r="AX59" s="420"/>
      <c r="AY59" s="420"/>
    </row>
    <row r="60" spans="1:51">
      <c r="A60" s="350">
        <v>59</v>
      </c>
      <c r="B60" s="359" t="s">
        <v>1836</v>
      </c>
      <c r="C60" s="359" t="s">
        <v>2143</v>
      </c>
      <c r="D60" s="356">
        <v>44874</v>
      </c>
      <c r="E60" s="352">
        <v>44889</v>
      </c>
      <c r="F60" s="354">
        <v>6</v>
      </c>
      <c r="G60" s="354">
        <v>351</v>
      </c>
      <c r="H60" s="354">
        <v>557</v>
      </c>
      <c r="I60" s="354">
        <v>3</v>
      </c>
      <c r="J60" s="337"/>
      <c r="K60" s="337">
        <v>0</v>
      </c>
      <c r="L60" s="337">
        <v>0</v>
      </c>
      <c r="M60" s="337">
        <v>0</v>
      </c>
      <c r="N60" s="337">
        <v>1</v>
      </c>
      <c r="O60" s="337">
        <v>0</v>
      </c>
      <c r="P60" s="337">
        <v>0</v>
      </c>
      <c r="Q60" s="337">
        <v>0</v>
      </c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420"/>
      <c r="AP60" s="420"/>
      <c r="AQ60" s="420"/>
      <c r="AR60" s="420"/>
      <c r="AS60" s="420"/>
      <c r="AT60" s="420"/>
      <c r="AU60" s="420"/>
      <c r="AV60" s="420"/>
      <c r="AW60" s="420"/>
      <c r="AX60" s="420"/>
      <c r="AY60" s="420"/>
    </row>
    <row r="61" spans="1:51">
      <c r="A61" s="350">
        <v>60</v>
      </c>
      <c r="B61" s="351" t="s">
        <v>1833</v>
      </c>
      <c r="C61" s="351" t="s">
        <v>2188</v>
      </c>
      <c r="D61" s="352">
        <v>44875</v>
      </c>
      <c r="E61" s="356">
        <v>44901</v>
      </c>
      <c r="F61" s="354">
        <v>4.9000000000000004</v>
      </c>
      <c r="G61" s="354">
        <v>368</v>
      </c>
      <c r="H61" s="354">
        <v>536</v>
      </c>
      <c r="I61" s="354">
        <v>4</v>
      </c>
      <c r="J61" s="337"/>
      <c r="K61" s="337">
        <v>1</v>
      </c>
      <c r="L61" s="337">
        <v>0</v>
      </c>
      <c r="M61" s="337">
        <v>0</v>
      </c>
      <c r="N61" s="337">
        <v>0</v>
      </c>
      <c r="O61" s="337">
        <v>0</v>
      </c>
      <c r="P61" s="337">
        <v>0</v>
      </c>
      <c r="Q61" s="337">
        <v>0</v>
      </c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</row>
    <row r="62" spans="1:51">
      <c r="A62" s="350">
        <v>61</v>
      </c>
      <c r="B62" s="361" t="s">
        <v>1837</v>
      </c>
      <c r="C62" s="361" t="s">
        <v>2144</v>
      </c>
      <c r="D62" s="352">
        <v>44880</v>
      </c>
      <c r="E62" s="356">
        <v>44897</v>
      </c>
      <c r="F62" s="354">
        <v>5.3</v>
      </c>
      <c r="G62" s="354">
        <v>396</v>
      </c>
      <c r="H62" s="354">
        <v>598</v>
      </c>
      <c r="I62" s="354">
        <v>4</v>
      </c>
      <c r="J62" s="337"/>
      <c r="K62" s="337">
        <v>0</v>
      </c>
      <c r="L62" s="337">
        <v>0</v>
      </c>
      <c r="M62" s="337">
        <v>0</v>
      </c>
      <c r="N62" s="337">
        <v>0</v>
      </c>
      <c r="O62" s="337">
        <v>1</v>
      </c>
      <c r="P62" s="337">
        <v>0</v>
      </c>
      <c r="Q62" s="337">
        <v>0</v>
      </c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</row>
    <row r="63" spans="1:51">
      <c r="A63" s="350">
        <v>62</v>
      </c>
      <c r="B63" s="359" t="s">
        <v>1836</v>
      </c>
      <c r="C63" s="359" t="s">
        <v>2143</v>
      </c>
      <c r="D63" s="352">
        <v>44890</v>
      </c>
      <c r="E63" s="352">
        <v>44910</v>
      </c>
      <c r="F63" s="354">
        <v>6</v>
      </c>
      <c r="G63" s="354">
        <v>356</v>
      </c>
      <c r="H63" s="354">
        <v>754</v>
      </c>
      <c r="I63" s="354">
        <v>0</v>
      </c>
      <c r="J63" s="337"/>
      <c r="K63" s="337">
        <v>0</v>
      </c>
      <c r="L63" s="337">
        <v>0</v>
      </c>
      <c r="M63" s="337">
        <v>0</v>
      </c>
      <c r="N63" s="337">
        <v>1</v>
      </c>
      <c r="O63" s="337">
        <v>0</v>
      </c>
      <c r="P63" s="337">
        <v>0</v>
      </c>
      <c r="Q63" s="337">
        <v>0</v>
      </c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</row>
    <row r="64" spans="1:51">
      <c r="A64" s="350">
        <v>63</v>
      </c>
      <c r="B64" s="355" t="s">
        <v>1900</v>
      </c>
      <c r="C64" s="355" t="s">
        <v>2189</v>
      </c>
      <c r="D64" s="356">
        <v>44903</v>
      </c>
      <c r="E64" s="352">
        <v>44924</v>
      </c>
      <c r="F64" s="354">
        <v>5.5</v>
      </c>
      <c r="G64" s="354">
        <v>377</v>
      </c>
      <c r="H64" s="354">
        <v>554</v>
      </c>
      <c r="I64" s="354">
        <v>4</v>
      </c>
      <c r="J64" s="337"/>
      <c r="K64" s="337">
        <v>0</v>
      </c>
      <c r="L64" s="337">
        <v>1</v>
      </c>
      <c r="M64" s="337">
        <v>0</v>
      </c>
      <c r="N64" s="337">
        <v>0</v>
      </c>
      <c r="O64" s="337">
        <v>0</v>
      </c>
      <c r="P64" s="337">
        <v>0</v>
      </c>
      <c r="Q64" s="337">
        <v>0</v>
      </c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</row>
    <row r="65" spans="1:51">
      <c r="A65" s="350">
        <v>64</v>
      </c>
      <c r="B65" s="361" t="s">
        <v>1837</v>
      </c>
      <c r="C65" s="361" t="s">
        <v>2144</v>
      </c>
      <c r="D65" s="356">
        <v>44904</v>
      </c>
      <c r="E65" s="352">
        <v>44917</v>
      </c>
      <c r="F65" s="354">
        <v>5</v>
      </c>
      <c r="G65" s="354">
        <v>394</v>
      </c>
      <c r="H65" s="354">
        <v>469</v>
      </c>
      <c r="I65" s="354">
        <v>6</v>
      </c>
      <c r="J65" s="337"/>
      <c r="K65" s="337">
        <v>0</v>
      </c>
      <c r="L65" s="337">
        <v>0</v>
      </c>
      <c r="M65" s="337">
        <v>0</v>
      </c>
      <c r="N65" s="337">
        <v>0</v>
      </c>
      <c r="O65" s="337">
        <v>1</v>
      </c>
      <c r="P65" s="337">
        <v>0</v>
      </c>
      <c r="Q65" s="337">
        <v>0</v>
      </c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</row>
    <row r="66" spans="1:51">
      <c r="A66" s="350">
        <v>65</v>
      </c>
      <c r="B66" s="357" t="s">
        <v>1835</v>
      </c>
      <c r="C66" s="357" t="s">
        <v>2142</v>
      </c>
      <c r="D66" s="352">
        <v>44915</v>
      </c>
      <c r="E66" s="352">
        <v>44942</v>
      </c>
      <c r="F66" s="354">
        <v>5.8</v>
      </c>
      <c r="G66" s="354">
        <v>363</v>
      </c>
      <c r="H66" s="354">
        <v>648</v>
      </c>
      <c r="I66" s="354">
        <v>2</v>
      </c>
      <c r="J66" s="337"/>
      <c r="K66" s="337">
        <v>0</v>
      </c>
      <c r="L66" s="337">
        <v>0</v>
      </c>
      <c r="M66" s="337">
        <v>1</v>
      </c>
      <c r="N66" s="337">
        <v>0</v>
      </c>
      <c r="O66" s="337">
        <v>0</v>
      </c>
      <c r="P66" s="337">
        <v>0</v>
      </c>
      <c r="Q66" s="337">
        <v>0</v>
      </c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</row>
    <row r="67" spans="1:51">
      <c r="A67" s="350">
        <v>66</v>
      </c>
      <c r="B67" s="364" t="s">
        <v>1839</v>
      </c>
      <c r="C67" s="364" t="s">
        <v>2146</v>
      </c>
      <c r="D67" s="352">
        <v>44918</v>
      </c>
      <c r="E67" s="356">
        <v>44930</v>
      </c>
      <c r="F67" s="354">
        <v>4.9000000000000004</v>
      </c>
      <c r="G67" s="354">
        <v>380</v>
      </c>
      <c r="H67" s="354">
        <v>808</v>
      </c>
      <c r="I67" s="354">
        <v>0</v>
      </c>
      <c r="J67" s="337"/>
      <c r="K67" s="337">
        <v>0</v>
      </c>
      <c r="L67" s="337">
        <v>0</v>
      </c>
      <c r="M67" s="337">
        <v>0</v>
      </c>
      <c r="N67" s="337">
        <v>0</v>
      </c>
      <c r="O67" s="337">
        <v>0</v>
      </c>
      <c r="P67" s="337">
        <v>0</v>
      </c>
      <c r="Q67" s="337">
        <v>1</v>
      </c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</row>
    <row r="68" spans="1:51">
      <c r="A68" s="350">
        <v>67</v>
      </c>
      <c r="B68" s="359" t="s">
        <v>1836</v>
      </c>
      <c r="C68" s="359" t="s">
        <v>2143</v>
      </c>
      <c r="D68" s="352">
        <v>44923</v>
      </c>
      <c r="E68" s="352">
        <v>44939</v>
      </c>
      <c r="F68" s="354">
        <v>6</v>
      </c>
      <c r="G68" s="354">
        <v>350</v>
      </c>
      <c r="H68" s="354">
        <v>271</v>
      </c>
      <c r="I68" s="354">
        <v>7</v>
      </c>
      <c r="J68" s="337"/>
      <c r="K68" s="337">
        <v>0</v>
      </c>
      <c r="L68" s="337">
        <v>0</v>
      </c>
      <c r="M68" s="337">
        <v>0</v>
      </c>
      <c r="N68" s="337">
        <v>1</v>
      </c>
      <c r="O68" s="337">
        <v>0</v>
      </c>
      <c r="P68" s="337">
        <v>0</v>
      </c>
      <c r="Q68" s="337">
        <v>0</v>
      </c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</row>
    <row r="69" spans="1:51">
      <c r="A69" s="350">
        <v>68</v>
      </c>
      <c r="B69" s="351" t="s">
        <v>1833</v>
      </c>
      <c r="C69" s="351" t="s">
        <v>2188</v>
      </c>
      <c r="D69" s="356">
        <v>44931</v>
      </c>
      <c r="E69" s="352">
        <v>44943</v>
      </c>
      <c r="F69" s="354">
        <v>4.9000000000000004</v>
      </c>
      <c r="G69" s="354">
        <v>372</v>
      </c>
      <c r="H69" s="354">
        <v>379</v>
      </c>
      <c r="I69" s="354">
        <v>6</v>
      </c>
      <c r="J69" s="337"/>
      <c r="K69" s="337">
        <v>1</v>
      </c>
      <c r="L69" s="337">
        <v>0</v>
      </c>
      <c r="M69" s="337">
        <v>0</v>
      </c>
      <c r="N69" s="337">
        <v>0</v>
      </c>
      <c r="O69" s="337">
        <v>0</v>
      </c>
      <c r="P69" s="337">
        <v>0</v>
      </c>
      <c r="Q69" s="337">
        <v>0</v>
      </c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</row>
    <row r="70" spans="1:51">
      <c r="A70" s="350">
        <v>69</v>
      </c>
      <c r="B70" s="362" t="s">
        <v>1838</v>
      </c>
      <c r="C70" s="362" t="s">
        <v>2145</v>
      </c>
      <c r="D70" s="356">
        <v>44932</v>
      </c>
      <c r="E70" s="352">
        <v>44944</v>
      </c>
      <c r="F70" s="354">
        <v>9.3000000000000007</v>
      </c>
      <c r="G70" s="354">
        <v>359</v>
      </c>
      <c r="H70" s="354">
        <v>764</v>
      </c>
      <c r="I70" s="354">
        <v>0</v>
      </c>
      <c r="J70" s="337"/>
      <c r="K70" s="337">
        <v>0</v>
      </c>
      <c r="L70" s="337">
        <v>0</v>
      </c>
      <c r="M70" s="337">
        <v>0</v>
      </c>
      <c r="N70" s="337">
        <v>0</v>
      </c>
      <c r="O70" s="337">
        <v>0</v>
      </c>
      <c r="P70" s="337">
        <v>1</v>
      </c>
      <c r="Q70" s="337">
        <v>0</v>
      </c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</row>
    <row r="71" spans="1:51">
      <c r="A71" s="350">
        <v>70</v>
      </c>
      <c r="B71" s="351" t="s">
        <v>1833</v>
      </c>
      <c r="C71" s="351" t="s">
        <v>2188</v>
      </c>
      <c r="D71" s="352">
        <v>44945</v>
      </c>
      <c r="E71" s="356">
        <v>44960</v>
      </c>
      <c r="F71" s="354">
        <v>5.3</v>
      </c>
      <c r="G71" s="354">
        <v>383</v>
      </c>
      <c r="H71" s="354">
        <v>199</v>
      </c>
      <c r="I71" s="354">
        <v>8</v>
      </c>
      <c r="J71" s="337"/>
      <c r="K71" s="337">
        <v>1</v>
      </c>
      <c r="L71" s="337">
        <v>0</v>
      </c>
      <c r="M71" s="337">
        <v>0</v>
      </c>
      <c r="N71" s="337">
        <v>0</v>
      </c>
      <c r="O71" s="337">
        <v>0</v>
      </c>
      <c r="P71" s="337">
        <v>0</v>
      </c>
      <c r="Q71" s="337">
        <v>0</v>
      </c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</row>
    <row r="72" spans="1:51">
      <c r="A72" s="350">
        <v>71</v>
      </c>
      <c r="B72" s="361" t="s">
        <v>1837</v>
      </c>
      <c r="C72" s="361" t="s">
        <v>2144</v>
      </c>
      <c r="D72" s="352">
        <v>44951</v>
      </c>
      <c r="E72" s="356">
        <v>44964</v>
      </c>
      <c r="F72" s="354">
        <v>5.3</v>
      </c>
      <c r="G72" s="354">
        <v>395</v>
      </c>
      <c r="H72" s="354">
        <v>537</v>
      </c>
      <c r="I72" s="354">
        <v>5</v>
      </c>
      <c r="J72" s="337"/>
      <c r="K72" s="337">
        <v>0</v>
      </c>
      <c r="L72" s="337">
        <v>0</v>
      </c>
      <c r="M72" s="337">
        <v>0</v>
      </c>
      <c r="N72" s="337">
        <v>0</v>
      </c>
      <c r="O72" s="337">
        <v>1</v>
      </c>
      <c r="P72" s="337">
        <v>0</v>
      </c>
      <c r="Q72" s="337">
        <v>0</v>
      </c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</row>
    <row r="73" spans="1:51">
      <c r="A73" s="350">
        <v>72</v>
      </c>
      <c r="B73" s="355" t="s">
        <v>1900</v>
      </c>
      <c r="C73" s="355" t="s">
        <v>2189</v>
      </c>
      <c r="D73" s="352">
        <v>44952</v>
      </c>
      <c r="E73" s="352">
        <v>44970</v>
      </c>
      <c r="F73" s="354">
        <v>5.3</v>
      </c>
      <c r="G73" s="354">
        <v>367</v>
      </c>
      <c r="H73" s="354">
        <v>787</v>
      </c>
      <c r="I73" s="354">
        <v>0</v>
      </c>
      <c r="J73" s="337"/>
      <c r="K73" s="337">
        <v>0</v>
      </c>
      <c r="L73" s="337">
        <v>1</v>
      </c>
      <c r="M73" s="337">
        <v>0</v>
      </c>
      <c r="N73" s="337">
        <v>0</v>
      </c>
      <c r="O73" s="337">
        <v>0</v>
      </c>
      <c r="P73" s="337">
        <v>0</v>
      </c>
      <c r="Q73" s="337">
        <v>0</v>
      </c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</row>
    <row r="74" spans="1:51">
      <c r="A74" s="350">
        <v>73</v>
      </c>
      <c r="B74" s="359" t="s">
        <v>1836</v>
      </c>
      <c r="C74" s="359" t="s">
        <v>2143</v>
      </c>
      <c r="D74" s="356">
        <v>44959</v>
      </c>
      <c r="E74" s="352">
        <v>44972</v>
      </c>
      <c r="F74" s="354">
        <v>6</v>
      </c>
      <c r="G74" s="354">
        <v>350</v>
      </c>
      <c r="H74" s="354">
        <v>254</v>
      </c>
      <c r="I74" s="354">
        <v>8</v>
      </c>
      <c r="J74" s="337"/>
      <c r="K74" s="337">
        <v>0</v>
      </c>
      <c r="L74" s="337">
        <v>0</v>
      </c>
      <c r="M74" s="337">
        <v>0</v>
      </c>
      <c r="N74" s="337">
        <v>1</v>
      </c>
      <c r="O74" s="337">
        <v>0</v>
      </c>
      <c r="P74" s="337">
        <v>0</v>
      </c>
      <c r="Q74" s="337">
        <v>0</v>
      </c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</row>
    <row r="75" spans="1:51">
      <c r="A75" s="350">
        <v>74</v>
      </c>
      <c r="B75" s="364" t="s">
        <v>1839</v>
      </c>
      <c r="C75" s="364" t="s">
        <v>2146</v>
      </c>
      <c r="D75" s="356">
        <v>44963</v>
      </c>
      <c r="E75" s="352">
        <v>44980</v>
      </c>
      <c r="F75" s="354">
        <v>5</v>
      </c>
      <c r="G75" s="354">
        <v>385</v>
      </c>
      <c r="H75" s="354">
        <v>449</v>
      </c>
      <c r="I75" s="354">
        <v>6</v>
      </c>
      <c r="J75" s="337"/>
      <c r="K75" s="337">
        <v>0</v>
      </c>
      <c r="L75" s="337">
        <v>0</v>
      </c>
      <c r="M75" s="337">
        <v>0</v>
      </c>
      <c r="N75" s="337">
        <v>0</v>
      </c>
      <c r="O75" s="337">
        <v>0</v>
      </c>
      <c r="P75" s="337">
        <v>0</v>
      </c>
      <c r="Q75" s="337">
        <v>1</v>
      </c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</row>
    <row r="76" spans="1:51">
      <c r="A76" s="350">
        <v>75</v>
      </c>
      <c r="B76" s="357" t="s">
        <v>1835</v>
      </c>
      <c r="C76" s="357" t="s">
        <v>2142</v>
      </c>
      <c r="D76" s="352">
        <v>44981</v>
      </c>
      <c r="E76" s="352">
        <v>45001</v>
      </c>
      <c r="F76" s="354">
        <v>5.6</v>
      </c>
      <c r="G76" s="354">
        <v>361</v>
      </c>
      <c r="H76" s="354">
        <v>771</v>
      </c>
      <c r="I76" s="354">
        <v>0</v>
      </c>
      <c r="J76" s="337"/>
      <c r="K76" s="337">
        <v>0</v>
      </c>
      <c r="L76" s="337">
        <v>0</v>
      </c>
      <c r="M76" s="337">
        <v>1</v>
      </c>
      <c r="N76" s="337">
        <v>0</v>
      </c>
      <c r="O76" s="337">
        <v>0</v>
      </c>
      <c r="P76" s="337">
        <v>0</v>
      </c>
      <c r="Q76" s="337">
        <v>0</v>
      </c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</row>
    <row r="77" spans="1:51">
      <c r="A77" s="350">
        <v>76</v>
      </c>
      <c r="B77" s="364" t="s">
        <v>1839</v>
      </c>
      <c r="C77" s="364" t="s">
        <v>2146</v>
      </c>
      <c r="D77" s="352">
        <v>44982</v>
      </c>
      <c r="E77" s="352">
        <v>45008</v>
      </c>
      <c r="F77" s="354">
        <v>4.9000000000000004</v>
      </c>
      <c r="G77" s="354">
        <v>380</v>
      </c>
      <c r="H77" s="354">
        <v>686</v>
      </c>
      <c r="I77" s="354">
        <v>2</v>
      </c>
      <c r="J77" s="337"/>
      <c r="K77" s="337">
        <v>0</v>
      </c>
      <c r="L77" s="337">
        <v>0</v>
      </c>
      <c r="M77" s="337">
        <v>0</v>
      </c>
      <c r="N77" s="337">
        <v>0</v>
      </c>
      <c r="O77" s="337">
        <v>0</v>
      </c>
      <c r="P77" s="337">
        <v>0</v>
      </c>
      <c r="Q77" s="337">
        <v>1</v>
      </c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</row>
    <row r="78" spans="1:51">
      <c r="A78" s="350">
        <v>77</v>
      </c>
      <c r="B78" s="359" t="s">
        <v>1836</v>
      </c>
      <c r="C78" s="359" t="s">
        <v>2143</v>
      </c>
      <c r="D78" s="352">
        <v>44985</v>
      </c>
      <c r="E78" s="352">
        <v>45007</v>
      </c>
      <c r="F78" s="354">
        <v>5.8</v>
      </c>
      <c r="G78" s="354">
        <v>350</v>
      </c>
      <c r="H78" s="354">
        <v>501</v>
      </c>
      <c r="I78" s="354">
        <v>4</v>
      </c>
      <c r="J78" s="337"/>
      <c r="K78" s="337">
        <v>0</v>
      </c>
      <c r="L78" s="337">
        <v>0</v>
      </c>
      <c r="M78" s="337">
        <v>0</v>
      </c>
      <c r="N78" s="337">
        <v>1</v>
      </c>
      <c r="O78" s="337">
        <v>0</v>
      </c>
      <c r="P78" s="337">
        <v>0</v>
      </c>
      <c r="Q78" s="337">
        <v>0</v>
      </c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</row>
    <row r="79" spans="1:51">
      <c r="A79" s="350">
        <v>78</v>
      </c>
      <c r="B79" s="351" t="s">
        <v>1833</v>
      </c>
      <c r="C79" s="351" t="s">
        <v>2188</v>
      </c>
      <c r="D79" s="356">
        <v>44986</v>
      </c>
      <c r="E79" s="352">
        <v>45006</v>
      </c>
      <c r="F79" s="354">
        <v>5</v>
      </c>
      <c r="G79" s="354">
        <v>379</v>
      </c>
      <c r="H79" s="354">
        <v>807</v>
      </c>
      <c r="I79" s="354">
        <v>0</v>
      </c>
      <c r="J79" s="337"/>
      <c r="K79" s="337">
        <v>1</v>
      </c>
      <c r="L79" s="337">
        <v>0</v>
      </c>
      <c r="M79" s="337">
        <v>0</v>
      </c>
      <c r="N79" s="337">
        <v>0</v>
      </c>
      <c r="O79" s="337">
        <v>0</v>
      </c>
      <c r="P79" s="337">
        <v>0</v>
      </c>
      <c r="Q79" s="337">
        <v>0</v>
      </c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</row>
    <row r="80" spans="1:51">
      <c r="A80" s="350">
        <v>79</v>
      </c>
      <c r="B80" s="361" t="s">
        <v>1837</v>
      </c>
      <c r="C80" s="361" t="s">
        <v>2144</v>
      </c>
      <c r="D80" s="352">
        <v>45014</v>
      </c>
      <c r="E80" s="352">
        <v>45028</v>
      </c>
      <c r="F80" s="354">
        <v>4.9000000000000004</v>
      </c>
      <c r="G80" s="354">
        <v>400</v>
      </c>
      <c r="H80" s="354">
        <v>853</v>
      </c>
      <c r="I80" s="354">
        <v>0</v>
      </c>
      <c r="J80" s="337"/>
      <c r="K80" s="337">
        <v>0</v>
      </c>
      <c r="L80" s="337">
        <v>0</v>
      </c>
      <c r="M80" s="337">
        <v>0</v>
      </c>
      <c r="N80" s="337">
        <v>0</v>
      </c>
      <c r="O80" s="337">
        <v>1</v>
      </c>
      <c r="P80" s="337">
        <v>0</v>
      </c>
      <c r="Q80" s="337">
        <v>0</v>
      </c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</row>
    <row r="81" spans="1:51">
      <c r="A81" s="350">
        <v>80</v>
      </c>
      <c r="B81" s="362" t="s">
        <v>1838</v>
      </c>
      <c r="C81" s="362" t="s">
        <v>2145</v>
      </c>
      <c r="D81" s="352">
        <v>45015</v>
      </c>
      <c r="E81" s="352">
        <v>45034</v>
      </c>
      <c r="F81" s="354">
        <v>8.5</v>
      </c>
      <c r="G81" s="354">
        <v>375</v>
      </c>
      <c r="H81" s="354">
        <v>801</v>
      </c>
      <c r="I81" s="354">
        <v>0</v>
      </c>
      <c r="J81" s="337"/>
      <c r="K81" s="337">
        <v>0</v>
      </c>
      <c r="L81" s="337">
        <v>0</v>
      </c>
      <c r="M81" s="337">
        <v>0</v>
      </c>
      <c r="N81" s="337">
        <v>0</v>
      </c>
      <c r="O81" s="337">
        <v>0</v>
      </c>
      <c r="P81" s="337">
        <v>1</v>
      </c>
      <c r="Q81" s="337">
        <v>0</v>
      </c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</row>
    <row r="82" spans="1:51">
      <c r="A82" s="350">
        <v>81</v>
      </c>
      <c r="B82" s="355" t="s">
        <v>1900</v>
      </c>
      <c r="C82" s="355" t="s">
        <v>2189</v>
      </c>
      <c r="D82" s="356">
        <v>45018</v>
      </c>
      <c r="E82" s="352">
        <v>45035</v>
      </c>
      <c r="F82" s="354">
        <v>5.4</v>
      </c>
      <c r="G82" s="354">
        <v>365</v>
      </c>
      <c r="H82" s="354">
        <v>779</v>
      </c>
      <c r="I82" s="354">
        <v>0</v>
      </c>
      <c r="J82" s="337"/>
      <c r="K82" s="337">
        <v>0</v>
      </c>
      <c r="L82" s="337">
        <v>1</v>
      </c>
      <c r="M82" s="337">
        <v>0</v>
      </c>
      <c r="N82" s="337">
        <v>0</v>
      </c>
      <c r="O82" s="337">
        <v>0</v>
      </c>
      <c r="P82" s="337">
        <v>0</v>
      </c>
      <c r="Q82" s="337">
        <v>0</v>
      </c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</row>
    <row r="83" spans="1:51">
      <c r="A83" s="350">
        <v>82</v>
      </c>
      <c r="B83" s="359" t="s">
        <v>1836</v>
      </c>
      <c r="C83" s="359" t="s">
        <v>2143</v>
      </c>
      <c r="D83" s="356">
        <v>45019</v>
      </c>
      <c r="E83" s="352">
        <v>45036</v>
      </c>
      <c r="F83" s="354">
        <v>5.9</v>
      </c>
      <c r="G83" s="354">
        <v>355</v>
      </c>
      <c r="H83" s="354">
        <v>506</v>
      </c>
      <c r="I83" s="354">
        <v>4</v>
      </c>
      <c r="J83" s="337"/>
      <c r="K83" s="337">
        <v>0</v>
      </c>
      <c r="L83" s="337">
        <v>0</v>
      </c>
      <c r="M83" s="337">
        <v>0</v>
      </c>
      <c r="N83" s="337">
        <v>1</v>
      </c>
      <c r="O83" s="337">
        <v>0</v>
      </c>
      <c r="P83" s="337">
        <v>0</v>
      </c>
      <c r="Q83" s="337">
        <v>0</v>
      </c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</row>
    <row r="84" spans="1:51">
      <c r="A84" s="350">
        <v>83</v>
      </c>
      <c r="B84" s="351" t="s">
        <v>1833</v>
      </c>
      <c r="C84" s="351" t="s">
        <v>2188</v>
      </c>
      <c r="D84" s="352">
        <v>45033</v>
      </c>
      <c r="E84" s="352">
        <v>45046</v>
      </c>
      <c r="F84" s="354">
        <v>5.4</v>
      </c>
      <c r="G84" s="354">
        <v>376</v>
      </c>
      <c r="H84" s="354">
        <v>553</v>
      </c>
      <c r="I84" s="354">
        <v>4</v>
      </c>
      <c r="J84" s="337"/>
      <c r="K84" s="337">
        <v>1</v>
      </c>
      <c r="L84" s="337">
        <v>0</v>
      </c>
      <c r="M84" s="337">
        <v>0</v>
      </c>
      <c r="N84" s="337">
        <v>0</v>
      </c>
      <c r="O84" s="337">
        <v>0</v>
      </c>
      <c r="P84" s="337">
        <v>0</v>
      </c>
      <c r="Q84" s="337">
        <v>0</v>
      </c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</row>
    <row r="85" spans="1:51">
      <c r="A85" s="350">
        <v>84</v>
      </c>
      <c r="B85" s="357" t="s">
        <v>1835</v>
      </c>
      <c r="C85" s="357" t="s">
        <v>2142</v>
      </c>
      <c r="D85" s="352">
        <v>45042</v>
      </c>
      <c r="E85" s="352">
        <v>45056</v>
      </c>
      <c r="F85" s="354">
        <v>5.8</v>
      </c>
      <c r="G85" s="354">
        <v>360</v>
      </c>
      <c r="H85" s="354">
        <v>769</v>
      </c>
      <c r="I85" s="354">
        <v>0</v>
      </c>
      <c r="J85" s="337"/>
      <c r="K85" s="337">
        <v>0</v>
      </c>
      <c r="L85" s="337">
        <v>0</v>
      </c>
      <c r="M85" s="337">
        <v>1</v>
      </c>
      <c r="N85" s="337">
        <v>0</v>
      </c>
      <c r="O85" s="337">
        <v>0</v>
      </c>
      <c r="P85" s="337">
        <v>0</v>
      </c>
      <c r="Q85" s="337">
        <v>0</v>
      </c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</row>
    <row r="86" spans="1:51">
      <c r="A86" s="350">
        <v>85</v>
      </c>
      <c r="B86" s="364" t="s">
        <v>1839</v>
      </c>
      <c r="C86" s="364" t="s">
        <v>2146</v>
      </c>
      <c r="D86" s="352">
        <v>45043</v>
      </c>
      <c r="E86" s="352">
        <v>45057</v>
      </c>
      <c r="F86" s="354">
        <v>4.9000000000000004</v>
      </c>
      <c r="G86" s="354">
        <v>368</v>
      </c>
      <c r="H86" s="354">
        <v>786</v>
      </c>
      <c r="I86" s="354">
        <v>0</v>
      </c>
      <c r="J86" s="337"/>
      <c r="K86" s="337">
        <v>0</v>
      </c>
      <c r="L86" s="337">
        <v>0</v>
      </c>
      <c r="M86" s="337">
        <v>0</v>
      </c>
      <c r="N86" s="337">
        <v>0</v>
      </c>
      <c r="O86" s="337">
        <v>0</v>
      </c>
      <c r="P86" s="337">
        <v>0</v>
      </c>
      <c r="Q86" s="337">
        <v>1</v>
      </c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</row>
    <row r="87" spans="1:51">
      <c r="A87" s="350">
        <v>86</v>
      </c>
      <c r="B87" s="361" t="s">
        <v>1837</v>
      </c>
      <c r="C87" s="361" t="s">
        <v>2144</v>
      </c>
      <c r="D87" s="356">
        <v>45049</v>
      </c>
      <c r="E87" s="352">
        <v>45061</v>
      </c>
      <c r="F87" s="354">
        <v>4.5999999999999996</v>
      </c>
      <c r="G87" s="354">
        <v>385</v>
      </c>
      <c r="H87" s="354">
        <v>821</v>
      </c>
      <c r="I87" s="354">
        <v>0</v>
      </c>
      <c r="J87" s="337"/>
      <c r="K87" s="337">
        <v>0</v>
      </c>
      <c r="L87" s="337">
        <v>0</v>
      </c>
      <c r="M87" s="337">
        <v>0</v>
      </c>
      <c r="N87" s="337">
        <v>0</v>
      </c>
      <c r="O87" s="337">
        <v>1</v>
      </c>
      <c r="P87" s="337">
        <v>0</v>
      </c>
      <c r="Q87" s="337">
        <v>0</v>
      </c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</row>
    <row r="88" spans="1:51">
      <c r="A88" s="350">
        <v>87</v>
      </c>
      <c r="B88" s="359" t="s">
        <v>1836</v>
      </c>
      <c r="C88" s="359" t="s">
        <v>2143</v>
      </c>
      <c r="D88" s="356">
        <v>45050</v>
      </c>
      <c r="E88" s="352">
        <v>45063</v>
      </c>
      <c r="F88" s="354">
        <v>5.6</v>
      </c>
      <c r="G88" s="354">
        <v>354</v>
      </c>
      <c r="H88" s="354">
        <v>753</v>
      </c>
      <c r="I88" s="354">
        <v>0</v>
      </c>
      <c r="J88" s="337"/>
      <c r="K88" s="337">
        <v>0</v>
      </c>
      <c r="L88" s="337">
        <v>0</v>
      </c>
      <c r="M88" s="337">
        <v>0</v>
      </c>
      <c r="N88" s="337">
        <v>1</v>
      </c>
      <c r="O88" s="337">
        <v>0</v>
      </c>
      <c r="P88" s="337">
        <v>0</v>
      </c>
      <c r="Q88" s="337">
        <v>0</v>
      </c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</row>
    <row r="89" spans="1:51">
      <c r="A89" s="350">
        <v>88</v>
      </c>
      <c r="B89" s="355" t="s">
        <v>1900</v>
      </c>
      <c r="C89" s="355" t="s">
        <v>2189</v>
      </c>
      <c r="D89" s="352">
        <v>45062</v>
      </c>
      <c r="E89" s="352">
        <v>45076</v>
      </c>
      <c r="F89" s="354">
        <v>5.0999999999999996</v>
      </c>
      <c r="G89" s="354">
        <v>380</v>
      </c>
      <c r="H89" s="354">
        <v>689</v>
      </c>
      <c r="I89" s="354">
        <v>2</v>
      </c>
      <c r="J89" s="337"/>
      <c r="K89" s="337">
        <v>0</v>
      </c>
      <c r="L89" s="337">
        <v>1</v>
      </c>
      <c r="M89" s="337">
        <v>0</v>
      </c>
      <c r="N89" s="337">
        <v>0</v>
      </c>
      <c r="O89" s="337">
        <v>0</v>
      </c>
      <c r="P89" s="337">
        <v>0</v>
      </c>
      <c r="Q89" s="337">
        <v>0</v>
      </c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</row>
    <row r="90" spans="1:51">
      <c r="A90" s="350">
        <v>89</v>
      </c>
      <c r="B90" s="351" t="s">
        <v>1833</v>
      </c>
      <c r="C90" s="351" t="s">
        <v>2188</v>
      </c>
      <c r="D90" s="352">
        <v>45064</v>
      </c>
      <c r="E90" s="352">
        <v>45075</v>
      </c>
      <c r="F90" s="354">
        <v>4.7</v>
      </c>
      <c r="G90" s="354">
        <v>366</v>
      </c>
      <c r="H90" s="354">
        <v>779</v>
      </c>
      <c r="I90" s="354">
        <v>0</v>
      </c>
      <c r="J90" s="337"/>
      <c r="K90" s="337">
        <v>1</v>
      </c>
      <c r="L90" s="337">
        <v>0</v>
      </c>
      <c r="M90" s="337">
        <v>0</v>
      </c>
      <c r="N90" s="337">
        <v>0</v>
      </c>
      <c r="O90" s="337">
        <v>0</v>
      </c>
      <c r="P90" s="337">
        <v>0</v>
      </c>
      <c r="Q90" s="337">
        <v>0</v>
      </c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</row>
    <row r="91" spans="1:51">
      <c r="A91" s="350">
        <v>90</v>
      </c>
      <c r="B91" s="357" t="s">
        <v>1835</v>
      </c>
      <c r="C91" s="357" t="s">
        <v>2142</v>
      </c>
      <c r="D91" s="352">
        <v>45069</v>
      </c>
      <c r="E91" s="356">
        <v>45082</v>
      </c>
      <c r="F91" s="354">
        <v>5.4</v>
      </c>
      <c r="G91" s="354">
        <v>366</v>
      </c>
      <c r="H91" s="354">
        <v>780</v>
      </c>
      <c r="I91" s="354">
        <v>0</v>
      </c>
      <c r="J91" s="337"/>
      <c r="K91" s="337">
        <v>0</v>
      </c>
      <c r="L91" s="337">
        <v>0</v>
      </c>
      <c r="M91" s="337">
        <v>1</v>
      </c>
      <c r="N91" s="337">
        <v>0</v>
      </c>
      <c r="O91" s="337">
        <v>0</v>
      </c>
      <c r="P91" s="337">
        <v>0</v>
      </c>
      <c r="Q91" s="337">
        <v>0</v>
      </c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</row>
    <row r="92" spans="1:51">
      <c r="A92" s="350">
        <v>91</v>
      </c>
      <c r="B92" s="364" t="s">
        <v>1839</v>
      </c>
      <c r="C92" s="364" t="s">
        <v>2146</v>
      </c>
      <c r="D92" s="352">
        <v>45071</v>
      </c>
      <c r="E92" s="356">
        <v>45083</v>
      </c>
      <c r="F92" s="354">
        <v>4.7</v>
      </c>
      <c r="G92" s="354">
        <v>365</v>
      </c>
      <c r="H92" s="354">
        <v>778</v>
      </c>
      <c r="I92" s="354">
        <v>0</v>
      </c>
      <c r="J92" s="337"/>
      <c r="K92" s="337">
        <v>0</v>
      </c>
      <c r="L92" s="337">
        <v>0</v>
      </c>
      <c r="M92" s="337">
        <v>0</v>
      </c>
      <c r="N92" s="337">
        <v>0</v>
      </c>
      <c r="O92" s="337">
        <v>0</v>
      </c>
      <c r="P92" s="337">
        <v>0</v>
      </c>
      <c r="Q92" s="337">
        <v>1</v>
      </c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</row>
    <row r="93" spans="1:51">
      <c r="A93" s="350">
        <v>92</v>
      </c>
      <c r="B93" s="362" t="s">
        <v>1838</v>
      </c>
      <c r="C93" s="362" t="s">
        <v>2145</v>
      </c>
      <c r="D93" s="352">
        <v>45077</v>
      </c>
      <c r="E93" s="352">
        <v>45127</v>
      </c>
      <c r="F93" s="354">
        <v>7.6</v>
      </c>
      <c r="G93" s="354">
        <v>369</v>
      </c>
      <c r="H93" s="354">
        <v>790</v>
      </c>
      <c r="I93" s="354">
        <v>0</v>
      </c>
      <c r="J93" s="337"/>
      <c r="K93" s="337">
        <v>0</v>
      </c>
      <c r="L93" s="337">
        <v>0</v>
      </c>
      <c r="M93" s="337">
        <v>0</v>
      </c>
      <c r="N93" s="337">
        <v>0</v>
      </c>
      <c r="O93" s="337">
        <v>0</v>
      </c>
      <c r="P93" s="337">
        <v>1</v>
      </c>
      <c r="Q93" s="337">
        <v>0</v>
      </c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</row>
    <row r="94" spans="1:51">
      <c r="A94" s="350">
        <v>93</v>
      </c>
      <c r="B94" s="351" t="s">
        <v>1833</v>
      </c>
      <c r="C94" s="351" t="s">
        <v>2188</v>
      </c>
      <c r="D94" s="356">
        <v>45078</v>
      </c>
      <c r="E94" s="352">
        <v>45126</v>
      </c>
      <c r="F94" s="354">
        <v>4.7</v>
      </c>
      <c r="G94" s="354">
        <v>360</v>
      </c>
      <c r="H94" s="354">
        <v>767</v>
      </c>
      <c r="I94" s="354">
        <v>0</v>
      </c>
      <c r="J94" s="337"/>
      <c r="K94" s="337">
        <v>1</v>
      </c>
      <c r="L94" s="337">
        <v>0</v>
      </c>
      <c r="M94" s="337">
        <v>0</v>
      </c>
      <c r="N94" s="337">
        <v>0</v>
      </c>
      <c r="O94" s="337">
        <v>0</v>
      </c>
      <c r="P94" s="337">
        <v>0</v>
      </c>
      <c r="Q94" s="337">
        <v>0</v>
      </c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</row>
    <row r="95" spans="1:51">
      <c r="A95" s="350">
        <v>94</v>
      </c>
      <c r="B95" s="361" t="s">
        <v>1837</v>
      </c>
      <c r="C95" s="361" t="s">
        <v>2144</v>
      </c>
      <c r="D95" s="352">
        <v>45118</v>
      </c>
      <c r="E95" s="352">
        <v>45148</v>
      </c>
      <c r="F95" s="354">
        <v>5.0999999999999996</v>
      </c>
      <c r="G95" s="354">
        <v>397</v>
      </c>
      <c r="H95" s="354">
        <v>847</v>
      </c>
      <c r="I95" s="354">
        <v>0</v>
      </c>
      <c r="J95" s="337"/>
      <c r="K95" s="337">
        <v>0</v>
      </c>
      <c r="L95" s="337">
        <v>0</v>
      </c>
      <c r="M95" s="337">
        <v>0</v>
      </c>
      <c r="N95" s="337">
        <v>0</v>
      </c>
      <c r="O95" s="337">
        <v>1</v>
      </c>
      <c r="P95" s="337">
        <v>0</v>
      </c>
      <c r="Q95" s="337">
        <v>0</v>
      </c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</row>
    <row r="96" spans="1:51">
      <c r="A96" s="350">
        <v>95</v>
      </c>
      <c r="B96" s="359" t="s">
        <v>1836</v>
      </c>
      <c r="C96" s="359" t="s">
        <v>2143</v>
      </c>
      <c r="D96" s="352">
        <v>45119</v>
      </c>
      <c r="E96" s="356">
        <v>45141</v>
      </c>
      <c r="F96" s="354">
        <v>5.8</v>
      </c>
      <c r="G96" s="354">
        <v>360</v>
      </c>
      <c r="H96" s="354">
        <v>518</v>
      </c>
      <c r="I96" s="354">
        <v>4</v>
      </c>
      <c r="J96" s="337"/>
      <c r="K96" s="337">
        <v>0</v>
      </c>
      <c r="L96" s="337">
        <v>0</v>
      </c>
      <c r="M96" s="337">
        <v>0</v>
      </c>
      <c r="N96" s="337">
        <v>1</v>
      </c>
      <c r="O96" s="337">
        <v>0</v>
      </c>
      <c r="P96" s="337">
        <v>0</v>
      </c>
      <c r="Q96" s="337">
        <v>0</v>
      </c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</row>
    <row r="97" spans="1:51">
      <c r="A97" s="350">
        <v>96</v>
      </c>
      <c r="B97" s="359" t="s">
        <v>1836</v>
      </c>
      <c r="C97" s="359" t="s">
        <v>2143</v>
      </c>
      <c r="D97" s="352">
        <v>45161</v>
      </c>
      <c r="E97" s="356">
        <v>45175</v>
      </c>
      <c r="F97" s="354"/>
      <c r="G97" s="354">
        <v>350</v>
      </c>
      <c r="H97" s="354">
        <v>437</v>
      </c>
      <c r="I97" s="354">
        <v>5</v>
      </c>
      <c r="J97" s="337"/>
      <c r="K97" s="337">
        <v>0</v>
      </c>
      <c r="L97" s="337">
        <v>0</v>
      </c>
      <c r="M97" s="337">
        <v>0</v>
      </c>
      <c r="N97" s="337">
        <v>1</v>
      </c>
      <c r="O97" s="337">
        <v>0</v>
      </c>
      <c r="P97" s="337">
        <v>0</v>
      </c>
      <c r="Q97" s="337">
        <v>0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</row>
    <row r="98" spans="1:51">
      <c r="A98" s="350">
        <v>97</v>
      </c>
      <c r="B98" s="364" t="s">
        <v>1839</v>
      </c>
      <c r="C98" s="364" t="s">
        <v>2146</v>
      </c>
      <c r="D98" s="352">
        <v>45162</v>
      </c>
      <c r="E98" s="356">
        <v>45174</v>
      </c>
      <c r="F98" s="354">
        <v>4.5999999999999996</v>
      </c>
      <c r="G98" s="354">
        <v>390</v>
      </c>
      <c r="H98" s="354">
        <v>828</v>
      </c>
      <c r="I98" s="354">
        <v>0</v>
      </c>
      <c r="J98" s="337"/>
      <c r="K98" s="337">
        <v>0</v>
      </c>
      <c r="L98" s="337">
        <v>0</v>
      </c>
      <c r="M98" s="337">
        <v>0</v>
      </c>
      <c r="N98" s="337">
        <v>0</v>
      </c>
      <c r="O98" s="337">
        <v>0</v>
      </c>
      <c r="P98" s="337">
        <v>0</v>
      </c>
      <c r="Q98" s="337">
        <v>1</v>
      </c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</row>
    <row r="99" spans="1:51">
      <c r="A99" s="350">
        <v>98</v>
      </c>
      <c r="B99" s="355" t="s">
        <v>1900</v>
      </c>
      <c r="C99" s="355" t="s">
        <v>2189</v>
      </c>
      <c r="D99" s="352">
        <v>45167</v>
      </c>
      <c r="E99" s="352">
        <v>45181</v>
      </c>
      <c r="F99" s="354">
        <v>5.4</v>
      </c>
      <c r="G99" s="354">
        <v>384</v>
      </c>
      <c r="H99" s="354">
        <v>816</v>
      </c>
      <c r="I99" s="354">
        <v>0</v>
      </c>
      <c r="J99" s="337"/>
      <c r="K99" s="337">
        <v>0</v>
      </c>
      <c r="L99" s="337">
        <v>1</v>
      </c>
      <c r="M99" s="337">
        <v>0</v>
      </c>
      <c r="N99" s="337">
        <v>0</v>
      </c>
      <c r="O99" s="337">
        <v>0</v>
      </c>
      <c r="P99" s="337">
        <v>0</v>
      </c>
      <c r="Q99" s="337">
        <v>0</v>
      </c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</row>
    <row r="100" spans="1:51">
      <c r="A100" s="350">
        <v>99</v>
      </c>
      <c r="B100" s="351" t="s">
        <v>1833</v>
      </c>
      <c r="C100" s="351" t="s">
        <v>2188</v>
      </c>
      <c r="D100" s="352">
        <v>45168</v>
      </c>
      <c r="E100" s="352">
        <v>45180</v>
      </c>
      <c r="F100" s="354">
        <v>5</v>
      </c>
      <c r="G100" s="354">
        <v>384</v>
      </c>
      <c r="H100" s="354">
        <v>445</v>
      </c>
      <c r="I100" s="354">
        <v>6</v>
      </c>
      <c r="J100" s="337"/>
      <c r="K100" s="337">
        <v>1</v>
      </c>
      <c r="L100" s="337">
        <v>0</v>
      </c>
      <c r="M100" s="337">
        <v>0</v>
      </c>
      <c r="N100" s="337">
        <v>0</v>
      </c>
      <c r="O100" s="337">
        <v>0</v>
      </c>
      <c r="P100" s="337">
        <v>0</v>
      </c>
      <c r="Q100" s="337">
        <v>0</v>
      </c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</row>
    <row r="101" spans="1:51">
      <c r="A101" s="350">
        <v>100</v>
      </c>
      <c r="B101" s="357" t="s">
        <v>1835</v>
      </c>
      <c r="C101" s="357" t="s">
        <v>2142</v>
      </c>
      <c r="D101" s="356">
        <v>45202</v>
      </c>
      <c r="E101" s="352">
        <v>45216</v>
      </c>
      <c r="F101" s="354">
        <v>5.6</v>
      </c>
      <c r="G101" s="354">
        <v>369</v>
      </c>
      <c r="H101" s="354">
        <v>789</v>
      </c>
      <c r="I101" s="354">
        <v>0</v>
      </c>
      <c r="J101" s="337"/>
      <c r="K101" s="337">
        <v>0</v>
      </c>
      <c r="L101" s="337">
        <v>0</v>
      </c>
      <c r="M101" s="337">
        <v>1</v>
      </c>
      <c r="N101" s="337">
        <v>0</v>
      </c>
      <c r="O101" s="337">
        <v>0</v>
      </c>
      <c r="P101" s="337">
        <v>0</v>
      </c>
      <c r="Q101" s="337">
        <v>0</v>
      </c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</row>
    <row r="102" spans="1:51">
      <c r="A102" s="350">
        <v>101</v>
      </c>
      <c r="B102" s="351" t="s">
        <v>1833</v>
      </c>
      <c r="C102" s="351" t="s">
        <v>2188</v>
      </c>
      <c r="D102" s="356">
        <v>45203</v>
      </c>
      <c r="E102" s="352">
        <v>45217</v>
      </c>
      <c r="F102" s="354">
        <v>5.4</v>
      </c>
      <c r="G102" s="354">
        <v>387</v>
      </c>
      <c r="H102" s="354">
        <v>210</v>
      </c>
      <c r="I102" s="354">
        <v>10</v>
      </c>
      <c r="J102" s="337"/>
      <c r="K102" s="337">
        <v>1</v>
      </c>
      <c r="L102" s="337">
        <v>0</v>
      </c>
      <c r="M102" s="337">
        <v>0</v>
      </c>
      <c r="N102" s="337">
        <v>0</v>
      </c>
      <c r="O102" s="337">
        <v>0</v>
      </c>
      <c r="P102" s="337">
        <v>0</v>
      </c>
      <c r="Q102" s="337">
        <v>0</v>
      </c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</row>
    <row r="103" spans="1:51">
      <c r="A103" s="350">
        <v>102</v>
      </c>
      <c r="B103" s="359" t="s">
        <v>1836</v>
      </c>
      <c r="C103" s="359" t="s">
        <v>2143</v>
      </c>
      <c r="D103" s="352">
        <v>45212</v>
      </c>
      <c r="E103" s="352">
        <v>45227</v>
      </c>
      <c r="F103" s="354">
        <v>6.3</v>
      </c>
      <c r="G103" s="354">
        <v>358</v>
      </c>
      <c r="H103" s="354">
        <v>516</v>
      </c>
      <c r="I103" s="354">
        <v>4</v>
      </c>
      <c r="J103" s="337"/>
      <c r="K103" s="337">
        <v>0</v>
      </c>
      <c r="L103" s="337">
        <v>0</v>
      </c>
      <c r="M103" s="337">
        <v>0</v>
      </c>
      <c r="N103" s="337">
        <v>1</v>
      </c>
      <c r="O103" s="337">
        <v>0</v>
      </c>
      <c r="P103" s="337">
        <v>0</v>
      </c>
      <c r="Q103" s="337">
        <v>0</v>
      </c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</row>
    <row r="104" spans="1:51">
      <c r="A104" s="350">
        <v>103</v>
      </c>
      <c r="B104" s="361" t="s">
        <v>1837</v>
      </c>
      <c r="C104" s="361" t="s">
        <v>2144</v>
      </c>
      <c r="D104" s="352">
        <v>45218</v>
      </c>
      <c r="E104" s="356">
        <v>45231</v>
      </c>
      <c r="F104" s="354">
        <v>5.0999999999999996</v>
      </c>
      <c r="G104" s="354">
        <v>407</v>
      </c>
      <c r="H104" s="354">
        <v>561</v>
      </c>
      <c r="I104" s="354">
        <v>5</v>
      </c>
      <c r="J104" s="337"/>
      <c r="K104" s="337">
        <v>0</v>
      </c>
      <c r="L104" s="337">
        <v>0</v>
      </c>
      <c r="M104" s="337">
        <v>0</v>
      </c>
      <c r="N104" s="337">
        <v>0</v>
      </c>
      <c r="O104" s="337">
        <v>1</v>
      </c>
      <c r="P104" s="337">
        <v>0</v>
      </c>
      <c r="Q104" s="337">
        <v>0</v>
      </c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</row>
    <row r="105" spans="1:51">
      <c r="A105" s="350">
        <v>104</v>
      </c>
      <c r="B105" s="369" t="s">
        <v>1836</v>
      </c>
      <c r="C105" s="341" t="s">
        <v>2143</v>
      </c>
      <c r="D105" s="346">
        <v>45245</v>
      </c>
      <c r="E105" s="346">
        <v>45281</v>
      </c>
      <c r="F105" s="347">
        <v>6.4</v>
      </c>
      <c r="G105" s="347">
        <v>386</v>
      </c>
      <c r="H105" s="348">
        <v>459</v>
      </c>
      <c r="I105" s="348">
        <v>6</v>
      </c>
      <c r="J105" s="337"/>
      <c r="K105" s="337">
        <v>0</v>
      </c>
      <c r="L105" s="337">
        <v>0</v>
      </c>
      <c r="M105" s="337">
        <v>0</v>
      </c>
      <c r="N105" s="337">
        <v>1</v>
      </c>
      <c r="O105" s="337">
        <v>0</v>
      </c>
      <c r="P105" s="337">
        <v>0</v>
      </c>
      <c r="Q105" s="337">
        <v>0</v>
      </c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</row>
    <row r="106" spans="1:51">
      <c r="A106" s="350">
        <v>105</v>
      </c>
      <c r="B106" s="370" t="s">
        <v>1839</v>
      </c>
      <c r="C106" s="364" t="s">
        <v>2146</v>
      </c>
      <c r="D106" s="352">
        <v>45246</v>
      </c>
      <c r="E106" s="356">
        <v>45267</v>
      </c>
      <c r="F106" s="353">
        <v>5.3</v>
      </c>
      <c r="G106" s="353">
        <v>388</v>
      </c>
      <c r="H106" s="354">
        <v>456</v>
      </c>
      <c r="I106" s="354">
        <v>6</v>
      </c>
      <c r="J106" s="337"/>
      <c r="K106" s="337">
        <v>0</v>
      </c>
      <c r="L106" s="337">
        <v>0</v>
      </c>
      <c r="M106" s="337">
        <v>0</v>
      </c>
      <c r="N106" s="337">
        <v>0</v>
      </c>
      <c r="O106" s="337">
        <v>0</v>
      </c>
      <c r="P106" s="337">
        <v>0</v>
      </c>
      <c r="Q106" s="337">
        <v>1</v>
      </c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</row>
    <row r="107" spans="1:51">
      <c r="A107" s="68">
        <v>106</v>
      </c>
      <c r="B107" s="371" t="s">
        <v>1838</v>
      </c>
      <c r="C107" s="362" t="s">
        <v>2145</v>
      </c>
      <c r="D107" s="352">
        <v>45251</v>
      </c>
      <c r="E107" s="44"/>
      <c r="F107" s="353"/>
      <c r="G107" s="46"/>
      <c r="H107" s="44"/>
      <c r="I107" s="44"/>
      <c r="J107" s="21"/>
      <c r="K107" s="337">
        <v>0</v>
      </c>
      <c r="L107" s="337">
        <v>0</v>
      </c>
      <c r="M107" s="337">
        <v>0</v>
      </c>
      <c r="N107" s="337">
        <v>0</v>
      </c>
      <c r="O107" s="337">
        <v>0</v>
      </c>
      <c r="P107" s="337">
        <v>1</v>
      </c>
      <c r="Q107" s="337">
        <v>0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</row>
    <row r="108" spans="1:51">
      <c r="A108" s="350">
        <v>107</v>
      </c>
      <c r="B108" s="363" t="s">
        <v>1833</v>
      </c>
      <c r="C108" s="351" t="s">
        <v>2188</v>
      </c>
      <c r="D108" s="352">
        <v>45252</v>
      </c>
      <c r="E108" s="352">
        <v>45279</v>
      </c>
      <c r="F108" s="353">
        <v>5.8</v>
      </c>
      <c r="G108" s="353">
        <v>380</v>
      </c>
      <c r="H108" s="354">
        <v>321</v>
      </c>
      <c r="I108" s="354">
        <v>8</v>
      </c>
      <c r="J108" s="337"/>
      <c r="K108" s="337">
        <v>1</v>
      </c>
      <c r="L108" s="337">
        <v>0</v>
      </c>
      <c r="M108" s="337">
        <v>0</v>
      </c>
      <c r="N108" s="337">
        <v>0</v>
      </c>
      <c r="O108" s="337">
        <v>0</v>
      </c>
      <c r="P108" s="337">
        <v>0</v>
      </c>
      <c r="Q108" s="337">
        <v>0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</row>
    <row r="111" spans="1:51">
      <c r="F111" s="21" t="s">
        <v>1881</v>
      </c>
      <c r="G111" s="372">
        <f t="shared" ref="G111:I111" si="0">SUM(G2:G108)</f>
        <v>36668</v>
      </c>
      <c r="H111" s="372">
        <f t="shared" si="0"/>
        <v>53385</v>
      </c>
      <c r="I111" s="372">
        <f t="shared" si="0"/>
        <v>276</v>
      </c>
      <c r="K111" s="372">
        <f t="shared" ref="K111:Q111" si="1">SUM(K2:K108)</f>
        <v>23</v>
      </c>
      <c r="L111" s="372">
        <f t="shared" si="1"/>
        <v>11</v>
      </c>
      <c r="M111" s="372">
        <f t="shared" si="1"/>
        <v>11</v>
      </c>
      <c r="N111" s="372">
        <f t="shared" si="1"/>
        <v>24</v>
      </c>
      <c r="O111" s="372">
        <f t="shared" si="1"/>
        <v>12</v>
      </c>
      <c r="P111" s="372">
        <f t="shared" si="1"/>
        <v>9</v>
      </c>
      <c r="Q111" s="372">
        <f t="shared" si="1"/>
        <v>7</v>
      </c>
    </row>
  </sheetData>
  <mergeCells count="86">
    <mergeCell ref="AV9:AV11"/>
    <mergeCell ref="X6:AD6"/>
    <mergeCell ref="AO6:AQ6"/>
    <mergeCell ref="AF7:AG7"/>
    <mergeCell ref="AE9:AE11"/>
    <mergeCell ref="AF9:AF11"/>
    <mergeCell ref="AO9:AO11"/>
    <mergeCell ref="AP9:AP11"/>
    <mergeCell ref="AQ9:AQ11"/>
    <mergeCell ref="AR9:AR11"/>
    <mergeCell ref="AS9:AS11"/>
    <mergeCell ref="AT9:AT11"/>
    <mergeCell ref="AU9:AU11"/>
    <mergeCell ref="AT12:AT14"/>
    <mergeCell ref="AU12:AU14"/>
    <mergeCell ref="AV12:AV14"/>
    <mergeCell ref="AT15:AT17"/>
    <mergeCell ref="AU15:AU17"/>
    <mergeCell ref="AV15:AV17"/>
    <mergeCell ref="AR12:AR14"/>
    <mergeCell ref="AS12:AS14"/>
    <mergeCell ref="AE15:AE17"/>
    <mergeCell ref="AE18:AE20"/>
    <mergeCell ref="AO15:AO17"/>
    <mergeCell ref="AO18:AO20"/>
    <mergeCell ref="AP18:AP20"/>
    <mergeCell ref="AQ18:AQ20"/>
    <mergeCell ref="AE12:AE14"/>
    <mergeCell ref="AF12:AF14"/>
    <mergeCell ref="AO12:AO14"/>
    <mergeCell ref="AP12:AP14"/>
    <mergeCell ref="AQ12:AQ14"/>
    <mergeCell ref="AF15:AF17"/>
    <mergeCell ref="AG15:AM29"/>
    <mergeCell ref="AQ15:AQ17"/>
    <mergeCell ref="AR15:AR17"/>
    <mergeCell ref="AS15:AS17"/>
    <mergeCell ref="AF18:AF20"/>
    <mergeCell ref="AS21:AS23"/>
    <mergeCell ref="AS24:AS26"/>
    <mergeCell ref="AO27:AO29"/>
    <mergeCell ref="AP27:AP29"/>
    <mergeCell ref="AQ27:AQ29"/>
    <mergeCell ref="AR27:AR29"/>
    <mergeCell ref="AS27:AS29"/>
    <mergeCell ref="AT27:AT29"/>
    <mergeCell ref="AR18:AR20"/>
    <mergeCell ref="AS18:AS20"/>
    <mergeCell ref="AO21:AO23"/>
    <mergeCell ref="AP21:AP23"/>
    <mergeCell ref="AQ21:AQ23"/>
    <mergeCell ref="AR21:AR23"/>
    <mergeCell ref="AT21:AT23"/>
    <mergeCell ref="AT18:AT20"/>
    <mergeCell ref="AU21:AU23"/>
    <mergeCell ref="AV21:AV23"/>
    <mergeCell ref="AP15:AP17"/>
    <mergeCell ref="AO24:AO26"/>
    <mergeCell ref="AP24:AP26"/>
    <mergeCell ref="AT24:AT26"/>
    <mergeCell ref="AU24:AU26"/>
    <mergeCell ref="AV24:AV26"/>
    <mergeCell ref="AU18:AU20"/>
    <mergeCell ref="AV18:AV20"/>
    <mergeCell ref="AO30:AO32"/>
    <mergeCell ref="AP30:AP32"/>
    <mergeCell ref="AQ30:AQ32"/>
    <mergeCell ref="AR30:AR32"/>
    <mergeCell ref="AQ24:AQ26"/>
    <mergeCell ref="AR24:AR26"/>
    <mergeCell ref="AO34:AY60"/>
    <mergeCell ref="AE30:AE32"/>
    <mergeCell ref="X34:AE49"/>
    <mergeCell ref="AE21:AE23"/>
    <mergeCell ref="AF21:AF23"/>
    <mergeCell ref="AE24:AE26"/>
    <mergeCell ref="AF24:AF26"/>
    <mergeCell ref="AE27:AE29"/>
    <mergeCell ref="AF27:AF29"/>
    <mergeCell ref="AF30:AF32"/>
    <mergeCell ref="AU27:AU29"/>
    <mergeCell ref="AV27:AV29"/>
    <mergeCell ref="AS30:AS32"/>
    <mergeCell ref="AT30:AT32"/>
    <mergeCell ref="AU30:AU32"/>
    <mergeCell ref="AV30:AV32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57"/>
  <sheetViews>
    <sheetView showGridLines="0" topLeftCell="A3" workbookViewId="0"/>
  </sheetViews>
  <sheetFormatPr defaultColWidth="14.42578125" defaultRowHeight="15" customHeight="1"/>
  <cols>
    <col min="1" max="1" width="21.5703125" customWidth="1"/>
    <col min="2" max="2" width="10.7109375" customWidth="1"/>
    <col min="3" max="3" width="11.85546875" customWidth="1"/>
    <col min="4" max="9" width="10.7109375" customWidth="1"/>
    <col min="10" max="10" width="11.140625" customWidth="1"/>
    <col min="11" max="14" width="11.85546875" customWidth="1"/>
  </cols>
  <sheetData>
    <row r="1" spans="1:15">
      <c r="A1" s="20" t="s">
        <v>979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>
      <c r="A2" s="21"/>
      <c r="B2" s="389">
        <v>2025</v>
      </c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8"/>
      <c r="O2" s="21"/>
    </row>
    <row r="3" spans="1:15">
      <c r="A3" s="21"/>
      <c r="B3" s="409"/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1"/>
      <c r="O3" s="21"/>
    </row>
    <row r="4" spans="1:15">
      <c r="A4" s="21"/>
      <c r="B4" s="22" t="s">
        <v>980</v>
      </c>
      <c r="C4" s="23" t="s">
        <v>981</v>
      </c>
      <c r="D4" s="23" t="s">
        <v>982</v>
      </c>
      <c r="E4" s="23" t="s">
        <v>983</v>
      </c>
      <c r="F4" s="23" t="s">
        <v>984</v>
      </c>
      <c r="G4" s="23" t="s">
        <v>985</v>
      </c>
      <c r="H4" s="23" t="s">
        <v>986</v>
      </c>
      <c r="I4" s="23" t="s">
        <v>987</v>
      </c>
      <c r="J4" s="23" t="s">
        <v>988</v>
      </c>
      <c r="K4" s="23" t="s">
        <v>989</v>
      </c>
      <c r="L4" s="23" t="s">
        <v>990</v>
      </c>
      <c r="M4" s="23" t="s">
        <v>991</v>
      </c>
      <c r="N4" s="24" t="s">
        <v>992</v>
      </c>
      <c r="O4" s="21"/>
    </row>
    <row r="5" spans="1:15">
      <c r="A5" s="25" t="s">
        <v>993</v>
      </c>
      <c r="B5" s="26">
        <f t="shared" ref="B5:D5" si="0">B7/B6</f>
        <v>1.2506140755986517</v>
      </c>
      <c r="C5" s="26">
        <f t="shared" si="0"/>
        <v>2.0348660063374102</v>
      </c>
      <c r="D5" s="26">
        <f t="shared" si="0"/>
        <v>1.4486070524134171</v>
      </c>
      <c r="E5" s="27"/>
      <c r="F5" s="27"/>
      <c r="G5" s="28"/>
      <c r="H5" s="27"/>
      <c r="I5" s="27"/>
      <c r="J5" s="27"/>
      <c r="K5" s="27"/>
      <c r="L5" s="27"/>
      <c r="M5" s="27"/>
      <c r="N5" s="27">
        <f>N7/N6</f>
        <v>1.5301330987264115</v>
      </c>
      <c r="O5" s="21"/>
    </row>
    <row r="6" spans="1:15">
      <c r="A6" s="29" t="s">
        <v>994</v>
      </c>
      <c r="B6" s="30">
        <f>5865863*(1.2)</f>
        <v>7039035.5999999996</v>
      </c>
      <c r="C6" s="30">
        <f>4097047*1.2</f>
        <v>4916456.3999999994</v>
      </c>
      <c r="D6" s="30">
        <f>5253464*1.2</f>
        <v>6304156.7999999998</v>
      </c>
      <c r="E6" s="30"/>
      <c r="F6" s="30"/>
      <c r="G6" s="30"/>
      <c r="H6" s="30"/>
      <c r="I6" s="30"/>
      <c r="J6" s="30"/>
      <c r="K6" s="30"/>
      <c r="L6" s="30"/>
      <c r="M6" s="30"/>
      <c r="N6" s="31">
        <f t="shared" ref="N6:N13" si="1">SUM(B6:M6)</f>
        <v>18259648.800000001</v>
      </c>
      <c r="O6" s="21"/>
    </row>
    <row r="7" spans="1:15">
      <c r="A7" s="32" t="s">
        <v>995</v>
      </c>
      <c r="B7" s="30">
        <f t="shared" ref="B7:D7" si="2">B8+B9+B10+B11+B12+B13</f>
        <v>8803117</v>
      </c>
      <c r="C7" s="30">
        <f t="shared" si="2"/>
        <v>10004330</v>
      </c>
      <c r="D7" s="30">
        <f t="shared" si="2"/>
        <v>9132246</v>
      </c>
      <c r="E7" s="30"/>
      <c r="F7" s="30"/>
      <c r="G7" s="30"/>
      <c r="H7" s="30"/>
      <c r="I7" s="30"/>
      <c r="J7" s="30"/>
      <c r="K7" s="30"/>
      <c r="L7" s="30"/>
      <c r="M7" s="30"/>
      <c r="N7" s="31">
        <f t="shared" si="1"/>
        <v>27939693</v>
      </c>
      <c r="O7" s="21"/>
    </row>
    <row r="8" spans="1:15">
      <c r="A8" s="33" t="s">
        <v>996</v>
      </c>
      <c r="B8" s="34">
        <v>2187500</v>
      </c>
      <c r="C8" s="34">
        <v>1936240</v>
      </c>
      <c r="D8" s="34">
        <v>1335970</v>
      </c>
      <c r="E8" s="35"/>
      <c r="F8" s="35"/>
      <c r="G8" s="34"/>
      <c r="H8" s="36"/>
      <c r="I8" s="36"/>
      <c r="J8" s="37"/>
      <c r="K8" s="37"/>
      <c r="L8" s="37"/>
      <c r="M8" s="37"/>
      <c r="N8" s="38">
        <f t="shared" si="1"/>
        <v>5459710</v>
      </c>
      <c r="O8" s="21"/>
    </row>
    <row r="9" spans="1:15">
      <c r="A9" s="33" t="s">
        <v>997</v>
      </c>
      <c r="B9" s="34">
        <v>3043216</v>
      </c>
      <c r="C9" s="34">
        <v>5661741</v>
      </c>
      <c r="D9" s="34">
        <v>3884586</v>
      </c>
      <c r="E9" s="34"/>
      <c r="F9" s="34"/>
      <c r="G9" s="34"/>
      <c r="H9" s="37"/>
      <c r="I9" s="37"/>
      <c r="J9" s="37"/>
      <c r="K9" s="37"/>
      <c r="L9" s="37"/>
      <c r="M9" s="37"/>
      <c r="N9" s="39">
        <f t="shared" si="1"/>
        <v>12589543</v>
      </c>
      <c r="O9" s="21"/>
    </row>
    <row r="10" spans="1:15">
      <c r="A10" s="33" t="s">
        <v>998</v>
      </c>
      <c r="B10" s="40"/>
      <c r="C10" s="40"/>
      <c r="D10" s="40"/>
      <c r="E10" s="40"/>
      <c r="F10" s="40"/>
      <c r="G10" s="41"/>
      <c r="H10" s="42"/>
      <c r="I10" s="42"/>
      <c r="J10" s="43"/>
      <c r="K10" s="43"/>
      <c r="L10" s="43"/>
      <c r="M10" s="43"/>
      <c r="N10" s="39">
        <f t="shared" si="1"/>
        <v>0</v>
      </c>
      <c r="O10" s="21"/>
    </row>
    <row r="11" spans="1:15">
      <c r="A11" s="33" t="s">
        <v>999</v>
      </c>
      <c r="B11" s="34">
        <v>2802501</v>
      </c>
      <c r="C11" s="34">
        <v>2111949</v>
      </c>
      <c r="D11" s="34">
        <v>1706140</v>
      </c>
      <c r="E11" s="34"/>
      <c r="F11" s="34"/>
      <c r="G11" s="34"/>
      <c r="H11" s="37"/>
      <c r="I11" s="37"/>
      <c r="J11" s="37"/>
      <c r="K11" s="37"/>
      <c r="L11" s="37"/>
      <c r="M11" s="37"/>
      <c r="N11" s="39">
        <f t="shared" si="1"/>
        <v>6620590</v>
      </c>
      <c r="O11" s="21"/>
    </row>
    <row r="12" spans="1:15">
      <c r="A12" s="33" t="s">
        <v>1000</v>
      </c>
      <c r="B12" s="34">
        <v>559100</v>
      </c>
      <c r="C12" s="34">
        <v>200000</v>
      </c>
      <c r="D12" s="34">
        <f>1820550+170000+200000</f>
        <v>2190550</v>
      </c>
      <c r="E12" s="34"/>
      <c r="F12" s="34"/>
      <c r="G12" s="44"/>
      <c r="H12" s="37"/>
      <c r="I12" s="37"/>
      <c r="J12" s="37"/>
      <c r="K12" s="37"/>
      <c r="L12" s="37"/>
      <c r="M12" s="37"/>
      <c r="N12" s="39">
        <f t="shared" si="1"/>
        <v>2949650</v>
      </c>
      <c r="O12" s="21"/>
    </row>
    <row r="13" spans="1:15">
      <c r="A13" s="33" t="s">
        <v>1001</v>
      </c>
      <c r="B13" s="34">
        <v>210800</v>
      </c>
      <c r="C13" s="34">
        <f>68000+26400</f>
        <v>94400</v>
      </c>
      <c r="D13" s="36">
        <v>15000</v>
      </c>
      <c r="E13" s="45"/>
      <c r="F13" s="45"/>
      <c r="G13" s="45"/>
      <c r="H13" s="37"/>
      <c r="I13" s="46"/>
      <c r="J13" s="46"/>
      <c r="K13" s="37"/>
      <c r="L13" s="37"/>
      <c r="M13" s="37"/>
      <c r="N13" s="39">
        <f t="shared" si="1"/>
        <v>320200</v>
      </c>
      <c r="O13" s="21"/>
    </row>
    <row r="14" spans="1:15">
      <c r="A14" s="383" t="s">
        <v>1002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8"/>
      <c r="O14" s="21"/>
    </row>
    <row r="15" spans="1:15">
      <c r="A15" s="32" t="s">
        <v>1003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21"/>
    </row>
    <row r="16" spans="1:15">
      <c r="A16" s="33" t="s">
        <v>1004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8"/>
      <c r="O16" s="21"/>
    </row>
    <row r="17" spans="1:15">
      <c r="A17" s="32" t="s">
        <v>1005</v>
      </c>
      <c r="B17" s="30">
        <f t="shared" ref="B17:K17" si="3">B7-B15</f>
        <v>8803117</v>
      </c>
      <c r="C17" s="30">
        <f t="shared" si="3"/>
        <v>10004330</v>
      </c>
      <c r="D17" s="30">
        <f t="shared" si="3"/>
        <v>9132246</v>
      </c>
      <c r="E17" s="30">
        <f t="shared" si="3"/>
        <v>0</v>
      </c>
      <c r="F17" s="30">
        <f t="shared" si="3"/>
        <v>0</v>
      </c>
      <c r="G17" s="30">
        <f t="shared" si="3"/>
        <v>0</v>
      </c>
      <c r="H17" s="30">
        <f t="shared" si="3"/>
        <v>0</v>
      </c>
      <c r="I17" s="30">
        <f t="shared" si="3"/>
        <v>0</v>
      </c>
      <c r="J17" s="30">
        <f t="shared" si="3"/>
        <v>0</v>
      </c>
      <c r="K17" s="30">
        <f t="shared" si="3"/>
        <v>0</v>
      </c>
      <c r="L17" s="30"/>
      <c r="M17" s="30"/>
      <c r="N17" s="49"/>
      <c r="O17" s="21"/>
    </row>
    <row r="18" spans="1:15">
      <c r="A18" s="32" t="s">
        <v>1006</v>
      </c>
      <c r="B18" s="30">
        <f t="shared" ref="B18:K18" si="4">B19+B20+B21+B22+B23</f>
        <v>0</v>
      </c>
      <c r="C18" s="30">
        <f t="shared" si="4"/>
        <v>0</v>
      </c>
      <c r="D18" s="30">
        <f t="shared" si="4"/>
        <v>0</v>
      </c>
      <c r="E18" s="30">
        <f t="shared" si="4"/>
        <v>0</v>
      </c>
      <c r="F18" s="30">
        <f t="shared" si="4"/>
        <v>0</v>
      </c>
      <c r="G18" s="30">
        <f t="shared" si="4"/>
        <v>0</v>
      </c>
      <c r="H18" s="30">
        <f t="shared" si="4"/>
        <v>0</v>
      </c>
      <c r="I18" s="30">
        <f t="shared" si="4"/>
        <v>0</v>
      </c>
      <c r="J18" s="30">
        <f t="shared" si="4"/>
        <v>0</v>
      </c>
      <c r="K18" s="30">
        <f t="shared" si="4"/>
        <v>0</v>
      </c>
      <c r="L18" s="49"/>
      <c r="M18" s="49"/>
      <c r="N18" s="49"/>
      <c r="O18" s="21"/>
    </row>
    <row r="19" spans="1:15">
      <c r="A19" s="33" t="s">
        <v>996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48"/>
      <c r="O19" s="21"/>
    </row>
    <row r="20" spans="1:15">
      <c r="A20" s="33" t="s">
        <v>1007</v>
      </c>
      <c r="B20" s="34"/>
      <c r="C20" s="44"/>
      <c r="D20" s="34"/>
      <c r="E20" s="34"/>
      <c r="F20" s="34"/>
      <c r="G20" s="34"/>
      <c r="H20" s="34"/>
      <c r="I20" s="34"/>
      <c r="J20" s="34"/>
      <c r="K20" s="34"/>
      <c r="L20" s="44"/>
      <c r="M20" s="44"/>
      <c r="N20" s="48"/>
      <c r="O20" s="21"/>
    </row>
    <row r="21" spans="1:15">
      <c r="A21" s="33" t="s">
        <v>1008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44"/>
      <c r="M21" s="44"/>
      <c r="N21" s="48"/>
      <c r="O21" s="21"/>
    </row>
    <row r="22" spans="1:15">
      <c r="A22" s="33" t="s">
        <v>1009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44"/>
      <c r="N22" s="48"/>
      <c r="O22" s="21"/>
    </row>
    <row r="23" spans="1:15">
      <c r="A23" s="33" t="s">
        <v>1010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44"/>
      <c r="M23" s="44"/>
      <c r="N23" s="48"/>
      <c r="O23" s="21"/>
    </row>
    <row r="24" spans="1:15">
      <c r="A24" s="32" t="s">
        <v>1011</v>
      </c>
      <c r="B24" s="30">
        <f t="shared" ref="B24:H24" si="5">B25+B26+B27</f>
        <v>0</v>
      </c>
      <c r="C24" s="30">
        <f t="shared" si="5"/>
        <v>0</v>
      </c>
      <c r="D24" s="30">
        <f t="shared" si="5"/>
        <v>0</v>
      </c>
      <c r="E24" s="30">
        <f t="shared" si="5"/>
        <v>0</v>
      </c>
      <c r="F24" s="30">
        <f t="shared" si="5"/>
        <v>0</v>
      </c>
      <c r="G24" s="30">
        <f t="shared" si="5"/>
        <v>0</v>
      </c>
      <c r="H24" s="30">
        <f t="shared" si="5"/>
        <v>0</v>
      </c>
      <c r="I24" s="49"/>
      <c r="J24" s="49"/>
      <c r="K24" s="49"/>
      <c r="L24" s="49"/>
      <c r="M24" s="49"/>
      <c r="N24" s="49"/>
      <c r="O24" s="21"/>
    </row>
    <row r="25" spans="1:15">
      <c r="A25" s="33" t="s">
        <v>1012</v>
      </c>
      <c r="B25" s="34"/>
      <c r="C25" s="34"/>
      <c r="D25" s="34"/>
      <c r="E25" s="34"/>
      <c r="F25" s="50"/>
      <c r="G25" s="34"/>
      <c r="H25" s="34"/>
      <c r="I25" s="44"/>
      <c r="J25" s="44"/>
      <c r="K25" s="44"/>
      <c r="L25" s="44"/>
      <c r="M25" s="44"/>
      <c r="N25" s="48"/>
      <c r="O25" s="21"/>
    </row>
    <row r="26" spans="1:15">
      <c r="A26" s="33" t="s">
        <v>1013</v>
      </c>
      <c r="B26" s="44"/>
      <c r="C26" s="44"/>
      <c r="D26" s="34"/>
      <c r="E26" s="34"/>
      <c r="F26" s="45"/>
      <c r="G26" s="44"/>
      <c r="H26" s="44"/>
      <c r="I26" s="44"/>
      <c r="J26" s="44"/>
      <c r="K26" s="44"/>
      <c r="L26" s="44"/>
      <c r="M26" s="44"/>
      <c r="N26" s="48"/>
      <c r="O26" s="21"/>
    </row>
    <row r="27" spans="1:15">
      <c r="A27" s="33" t="s">
        <v>1001</v>
      </c>
      <c r="B27" s="51"/>
      <c r="C27" s="51"/>
      <c r="D27" s="51"/>
      <c r="E27" s="34"/>
      <c r="F27" s="34"/>
      <c r="G27" s="34"/>
      <c r="H27" s="34"/>
      <c r="I27" s="44"/>
      <c r="J27" s="44"/>
      <c r="K27" s="44"/>
      <c r="L27" s="44"/>
      <c r="M27" s="44"/>
      <c r="N27" s="48"/>
      <c r="O27" s="21"/>
    </row>
    <row r="28" spans="1:15">
      <c r="A28" s="32" t="s">
        <v>1014</v>
      </c>
      <c r="B28" s="30">
        <f t="shared" ref="B28:H28" si="6">B29+B30+B31+B33+B34+B35+B36</f>
        <v>1000000</v>
      </c>
      <c r="C28" s="30">
        <f t="shared" si="6"/>
        <v>0</v>
      </c>
      <c r="D28" s="30">
        <f t="shared" si="6"/>
        <v>0</v>
      </c>
      <c r="E28" s="30">
        <f t="shared" si="6"/>
        <v>0</v>
      </c>
      <c r="F28" s="30">
        <f t="shared" si="6"/>
        <v>0</v>
      </c>
      <c r="G28" s="30">
        <f t="shared" si="6"/>
        <v>0</v>
      </c>
      <c r="H28" s="30">
        <f t="shared" si="6"/>
        <v>0</v>
      </c>
      <c r="I28" s="49"/>
      <c r="J28" s="49"/>
      <c r="K28" s="49"/>
      <c r="L28" s="49"/>
      <c r="M28" s="49"/>
      <c r="N28" s="49"/>
      <c r="O28" s="21"/>
    </row>
    <row r="29" spans="1:15">
      <c r="A29" s="33" t="s">
        <v>1015</v>
      </c>
      <c r="B29" s="34">
        <v>1000000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48"/>
      <c r="O29" s="21"/>
    </row>
    <row r="30" spans="1:15">
      <c r="A30" s="33" t="s">
        <v>1016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48"/>
      <c r="O30" s="21"/>
    </row>
    <row r="31" spans="1:15">
      <c r="A31" s="33" t="s">
        <v>1017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48"/>
      <c r="O31" s="21"/>
    </row>
    <row r="32" spans="1:15">
      <c r="A32" s="33" t="s">
        <v>1018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48"/>
      <c r="O32" s="21"/>
    </row>
    <row r="33" spans="1:15">
      <c r="A33" s="52" t="s">
        <v>1019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8"/>
      <c r="O33" s="21"/>
    </row>
    <row r="34" spans="1:15">
      <c r="A34" s="53" t="s">
        <v>1020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48"/>
      <c r="O34" s="21"/>
    </row>
    <row r="35" spans="1:15">
      <c r="A35" s="33" t="s">
        <v>1021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8"/>
      <c r="O35" s="21"/>
    </row>
    <row r="36" spans="1:15">
      <c r="A36" s="33" t="s">
        <v>1022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8"/>
      <c r="O36" s="21"/>
    </row>
    <row r="37" spans="1:15">
      <c r="A37" s="32" t="s">
        <v>1023</v>
      </c>
      <c r="B37" s="30"/>
      <c r="C37" s="30"/>
      <c r="D37" s="49"/>
      <c r="E37" s="30"/>
      <c r="F37" s="30"/>
      <c r="G37" s="30"/>
      <c r="H37" s="30"/>
      <c r="I37" s="49"/>
      <c r="J37" s="49"/>
      <c r="K37" s="49"/>
      <c r="L37" s="49"/>
      <c r="M37" s="49"/>
      <c r="N37" s="49"/>
      <c r="O37" s="21"/>
    </row>
    <row r="38" spans="1:15">
      <c r="A38" s="32" t="s">
        <v>1024</v>
      </c>
      <c r="B38" s="49"/>
      <c r="C38" s="49"/>
      <c r="D38" s="49"/>
      <c r="E38" s="30"/>
      <c r="F38" s="49"/>
      <c r="G38" s="49"/>
      <c r="H38" s="30"/>
      <c r="I38" s="49"/>
      <c r="J38" s="49"/>
      <c r="K38" s="49"/>
      <c r="L38" s="49"/>
      <c r="M38" s="49"/>
      <c r="N38" s="49"/>
      <c r="O38" s="21"/>
    </row>
    <row r="39" spans="1:15">
      <c r="A39" s="32" t="s">
        <v>1025</v>
      </c>
      <c r="B39" s="30">
        <f t="shared" ref="B39:H39" si="7">B17-B18-B24-B28-B37-B38</f>
        <v>7803117</v>
      </c>
      <c r="C39" s="30">
        <f t="shared" si="7"/>
        <v>10004330</v>
      </c>
      <c r="D39" s="30">
        <f t="shared" si="7"/>
        <v>9132246</v>
      </c>
      <c r="E39" s="30">
        <f t="shared" si="7"/>
        <v>0</v>
      </c>
      <c r="F39" s="30">
        <f t="shared" si="7"/>
        <v>0</v>
      </c>
      <c r="G39" s="30">
        <f t="shared" si="7"/>
        <v>0</v>
      </c>
      <c r="H39" s="30">
        <f t="shared" si="7"/>
        <v>0</v>
      </c>
      <c r="I39" s="49"/>
      <c r="J39" s="49"/>
      <c r="K39" s="49"/>
      <c r="L39" s="49"/>
      <c r="M39" s="49"/>
      <c r="N39" s="49"/>
      <c r="O39" s="21"/>
    </row>
    <row r="40" spans="1:15">
      <c r="A40" s="32" t="s">
        <v>1026</v>
      </c>
      <c r="B40" s="30">
        <f t="shared" ref="B40:H40" si="8">B41+B42</f>
        <v>0</v>
      </c>
      <c r="C40" s="30">
        <f t="shared" si="8"/>
        <v>0</v>
      </c>
      <c r="D40" s="30">
        <f t="shared" si="8"/>
        <v>0</v>
      </c>
      <c r="E40" s="30">
        <f t="shared" si="8"/>
        <v>0</v>
      </c>
      <c r="F40" s="30">
        <f t="shared" si="8"/>
        <v>0</v>
      </c>
      <c r="G40" s="30">
        <f t="shared" si="8"/>
        <v>0</v>
      </c>
      <c r="H40" s="30">
        <f t="shared" si="8"/>
        <v>0</v>
      </c>
      <c r="I40" s="49"/>
      <c r="J40" s="49"/>
      <c r="K40" s="49"/>
      <c r="L40" s="49"/>
      <c r="M40" s="49"/>
      <c r="N40" s="49"/>
      <c r="O40" s="21"/>
    </row>
    <row r="41" spans="1:15">
      <c r="A41" s="33" t="s">
        <v>1027</v>
      </c>
      <c r="B41" s="54"/>
      <c r="C41" s="37"/>
      <c r="D41" s="34"/>
      <c r="E41" s="34"/>
      <c r="F41" s="34"/>
      <c r="G41" s="34"/>
      <c r="H41" s="34"/>
      <c r="I41" s="34"/>
      <c r="J41" s="34"/>
      <c r="K41" s="34"/>
      <c r="L41" s="34"/>
      <c r="M41" s="44"/>
      <c r="N41" s="48"/>
      <c r="O41" s="21"/>
    </row>
    <row r="42" spans="1:15">
      <c r="A42" s="33" t="s">
        <v>1028</v>
      </c>
      <c r="B42" s="45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44"/>
      <c r="N42" s="48"/>
      <c r="O42" s="21"/>
    </row>
    <row r="43" spans="1:15">
      <c r="A43" s="32" t="s">
        <v>1029</v>
      </c>
      <c r="B43" s="30">
        <f t="shared" ref="B43:H43" si="9">B39-B40</f>
        <v>7803117</v>
      </c>
      <c r="C43" s="30">
        <f t="shared" si="9"/>
        <v>10004330</v>
      </c>
      <c r="D43" s="30">
        <f t="shared" si="9"/>
        <v>9132246</v>
      </c>
      <c r="E43" s="30">
        <f t="shared" si="9"/>
        <v>0</v>
      </c>
      <c r="F43" s="30">
        <f t="shared" si="9"/>
        <v>0</v>
      </c>
      <c r="G43" s="30">
        <f t="shared" si="9"/>
        <v>0</v>
      </c>
      <c r="H43" s="30">
        <f t="shared" si="9"/>
        <v>0</v>
      </c>
      <c r="I43" s="49"/>
      <c r="J43" s="49"/>
      <c r="K43" s="49"/>
      <c r="L43" s="49"/>
      <c r="M43" s="49"/>
      <c r="N43" s="49"/>
      <c r="O43" s="21"/>
    </row>
    <row r="44" spans="1:15">
      <c r="A44" s="33" t="s">
        <v>1030</v>
      </c>
      <c r="B44" s="55">
        <f t="shared" ref="B44:H44" si="10">B39/B7</f>
        <v>0.88640387262829745</v>
      </c>
      <c r="C44" s="55">
        <f t="shared" si="10"/>
        <v>1</v>
      </c>
      <c r="D44" s="55">
        <f t="shared" si="10"/>
        <v>1</v>
      </c>
      <c r="E44" s="55" t="e">
        <f t="shared" si="10"/>
        <v>#DIV/0!</v>
      </c>
      <c r="F44" s="55" t="e">
        <f t="shared" si="10"/>
        <v>#DIV/0!</v>
      </c>
      <c r="G44" s="55" t="e">
        <f t="shared" si="10"/>
        <v>#DIV/0!</v>
      </c>
      <c r="H44" s="55" t="e">
        <f t="shared" si="10"/>
        <v>#DIV/0!</v>
      </c>
      <c r="I44" s="44"/>
      <c r="J44" s="44"/>
      <c r="K44" s="44"/>
      <c r="L44" s="44"/>
      <c r="M44" s="44"/>
      <c r="N44" s="48"/>
      <c r="O44" s="21"/>
    </row>
    <row r="45" spans="1:1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1:1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50" spans="4:5">
      <c r="E50" s="56"/>
    </row>
    <row r="51" spans="4:5">
      <c r="D51" s="57"/>
      <c r="E51" s="58"/>
    </row>
    <row r="52" spans="4:5">
      <c r="D52" s="57"/>
      <c r="E52" s="58"/>
    </row>
    <row r="53" spans="4:5">
      <c r="D53" s="57"/>
      <c r="E53" s="58"/>
    </row>
    <row r="54" spans="4:5">
      <c r="D54" s="57"/>
      <c r="E54" s="58"/>
    </row>
    <row r="55" spans="4:5">
      <c r="D55" s="57"/>
      <c r="E55" s="58"/>
    </row>
    <row r="56" spans="4:5">
      <c r="D56" s="57"/>
      <c r="E56" s="58"/>
    </row>
    <row r="57" spans="4:5">
      <c r="D57" s="59"/>
      <c r="E57" s="58"/>
    </row>
  </sheetData>
  <mergeCells count="1">
    <mergeCell ref="B2:N3"/>
  </mergeCells>
  <pageMargins left="0" right="0" top="0" bottom="0" header="0" footer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57"/>
  <sheetViews>
    <sheetView showGridLines="0" workbookViewId="0"/>
  </sheetViews>
  <sheetFormatPr defaultColWidth="14.42578125" defaultRowHeight="15" customHeight="1"/>
  <cols>
    <col min="1" max="1" width="21.5703125" customWidth="1"/>
    <col min="2" max="9" width="10.7109375" customWidth="1"/>
    <col min="10" max="10" width="11.140625" customWidth="1"/>
    <col min="11" max="14" width="11.85546875" customWidth="1"/>
  </cols>
  <sheetData>
    <row r="1" spans="1: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>
      <c r="A2" s="21"/>
      <c r="B2" s="389">
        <v>2024</v>
      </c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8"/>
      <c r="O2" s="21"/>
    </row>
    <row r="3" spans="1:15">
      <c r="A3" s="21"/>
      <c r="B3" s="409"/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1"/>
      <c r="O3" s="21"/>
    </row>
    <row r="4" spans="1:15">
      <c r="A4" s="21"/>
      <c r="B4" s="22" t="s">
        <v>980</v>
      </c>
      <c r="C4" s="23" t="s">
        <v>981</v>
      </c>
      <c r="D4" s="23" t="s">
        <v>982</v>
      </c>
      <c r="E4" s="23" t="s">
        <v>983</v>
      </c>
      <c r="F4" s="23" t="s">
        <v>984</v>
      </c>
      <c r="G4" s="23" t="s">
        <v>985</v>
      </c>
      <c r="H4" s="23" t="s">
        <v>986</v>
      </c>
      <c r="I4" s="23" t="s">
        <v>987</v>
      </c>
      <c r="J4" s="23" t="s">
        <v>988</v>
      </c>
      <c r="K4" s="23" t="s">
        <v>989</v>
      </c>
      <c r="L4" s="23" t="s">
        <v>990</v>
      </c>
      <c r="M4" s="23" t="s">
        <v>991</v>
      </c>
      <c r="N4" s="24" t="s">
        <v>992</v>
      </c>
      <c r="O4" s="21"/>
    </row>
    <row r="5" spans="1:15">
      <c r="A5" s="25" t="s">
        <v>993</v>
      </c>
      <c r="B5" s="28">
        <v>0.82</v>
      </c>
      <c r="C5" s="28">
        <v>0.66</v>
      </c>
      <c r="D5" s="28">
        <v>0.79</v>
      </c>
      <c r="E5" s="27">
        <v>1.27</v>
      </c>
      <c r="F5" s="27">
        <v>1.34</v>
      </c>
      <c r="G5" s="28">
        <v>0.83</v>
      </c>
      <c r="H5" s="27">
        <f t="shared" ref="H5:N5" si="0">H7/H6</f>
        <v>1.5258685580601572</v>
      </c>
      <c r="I5" s="27">
        <f t="shared" si="0"/>
        <v>1.5195240350646659</v>
      </c>
      <c r="J5" s="27">
        <f t="shared" si="0"/>
        <v>1.3227393127200977</v>
      </c>
      <c r="K5" s="27">
        <f t="shared" si="0"/>
        <v>2.4166153264441363</v>
      </c>
      <c r="L5" s="27">
        <f t="shared" si="0"/>
        <v>2.1759123215643772</v>
      </c>
      <c r="M5" s="27">
        <f t="shared" si="0"/>
        <v>2.1831278274087467</v>
      </c>
      <c r="N5" s="27">
        <f t="shared" si="0"/>
        <v>1.3810155475976946</v>
      </c>
      <c r="O5" s="21"/>
    </row>
    <row r="6" spans="1:15">
      <c r="A6" s="29" t="s">
        <v>1031</v>
      </c>
      <c r="B6" s="60">
        <v>7178423</v>
      </c>
      <c r="C6" s="60">
        <v>6206875</v>
      </c>
      <c r="D6" s="60">
        <v>5253464</v>
      </c>
      <c r="E6" s="60">
        <v>5840069</v>
      </c>
      <c r="F6" s="60">
        <v>5834245</v>
      </c>
      <c r="G6" s="60">
        <v>6329766</v>
      </c>
      <c r="H6" s="60">
        <v>4454423</v>
      </c>
      <c r="I6" s="31">
        <v>4482347</v>
      </c>
      <c r="J6" s="31">
        <v>5114772</v>
      </c>
      <c r="K6" s="31">
        <f>(4603721*1.1)</f>
        <v>5064093.1000000006</v>
      </c>
      <c r="L6" s="31">
        <f>5534903*1.1</f>
        <v>6088393.3000000007</v>
      </c>
      <c r="M6" s="31">
        <f>5315942*1.1</f>
        <v>5847536.2000000002</v>
      </c>
      <c r="N6" s="31">
        <f t="shared" ref="N6:N13" si="1">SUM(B6:M6)</f>
        <v>67694406.600000009</v>
      </c>
      <c r="O6" s="21"/>
    </row>
    <row r="7" spans="1:15">
      <c r="A7" s="32" t="s">
        <v>995</v>
      </c>
      <c r="B7" s="30">
        <f t="shared" ref="B7:M7" si="2">B8+B9+B10+B11+B12+B13</f>
        <v>5865863</v>
      </c>
      <c r="C7" s="30">
        <f t="shared" si="2"/>
        <v>4097047</v>
      </c>
      <c r="D7" s="30">
        <f t="shared" si="2"/>
        <v>4135873</v>
      </c>
      <c r="E7" s="30">
        <f t="shared" si="2"/>
        <v>7423359</v>
      </c>
      <c r="F7" s="30">
        <f t="shared" si="2"/>
        <v>7790530</v>
      </c>
      <c r="G7" s="30">
        <f t="shared" si="2"/>
        <v>5549254</v>
      </c>
      <c r="H7" s="30">
        <f t="shared" si="2"/>
        <v>6796864</v>
      </c>
      <c r="I7" s="30">
        <f t="shared" si="2"/>
        <v>6811034</v>
      </c>
      <c r="J7" s="30">
        <f t="shared" si="2"/>
        <v>6765510</v>
      </c>
      <c r="K7" s="30">
        <f t="shared" si="2"/>
        <v>12237965</v>
      </c>
      <c r="L7" s="30">
        <f t="shared" si="2"/>
        <v>13247810</v>
      </c>
      <c r="M7" s="30">
        <f t="shared" si="2"/>
        <v>12765919</v>
      </c>
      <c r="N7" s="30">
        <f t="shared" si="1"/>
        <v>93487028</v>
      </c>
      <c r="O7" s="21"/>
    </row>
    <row r="8" spans="1:15">
      <c r="A8" s="33" t="s">
        <v>996</v>
      </c>
      <c r="B8" s="34">
        <v>1181075</v>
      </c>
      <c r="C8" s="34">
        <v>1231700</v>
      </c>
      <c r="D8" s="34">
        <v>963265</v>
      </c>
      <c r="E8" s="34">
        <v>788220</v>
      </c>
      <c r="F8" s="34">
        <v>683740</v>
      </c>
      <c r="G8" s="34">
        <v>463528</v>
      </c>
      <c r="H8" s="36">
        <v>844550</v>
      </c>
      <c r="I8" s="36">
        <v>1368875</v>
      </c>
      <c r="J8" s="37">
        <v>1026710</v>
      </c>
      <c r="K8" s="37">
        <v>2092820</v>
      </c>
      <c r="L8" s="37">
        <v>1485590</v>
      </c>
      <c r="M8" s="37">
        <v>3235970</v>
      </c>
      <c r="N8" s="38">
        <f t="shared" si="1"/>
        <v>15366043</v>
      </c>
      <c r="O8" s="21"/>
    </row>
    <row r="9" spans="1:15">
      <c r="A9" s="33" t="s">
        <v>997</v>
      </c>
      <c r="B9" s="34">
        <v>4684788</v>
      </c>
      <c r="C9" s="34">
        <v>2865347</v>
      </c>
      <c r="D9" s="34">
        <v>2812608</v>
      </c>
      <c r="E9" s="34">
        <v>6073192</v>
      </c>
      <c r="F9" s="34">
        <v>5391272</v>
      </c>
      <c r="G9" s="34">
        <v>4108085</v>
      </c>
      <c r="H9" s="37">
        <v>3883638</v>
      </c>
      <c r="I9" s="37">
        <v>4352072</v>
      </c>
      <c r="J9" s="37">
        <v>3023244</v>
      </c>
      <c r="K9" s="37">
        <f>4769766-192478</f>
        <v>4577288</v>
      </c>
      <c r="L9" s="37">
        <f>3811428+828747</f>
        <v>4640175</v>
      </c>
      <c r="M9" s="37">
        <v>4458793</v>
      </c>
      <c r="N9" s="39">
        <f t="shared" si="1"/>
        <v>50870502</v>
      </c>
      <c r="O9" s="21"/>
    </row>
    <row r="10" spans="1:15">
      <c r="A10" s="33" t="s">
        <v>998</v>
      </c>
      <c r="B10" s="61">
        <v>0</v>
      </c>
      <c r="C10" s="61"/>
      <c r="D10" s="61"/>
      <c r="E10" s="61"/>
      <c r="F10" s="61"/>
      <c r="G10" s="34">
        <v>235662</v>
      </c>
      <c r="H10" s="37">
        <v>808517</v>
      </c>
      <c r="I10" s="37">
        <v>484477</v>
      </c>
      <c r="J10" s="43">
        <v>0</v>
      </c>
      <c r="K10" s="43"/>
      <c r="L10" s="43"/>
      <c r="M10" s="43"/>
      <c r="N10" s="39">
        <f t="shared" si="1"/>
        <v>1528656</v>
      </c>
      <c r="O10" s="21"/>
    </row>
    <row r="11" spans="1:15">
      <c r="A11" s="33" t="s">
        <v>999</v>
      </c>
      <c r="B11" s="44"/>
      <c r="C11" s="44"/>
      <c r="D11" s="44"/>
      <c r="E11" s="34">
        <v>232047</v>
      </c>
      <c r="F11" s="34">
        <v>291160</v>
      </c>
      <c r="G11" s="34">
        <v>683979</v>
      </c>
      <c r="H11" s="37">
        <v>722008</v>
      </c>
      <c r="I11" s="37">
        <v>367610</v>
      </c>
      <c r="J11" s="37">
        <v>184656</v>
      </c>
      <c r="K11" s="37">
        <v>950454</v>
      </c>
      <c r="L11" s="37">
        <f>1158411+607131</f>
        <v>1765542</v>
      </c>
      <c r="M11" s="37">
        <v>2069150</v>
      </c>
      <c r="N11" s="39">
        <f t="shared" si="1"/>
        <v>7266606</v>
      </c>
      <c r="O11" s="21"/>
    </row>
    <row r="12" spans="1:15">
      <c r="A12" s="33" t="s">
        <v>1000</v>
      </c>
      <c r="B12" s="44"/>
      <c r="C12" s="44"/>
      <c r="D12" s="44"/>
      <c r="E12" s="34">
        <v>300000</v>
      </c>
      <c r="F12" s="34">
        <v>1184358</v>
      </c>
      <c r="G12" s="44">
        <v>0</v>
      </c>
      <c r="H12" s="37">
        <v>420000</v>
      </c>
      <c r="I12" s="37">
        <v>238000</v>
      </c>
      <c r="J12" s="37">
        <f>1644500+886400</f>
        <v>2530900</v>
      </c>
      <c r="K12" s="37">
        <v>4393403</v>
      </c>
      <c r="L12" s="37">
        <v>5052503</v>
      </c>
      <c r="M12" s="37">
        <v>2629606</v>
      </c>
      <c r="N12" s="39">
        <f t="shared" si="1"/>
        <v>16748770</v>
      </c>
      <c r="O12" s="21"/>
    </row>
    <row r="13" spans="1:15">
      <c r="A13" s="33" t="s">
        <v>1001</v>
      </c>
      <c r="B13" s="44"/>
      <c r="C13" s="44"/>
      <c r="D13" s="36">
        <v>360000</v>
      </c>
      <c r="E13" s="45">
        <v>29900</v>
      </c>
      <c r="F13" s="45">
        <v>240000</v>
      </c>
      <c r="G13" s="45">
        <v>58000</v>
      </c>
      <c r="H13" s="37">
        <v>118151</v>
      </c>
      <c r="I13" s="46">
        <v>0</v>
      </c>
      <c r="J13" s="46">
        <v>0</v>
      </c>
      <c r="K13" s="37">
        <v>224000</v>
      </c>
      <c r="L13" s="37">
        <f>216000+85000+3000</f>
        <v>304000</v>
      </c>
      <c r="M13" s="37">
        <v>372400</v>
      </c>
      <c r="N13" s="39">
        <f t="shared" si="1"/>
        <v>1706451</v>
      </c>
      <c r="O13" s="21"/>
    </row>
    <row r="14" spans="1:15">
      <c r="A14" s="383" t="s">
        <v>1002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8"/>
      <c r="O14" s="21"/>
    </row>
    <row r="15" spans="1:15">
      <c r="A15" s="32" t="s">
        <v>1003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21"/>
    </row>
    <row r="16" spans="1:15">
      <c r="A16" s="33" t="s">
        <v>1004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8"/>
      <c r="O16" s="21"/>
    </row>
    <row r="17" spans="1:15">
      <c r="A17" s="32" t="s">
        <v>1005</v>
      </c>
      <c r="B17" s="30">
        <f t="shared" ref="B17:K17" si="3">B7-B15</f>
        <v>5865863</v>
      </c>
      <c r="C17" s="30">
        <f t="shared" si="3"/>
        <v>4097047</v>
      </c>
      <c r="D17" s="30">
        <f t="shared" si="3"/>
        <v>4135873</v>
      </c>
      <c r="E17" s="30">
        <f t="shared" si="3"/>
        <v>7423359</v>
      </c>
      <c r="F17" s="30">
        <f t="shared" si="3"/>
        <v>7790530</v>
      </c>
      <c r="G17" s="30">
        <f t="shared" si="3"/>
        <v>5549254</v>
      </c>
      <c r="H17" s="30">
        <f t="shared" si="3"/>
        <v>6796864</v>
      </c>
      <c r="I17" s="30">
        <f t="shared" si="3"/>
        <v>6811034</v>
      </c>
      <c r="J17" s="30">
        <f t="shared" si="3"/>
        <v>6765510</v>
      </c>
      <c r="K17" s="30">
        <f t="shared" si="3"/>
        <v>12237965</v>
      </c>
      <c r="L17" s="30"/>
      <c r="M17" s="30"/>
      <c r="N17" s="49"/>
      <c r="O17" s="21"/>
    </row>
    <row r="18" spans="1:15">
      <c r="A18" s="32" t="s">
        <v>1006</v>
      </c>
      <c r="B18" s="30">
        <f t="shared" ref="B18:K18" si="4">B19+B20+B21+B22+B23</f>
        <v>601063</v>
      </c>
      <c r="C18" s="30">
        <f t="shared" si="4"/>
        <v>548147</v>
      </c>
      <c r="D18" s="30">
        <f t="shared" si="4"/>
        <v>503107</v>
      </c>
      <c r="E18" s="30">
        <f t="shared" si="4"/>
        <v>529918</v>
      </c>
      <c r="F18" s="30">
        <f t="shared" si="4"/>
        <v>542954</v>
      </c>
      <c r="G18" s="30">
        <f t="shared" si="4"/>
        <v>381583</v>
      </c>
      <c r="H18" s="30">
        <f t="shared" si="4"/>
        <v>354069</v>
      </c>
      <c r="I18" s="30">
        <f t="shared" si="4"/>
        <v>467223</v>
      </c>
      <c r="J18" s="30">
        <f t="shared" si="4"/>
        <v>333012</v>
      </c>
      <c r="K18" s="30">
        <f t="shared" si="4"/>
        <v>411272</v>
      </c>
      <c r="L18" s="49"/>
      <c r="M18" s="49"/>
      <c r="N18" s="49"/>
      <c r="O18" s="21"/>
    </row>
    <row r="19" spans="1:15">
      <c r="A19" s="33" t="s">
        <v>996</v>
      </c>
      <c r="B19" s="34">
        <v>59087</v>
      </c>
      <c r="C19" s="34">
        <v>59087</v>
      </c>
      <c r="D19" s="34">
        <v>59087</v>
      </c>
      <c r="E19" s="34">
        <v>59087</v>
      </c>
      <c r="F19" s="34">
        <v>59087</v>
      </c>
      <c r="G19" s="34">
        <v>59087</v>
      </c>
      <c r="H19" s="34">
        <v>59087</v>
      </c>
      <c r="I19" s="34">
        <v>59087</v>
      </c>
      <c r="J19" s="34">
        <v>59087</v>
      </c>
      <c r="K19" s="34">
        <v>59087</v>
      </c>
      <c r="L19" s="34">
        <v>59087</v>
      </c>
      <c r="M19" s="34">
        <v>59087</v>
      </c>
      <c r="N19" s="48"/>
      <c r="O19" s="21"/>
    </row>
    <row r="20" spans="1:15">
      <c r="A20" s="33" t="s">
        <v>1007</v>
      </c>
      <c r="B20" s="34">
        <v>32660</v>
      </c>
      <c r="C20" s="44">
        <v>0</v>
      </c>
      <c r="D20" s="34">
        <v>30838</v>
      </c>
      <c r="E20" s="34">
        <v>47542</v>
      </c>
      <c r="F20" s="34">
        <v>42708</v>
      </c>
      <c r="G20" s="34">
        <v>43855</v>
      </c>
      <c r="H20" s="34">
        <v>52021</v>
      </c>
      <c r="I20" s="34">
        <v>52843</v>
      </c>
      <c r="J20" s="34">
        <v>54028</v>
      </c>
      <c r="K20" s="34">
        <v>50568</v>
      </c>
      <c r="L20" s="44"/>
      <c r="M20" s="44"/>
      <c r="N20" s="48"/>
      <c r="O20" s="21"/>
    </row>
    <row r="21" spans="1:15">
      <c r="A21" s="33" t="s">
        <v>1008</v>
      </c>
      <c r="B21" s="34">
        <v>35411</v>
      </c>
      <c r="C21" s="34">
        <v>48558</v>
      </c>
      <c r="D21" s="34">
        <v>38540</v>
      </c>
      <c r="E21" s="34">
        <v>22736</v>
      </c>
      <c r="F21" s="34">
        <v>24125</v>
      </c>
      <c r="G21" s="34">
        <v>17040</v>
      </c>
      <c r="H21" s="34">
        <v>29537</v>
      </c>
      <c r="I21" s="34">
        <v>43276</v>
      </c>
      <c r="J21" s="34">
        <v>31225</v>
      </c>
      <c r="K21" s="34"/>
      <c r="L21" s="44"/>
      <c r="M21" s="44"/>
      <c r="N21" s="48"/>
      <c r="O21" s="21"/>
    </row>
    <row r="22" spans="1:15">
      <c r="A22" s="33" t="s">
        <v>1009</v>
      </c>
      <c r="B22" s="34">
        <v>358905</v>
      </c>
      <c r="C22" s="34">
        <v>399002</v>
      </c>
      <c r="D22" s="34">
        <v>318142</v>
      </c>
      <c r="E22" s="34">
        <v>290053</v>
      </c>
      <c r="F22" s="34">
        <v>329034</v>
      </c>
      <c r="G22" s="34">
        <v>180601</v>
      </c>
      <c r="H22" s="34">
        <v>99424</v>
      </c>
      <c r="I22" s="34">
        <v>226017</v>
      </c>
      <c r="J22" s="34">
        <v>134172</v>
      </c>
      <c r="K22" s="34">
        <v>301617</v>
      </c>
      <c r="L22" s="34">
        <v>263216</v>
      </c>
      <c r="M22" s="44"/>
      <c r="N22" s="48"/>
      <c r="O22" s="21"/>
    </row>
    <row r="23" spans="1:15">
      <c r="A23" s="33" t="s">
        <v>1010</v>
      </c>
      <c r="B23" s="34">
        <v>115000</v>
      </c>
      <c r="C23" s="34">
        <v>41500</v>
      </c>
      <c r="D23" s="34">
        <v>56500</v>
      </c>
      <c r="E23" s="34">
        <v>110500</v>
      </c>
      <c r="F23" s="34">
        <v>88000</v>
      </c>
      <c r="G23" s="34">
        <v>81000</v>
      </c>
      <c r="H23" s="34">
        <v>114000</v>
      </c>
      <c r="I23" s="34">
        <v>86000</v>
      </c>
      <c r="J23" s="34">
        <v>54500</v>
      </c>
      <c r="K23" s="34"/>
      <c r="L23" s="44"/>
      <c r="M23" s="44"/>
      <c r="N23" s="48"/>
      <c r="O23" s="21"/>
    </row>
    <row r="24" spans="1:15">
      <c r="A24" s="32" t="s">
        <v>1011</v>
      </c>
      <c r="B24" s="30">
        <f t="shared" ref="B24:H24" si="5">B25+B26+B27</f>
        <v>177077</v>
      </c>
      <c r="C24" s="30">
        <f t="shared" si="5"/>
        <v>230423</v>
      </c>
      <c r="D24" s="30">
        <f t="shared" si="5"/>
        <v>338768</v>
      </c>
      <c r="E24" s="30">
        <f t="shared" si="5"/>
        <v>400916</v>
      </c>
      <c r="F24" s="30">
        <f t="shared" si="5"/>
        <v>363954</v>
      </c>
      <c r="G24" s="30">
        <f t="shared" si="5"/>
        <v>312928</v>
      </c>
      <c r="H24" s="30">
        <f t="shared" si="5"/>
        <v>734888</v>
      </c>
      <c r="I24" s="49"/>
      <c r="J24" s="49"/>
      <c r="K24" s="49"/>
      <c r="L24" s="49"/>
      <c r="M24" s="49"/>
      <c r="N24" s="49"/>
      <c r="O24" s="21"/>
    </row>
    <row r="25" spans="1:15">
      <c r="A25" s="33" t="s">
        <v>1012</v>
      </c>
      <c r="B25" s="34">
        <v>177077</v>
      </c>
      <c r="C25" s="34">
        <v>230423</v>
      </c>
      <c r="D25" s="34">
        <v>218768</v>
      </c>
      <c r="E25" s="34">
        <v>234916</v>
      </c>
      <c r="F25" s="50">
        <v>249984</v>
      </c>
      <c r="G25" s="34">
        <v>139888</v>
      </c>
      <c r="H25" s="34">
        <f>127373+12515</f>
        <v>139888</v>
      </c>
      <c r="I25" s="44"/>
      <c r="J25" s="44"/>
      <c r="K25" s="44"/>
      <c r="L25" s="44"/>
      <c r="M25" s="44"/>
      <c r="N25" s="48"/>
      <c r="O25" s="21"/>
    </row>
    <row r="26" spans="1:15">
      <c r="A26" s="33" t="s">
        <v>1013</v>
      </c>
      <c r="B26" s="44"/>
      <c r="C26" s="44"/>
      <c r="D26" s="34">
        <v>120000</v>
      </c>
      <c r="E26" s="34">
        <v>100000</v>
      </c>
      <c r="F26" s="45">
        <v>60000</v>
      </c>
      <c r="G26" s="44">
        <v>0</v>
      </c>
      <c r="H26" s="44">
        <v>0</v>
      </c>
      <c r="I26" s="44"/>
      <c r="J26" s="44"/>
      <c r="K26" s="44"/>
      <c r="L26" s="44"/>
      <c r="M26" s="44"/>
      <c r="N26" s="48"/>
      <c r="O26" s="21"/>
    </row>
    <row r="27" spans="1:15">
      <c r="A27" s="33" t="s">
        <v>1001</v>
      </c>
      <c r="B27" s="51"/>
      <c r="C27" s="51"/>
      <c r="D27" s="51"/>
      <c r="E27" s="34">
        <v>66000</v>
      </c>
      <c r="F27" s="34">
        <v>53970</v>
      </c>
      <c r="G27" s="34">
        <v>173040</v>
      </c>
      <c r="H27" s="34">
        <v>595000</v>
      </c>
      <c r="I27" s="44"/>
      <c r="J27" s="44"/>
      <c r="K27" s="44"/>
      <c r="L27" s="44"/>
      <c r="M27" s="44"/>
      <c r="N27" s="48"/>
      <c r="O27" s="21"/>
    </row>
    <row r="28" spans="1:15">
      <c r="A28" s="32" t="s">
        <v>1014</v>
      </c>
      <c r="B28" s="30">
        <f t="shared" ref="B28:H28" si="6">B29+B30+B31+B33+B34+B35+B36</f>
        <v>1286000</v>
      </c>
      <c r="C28" s="30">
        <f t="shared" si="6"/>
        <v>1278000</v>
      </c>
      <c r="D28" s="30">
        <f t="shared" si="6"/>
        <v>1776804</v>
      </c>
      <c r="E28" s="30">
        <f t="shared" si="6"/>
        <v>1849425.4</v>
      </c>
      <c r="F28" s="30">
        <f t="shared" si="6"/>
        <v>1983278.92</v>
      </c>
      <c r="G28" s="30">
        <f t="shared" si="6"/>
        <v>2097646.56</v>
      </c>
      <c r="H28" s="30">
        <f t="shared" si="6"/>
        <v>2145964.64</v>
      </c>
      <c r="I28" s="49"/>
      <c r="J28" s="49"/>
      <c r="K28" s="49"/>
      <c r="L28" s="49"/>
      <c r="M28" s="49"/>
      <c r="N28" s="49"/>
      <c r="O28" s="21"/>
    </row>
    <row r="29" spans="1:15">
      <c r="A29" s="33" t="s">
        <v>1015</v>
      </c>
      <c r="B29" s="34">
        <v>1200000</v>
      </c>
      <c r="C29" s="34">
        <v>1200000</v>
      </c>
      <c r="D29" s="34">
        <v>1200000</v>
      </c>
      <c r="E29" s="34">
        <v>1200000</v>
      </c>
      <c r="F29" s="34">
        <v>1200000</v>
      </c>
      <c r="G29" s="34">
        <v>1200000</v>
      </c>
      <c r="H29" s="34">
        <v>1200000</v>
      </c>
      <c r="I29" s="34">
        <v>1200000</v>
      </c>
      <c r="J29" s="34">
        <v>1200000</v>
      </c>
      <c r="K29" s="34">
        <v>1200000</v>
      </c>
      <c r="L29" s="34">
        <v>1200000</v>
      </c>
      <c r="M29" s="34">
        <v>1200000</v>
      </c>
      <c r="N29" s="48"/>
      <c r="O29" s="21"/>
    </row>
    <row r="30" spans="1:15">
      <c r="A30" s="33" t="s">
        <v>1016</v>
      </c>
      <c r="B30" s="40"/>
      <c r="C30" s="40"/>
      <c r="D30" s="34">
        <v>400000</v>
      </c>
      <c r="E30" s="34">
        <v>400000</v>
      </c>
      <c r="F30" s="34">
        <v>400000</v>
      </c>
      <c r="G30" s="34">
        <v>400000</v>
      </c>
      <c r="H30" s="34">
        <v>400000</v>
      </c>
      <c r="I30" s="34">
        <v>400000</v>
      </c>
      <c r="J30" s="34">
        <v>400000</v>
      </c>
      <c r="K30" s="34">
        <v>400000</v>
      </c>
      <c r="L30" s="51" t="s">
        <v>0</v>
      </c>
      <c r="M30" s="51" t="s">
        <v>0</v>
      </c>
      <c r="N30" s="48"/>
      <c r="O30" s="21"/>
    </row>
    <row r="31" spans="1:15">
      <c r="A31" s="33" t="s">
        <v>1017</v>
      </c>
      <c r="B31" s="40"/>
      <c r="C31" s="40"/>
      <c r="D31" s="34">
        <v>103179</v>
      </c>
      <c r="E31" s="34">
        <f t="shared" ref="E31:F31" si="7">(E8+E9+E10+E13-E20-E21-E22-E23-E40)*4%</f>
        <v>199425.4</v>
      </c>
      <c r="F31" s="34">
        <f t="shared" si="7"/>
        <v>176028.92</v>
      </c>
      <c r="G31" s="34">
        <f>(G8+G9+G10+G13-4244-G21-47396-G23-G40)*4%</f>
        <v>144440.56</v>
      </c>
      <c r="H31" s="34">
        <f t="shared" ref="H31:I31" si="8">(H8+H9+H10+H13-H21-H23-H40)*4%</f>
        <v>187839.64</v>
      </c>
      <c r="I31" s="34">
        <f t="shared" si="8"/>
        <v>243045.92</v>
      </c>
      <c r="J31" s="41"/>
      <c r="K31" s="41"/>
      <c r="L31" s="40"/>
      <c r="M31" s="40"/>
      <c r="N31" s="48"/>
      <c r="O31" s="21"/>
    </row>
    <row r="32" spans="1:15">
      <c r="A32" s="33" t="s">
        <v>1018</v>
      </c>
      <c r="B32" s="40"/>
      <c r="C32" s="40"/>
      <c r="D32" s="41"/>
      <c r="E32" s="41"/>
      <c r="F32" s="41"/>
      <c r="G32" s="41"/>
      <c r="H32" s="41"/>
      <c r="I32" s="41"/>
      <c r="J32" s="41"/>
      <c r="K32" s="41"/>
      <c r="L32" s="62" t="s">
        <v>1032</v>
      </c>
      <c r="M32" s="62" t="s">
        <v>1032</v>
      </c>
      <c r="N32" s="48"/>
      <c r="O32" s="21"/>
    </row>
    <row r="33" spans="1:15">
      <c r="A33" s="52" t="s">
        <v>1019</v>
      </c>
      <c r="B33" s="40"/>
      <c r="C33" s="40"/>
      <c r="D33" s="40"/>
      <c r="E33" s="40"/>
      <c r="F33" s="40"/>
      <c r="G33" s="34">
        <v>260000</v>
      </c>
      <c r="H33" s="34">
        <v>260000</v>
      </c>
      <c r="I33" s="41"/>
      <c r="J33" s="41"/>
      <c r="K33" s="41"/>
      <c r="L33" s="40"/>
      <c r="M33" s="40"/>
      <c r="N33" s="48"/>
      <c r="O33" s="21"/>
    </row>
    <row r="34" spans="1:15">
      <c r="A34" s="53" t="s">
        <v>1020</v>
      </c>
      <c r="B34" s="40"/>
      <c r="C34" s="40"/>
      <c r="D34" s="40"/>
      <c r="E34" s="40"/>
      <c r="F34" s="40"/>
      <c r="G34" s="34">
        <v>9956</v>
      </c>
      <c r="H34" s="63">
        <v>0</v>
      </c>
      <c r="I34" s="41"/>
      <c r="J34" s="41"/>
      <c r="K34" s="41"/>
      <c r="L34" s="40"/>
      <c r="M34" s="40"/>
      <c r="N34" s="48"/>
      <c r="O34" s="21"/>
    </row>
    <row r="35" spans="1:15">
      <c r="A35" s="33" t="s">
        <v>1021</v>
      </c>
      <c r="B35" s="34">
        <v>50000</v>
      </c>
      <c r="C35" s="34">
        <v>50000</v>
      </c>
      <c r="D35" s="34">
        <v>50000</v>
      </c>
      <c r="E35" s="34">
        <v>50000</v>
      </c>
      <c r="F35" s="34">
        <v>160000</v>
      </c>
      <c r="G35" s="34">
        <v>50000</v>
      </c>
      <c r="H35" s="34">
        <v>50000</v>
      </c>
      <c r="I35" s="34">
        <v>50000</v>
      </c>
      <c r="J35" s="34">
        <v>50000</v>
      </c>
      <c r="K35" s="34">
        <v>50000</v>
      </c>
      <c r="L35" s="34">
        <v>50000</v>
      </c>
      <c r="M35" s="44"/>
      <c r="N35" s="48"/>
      <c r="O35" s="21"/>
    </row>
    <row r="36" spans="1:15">
      <c r="A36" s="33" t="s">
        <v>1022</v>
      </c>
      <c r="B36" s="34">
        <v>36000</v>
      </c>
      <c r="C36" s="34">
        <v>28000</v>
      </c>
      <c r="D36" s="34">
        <v>23625</v>
      </c>
      <c r="E36" s="44"/>
      <c r="F36" s="34">
        <v>47250</v>
      </c>
      <c r="G36" s="34">
        <v>33250</v>
      </c>
      <c r="H36" s="34">
        <v>48125</v>
      </c>
      <c r="I36" s="34"/>
      <c r="J36" s="34"/>
      <c r="K36" s="34"/>
      <c r="L36" s="44"/>
      <c r="M36" s="44"/>
      <c r="N36" s="48"/>
      <c r="O36" s="21"/>
    </row>
    <row r="37" spans="1:15">
      <c r="A37" s="32" t="s">
        <v>1023</v>
      </c>
      <c r="B37" s="30">
        <v>20980</v>
      </c>
      <c r="C37" s="30">
        <v>60000</v>
      </c>
      <c r="D37" s="49"/>
      <c r="E37" s="30">
        <v>14490</v>
      </c>
      <c r="F37" s="30">
        <v>112249</v>
      </c>
      <c r="G37" s="30">
        <v>385444</v>
      </c>
      <c r="H37" s="30">
        <f>30901+27815</f>
        <v>58716</v>
      </c>
      <c r="I37" s="49"/>
      <c r="J37" s="49"/>
      <c r="K37" s="49"/>
      <c r="L37" s="49"/>
      <c r="M37" s="49"/>
      <c r="N37" s="49"/>
      <c r="O37" s="21"/>
    </row>
    <row r="38" spans="1:15">
      <c r="A38" s="32" t="s">
        <v>1024</v>
      </c>
      <c r="B38" s="49"/>
      <c r="C38" s="49"/>
      <c r="D38" s="49"/>
      <c r="E38" s="30">
        <v>60041</v>
      </c>
      <c r="F38" s="49"/>
      <c r="G38" s="49"/>
      <c r="H38" s="30">
        <f>42000+20000+272495+2780</f>
        <v>337275</v>
      </c>
      <c r="I38" s="49"/>
      <c r="J38" s="49"/>
      <c r="K38" s="49"/>
      <c r="L38" s="49"/>
      <c r="M38" s="49"/>
      <c r="N38" s="49"/>
      <c r="O38" s="21"/>
    </row>
    <row r="39" spans="1:15">
      <c r="A39" s="32" t="s">
        <v>1025</v>
      </c>
      <c r="B39" s="30">
        <f t="shared" ref="B39:H39" si="9">B17-B18-B24-B28-B37-B38</f>
        <v>3780743</v>
      </c>
      <c r="C39" s="30">
        <f t="shared" si="9"/>
        <v>1980477</v>
      </c>
      <c r="D39" s="30">
        <f t="shared" si="9"/>
        <v>1517194</v>
      </c>
      <c r="E39" s="30">
        <f t="shared" si="9"/>
        <v>4568568.5999999996</v>
      </c>
      <c r="F39" s="30">
        <f t="shared" si="9"/>
        <v>4788094.08</v>
      </c>
      <c r="G39" s="30">
        <f t="shared" si="9"/>
        <v>2371652.44</v>
      </c>
      <c r="H39" s="30">
        <f t="shared" si="9"/>
        <v>3165951.36</v>
      </c>
      <c r="I39" s="49"/>
      <c r="J39" s="49"/>
      <c r="K39" s="49"/>
      <c r="L39" s="49"/>
      <c r="M39" s="49"/>
      <c r="N39" s="49"/>
      <c r="O39" s="21"/>
    </row>
    <row r="40" spans="1:15">
      <c r="A40" s="32" t="s">
        <v>1026</v>
      </c>
      <c r="B40" s="30">
        <f t="shared" ref="B40:H40" si="10">B41+B42</f>
        <v>1092118</v>
      </c>
      <c r="C40" s="30">
        <f t="shared" si="10"/>
        <v>799708</v>
      </c>
      <c r="D40" s="30">
        <f t="shared" si="10"/>
        <v>821748</v>
      </c>
      <c r="E40" s="30">
        <f t="shared" si="10"/>
        <v>1434846</v>
      </c>
      <c r="F40" s="30">
        <f t="shared" si="10"/>
        <v>1430422</v>
      </c>
      <c r="G40" s="30">
        <f t="shared" si="10"/>
        <v>1104581</v>
      </c>
      <c r="H40" s="30">
        <f t="shared" si="10"/>
        <v>815328</v>
      </c>
      <c r="I40" s="49"/>
      <c r="J40" s="49"/>
      <c r="K40" s="49"/>
      <c r="L40" s="49"/>
      <c r="M40" s="49"/>
      <c r="N40" s="49"/>
      <c r="O40" s="21"/>
    </row>
    <row r="41" spans="1:15">
      <c r="A41" s="33" t="s">
        <v>1027</v>
      </c>
      <c r="B41" s="54">
        <v>391847</v>
      </c>
      <c r="C41" s="37">
        <v>256817</v>
      </c>
      <c r="D41" s="34">
        <v>277287</v>
      </c>
      <c r="E41" s="34">
        <v>524656</v>
      </c>
      <c r="F41" s="34">
        <v>509792</v>
      </c>
      <c r="G41" s="34">
        <v>307729</v>
      </c>
      <c r="H41" s="34">
        <v>461392</v>
      </c>
      <c r="I41" s="34"/>
      <c r="J41" s="34"/>
      <c r="K41" s="34"/>
      <c r="L41" s="34">
        <v>435746</v>
      </c>
      <c r="M41" s="44"/>
      <c r="N41" s="48"/>
      <c r="O41" s="21"/>
    </row>
    <row r="42" spans="1:15">
      <c r="A42" s="33" t="s">
        <v>1028</v>
      </c>
      <c r="B42" s="45">
        <v>700271</v>
      </c>
      <c r="C42" s="34">
        <v>542891</v>
      </c>
      <c r="D42" s="34">
        <v>544461</v>
      </c>
      <c r="E42" s="34">
        <v>910190</v>
      </c>
      <c r="F42" s="34">
        <v>920630</v>
      </c>
      <c r="G42" s="34">
        <v>796852</v>
      </c>
      <c r="H42" s="34">
        <v>353936</v>
      </c>
      <c r="I42" s="34"/>
      <c r="J42" s="34"/>
      <c r="K42" s="34"/>
      <c r="L42" s="34">
        <v>237392</v>
      </c>
      <c r="M42" s="44"/>
      <c r="N42" s="48"/>
      <c r="O42" s="21"/>
    </row>
    <row r="43" spans="1:15">
      <c r="A43" s="32" t="s">
        <v>1029</v>
      </c>
      <c r="B43" s="30">
        <f t="shared" ref="B43:H43" si="11">B39-B40</f>
        <v>2688625</v>
      </c>
      <c r="C43" s="30">
        <f t="shared" si="11"/>
        <v>1180769</v>
      </c>
      <c r="D43" s="30">
        <f t="shared" si="11"/>
        <v>695446</v>
      </c>
      <c r="E43" s="30">
        <f t="shared" si="11"/>
        <v>3133722.5999999996</v>
      </c>
      <c r="F43" s="30">
        <f t="shared" si="11"/>
        <v>3357672.08</v>
      </c>
      <c r="G43" s="30">
        <f t="shared" si="11"/>
        <v>1267071.44</v>
      </c>
      <c r="H43" s="30">
        <f t="shared" si="11"/>
        <v>2350623.36</v>
      </c>
      <c r="I43" s="49"/>
      <c r="J43" s="49"/>
      <c r="K43" s="49"/>
      <c r="L43" s="49"/>
      <c r="M43" s="49"/>
      <c r="N43" s="49"/>
      <c r="O43" s="21"/>
    </row>
    <row r="44" spans="1:15">
      <c r="A44" s="33" t="s">
        <v>1030</v>
      </c>
      <c r="B44" s="55">
        <f t="shared" ref="B44:H44" si="12">B39/B7</f>
        <v>0.64453312325910106</v>
      </c>
      <c r="C44" s="55">
        <f t="shared" si="12"/>
        <v>0.48339133038991255</v>
      </c>
      <c r="D44" s="55">
        <f t="shared" si="12"/>
        <v>0.36683766643704968</v>
      </c>
      <c r="E44" s="55">
        <f t="shared" si="12"/>
        <v>0.61543145091056484</v>
      </c>
      <c r="F44" s="55">
        <f t="shared" si="12"/>
        <v>0.61460440817248629</v>
      </c>
      <c r="G44" s="55">
        <f t="shared" si="12"/>
        <v>0.42738221029349172</v>
      </c>
      <c r="H44" s="55">
        <f t="shared" si="12"/>
        <v>0.4657958964604853</v>
      </c>
      <c r="I44" s="44"/>
      <c r="J44" s="44"/>
      <c r="K44" s="44"/>
      <c r="L44" s="44"/>
      <c r="M44" s="44"/>
      <c r="N44" s="48"/>
      <c r="O44" s="21"/>
    </row>
    <row r="45" spans="1:1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1:1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50" spans="4:5">
      <c r="E50" s="56"/>
    </row>
    <row r="51" spans="4:5">
      <c r="D51" s="57"/>
      <c r="E51" s="58"/>
    </row>
    <row r="52" spans="4:5">
      <c r="D52" s="57"/>
      <c r="E52" s="58"/>
    </row>
    <row r="53" spans="4:5">
      <c r="D53" s="57"/>
      <c r="E53" s="58"/>
    </row>
    <row r="54" spans="4:5">
      <c r="D54" s="57"/>
      <c r="E54" s="58"/>
    </row>
    <row r="55" spans="4:5">
      <c r="D55" s="57"/>
      <c r="E55" s="58"/>
    </row>
    <row r="56" spans="4:5">
      <c r="D56" s="57"/>
      <c r="E56" s="58"/>
    </row>
    <row r="57" spans="4:5">
      <c r="D57" s="59"/>
      <c r="E57" s="58"/>
    </row>
  </sheetData>
  <mergeCells count="1">
    <mergeCell ref="B2:N3"/>
  </mergeCells>
  <pageMargins left="0" right="0" top="0" bottom="0" header="0" footer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E60F-4318-49FD-8BFF-106321F8AA8F}">
  <sheetPr filterMode="1"/>
  <dimension ref="A1:Y1371"/>
  <sheetViews>
    <sheetView showGridLines="0" tabSelected="1" workbookViewId="0">
      <selection activeCell="K953" sqref="K953"/>
    </sheetView>
  </sheetViews>
  <sheetFormatPr defaultColWidth="14.42578125" defaultRowHeight="15" customHeight="1"/>
  <cols>
    <col min="1" max="1" width="37.5703125" customWidth="1"/>
    <col min="2" max="2" width="17.140625" hidden="1" customWidth="1"/>
    <col min="3" max="3" width="11.7109375" hidden="1" customWidth="1"/>
    <col min="4" max="4" width="12.42578125" customWidth="1"/>
    <col min="5" max="5" width="10.7109375" customWidth="1"/>
    <col min="6" max="6" width="11.140625" customWidth="1"/>
    <col min="7" max="7" width="15.28515625" customWidth="1"/>
    <col min="8" max="8" width="15.5703125" customWidth="1"/>
    <col min="9" max="9" width="14.140625" customWidth="1"/>
    <col min="10" max="10" width="29.28515625" customWidth="1"/>
    <col min="11" max="11" width="57.140625" customWidth="1"/>
    <col min="12" max="25" width="10.7109375" customWidth="1"/>
  </cols>
  <sheetData>
    <row r="1" spans="1:12" ht="43.5" customHeight="1">
      <c r="A1" s="57" t="s">
        <v>1033</v>
      </c>
      <c r="B1" s="64" t="s">
        <v>1034</v>
      </c>
      <c r="C1" s="64" t="s">
        <v>1035</v>
      </c>
      <c r="D1" s="65" t="s">
        <v>1036</v>
      </c>
      <c r="E1" s="66" t="s">
        <v>1037</v>
      </c>
      <c r="F1" s="66" t="s">
        <v>1038</v>
      </c>
      <c r="G1" s="67" t="s">
        <v>1039</v>
      </c>
      <c r="H1" s="67" t="s">
        <v>1040</v>
      </c>
      <c r="I1" s="66" t="s">
        <v>1041</v>
      </c>
      <c r="J1" s="66" t="s">
        <v>1042</v>
      </c>
      <c r="K1" s="57" t="s">
        <v>1</v>
      </c>
      <c r="L1" s="15"/>
    </row>
    <row r="2" spans="1:12" hidden="1">
      <c r="A2" s="68" t="s">
        <v>126</v>
      </c>
      <c r="B2" s="68">
        <v>4</v>
      </c>
      <c r="C2" s="68" t="s">
        <v>1043</v>
      </c>
      <c r="D2" s="69">
        <v>44677</v>
      </c>
      <c r="E2" s="68">
        <v>38</v>
      </c>
      <c r="F2" s="68"/>
      <c r="G2" s="68"/>
      <c r="H2" s="70" t="s">
        <v>1044</v>
      </c>
      <c r="I2" s="7">
        <f t="shared" ref="I2:I363" ca="1" si="0">IF(OR(H2="Pagado",H2="Anulada"),0,IF(ISNUMBER(E2),TODAY()-D2,TODAY()-F2))</f>
        <v>0</v>
      </c>
      <c r="J2" s="71"/>
      <c r="K2" s="7"/>
    </row>
    <row r="3" spans="1:12" hidden="1">
      <c r="A3" s="68" t="s">
        <v>1045</v>
      </c>
      <c r="B3" s="68" t="s">
        <v>1043</v>
      </c>
      <c r="C3" s="68">
        <v>3</v>
      </c>
      <c r="D3" s="69">
        <v>44650</v>
      </c>
      <c r="E3" s="68">
        <v>26</v>
      </c>
      <c r="F3" s="68"/>
      <c r="G3" s="68"/>
      <c r="H3" s="70" t="s">
        <v>1044</v>
      </c>
      <c r="I3" s="7">
        <f t="shared" ca="1" si="0"/>
        <v>0</v>
      </c>
      <c r="J3" s="71"/>
      <c r="K3" s="7"/>
    </row>
    <row r="4" spans="1:12" hidden="1">
      <c r="A4" s="68" t="s">
        <v>95</v>
      </c>
      <c r="B4" s="68">
        <v>10</v>
      </c>
      <c r="C4" s="68" t="s">
        <v>1043</v>
      </c>
      <c r="D4" s="69">
        <v>44678</v>
      </c>
      <c r="E4" s="68" t="s">
        <v>1046</v>
      </c>
      <c r="F4" s="68"/>
      <c r="G4" s="68"/>
      <c r="H4" s="70" t="s">
        <v>1044</v>
      </c>
      <c r="I4" s="7">
        <f t="shared" ca="1" si="0"/>
        <v>0</v>
      </c>
      <c r="J4" s="71"/>
      <c r="K4" s="7"/>
    </row>
    <row r="5" spans="1:12" hidden="1">
      <c r="A5" s="68" t="s">
        <v>1047</v>
      </c>
      <c r="B5" s="68">
        <v>10</v>
      </c>
      <c r="C5" s="68" t="s">
        <v>1043</v>
      </c>
      <c r="D5" s="69">
        <v>44678</v>
      </c>
      <c r="E5" s="72" t="s">
        <v>1043</v>
      </c>
      <c r="F5" s="68"/>
      <c r="G5" s="68"/>
      <c r="H5" s="70" t="s">
        <v>1044</v>
      </c>
      <c r="I5" s="7">
        <f t="shared" ca="1" si="0"/>
        <v>0</v>
      </c>
      <c r="J5" s="71"/>
      <c r="K5" s="7"/>
    </row>
    <row r="6" spans="1:12" hidden="1">
      <c r="A6" s="68" t="s">
        <v>1048</v>
      </c>
      <c r="B6" s="68" t="s">
        <v>1043</v>
      </c>
      <c r="C6" s="68">
        <v>4</v>
      </c>
      <c r="D6" s="69">
        <v>44684</v>
      </c>
      <c r="E6" s="68">
        <v>42</v>
      </c>
      <c r="F6" s="68"/>
      <c r="G6" s="68"/>
      <c r="H6" s="70" t="s">
        <v>1044</v>
      </c>
      <c r="I6" s="7">
        <f t="shared" ca="1" si="0"/>
        <v>0</v>
      </c>
      <c r="J6" s="71"/>
      <c r="K6" s="7"/>
    </row>
    <row r="7" spans="1:12" hidden="1">
      <c r="A7" s="68" t="s">
        <v>1049</v>
      </c>
      <c r="B7" s="68">
        <v>8</v>
      </c>
      <c r="C7" s="68" t="s">
        <v>1043</v>
      </c>
      <c r="D7" s="69">
        <v>44672</v>
      </c>
      <c r="E7" s="68">
        <v>37</v>
      </c>
      <c r="F7" s="68"/>
      <c r="G7" s="68"/>
      <c r="H7" s="70" t="s">
        <v>1044</v>
      </c>
      <c r="I7" s="7">
        <f t="shared" ca="1" si="0"/>
        <v>0</v>
      </c>
      <c r="J7" s="71"/>
      <c r="K7" s="7"/>
    </row>
    <row r="8" spans="1:12" hidden="1">
      <c r="A8" s="68" t="s">
        <v>1050</v>
      </c>
      <c r="B8" s="68">
        <v>3</v>
      </c>
      <c r="C8" s="68" t="s">
        <v>1043</v>
      </c>
      <c r="D8" s="69">
        <v>44622</v>
      </c>
      <c r="E8" s="68">
        <v>30</v>
      </c>
      <c r="F8" s="68"/>
      <c r="G8" s="68"/>
      <c r="H8" s="70" t="s">
        <v>1044</v>
      </c>
      <c r="I8" s="7">
        <f t="shared" ca="1" si="0"/>
        <v>0</v>
      </c>
      <c r="J8" s="71"/>
      <c r="K8" s="7"/>
    </row>
    <row r="9" spans="1:12" hidden="1">
      <c r="A9" s="68" t="s">
        <v>1051</v>
      </c>
      <c r="B9" s="68">
        <v>5</v>
      </c>
      <c r="C9" s="68" t="s">
        <v>1043</v>
      </c>
      <c r="D9" s="69">
        <v>44678</v>
      </c>
      <c r="E9" s="68" t="s">
        <v>1043</v>
      </c>
      <c r="F9" s="68"/>
      <c r="G9" s="68"/>
      <c r="H9" s="70" t="s">
        <v>1044</v>
      </c>
      <c r="I9" s="7">
        <f t="shared" ca="1" si="0"/>
        <v>0</v>
      </c>
      <c r="J9" s="71"/>
      <c r="K9" s="7"/>
    </row>
    <row r="10" spans="1:12" hidden="1">
      <c r="A10" s="68" t="s">
        <v>360</v>
      </c>
      <c r="B10" s="68">
        <v>2</v>
      </c>
      <c r="C10" s="68" t="s">
        <v>1043</v>
      </c>
      <c r="D10" s="69">
        <v>44678</v>
      </c>
      <c r="E10" s="68" t="s">
        <v>1043</v>
      </c>
      <c r="F10" s="68"/>
      <c r="G10" s="68"/>
      <c r="H10" s="70" t="s">
        <v>1044</v>
      </c>
      <c r="I10" s="7">
        <f t="shared" ca="1" si="0"/>
        <v>0</v>
      </c>
      <c r="J10" s="71"/>
      <c r="K10" s="7"/>
    </row>
    <row r="11" spans="1:12" hidden="1">
      <c r="A11" s="68" t="s">
        <v>360</v>
      </c>
      <c r="B11" s="68">
        <v>2</v>
      </c>
      <c r="C11" s="68" t="s">
        <v>1043</v>
      </c>
      <c r="D11" s="69">
        <v>44678</v>
      </c>
      <c r="E11" s="68" t="s">
        <v>1043</v>
      </c>
      <c r="F11" s="68"/>
      <c r="G11" s="68"/>
      <c r="H11" s="70" t="s">
        <v>1044</v>
      </c>
      <c r="I11" s="7">
        <f t="shared" ca="1" si="0"/>
        <v>0</v>
      </c>
      <c r="J11" s="71"/>
      <c r="K11" s="7"/>
    </row>
    <row r="12" spans="1:12" hidden="1">
      <c r="A12" s="68" t="s">
        <v>71</v>
      </c>
      <c r="B12" s="68">
        <v>3</v>
      </c>
      <c r="C12" s="68" t="s">
        <v>1043</v>
      </c>
      <c r="D12" s="69">
        <v>44608</v>
      </c>
      <c r="E12" s="68" t="s">
        <v>1043</v>
      </c>
      <c r="F12" s="68"/>
      <c r="G12" s="68"/>
      <c r="H12" s="70" t="s">
        <v>1044</v>
      </c>
      <c r="I12" s="7">
        <f t="shared" ca="1" si="0"/>
        <v>0</v>
      </c>
      <c r="J12" s="71"/>
      <c r="K12" s="7"/>
    </row>
    <row r="13" spans="1:12" hidden="1">
      <c r="A13" s="68" t="s">
        <v>1052</v>
      </c>
      <c r="B13" s="68">
        <v>4</v>
      </c>
      <c r="C13" s="68" t="s">
        <v>1043</v>
      </c>
      <c r="D13" s="69">
        <v>44635</v>
      </c>
      <c r="E13" s="68" t="s">
        <v>1043</v>
      </c>
      <c r="F13" s="68"/>
      <c r="G13" s="68"/>
      <c r="H13" s="70" t="s">
        <v>1044</v>
      </c>
      <c r="I13" s="7">
        <f t="shared" ca="1" si="0"/>
        <v>0</v>
      </c>
      <c r="J13" s="71"/>
      <c r="K13" s="7"/>
    </row>
    <row r="14" spans="1:12" hidden="1">
      <c r="A14" s="68" t="s">
        <v>1053</v>
      </c>
      <c r="B14" s="68">
        <v>6</v>
      </c>
      <c r="C14" s="68">
        <v>3</v>
      </c>
      <c r="D14" s="69">
        <v>44695</v>
      </c>
      <c r="E14" s="68">
        <v>45</v>
      </c>
      <c r="F14" s="58"/>
      <c r="G14" s="58"/>
      <c r="H14" s="70" t="s">
        <v>1044</v>
      </c>
      <c r="I14" s="7">
        <f t="shared" ca="1" si="0"/>
        <v>0</v>
      </c>
      <c r="J14" s="71"/>
      <c r="K14" s="7"/>
    </row>
    <row r="15" spans="1:12" hidden="1">
      <c r="A15" s="68" t="s">
        <v>1048</v>
      </c>
      <c r="B15" s="68" t="s">
        <v>1043</v>
      </c>
      <c r="C15" s="68">
        <v>2</v>
      </c>
      <c r="D15" s="69">
        <v>44693</v>
      </c>
      <c r="E15" s="68">
        <v>44</v>
      </c>
      <c r="F15" s="58"/>
      <c r="G15" s="58">
        <v>145815</v>
      </c>
      <c r="H15" s="70" t="s">
        <v>1044</v>
      </c>
      <c r="I15" s="7">
        <f t="shared" ca="1" si="0"/>
        <v>0</v>
      </c>
      <c r="J15" s="71"/>
      <c r="K15" s="7"/>
    </row>
    <row r="16" spans="1:12" hidden="1">
      <c r="A16" s="68" t="s">
        <v>1054</v>
      </c>
      <c r="B16" s="68">
        <v>4</v>
      </c>
      <c r="C16" s="68" t="s">
        <v>1043</v>
      </c>
      <c r="D16" s="69">
        <v>44711</v>
      </c>
      <c r="E16" s="68">
        <v>46</v>
      </c>
      <c r="F16" s="58"/>
      <c r="G16" s="58"/>
      <c r="H16" s="70" t="s">
        <v>1044</v>
      </c>
      <c r="I16" s="7">
        <f t="shared" ca="1" si="0"/>
        <v>0</v>
      </c>
      <c r="J16" s="71"/>
      <c r="K16" s="7"/>
    </row>
    <row r="17" spans="1:11" hidden="1">
      <c r="A17" s="68" t="s">
        <v>150</v>
      </c>
      <c r="B17" s="68" t="s">
        <v>1055</v>
      </c>
      <c r="C17" s="68" t="s">
        <v>1043</v>
      </c>
      <c r="D17" s="69">
        <v>44711</v>
      </c>
      <c r="E17" s="68">
        <v>48</v>
      </c>
      <c r="F17" s="58"/>
      <c r="G17" s="58"/>
      <c r="H17" s="70" t="s">
        <v>1044</v>
      </c>
      <c r="I17" s="7">
        <f t="shared" ca="1" si="0"/>
        <v>0</v>
      </c>
      <c r="J17" s="71"/>
      <c r="K17" s="7"/>
    </row>
    <row r="18" spans="1:11" hidden="1">
      <c r="A18" s="68" t="s">
        <v>95</v>
      </c>
      <c r="B18" s="68">
        <v>10</v>
      </c>
      <c r="C18" s="68" t="s">
        <v>1043</v>
      </c>
      <c r="D18" s="69">
        <v>44715</v>
      </c>
      <c r="E18" s="68">
        <v>49</v>
      </c>
      <c r="F18" s="58"/>
      <c r="G18" s="58">
        <v>255381</v>
      </c>
      <c r="H18" s="70" t="s">
        <v>1044</v>
      </c>
      <c r="I18" s="7">
        <f t="shared" ca="1" si="0"/>
        <v>0</v>
      </c>
      <c r="J18" s="71"/>
      <c r="K18" s="7"/>
    </row>
    <row r="19" spans="1:11" hidden="1">
      <c r="A19" s="68" t="s">
        <v>1053</v>
      </c>
      <c r="B19" s="68" t="s">
        <v>1043</v>
      </c>
      <c r="C19" s="68">
        <v>3</v>
      </c>
      <c r="D19" s="69">
        <v>44719</v>
      </c>
      <c r="E19" s="68">
        <v>50</v>
      </c>
      <c r="F19" s="58"/>
      <c r="G19" s="58">
        <v>293634</v>
      </c>
      <c r="H19" s="70" t="s">
        <v>1044</v>
      </c>
      <c r="I19" s="7">
        <f t="shared" ca="1" si="0"/>
        <v>0</v>
      </c>
      <c r="J19" s="71"/>
      <c r="K19" s="7"/>
    </row>
    <row r="20" spans="1:11" hidden="1">
      <c r="A20" s="68" t="s">
        <v>1054</v>
      </c>
      <c r="B20" s="68">
        <v>2</v>
      </c>
      <c r="C20" s="68" t="s">
        <v>1043</v>
      </c>
      <c r="D20" s="69">
        <v>44727</v>
      </c>
      <c r="E20" s="68">
        <v>52</v>
      </c>
      <c r="F20" s="58"/>
      <c r="G20" s="58">
        <v>49179</v>
      </c>
      <c r="H20" s="70" t="s">
        <v>1044</v>
      </c>
      <c r="I20" s="7">
        <f t="shared" ca="1" si="0"/>
        <v>0</v>
      </c>
      <c r="J20" s="71"/>
      <c r="K20" s="7"/>
    </row>
    <row r="21" spans="1:11" ht="14.25" hidden="1" customHeight="1">
      <c r="A21" s="68" t="s">
        <v>1048</v>
      </c>
      <c r="B21" s="68" t="s">
        <v>1043</v>
      </c>
      <c r="C21" s="68">
        <v>2</v>
      </c>
      <c r="D21" s="69">
        <v>44729</v>
      </c>
      <c r="E21" s="68">
        <v>53</v>
      </c>
      <c r="F21" s="58"/>
      <c r="G21" s="58"/>
      <c r="H21" s="70" t="s">
        <v>1044</v>
      </c>
      <c r="I21" s="7">
        <f t="shared" ca="1" si="0"/>
        <v>0</v>
      </c>
      <c r="J21" s="71"/>
      <c r="K21" s="7"/>
    </row>
    <row r="22" spans="1:11" ht="14.25" hidden="1" customHeight="1">
      <c r="A22" s="68" t="s">
        <v>1054</v>
      </c>
      <c r="B22" s="68">
        <v>3</v>
      </c>
      <c r="C22" s="68" t="s">
        <v>1043</v>
      </c>
      <c r="D22" s="69">
        <v>44741</v>
      </c>
      <c r="E22" s="68">
        <v>55</v>
      </c>
      <c r="F22" s="58"/>
      <c r="G22" s="58">
        <v>76140</v>
      </c>
      <c r="H22" s="70" t="s">
        <v>1044</v>
      </c>
      <c r="I22" s="7">
        <f t="shared" ca="1" si="0"/>
        <v>0</v>
      </c>
      <c r="J22" s="71"/>
      <c r="K22" s="7"/>
    </row>
    <row r="23" spans="1:11" ht="14.25" hidden="1" customHeight="1">
      <c r="A23" s="68" t="s">
        <v>126</v>
      </c>
      <c r="B23" s="68">
        <v>2</v>
      </c>
      <c r="C23" s="68" t="s">
        <v>1043</v>
      </c>
      <c r="D23" s="69">
        <v>44741</v>
      </c>
      <c r="E23" s="68">
        <v>51</v>
      </c>
      <c r="F23" s="58"/>
      <c r="G23" s="58"/>
      <c r="H23" s="70" t="s">
        <v>1044</v>
      </c>
      <c r="I23" s="7">
        <f t="shared" ca="1" si="0"/>
        <v>0</v>
      </c>
      <c r="J23" s="71"/>
      <c r="K23" s="7"/>
    </row>
    <row r="24" spans="1:11" ht="14.25" hidden="1" customHeight="1">
      <c r="A24" s="68" t="s">
        <v>1056</v>
      </c>
      <c r="B24" s="68">
        <v>16</v>
      </c>
      <c r="C24" s="68" t="s">
        <v>1043</v>
      </c>
      <c r="D24" s="69">
        <v>44742</v>
      </c>
      <c r="E24" s="68" t="s">
        <v>1057</v>
      </c>
      <c r="F24" s="58"/>
      <c r="G24" s="58"/>
      <c r="H24" s="70" t="s">
        <v>1044</v>
      </c>
      <c r="I24" s="7">
        <f t="shared" ca="1" si="0"/>
        <v>0</v>
      </c>
      <c r="J24" s="71"/>
      <c r="K24" s="7"/>
    </row>
    <row r="25" spans="1:11" ht="14.25" hidden="1" customHeight="1">
      <c r="A25" s="68" t="s">
        <v>1058</v>
      </c>
      <c r="B25" s="68" t="s">
        <v>1059</v>
      </c>
      <c r="C25" s="68" t="s">
        <v>1043</v>
      </c>
      <c r="D25" s="69">
        <v>44746</v>
      </c>
      <c r="E25" s="68">
        <v>57</v>
      </c>
      <c r="F25" s="58"/>
      <c r="G25" s="58">
        <v>554328</v>
      </c>
      <c r="H25" s="70" t="s">
        <v>1044</v>
      </c>
      <c r="I25" s="7">
        <f t="shared" ca="1" si="0"/>
        <v>0</v>
      </c>
      <c r="J25" s="71"/>
      <c r="K25" s="7"/>
    </row>
    <row r="26" spans="1:11" ht="14.25" hidden="1" customHeight="1">
      <c r="A26" s="68" t="s">
        <v>1060</v>
      </c>
      <c r="B26" s="68">
        <v>4</v>
      </c>
      <c r="C26" s="68" t="s">
        <v>1043</v>
      </c>
      <c r="D26" s="69">
        <v>44736</v>
      </c>
      <c r="E26" s="68">
        <v>54</v>
      </c>
      <c r="F26" s="58"/>
      <c r="G26" s="58">
        <v>33998</v>
      </c>
      <c r="H26" s="70" t="s">
        <v>1044</v>
      </c>
      <c r="I26" s="7">
        <f t="shared" ca="1" si="0"/>
        <v>0</v>
      </c>
      <c r="J26" s="71"/>
      <c r="K26" s="7"/>
    </row>
    <row r="27" spans="1:11" ht="14.25" hidden="1" customHeight="1">
      <c r="A27" s="68" t="s">
        <v>1053</v>
      </c>
      <c r="B27" s="68" t="s">
        <v>1043</v>
      </c>
      <c r="C27" s="68">
        <v>3</v>
      </c>
      <c r="D27" s="69">
        <v>44748</v>
      </c>
      <c r="E27" s="68">
        <v>59</v>
      </c>
      <c r="F27" s="58"/>
      <c r="G27" s="58">
        <v>293634</v>
      </c>
      <c r="H27" s="70" t="s">
        <v>1044</v>
      </c>
      <c r="I27" s="7">
        <f t="shared" ca="1" si="0"/>
        <v>0</v>
      </c>
      <c r="J27" s="71"/>
      <c r="K27" s="7"/>
    </row>
    <row r="28" spans="1:11" ht="14.25" hidden="1" customHeight="1">
      <c r="A28" s="68" t="s">
        <v>168</v>
      </c>
      <c r="B28" s="68">
        <v>3</v>
      </c>
      <c r="C28" s="68" t="s">
        <v>1043</v>
      </c>
      <c r="D28" s="69">
        <v>44748</v>
      </c>
      <c r="E28" s="68">
        <v>60</v>
      </c>
      <c r="F28" s="58"/>
      <c r="G28" s="58">
        <v>76140</v>
      </c>
      <c r="H28" s="70" t="s">
        <v>1044</v>
      </c>
      <c r="I28" s="7">
        <f t="shared" ca="1" si="0"/>
        <v>0</v>
      </c>
      <c r="J28" s="71"/>
      <c r="K28" s="7"/>
    </row>
    <row r="29" spans="1:11" ht="14.25" hidden="1" customHeight="1">
      <c r="A29" s="68" t="s">
        <v>1054</v>
      </c>
      <c r="B29" s="68">
        <v>2</v>
      </c>
      <c r="C29" s="68" t="s">
        <v>1043</v>
      </c>
      <c r="D29" s="69">
        <v>44753</v>
      </c>
      <c r="E29" s="68">
        <v>61</v>
      </c>
      <c r="F29" s="58"/>
      <c r="G29" s="58">
        <v>44436</v>
      </c>
      <c r="H29" s="70" t="s">
        <v>1044</v>
      </c>
      <c r="I29" s="7">
        <f t="shared" ca="1" si="0"/>
        <v>0</v>
      </c>
      <c r="J29" s="71"/>
      <c r="K29" s="7"/>
    </row>
    <row r="30" spans="1:11" ht="14.25" hidden="1" customHeight="1">
      <c r="A30" s="68" t="s">
        <v>174</v>
      </c>
      <c r="B30" s="68" t="s">
        <v>1043</v>
      </c>
      <c r="C30" s="68">
        <v>1</v>
      </c>
      <c r="D30" s="69">
        <v>44754</v>
      </c>
      <c r="E30" s="68">
        <v>62</v>
      </c>
      <c r="F30" s="58"/>
      <c r="G30" s="58">
        <v>97878</v>
      </c>
      <c r="H30" s="70" t="s">
        <v>1044</v>
      </c>
      <c r="I30" s="7">
        <f t="shared" ca="1" si="0"/>
        <v>0</v>
      </c>
      <c r="J30" s="71"/>
      <c r="K30" s="7"/>
    </row>
    <row r="31" spans="1:11" ht="14.25" hidden="1" customHeight="1">
      <c r="A31" s="68" t="s">
        <v>1048</v>
      </c>
      <c r="B31" s="68" t="s">
        <v>1043</v>
      </c>
      <c r="C31" s="68">
        <v>6</v>
      </c>
      <c r="D31" s="69">
        <v>44757</v>
      </c>
      <c r="E31" s="68">
        <v>63</v>
      </c>
      <c r="F31" s="58"/>
      <c r="G31" s="58">
        <v>437445</v>
      </c>
      <c r="H31" s="70" t="s">
        <v>1044</v>
      </c>
      <c r="I31" s="7">
        <f t="shared" ca="1" si="0"/>
        <v>0</v>
      </c>
      <c r="J31" s="71"/>
      <c r="K31" s="7"/>
    </row>
    <row r="32" spans="1:11" ht="14.25" hidden="1" customHeight="1">
      <c r="A32" s="68" t="s">
        <v>1061</v>
      </c>
      <c r="B32" s="68">
        <v>1</v>
      </c>
      <c r="C32" s="68" t="s">
        <v>1043</v>
      </c>
      <c r="D32" s="69">
        <v>44760</v>
      </c>
      <c r="E32" s="68">
        <v>64</v>
      </c>
      <c r="F32" s="58"/>
      <c r="G32" s="58">
        <v>25556</v>
      </c>
      <c r="H32" s="70" t="s">
        <v>1044</v>
      </c>
      <c r="I32" s="7">
        <f t="shared" ca="1" si="0"/>
        <v>0</v>
      </c>
      <c r="J32" s="71"/>
      <c r="K32" s="7"/>
    </row>
    <row r="33" spans="1:11" ht="14.25" hidden="1" customHeight="1">
      <c r="A33" s="68" t="s">
        <v>1056</v>
      </c>
      <c r="B33" s="68"/>
      <c r="C33" s="68"/>
      <c r="D33" s="69">
        <v>44760</v>
      </c>
      <c r="E33" s="68" t="s">
        <v>1057</v>
      </c>
      <c r="F33" s="58"/>
      <c r="G33" s="58">
        <v>141000</v>
      </c>
      <c r="H33" s="70" t="s">
        <v>1044</v>
      </c>
      <c r="I33" s="7">
        <f t="shared" ca="1" si="0"/>
        <v>0</v>
      </c>
      <c r="J33" s="71"/>
      <c r="K33" s="7"/>
    </row>
    <row r="34" spans="1:11" ht="14.25" hidden="1" customHeight="1">
      <c r="A34" s="68" t="s">
        <v>1061</v>
      </c>
      <c r="B34" s="68"/>
      <c r="C34" s="68"/>
      <c r="D34" s="69">
        <v>44763</v>
      </c>
      <c r="E34" s="68">
        <v>66</v>
      </c>
      <c r="F34" s="58"/>
      <c r="G34" s="58">
        <v>25566</v>
      </c>
      <c r="H34" s="70" t="s">
        <v>1044</v>
      </c>
      <c r="I34" s="7">
        <f t="shared" ca="1" si="0"/>
        <v>0</v>
      </c>
      <c r="J34" s="71"/>
      <c r="K34" s="7"/>
    </row>
    <row r="35" spans="1:11" ht="14.25" hidden="1" customHeight="1">
      <c r="A35" s="68" t="s">
        <v>1062</v>
      </c>
      <c r="B35" s="68">
        <v>2</v>
      </c>
      <c r="C35" s="68" t="s">
        <v>1043</v>
      </c>
      <c r="D35" s="69">
        <v>44768</v>
      </c>
      <c r="E35" s="68">
        <v>65</v>
      </c>
      <c r="F35" s="58"/>
      <c r="G35" s="58">
        <v>52527</v>
      </c>
      <c r="H35" s="70" t="s">
        <v>1044</v>
      </c>
      <c r="I35" s="7">
        <f t="shared" ca="1" si="0"/>
        <v>0</v>
      </c>
      <c r="J35" s="71"/>
      <c r="K35" s="7"/>
    </row>
    <row r="36" spans="1:11" ht="14.25" hidden="1" customHeight="1">
      <c r="A36" s="68" t="s">
        <v>1061</v>
      </c>
      <c r="B36" s="68"/>
      <c r="C36" s="68"/>
      <c r="D36" s="69">
        <v>44769</v>
      </c>
      <c r="E36" s="68">
        <v>68</v>
      </c>
      <c r="F36" s="58"/>
      <c r="G36" s="58">
        <v>28988</v>
      </c>
      <c r="H36" s="70" t="s">
        <v>1044</v>
      </c>
      <c r="I36" s="7">
        <f t="shared" ca="1" si="0"/>
        <v>0</v>
      </c>
      <c r="J36" s="71"/>
      <c r="K36" s="7"/>
    </row>
    <row r="37" spans="1:11" ht="14.25" hidden="1" customHeight="1">
      <c r="A37" s="68" t="s">
        <v>150</v>
      </c>
      <c r="B37" s="68"/>
      <c r="C37" s="68"/>
      <c r="D37" s="69">
        <v>44769</v>
      </c>
      <c r="E37" s="68">
        <v>67</v>
      </c>
      <c r="F37" s="58"/>
      <c r="G37" s="58">
        <v>113905</v>
      </c>
      <c r="H37" s="70" t="s">
        <v>1044</v>
      </c>
      <c r="I37" s="7">
        <f t="shared" ca="1" si="0"/>
        <v>0</v>
      </c>
      <c r="J37" s="71"/>
      <c r="K37" s="7"/>
    </row>
    <row r="38" spans="1:11" ht="14.25" hidden="1" customHeight="1">
      <c r="A38" s="68" t="s">
        <v>1063</v>
      </c>
      <c r="B38" s="68">
        <v>4</v>
      </c>
      <c r="C38" s="68" t="s">
        <v>1043</v>
      </c>
      <c r="D38" s="69">
        <v>44770</v>
      </c>
      <c r="E38" s="68">
        <v>69</v>
      </c>
      <c r="F38" s="58"/>
      <c r="G38" s="58">
        <v>107665</v>
      </c>
      <c r="H38" s="70" t="s">
        <v>1044</v>
      </c>
      <c r="I38" s="7">
        <f t="shared" ca="1" si="0"/>
        <v>0</v>
      </c>
      <c r="J38" s="71"/>
      <c r="K38" s="7"/>
    </row>
    <row r="39" spans="1:11" ht="14.25" hidden="1" customHeight="1">
      <c r="A39" s="68" t="s">
        <v>1064</v>
      </c>
      <c r="B39" s="68">
        <v>4</v>
      </c>
      <c r="C39" s="68" t="s">
        <v>1043</v>
      </c>
      <c r="D39" s="69">
        <v>44774</v>
      </c>
      <c r="E39" s="68">
        <v>72</v>
      </c>
      <c r="F39" s="58"/>
      <c r="G39" s="58">
        <v>103983</v>
      </c>
      <c r="H39" s="70" t="s">
        <v>1044</v>
      </c>
      <c r="I39" s="7">
        <f t="shared" ca="1" si="0"/>
        <v>0</v>
      </c>
      <c r="J39" s="71"/>
      <c r="K39" s="7"/>
    </row>
    <row r="40" spans="1:11" ht="14.25" hidden="1" customHeight="1">
      <c r="A40" s="68" t="s">
        <v>186</v>
      </c>
      <c r="B40" s="68">
        <f>(18*6)/12</f>
        <v>9</v>
      </c>
      <c r="C40" s="68" t="s">
        <v>1043</v>
      </c>
      <c r="D40" s="69">
        <v>44774</v>
      </c>
      <c r="E40" s="68">
        <v>70</v>
      </c>
      <c r="F40" s="58"/>
      <c r="G40" s="58">
        <v>114717</v>
      </c>
      <c r="H40" s="70" t="s">
        <v>1044</v>
      </c>
      <c r="I40" s="7">
        <f t="shared" ca="1" si="0"/>
        <v>0</v>
      </c>
      <c r="J40" s="71"/>
      <c r="K40" s="7"/>
    </row>
    <row r="41" spans="1:11" ht="14.25" hidden="1" customHeight="1">
      <c r="A41" s="68" t="s">
        <v>1060</v>
      </c>
      <c r="B41" s="68">
        <v>4</v>
      </c>
      <c r="C41" s="68"/>
      <c r="D41" s="69">
        <v>44774</v>
      </c>
      <c r="E41" s="68">
        <v>71</v>
      </c>
      <c r="F41" s="58"/>
      <c r="G41" s="58">
        <v>131473</v>
      </c>
      <c r="H41" s="70" t="s">
        <v>1044</v>
      </c>
      <c r="I41" s="7">
        <f t="shared" ca="1" si="0"/>
        <v>0</v>
      </c>
      <c r="J41" s="71"/>
      <c r="K41" s="7"/>
    </row>
    <row r="42" spans="1:11" ht="14.25" hidden="1" customHeight="1">
      <c r="A42" s="68" t="s">
        <v>1051</v>
      </c>
      <c r="B42" s="68">
        <v>4</v>
      </c>
      <c r="C42" s="68" t="s">
        <v>1043</v>
      </c>
      <c r="D42" s="69"/>
      <c r="E42" s="68" t="s">
        <v>1057</v>
      </c>
      <c r="F42" s="58"/>
      <c r="G42" s="58">
        <v>91405</v>
      </c>
      <c r="H42" s="70" t="s">
        <v>1044</v>
      </c>
      <c r="I42" s="7">
        <f t="shared" ca="1" si="0"/>
        <v>0</v>
      </c>
      <c r="J42" s="71"/>
      <c r="K42" s="7"/>
    </row>
    <row r="43" spans="1:11" ht="14.25" hidden="1" customHeight="1">
      <c r="A43" s="68" t="s">
        <v>1065</v>
      </c>
      <c r="B43" s="68">
        <v>10</v>
      </c>
      <c r="C43" s="68" t="s">
        <v>1043</v>
      </c>
      <c r="D43" s="69">
        <v>44781</v>
      </c>
      <c r="E43" s="68">
        <v>74</v>
      </c>
      <c r="F43" s="58"/>
      <c r="G43" s="58">
        <v>265942</v>
      </c>
      <c r="H43" s="70" t="s">
        <v>1044</v>
      </c>
      <c r="I43" s="7">
        <f t="shared" ca="1" si="0"/>
        <v>0</v>
      </c>
      <c r="J43" s="71"/>
      <c r="K43" s="7"/>
    </row>
    <row r="44" spans="1:11" ht="14.25" hidden="1" customHeight="1">
      <c r="A44" s="68" t="s">
        <v>1053</v>
      </c>
      <c r="B44" s="68" t="s">
        <v>1043</v>
      </c>
      <c r="C44" s="68">
        <v>3</v>
      </c>
      <c r="D44" s="69">
        <v>44781</v>
      </c>
      <c r="E44" s="68">
        <v>73</v>
      </c>
      <c r="F44" s="58"/>
      <c r="G44" s="58">
        <v>309588</v>
      </c>
      <c r="H44" s="70" t="s">
        <v>1044</v>
      </c>
      <c r="I44" s="7">
        <f t="shared" ca="1" si="0"/>
        <v>0</v>
      </c>
      <c r="J44" s="71"/>
      <c r="K44" s="7"/>
    </row>
    <row r="45" spans="1:11" ht="14.25" hidden="1" customHeight="1">
      <c r="A45" s="68" t="s">
        <v>1049</v>
      </c>
      <c r="B45" s="68">
        <v>5</v>
      </c>
      <c r="C45" s="68" t="s">
        <v>1043</v>
      </c>
      <c r="D45" s="69">
        <v>44782</v>
      </c>
      <c r="E45" s="68">
        <v>75</v>
      </c>
      <c r="F45" s="58"/>
      <c r="G45" s="58">
        <v>138188</v>
      </c>
      <c r="H45" s="70" t="s">
        <v>1044</v>
      </c>
      <c r="I45" s="7">
        <f t="shared" ca="1" si="0"/>
        <v>0</v>
      </c>
      <c r="J45" s="71"/>
      <c r="K45" s="7"/>
    </row>
    <row r="46" spans="1:11" ht="14.25" hidden="1" customHeight="1">
      <c r="A46" s="68" t="s">
        <v>1048</v>
      </c>
      <c r="B46" s="68" t="s">
        <v>1043</v>
      </c>
      <c r="C46" s="68">
        <v>2</v>
      </c>
      <c r="D46" s="69">
        <v>44783</v>
      </c>
      <c r="E46" s="68">
        <v>78</v>
      </c>
      <c r="F46" s="58"/>
      <c r="G46" s="58">
        <v>186862</v>
      </c>
      <c r="H46" s="70" t="s">
        <v>1044</v>
      </c>
      <c r="I46" s="7">
        <f t="shared" ca="1" si="0"/>
        <v>0</v>
      </c>
      <c r="J46" s="71"/>
      <c r="K46" s="7"/>
    </row>
    <row r="47" spans="1:11" ht="14.25" hidden="1" customHeight="1">
      <c r="A47" s="68" t="s">
        <v>1060</v>
      </c>
      <c r="B47" s="68">
        <v>2</v>
      </c>
      <c r="C47" s="68" t="s">
        <v>1043</v>
      </c>
      <c r="D47" s="69">
        <v>44784</v>
      </c>
      <c r="E47" s="68" t="s">
        <v>1066</v>
      </c>
      <c r="F47" s="58"/>
      <c r="G47" s="58">
        <f>28988*2</f>
        <v>57976</v>
      </c>
      <c r="H47" s="70" t="s">
        <v>1044</v>
      </c>
      <c r="I47" s="7">
        <f t="shared" ca="1" si="0"/>
        <v>0</v>
      </c>
      <c r="J47" s="71"/>
      <c r="K47" s="7"/>
    </row>
    <row r="48" spans="1:11" ht="14.25" hidden="1" customHeight="1">
      <c r="A48" s="68" t="s">
        <v>1061</v>
      </c>
      <c r="B48" s="68">
        <v>2</v>
      </c>
      <c r="C48" s="68" t="s">
        <v>1043</v>
      </c>
      <c r="D48" s="69">
        <v>44784</v>
      </c>
      <c r="E48" s="68">
        <v>79</v>
      </c>
      <c r="F48" s="58"/>
      <c r="G48" s="58">
        <v>132971</v>
      </c>
      <c r="H48" s="70" t="s">
        <v>1044</v>
      </c>
      <c r="I48" s="7">
        <f t="shared" ca="1" si="0"/>
        <v>0</v>
      </c>
      <c r="J48" s="71"/>
      <c r="K48" s="7"/>
    </row>
    <row r="49" spans="1:11" ht="14.25" hidden="1" customHeight="1">
      <c r="A49" s="68" t="s">
        <v>1056</v>
      </c>
      <c r="B49" s="68"/>
      <c r="C49" s="68"/>
      <c r="D49" s="69">
        <v>44789</v>
      </c>
      <c r="E49" s="68" t="s">
        <v>1057</v>
      </c>
      <c r="F49" s="58"/>
      <c r="G49" s="58">
        <v>90000</v>
      </c>
      <c r="H49" s="70" t="s">
        <v>1044</v>
      </c>
      <c r="I49" s="7">
        <f t="shared" ca="1" si="0"/>
        <v>0</v>
      </c>
      <c r="J49" s="71"/>
      <c r="K49" s="7"/>
    </row>
    <row r="50" spans="1:11" ht="14.25" hidden="1" customHeight="1">
      <c r="A50" s="68" t="s">
        <v>1067</v>
      </c>
      <c r="B50" s="68">
        <v>2</v>
      </c>
      <c r="C50" s="68" t="s">
        <v>1043</v>
      </c>
      <c r="D50" s="69">
        <v>44791</v>
      </c>
      <c r="E50" s="68">
        <v>79</v>
      </c>
      <c r="F50" s="58"/>
      <c r="G50" s="58">
        <v>56442</v>
      </c>
      <c r="H50" s="70" t="s">
        <v>1044</v>
      </c>
      <c r="I50" s="7">
        <f t="shared" ca="1" si="0"/>
        <v>0</v>
      </c>
      <c r="J50" s="71"/>
      <c r="K50" s="7"/>
    </row>
    <row r="51" spans="1:11" ht="14.25" hidden="1" customHeight="1">
      <c r="A51" s="68" t="s">
        <v>1067</v>
      </c>
      <c r="B51" s="68">
        <v>1</v>
      </c>
      <c r="C51" s="68"/>
      <c r="D51" s="69">
        <v>44795</v>
      </c>
      <c r="E51" s="68">
        <v>85</v>
      </c>
      <c r="F51" s="58"/>
      <c r="G51" s="58">
        <v>23770</v>
      </c>
      <c r="H51" s="70" t="s">
        <v>1044</v>
      </c>
      <c r="I51" s="7">
        <f t="shared" ca="1" si="0"/>
        <v>0</v>
      </c>
      <c r="J51" s="71"/>
      <c r="K51" s="7"/>
    </row>
    <row r="52" spans="1:11" ht="14.25" hidden="1" customHeight="1">
      <c r="A52" s="68" t="s">
        <v>1048</v>
      </c>
      <c r="B52" s="68" t="s">
        <v>1043</v>
      </c>
      <c r="C52" s="68">
        <v>2</v>
      </c>
      <c r="D52" s="69">
        <v>44795</v>
      </c>
      <c r="E52" s="68">
        <v>83</v>
      </c>
      <c r="F52" s="58"/>
      <c r="G52" s="58">
        <v>186862</v>
      </c>
      <c r="H52" s="70" t="s">
        <v>1044</v>
      </c>
      <c r="I52" s="7">
        <f t="shared" ca="1" si="0"/>
        <v>0</v>
      </c>
      <c r="J52" s="71"/>
      <c r="K52" s="7"/>
    </row>
    <row r="53" spans="1:11" ht="14.25" hidden="1" customHeight="1">
      <c r="A53" s="68" t="s">
        <v>1053</v>
      </c>
      <c r="B53" s="68" t="s">
        <v>1043</v>
      </c>
      <c r="C53" s="68">
        <v>3</v>
      </c>
      <c r="D53" s="69">
        <v>44795</v>
      </c>
      <c r="E53" s="68">
        <v>84</v>
      </c>
      <c r="F53" s="58"/>
      <c r="G53" s="58">
        <v>309588</v>
      </c>
      <c r="H53" s="70" t="s">
        <v>1044</v>
      </c>
      <c r="I53" s="7">
        <f t="shared" ca="1" si="0"/>
        <v>0</v>
      </c>
      <c r="J53" s="71"/>
      <c r="K53" s="7"/>
    </row>
    <row r="54" spans="1:11" ht="14.25" hidden="1" customHeight="1">
      <c r="A54" s="68" t="s">
        <v>1068</v>
      </c>
      <c r="B54" s="68" t="s">
        <v>1043</v>
      </c>
      <c r="C54" s="68">
        <v>6</v>
      </c>
      <c r="D54" s="69">
        <v>44791</v>
      </c>
      <c r="E54" s="68">
        <v>82</v>
      </c>
      <c r="F54" s="58"/>
      <c r="G54" s="58">
        <v>160425</v>
      </c>
      <c r="H54" s="70" t="s">
        <v>1044</v>
      </c>
      <c r="I54" s="7">
        <f t="shared" ca="1" si="0"/>
        <v>0</v>
      </c>
      <c r="J54" s="71"/>
      <c r="K54" s="7"/>
    </row>
    <row r="55" spans="1:11" ht="14.25" hidden="1" customHeight="1">
      <c r="A55" s="68" t="s">
        <v>1056</v>
      </c>
      <c r="B55" s="68"/>
      <c r="C55" s="68"/>
      <c r="D55" s="69">
        <v>44795</v>
      </c>
      <c r="E55" s="68" t="s">
        <v>1057</v>
      </c>
      <c r="F55" s="58"/>
      <c r="G55" s="58">
        <v>54000</v>
      </c>
      <c r="H55" s="70" t="s">
        <v>1044</v>
      </c>
      <c r="I55" s="7">
        <f t="shared" ca="1" si="0"/>
        <v>0</v>
      </c>
      <c r="J55" s="71"/>
      <c r="K55" s="7"/>
    </row>
    <row r="56" spans="1:11" ht="14.25" hidden="1" customHeight="1">
      <c r="A56" s="68" t="s">
        <v>1069</v>
      </c>
      <c r="B56" s="68">
        <v>2</v>
      </c>
      <c r="C56" s="68" t="s">
        <v>1043</v>
      </c>
      <c r="D56" s="69">
        <v>44803</v>
      </c>
      <c r="E56" s="68">
        <v>86</v>
      </c>
      <c r="F56" s="58"/>
      <c r="G56" s="58">
        <v>51254</v>
      </c>
      <c r="H56" s="70" t="s">
        <v>1044</v>
      </c>
      <c r="I56" s="7">
        <f t="shared" ca="1" si="0"/>
        <v>0</v>
      </c>
      <c r="J56" s="71"/>
      <c r="K56" s="7"/>
    </row>
    <row r="57" spans="1:11" ht="14.25" hidden="1" customHeight="1">
      <c r="A57" s="68" t="s">
        <v>1061</v>
      </c>
      <c r="B57" s="68"/>
      <c r="C57" s="68"/>
      <c r="D57" s="69">
        <v>44802</v>
      </c>
      <c r="E57" s="68">
        <v>87</v>
      </c>
      <c r="F57" s="58"/>
      <c r="G57" s="58">
        <v>28988</v>
      </c>
      <c r="H57" s="70" t="s">
        <v>1044</v>
      </c>
      <c r="I57" s="7">
        <f t="shared" ca="1" si="0"/>
        <v>0</v>
      </c>
      <c r="J57" s="71"/>
      <c r="K57" s="7"/>
    </row>
    <row r="58" spans="1:11" ht="14.25" hidden="1" customHeight="1">
      <c r="A58" s="68" t="s">
        <v>1070</v>
      </c>
      <c r="B58" s="68" t="s">
        <v>1043</v>
      </c>
      <c r="C58" s="68">
        <v>2</v>
      </c>
      <c r="D58" s="69">
        <v>44810</v>
      </c>
      <c r="E58" s="68">
        <v>90</v>
      </c>
      <c r="F58" s="58"/>
      <c r="G58" s="58">
        <v>206392</v>
      </c>
      <c r="H58" s="70" t="s">
        <v>1044</v>
      </c>
      <c r="I58" s="7">
        <f t="shared" ca="1" si="0"/>
        <v>0</v>
      </c>
      <c r="J58" s="71"/>
      <c r="K58" s="7"/>
    </row>
    <row r="59" spans="1:11" ht="14.25" hidden="1" customHeight="1">
      <c r="A59" s="68" t="s">
        <v>186</v>
      </c>
      <c r="B59" s="68">
        <v>3</v>
      </c>
      <c r="C59" s="68" t="s">
        <v>1043</v>
      </c>
      <c r="D59" s="69">
        <v>44810</v>
      </c>
      <c r="E59" s="68" t="s">
        <v>1071</v>
      </c>
      <c r="F59" s="58"/>
      <c r="G59" s="58">
        <v>80212</v>
      </c>
      <c r="H59" s="70" t="s">
        <v>1044</v>
      </c>
      <c r="I59" s="7">
        <f t="shared" ca="1" si="0"/>
        <v>0</v>
      </c>
      <c r="J59" s="71"/>
      <c r="K59" s="7"/>
    </row>
    <row r="60" spans="1:11" ht="14.25" hidden="1" customHeight="1">
      <c r="A60" s="68" t="s">
        <v>1067</v>
      </c>
      <c r="B60" s="68">
        <v>2</v>
      </c>
      <c r="C60" s="68" t="s">
        <v>1043</v>
      </c>
      <c r="D60" s="69">
        <v>44810</v>
      </c>
      <c r="E60" s="68">
        <v>95</v>
      </c>
      <c r="F60" s="58"/>
      <c r="G60" s="58">
        <v>51224</v>
      </c>
      <c r="H60" s="70" t="s">
        <v>1044</v>
      </c>
      <c r="I60" s="7">
        <f t="shared" ca="1" si="0"/>
        <v>0</v>
      </c>
      <c r="J60" s="71"/>
      <c r="K60" s="7"/>
    </row>
    <row r="61" spans="1:11" ht="14.25" hidden="1" customHeight="1">
      <c r="A61" s="68" t="s">
        <v>1072</v>
      </c>
      <c r="B61" s="68">
        <v>5</v>
      </c>
      <c r="C61" s="68"/>
      <c r="D61" s="69">
        <v>44810</v>
      </c>
      <c r="E61" s="68">
        <v>89</v>
      </c>
      <c r="F61" s="58"/>
      <c r="G61" s="58">
        <v>131437</v>
      </c>
      <c r="H61" s="70" t="s">
        <v>1044</v>
      </c>
      <c r="I61" s="7">
        <f t="shared" ca="1" si="0"/>
        <v>0</v>
      </c>
      <c r="J61" s="71"/>
      <c r="K61" s="7"/>
    </row>
    <row r="62" spans="1:11" ht="14.25" hidden="1" customHeight="1">
      <c r="A62" s="68" t="s">
        <v>1053</v>
      </c>
      <c r="B62" s="68">
        <v>6</v>
      </c>
      <c r="C62" s="68">
        <v>3</v>
      </c>
      <c r="D62" s="69">
        <v>44810</v>
      </c>
      <c r="E62" s="68">
        <v>92</v>
      </c>
      <c r="F62" s="58"/>
      <c r="G62" s="58">
        <v>483516</v>
      </c>
      <c r="H62" s="70" t="s">
        <v>1044</v>
      </c>
      <c r="I62" s="7">
        <f t="shared" ca="1" si="0"/>
        <v>0</v>
      </c>
      <c r="J62" s="71"/>
      <c r="K62" s="7"/>
    </row>
    <row r="63" spans="1:11" ht="14.25" hidden="1" customHeight="1">
      <c r="A63" s="68" t="s">
        <v>226</v>
      </c>
      <c r="B63" s="68">
        <v>6</v>
      </c>
      <c r="C63" s="68" t="s">
        <v>1043</v>
      </c>
      <c r="D63" s="69">
        <v>44809</v>
      </c>
      <c r="E63" s="68">
        <v>94</v>
      </c>
      <c r="F63" s="58"/>
      <c r="G63" s="58">
        <v>136653</v>
      </c>
      <c r="H63" s="70" t="s">
        <v>1044</v>
      </c>
      <c r="I63" s="7">
        <f t="shared" ca="1" si="0"/>
        <v>0</v>
      </c>
      <c r="J63" s="71"/>
      <c r="K63" s="7"/>
    </row>
    <row r="64" spans="1:11" ht="14.25" hidden="1" customHeight="1">
      <c r="A64" s="68" t="s">
        <v>1048</v>
      </c>
      <c r="B64" s="68" t="s">
        <v>1043</v>
      </c>
      <c r="C64" s="68">
        <v>3</v>
      </c>
      <c r="D64" s="69">
        <v>44810</v>
      </c>
      <c r="E64" s="68">
        <v>93</v>
      </c>
      <c r="F64" s="58"/>
      <c r="G64" s="58">
        <v>309588</v>
      </c>
      <c r="H64" s="70" t="s">
        <v>1044</v>
      </c>
      <c r="I64" s="7">
        <f t="shared" ca="1" si="0"/>
        <v>0</v>
      </c>
      <c r="J64" s="71"/>
      <c r="K64" s="7"/>
    </row>
    <row r="65" spans="1:11" ht="14.25" hidden="1" customHeight="1">
      <c r="A65" s="68" t="s">
        <v>1073</v>
      </c>
      <c r="B65" s="68" t="s">
        <v>1043</v>
      </c>
      <c r="C65" s="68">
        <v>1</v>
      </c>
      <c r="D65" s="69">
        <v>44809</v>
      </c>
      <c r="E65" s="68">
        <v>97</v>
      </c>
      <c r="F65" s="58"/>
      <c r="G65" s="58">
        <v>83666</v>
      </c>
      <c r="H65" s="70" t="s">
        <v>1044</v>
      </c>
      <c r="I65" s="7">
        <f t="shared" ca="1" si="0"/>
        <v>0</v>
      </c>
      <c r="J65" s="71"/>
      <c r="K65" s="7"/>
    </row>
    <row r="66" spans="1:11" ht="14.25" hidden="1" customHeight="1">
      <c r="A66" s="68" t="s">
        <v>1049</v>
      </c>
      <c r="B66" s="68">
        <v>5</v>
      </c>
      <c r="C66" s="68" t="s">
        <v>1043</v>
      </c>
      <c r="D66" s="69">
        <v>44816</v>
      </c>
      <c r="E66" s="68">
        <v>101</v>
      </c>
      <c r="F66" s="58"/>
      <c r="G66" s="58">
        <v>136653</v>
      </c>
      <c r="H66" s="70" t="s">
        <v>1044</v>
      </c>
      <c r="I66" s="7">
        <f t="shared" ca="1" si="0"/>
        <v>0</v>
      </c>
      <c r="J66" s="71"/>
      <c r="K66" s="7"/>
    </row>
    <row r="67" spans="1:11" ht="14.25" hidden="1" customHeight="1">
      <c r="A67" s="68" t="s">
        <v>226</v>
      </c>
      <c r="B67" s="68">
        <v>4</v>
      </c>
      <c r="C67" s="68" t="s">
        <v>1043</v>
      </c>
      <c r="D67" s="69">
        <v>44817</v>
      </c>
      <c r="E67" s="68">
        <v>99</v>
      </c>
      <c r="F67" s="58"/>
      <c r="G67" s="58">
        <v>109200</v>
      </c>
      <c r="H67" s="70" t="s">
        <v>1044</v>
      </c>
      <c r="I67" s="7">
        <f t="shared" ca="1" si="0"/>
        <v>0</v>
      </c>
      <c r="J67" s="71"/>
      <c r="K67" s="7"/>
    </row>
    <row r="68" spans="1:11" ht="14.25" hidden="1" customHeight="1">
      <c r="A68" s="68" t="s">
        <v>143</v>
      </c>
      <c r="B68" s="68">
        <v>2</v>
      </c>
      <c r="C68" s="68" t="s">
        <v>1043</v>
      </c>
      <c r="D68" s="69">
        <v>44817</v>
      </c>
      <c r="E68" s="68">
        <v>98</v>
      </c>
      <c r="F68" s="58"/>
      <c r="G68" s="58">
        <v>57976</v>
      </c>
      <c r="H68" s="70" t="s">
        <v>1044</v>
      </c>
      <c r="I68" s="7">
        <f t="shared" ca="1" si="0"/>
        <v>0</v>
      </c>
      <c r="J68" s="71"/>
      <c r="K68" s="7"/>
    </row>
    <row r="69" spans="1:11" ht="14.25" hidden="1" customHeight="1">
      <c r="A69" s="68" t="s">
        <v>1061</v>
      </c>
      <c r="B69" s="68"/>
      <c r="C69" s="68"/>
      <c r="D69" s="69">
        <v>44817</v>
      </c>
      <c r="E69" s="68">
        <v>100</v>
      </c>
      <c r="F69" s="58"/>
      <c r="G69" s="58">
        <v>184141</v>
      </c>
      <c r="H69" s="70" t="s">
        <v>1044</v>
      </c>
      <c r="I69" s="7">
        <f t="shared" ca="1" si="0"/>
        <v>0</v>
      </c>
      <c r="J69" s="71"/>
      <c r="K69" s="7"/>
    </row>
    <row r="70" spans="1:11" ht="14.25" hidden="1" customHeight="1">
      <c r="A70" s="68" t="s">
        <v>1056</v>
      </c>
      <c r="B70" s="68"/>
      <c r="C70" s="68"/>
      <c r="D70" s="69">
        <v>44817</v>
      </c>
      <c r="E70" s="68" t="s">
        <v>1057</v>
      </c>
      <c r="F70" s="58"/>
      <c r="G70" s="58">
        <v>198000</v>
      </c>
      <c r="H70" s="70" t="s">
        <v>1044</v>
      </c>
      <c r="I70" s="7">
        <f t="shared" ca="1" si="0"/>
        <v>0</v>
      </c>
      <c r="J70" s="71"/>
      <c r="K70" s="7"/>
    </row>
    <row r="71" spans="1:11" ht="14.25" hidden="1" customHeight="1">
      <c r="A71" s="68" t="s">
        <v>1074</v>
      </c>
      <c r="B71" s="68">
        <v>3</v>
      </c>
      <c r="C71" s="68">
        <v>2</v>
      </c>
      <c r="D71" s="69">
        <v>44819</v>
      </c>
      <c r="E71" s="68" t="s">
        <v>1057</v>
      </c>
      <c r="F71" s="58"/>
      <c r="G71" s="58">
        <v>232762</v>
      </c>
      <c r="H71" s="70" t="s">
        <v>1044</v>
      </c>
      <c r="I71" s="7">
        <f t="shared" ca="1" si="0"/>
        <v>0</v>
      </c>
      <c r="J71" s="71"/>
      <c r="K71" s="7"/>
    </row>
    <row r="72" spans="1:11" ht="14.25" hidden="1" customHeight="1">
      <c r="A72" s="68" t="s">
        <v>1053</v>
      </c>
      <c r="B72" s="68">
        <v>2</v>
      </c>
      <c r="C72" s="68">
        <v>3</v>
      </c>
      <c r="D72" s="69">
        <v>44828</v>
      </c>
      <c r="E72" s="68">
        <v>103</v>
      </c>
      <c r="F72" s="58"/>
      <c r="G72" s="58">
        <v>367564</v>
      </c>
      <c r="H72" s="70" t="s">
        <v>1044</v>
      </c>
      <c r="I72" s="7">
        <f t="shared" ca="1" si="0"/>
        <v>0</v>
      </c>
      <c r="J72" s="71"/>
      <c r="K72" s="7"/>
    </row>
    <row r="73" spans="1:11" ht="14.25" hidden="1" customHeight="1">
      <c r="A73" s="68" t="s">
        <v>1075</v>
      </c>
      <c r="B73" s="68">
        <v>5</v>
      </c>
      <c r="C73" s="68" t="s">
        <v>1043</v>
      </c>
      <c r="D73" s="69">
        <v>44828</v>
      </c>
      <c r="E73" s="68">
        <v>107</v>
      </c>
      <c r="F73" s="58"/>
      <c r="G73" s="58">
        <v>132971</v>
      </c>
      <c r="H73" s="70" t="s">
        <v>1044</v>
      </c>
      <c r="I73" s="7">
        <f t="shared" ca="1" si="0"/>
        <v>0</v>
      </c>
      <c r="J73" s="71"/>
      <c r="K73" s="7"/>
    </row>
    <row r="74" spans="1:11" ht="14.25" hidden="1" customHeight="1">
      <c r="A74" s="68" t="s">
        <v>251</v>
      </c>
      <c r="B74" s="68">
        <v>6</v>
      </c>
      <c r="C74" s="68" t="s">
        <v>1043</v>
      </c>
      <c r="D74" s="69">
        <v>44832</v>
      </c>
      <c r="E74" s="68">
        <v>104</v>
      </c>
      <c r="F74" s="58"/>
      <c r="G74" s="58">
        <v>160425</v>
      </c>
      <c r="H74" s="70" t="s">
        <v>1044</v>
      </c>
      <c r="I74" s="7">
        <f t="shared" ca="1" si="0"/>
        <v>0</v>
      </c>
      <c r="J74" s="71"/>
      <c r="K74" s="7"/>
    </row>
    <row r="75" spans="1:11" ht="14.25" hidden="1" customHeight="1">
      <c r="A75" s="68" t="s">
        <v>245</v>
      </c>
      <c r="B75" s="68">
        <v>2.5</v>
      </c>
      <c r="C75" s="68" t="s">
        <v>1043</v>
      </c>
      <c r="D75" s="69">
        <v>44831</v>
      </c>
      <c r="E75" s="68">
        <v>105</v>
      </c>
      <c r="F75" s="58"/>
      <c r="G75" s="58">
        <v>65718</v>
      </c>
      <c r="H75" s="70" t="s">
        <v>1044</v>
      </c>
      <c r="I75" s="7">
        <f t="shared" ca="1" si="0"/>
        <v>0</v>
      </c>
      <c r="J75" s="71"/>
      <c r="K75" s="7"/>
    </row>
    <row r="76" spans="1:11" ht="14.25" hidden="1" customHeight="1">
      <c r="A76" s="68" t="s">
        <v>1076</v>
      </c>
      <c r="B76" s="68">
        <v>4</v>
      </c>
      <c r="C76" s="68" t="s">
        <v>1043</v>
      </c>
      <c r="D76" s="69">
        <v>44830</v>
      </c>
      <c r="E76" s="68">
        <v>106</v>
      </c>
      <c r="F76" s="58"/>
      <c r="G76" s="58">
        <v>115952</v>
      </c>
      <c r="H76" s="70" t="s">
        <v>1044</v>
      </c>
      <c r="I76" s="7">
        <f t="shared" ca="1" si="0"/>
        <v>0</v>
      </c>
      <c r="J76" s="71"/>
      <c r="K76" s="7"/>
    </row>
    <row r="77" spans="1:11" ht="14.25" hidden="1" customHeight="1">
      <c r="A77" s="68" t="s">
        <v>256</v>
      </c>
      <c r="B77" s="68">
        <v>5</v>
      </c>
      <c r="C77" s="68" t="s">
        <v>1043</v>
      </c>
      <c r="D77" s="69">
        <v>44834</v>
      </c>
      <c r="E77" s="68">
        <v>108</v>
      </c>
      <c r="F77" s="58"/>
      <c r="G77" s="58">
        <v>132971</v>
      </c>
      <c r="H77" s="70" t="s">
        <v>1044</v>
      </c>
      <c r="I77" s="7">
        <f t="shared" ca="1" si="0"/>
        <v>0</v>
      </c>
      <c r="J77" s="71"/>
      <c r="K77" s="7"/>
    </row>
    <row r="78" spans="1:11" ht="14.25" hidden="1" customHeight="1">
      <c r="A78" s="68" t="s">
        <v>267</v>
      </c>
      <c r="B78" s="68">
        <v>2</v>
      </c>
      <c r="C78" s="68" t="s">
        <v>1043</v>
      </c>
      <c r="D78" s="69">
        <v>44838</v>
      </c>
      <c r="E78" s="68">
        <v>109</v>
      </c>
      <c r="F78" s="58"/>
      <c r="G78" s="58">
        <v>54600</v>
      </c>
      <c r="H78" s="70" t="s">
        <v>1044</v>
      </c>
      <c r="I78" s="7">
        <f t="shared" ca="1" si="0"/>
        <v>0</v>
      </c>
      <c r="J78" s="71"/>
      <c r="K78" s="7"/>
    </row>
    <row r="79" spans="1:11" ht="14.25" hidden="1" customHeight="1">
      <c r="A79" s="68" t="s">
        <v>261</v>
      </c>
      <c r="B79" s="68">
        <v>5</v>
      </c>
      <c r="C79" s="68" t="s">
        <v>1043</v>
      </c>
      <c r="D79" s="69">
        <v>44838</v>
      </c>
      <c r="E79" s="68">
        <v>117</v>
      </c>
      <c r="F79" s="58"/>
      <c r="G79" s="58">
        <v>132971</v>
      </c>
      <c r="H79" s="70" t="s">
        <v>1044</v>
      </c>
      <c r="I79" s="7">
        <f t="shared" ca="1" si="0"/>
        <v>0</v>
      </c>
      <c r="J79" s="71"/>
      <c r="K79" s="7"/>
    </row>
    <row r="80" spans="1:11" ht="14.25" hidden="1" customHeight="1">
      <c r="A80" s="68" t="s">
        <v>226</v>
      </c>
      <c r="B80" s="68">
        <v>5</v>
      </c>
      <c r="C80" s="68" t="s">
        <v>1043</v>
      </c>
      <c r="D80" s="69">
        <v>44838</v>
      </c>
      <c r="E80" s="68" t="s">
        <v>1043</v>
      </c>
      <c r="F80" s="58"/>
      <c r="G80" s="58">
        <v>275987</v>
      </c>
      <c r="H80" s="70" t="s">
        <v>1044</v>
      </c>
      <c r="I80" s="7">
        <f t="shared" ca="1" si="0"/>
        <v>0</v>
      </c>
      <c r="J80" s="71"/>
      <c r="K80" s="7"/>
    </row>
    <row r="81" spans="1:11" ht="14.25" hidden="1" customHeight="1">
      <c r="A81" s="68" t="s">
        <v>1077</v>
      </c>
      <c r="B81" s="68"/>
      <c r="C81" s="68"/>
      <c r="D81" s="69">
        <v>44834</v>
      </c>
      <c r="E81" s="68">
        <v>115</v>
      </c>
      <c r="F81" s="58"/>
      <c r="G81" s="58">
        <v>415558</v>
      </c>
      <c r="H81" s="70" t="s">
        <v>1044</v>
      </c>
      <c r="I81" s="7">
        <f t="shared" ca="1" si="0"/>
        <v>0</v>
      </c>
      <c r="J81" s="71"/>
      <c r="K81" s="7"/>
    </row>
    <row r="82" spans="1:11" ht="14.25" hidden="1" customHeight="1">
      <c r="A82" s="68" t="s">
        <v>1077</v>
      </c>
      <c r="B82" s="68"/>
      <c r="C82" s="68"/>
      <c r="D82" s="69">
        <v>44837</v>
      </c>
      <c r="E82" s="68">
        <v>116</v>
      </c>
      <c r="F82" s="58"/>
      <c r="G82" s="58">
        <v>206392</v>
      </c>
      <c r="H82" s="70" t="s">
        <v>1044</v>
      </c>
      <c r="I82" s="7">
        <f t="shared" ca="1" si="0"/>
        <v>0</v>
      </c>
      <c r="J82" s="71"/>
      <c r="K82" s="7"/>
    </row>
    <row r="83" spans="1:11" ht="14.25" hidden="1" customHeight="1">
      <c r="A83" s="68" t="s">
        <v>1078</v>
      </c>
      <c r="B83" s="68"/>
      <c r="C83" s="68"/>
      <c r="D83" s="69">
        <v>44840</v>
      </c>
      <c r="E83" s="68">
        <v>114</v>
      </c>
      <c r="F83" s="58"/>
      <c r="G83" s="58">
        <v>560586</v>
      </c>
      <c r="H83" s="70" t="s">
        <v>1044</v>
      </c>
      <c r="I83" s="7">
        <f t="shared" ca="1" si="0"/>
        <v>0</v>
      </c>
      <c r="J83" s="71"/>
      <c r="K83" s="7"/>
    </row>
    <row r="84" spans="1:11" ht="14.25" hidden="1" customHeight="1">
      <c r="A84" s="68" t="s">
        <v>126</v>
      </c>
      <c r="B84" s="68"/>
      <c r="C84" s="68"/>
      <c r="D84" s="69">
        <v>44837</v>
      </c>
      <c r="E84" s="68">
        <v>111</v>
      </c>
      <c r="F84" s="58"/>
      <c r="G84" s="58">
        <v>54907</v>
      </c>
      <c r="H84" s="70" t="s">
        <v>1044</v>
      </c>
      <c r="I84" s="7">
        <f t="shared" ca="1" si="0"/>
        <v>0</v>
      </c>
      <c r="J84" s="71"/>
      <c r="K84" s="7"/>
    </row>
    <row r="85" spans="1:11" ht="14.25" hidden="1" customHeight="1">
      <c r="A85" s="68" t="s">
        <v>1079</v>
      </c>
      <c r="B85" s="68">
        <v>1</v>
      </c>
      <c r="C85" s="68">
        <v>1</v>
      </c>
      <c r="D85" s="69">
        <v>44840</v>
      </c>
      <c r="E85" s="68"/>
      <c r="F85" s="58"/>
      <c r="G85" s="58">
        <v>83666</v>
      </c>
      <c r="H85" s="70" t="s">
        <v>1044</v>
      </c>
      <c r="I85" s="7">
        <f t="shared" ca="1" si="0"/>
        <v>0</v>
      </c>
      <c r="J85" s="71"/>
      <c r="K85" s="7"/>
    </row>
    <row r="86" spans="1:11" ht="14.25" hidden="1" customHeight="1">
      <c r="A86" s="68" t="s">
        <v>143</v>
      </c>
      <c r="B86" s="68">
        <v>4</v>
      </c>
      <c r="C86" s="68" t="s">
        <v>1043</v>
      </c>
      <c r="D86" s="69">
        <v>44845</v>
      </c>
      <c r="E86" s="68">
        <v>120</v>
      </c>
      <c r="F86" s="58"/>
      <c r="G86" s="58">
        <v>109200</v>
      </c>
      <c r="H86" s="70" t="s">
        <v>1044</v>
      </c>
      <c r="I86" s="7">
        <f t="shared" ca="1" si="0"/>
        <v>0</v>
      </c>
      <c r="J86" s="71"/>
      <c r="K86" s="7"/>
    </row>
    <row r="87" spans="1:11" ht="14.25" hidden="1" customHeight="1">
      <c r="A87" s="68" t="s">
        <v>1080</v>
      </c>
      <c r="B87" s="68">
        <v>3</v>
      </c>
      <c r="C87" s="68" t="s">
        <v>1043</v>
      </c>
      <c r="D87" s="69">
        <v>44846</v>
      </c>
      <c r="E87" s="68">
        <v>121</v>
      </c>
      <c r="F87" s="58"/>
      <c r="G87" s="58">
        <v>82053</v>
      </c>
      <c r="H87" s="70" t="s">
        <v>1044</v>
      </c>
      <c r="I87" s="7">
        <f t="shared" ca="1" si="0"/>
        <v>0</v>
      </c>
      <c r="J87" s="71"/>
      <c r="K87" s="7"/>
    </row>
    <row r="88" spans="1:11" ht="14.25" hidden="1" customHeight="1">
      <c r="A88" s="68" t="s">
        <v>1078</v>
      </c>
      <c r="B88" s="68"/>
      <c r="C88" s="68"/>
      <c r="D88" s="69">
        <v>44847</v>
      </c>
      <c r="E88" s="68">
        <v>122</v>
      </c>
      <c r="F88" s="58"/>
      <c r="G88" s="58">
        <v>250998</v>
      </c>
      <c r="H88" s="70" t="s">
        <v>1044</v>
      </c>
      <c r="I88" s="7">
        <f t="shared" ca="1" si="0"/>
        <v>0</v>
      </c>
      <c r="J88" s="71"/>
      <c r="K88" s="7"/>
    </row>
    <row r="89" spans="1:11" ht="14.25" hidden="1" customHeight="1">
      <c r="A89" s="68" t="s">
        <v>1077</v>
      </c>
      <c r="B89" s="68"/>
      <c r="C89" s="68"/>
      <c r="D89" s="69">
        <v>44852</v>
      </c>
      <c r="E89" s="68">
        <v>128</v>
      </c>
      <c r="F89" s="58"/>
      <c r="G89" s="58">
        <v>186862</v>
      </c>
      <c r="H89" s="70" t="s">
        <v>1044</v>
      </c>
      <c r="I89" s="7">
        <f t="shared" ca="1" si="0"/>
        <v>0</v>
      </c>
      <c r="J89" s="71"/>
      <c r="K89" s="7"/>
    </row>
    <row r="90" spans="1:11" ht="14.25" hidden="1" customHeight="1">
      <c r="A90" s="68" t="s">
        <v>1081</v>
      </c>
      <c r="B90" s="68">
        <v>4</v>
      </c>
      <c r="C90" s="68"/>
      <c r="D90" s="69">
        <v>44848</v>
      </c>
      <c r="E90" s="68">
        <v>124</v>
      </c>
      <c r="F90" s="58"/>
      <c r="G90" s="58">
        <v>109200</v>
      </c>
      <c r="H90" s="70" t="s">
        <v>1044</v>
      </c>
      <c r="I90" s="7">
        <f t="shared" ca="1" si="0"/>
        <v>0</v>
      </c>
      <c r="J90" s="71"/>
      <c r="K90" s="7"/>
    </row>
    <row r="91" spans="1:11" ht="14.25" hidden="1" customHeight="1">
      <c r="A91" s="68" t="s">
        <v>245</v>
      </c>
      <c r="B91" s="68">
        <v>3</v>
      </c>
      <c r="C91" s="68"/>
      <c r="D91" s="69">
        <v>44847</v>
      </c>
      <c r="E91" s="68">
        <v>121</v>
      </c>
      <c r="F91" s="58"/>
      <c r="G91" s="58">
        <v>82053</v>
      </c>
      <c r="H91" s="70" t="s">
        <v>1044</v>
      </c>
      <c r="I91" s="7">
        <f t="shared" ca="1" si="0"/>
        <v>0</v>
      </c>
      <c r="J91" s="71"/>
      <c r="K91" s="7"/>
    </row>
    <row r="92" spans="1:11" ht="14.25" hidden="1" customHeight="1">
      <c r="A92" s="68" t="s">
        <v>1082</v>
      </c>
      <c r="B92" s="68">
        <v>6</v>
      </c>
      <c r="C92" s="68"/>
      <c r="D92" s="69">
        <v>44852</v>
      </c>
      <c r="E92" s="68">
        <v>125</v>
      </c>
      <c r="F92" s="58"/>
      <c r="G92" s="58">
        <v>170859</v>
      </c>
      <c r="H92" s="70" t="s">
        <v>1044</v>
      </c>
      <c r="I92" s="7">
        <f t="shared" ca="1" si="0"/>
        <v>0</v>
      </c>
      <c r="J92" s="71"/>
      <c r="K92" s="7"/>
    </row>
    <row r="93" spans="1:11" ht="14.25" hidden="1" customHeight="1">
      <c r="A93" s="68" t="s">
        <v>1079</v>
      </c>
      <c r="B93" s="68"/>
      <c r="C93" s="68">
        <v>2</v>
      </c>
      <c r="D93" s="69">
        <v>44852</v>
      </c>
      <c r="E93" s="68" t="s">
        <v>1083</v>
      </c>
      <c r="F93" s="58"/>
      <c r="G93" s="58">
        <f>83666*2</f>
        <v>167332</v>
      </c>
      <c r="H93" s="70" t="s">
        <v>1044</v>
      </c>
      <c r="I93" s="7">
        <f t="shared" ca="1" si="0"/>
        <v>0</v>
      </c>
      <c r="J93" s="71"/>
      <c r="K93" s="7"/>
    </row>
    <row r="94" spans="1:11" ht="14.25" hidden="1" customHeight="1">
      <c r="A94" s="68" t="s">
        <v>283</v>
      </c>
      <c r="B94" s="68">
        <v>4</v>
      </c>
      <c r="C94" s="68"/>
      <c r="D94" s="69">
        <v>44847</v>
      </c>
      <c r="E94" s="68">
        <v>123</v>
      </c>
      <c r="F94" s="58"/>
      <c r="G94" s="58">
        <v>108433</v>
      </c>
      <c r="H94" s="70" t="s">
        <v>1044</v>
      </c>
      <c r="I94" s="7">
        <f t="shared" ca="1" si="0"/>
        <v>0</v>
      </c>
      <c r="J94" s="71"/>
      <c r="K94" s="7"/>
    </row>
    <row r="95" spans="1:11" ht="14.25" hidden="1" customHeight="1">
      <c r="A95" s="68" t="s">
        <v>1084</v>
      </c>
      <c r="B95" s="68">
        <v>1</v>
      </c>
      <c r="C95" s="68"/>
      <c r="D95" s="69">
        <v>44852</v>
      </c>
      <c r="E95" s="68">
        <v>138</v>
      </c>
      <c r="F95" s="58"/>
      <c r="G95" s="58">
        <v>28988</v>
      </c>
      <c r="H95" s="70" t="s">
        <v>1044</v>
      </c>
      <c r="I95" s="7">
        <f t="shared" ca="1" si="0"/>
        <v>0</v>
      </c>
      <c r="J95" s="71"/>
      <c r="K95" s="7"/>
    </row>
    <row r="96" spans="1:11" ht="14.25" hidden="1" customHeight="1">
      <c r="A96" s="68" t="s">
        <v>1085</v>
      </c>
      <c r="B96" s="68">
        <v>4</v>
      </c>
      <c r="C96" s="68"/>
      <c r="D96" s="69">
        <v>44852</v>
      </c>
      <c r="E96" s="68">
        <v>130</v>
      </c>
      <c r="F96" s="58"/>
      <c r="G96" s="58">
        <v>106186</v>
      </c>
      <c r="H96" s="70" t="s">
        <v>1044</v>
      </c>
      <c r="I96" s="7">
        <f t="shared" ca="1" si="0"/>
        <v>0</v>
      </c>
      <c r="J96" s="71"/>
      <c r="K96" s="7"/>
    </row>
    <row r="97" spans="1:11" ht="14.25" hidden="1" customHeight="1">
      <c r="A97" s="68" t="s">
        <v>226</v>
      </c>
      <c r="B97" s="68">
        <v>10</v>
      </c>
      <c r="C97" s="68" t="s">
        <v>1043</v>
      </c>
      <c r="D97" s="69">
        <v>44858</v>
      </c>
      <c r="E97" s="68">
        <v>133</v>
      </c>
      <c r="F97" s="58"/>
      <c r="G97" s="58">
        <v>309100</v>
      </c>
      <c r="H97" s="70" t="s">
        <v>1044</v>
      </c>
      <c r="I97" s="7">
        <f t="shared" ca="1" si="0"/>
        <v>0</v>
      </c>
      <c r="J97" s="71"/>
      <c r="K97" s="7"/>
    </row>
    <row r="98" spans="1:11" ht="14.25" hidden="1" customHeight="1">
      <c r="A98" s="68" t="s">
        <v>1053</v>
      </c>
      <c r="B98" s="68" t="s">
        <v>1043</v>
      </c>
      <c r="C98" s="68">
        <v>3</v>
      </c>
      <c r="D98" s="69">
        <v>44858</v>
      </c>
      <c r="E98" s="68">
        <v>134</v>
      </c>
      <c r="F98" s="58"/>
      <c r="G98" s="58">
        <v>309588</v>
      </c>
      <c r="H98" s="70" t="s">
        <v>1044</v>
      </c>
      <c r="I98" s="7">
        <f t="shared" ca="1" si="0"/>
        <v>0</v>
      </c>
      <c r="J98" s="71"/>
      <c r="K98" s="7"/>
    </row>
    <row r="99" spans="1:11" ht="14.25" hidden="1" customHeight="1">
      <c r="A99" s="68" t="s">
        <v>1078</v>
      </c>
      <c r="B99" s="68" t="s">
        <v>1043</v>
      </c>
      <c r="C99" s="68">
        <v>3</v>
      </c>
      <c r="D99" s="69">
        <v>44858</v>
      </c>
      <c r="E99" s="68">
        <v>131</v>
      </c>
      <c r="F99" s="58"/>
      <c r="G99" s="58">
        <v>309588</v>
      </c>
      <c r="H99" s="70" t="s">
        <v>1044</v>
      </c>
      <c r="I99" s="7">
        <f t="shared" ca="1" si="0"/>
        <v>0</v>
      </c>
      <c r="J99" s="71"/>
      <c r="K99" s="7"/>
    </row>
    <row r="100" spans="1:11" ht="14.25" hidden="1" customHeight="1">
      <c r="A100" s="68" t="s">
        <v>1072</v>
      </c>
      <c r="B100" s="68">
        <v>5</v>
      </c>
      <c r="C100" s="68" t="s">
        <v>1043</v>
      </c>
      <c r="D100" s="69">
        <v>44855</v>
      </c>
      <c r="E100" s="68">
        <v>127</v>
      </c>
      <c r="F100" s="58"/>
      <c r="G100" s="58">
        <v>136653</v>
      </c>
      <c r="H100" s="70" t="s">
        <v>1044</v>
      </c>
      <c r="I100" s="7">
        <f t="shared" ca="1" si="0"/>
        <v>0</v>
      </c>
      <c r="J100" s="71"/>
      <c r="K100" s="7"/>
    </row>
    <row r="101" spans="1:11" ht="14.25" hidden="1" customHeight="1">
      <c r="A101" s="68" t="s">
        <v>150</v>
      </c>
      <c r="B101" s="68">
        <f>72/12</f>
        <v>6</v>
      </c>
      <c r="C101" s="68" t="s">
        <v>1043</v>
      </c>
      <c r="D101" s="69">
        <v>44859</v>
      </c>
      <c r="E101" s="68">
        <v>135</v>
      </c>
      <c r="F101" s="58"/>
      <c r="G101" s="58">
        <v>157966</v>
      </c>
      <c r="H101" s="70" t="s">
        <v>1044</v>
      </c>
      <c r="I101" s="7">
        <f t="shared" ca="1" si="0"/>
        <v>0</v>
      </c>
      <c r="J101" s="71"/>
      <c r="K101" s="7"/>
    </row>
    <row r="102" spans="1:11" ht="14.25" hidden="1" customHeight="1">
      <c r="A102" s="68" t="s">
        <v>143</v>
      </c>
      <c r="B102" s="68">
        <v>3</v>
      </c>
      <c r="C102" s="68" t="s">
        <v>1043</v>
      </c>
      <c r="D102" s="69">
        <v>44859</v>
      </c>
      <c r="E102" s="68">
        <v>132</v>
      </c>
      <c r="F102" s="58"/>
      <c r="G102" s="58">
        <v>76532</v>
      </c>
      <c r="H102" s="70" t="s">
        <v>1044</v>
      </c>
      <c r="I102" s="7">
        <f t="shared" ca="1" si="0"/>
        <v>0</v>
      </c>
      <c r="J102" s="71"/>
      <c r="K102" s="7"/>
    </row>
    <row r="103" spans="1:11" ht="14.25" hidden="1" customHeight="1">
      <c r="A103" s="68" t="s">
        <v>1077</v>
      </c>
      <c r="B103" s="68"/>
      <c r="C103" s="68"/>
      <c r="D103" s="69">
        <v>44861</v>
      </c>
      <c r="E103" s="68">
        <v>137</v>
      </c>
      <c r="F103" s="58"/>
      <c r="G103" s="58">
        <v>206392</v>
      </c>
      <c r="H103" s="70" t="s">
        <v>1044</v>
      </c>
      <c r="I103" s="7">
        <f t="shared" ca="1" si="0"/>
        <v>0</v>
      </c>
      <c r="J103" s="71"/>
      <c r="K103" s="7"/>
    </row>
    <row r="104" spans="1:11" ht="14.25" hidden="1" customHeight="1">
      <c r="A104" s="14" t="s">
        <v>1086</v>
      </c>
      <c r="B104" s="68">
        <v>3</v>
      </c>
      <c r="C104" s="68"/>
      <c r="D104" s="69">
        <v>44865</v>
      </c>
      <c r="E104" s="68" t="s">
        <v>1043</v>
      </c>
      <c r="F104" s="58"/>
      <c r="G104" s="58"/>
      <c r="H104" s="70" t="s">
        <v>1044</v>
      </c>
      <c r="I104" s="7">
        <f t="shared" ca="1" si="0"/>
        <v>0</v>
      </c>
      <c r="J104" s="71"/>
      <c r="K104" s="7"/>
    </row>
    <row r="105" spans="1:11" ht="14.25" hidden="1" customHeight="1">
      <c r="A105" s="14" t="s">
        <v>261</v>
      </c>
      <c r="B105" s="68">
        <v>4</v>
      </c>
      <c r="C105" s="68"/>
      <c r="D105" s="69">
        <v>44865</v>
      </c>
      <c r="E105" s="68">
        <v>139</v>
      </c>
      <c r="F105" s="58"/>
      <c r="G105" s="58">
        <v>110734</v>
      </c>
      <c r="H105" s="70" t="s">
        <v>1044</v>
      </c>
      <c r="I105" s="7">
        <f t="shared" ca="1" si="0"/>
        <v>0</v>
      </c>
      <c r="J105" s="71"/>
      <c r="K105" s="7"/>
    </row>
    <row r="106" spans="1:11" ht="14.25" hidden="1" customHeight="1">
      <c r="A106" s="14" t="s">
        <v>1087</v>
      </c>
      <c r="B106" s="68">
        <v>6</v>
      </c>
      <c r="C106" s="68"/>
      <c r="D106" s="69">
        <v>44869</v>
      </c>
      <c r="E106" s="68">
        <v>140</v>
      </c>
      <c r="F106" s="58"/>
      <c r="G106" s="58">
        <v>160425</v>
      </c>
      <c r="H106" s="70" t="s">
        <v>1044</v>
      </c>
      <c r="I106" s="7">
        <f t="shared" ca="1" si="0"/>
        <v>0</v>
      </c>
      <c r="J106" s="71"/>
      <c r="K106" s="7"/>
    </row>
    <row r="107" spans="1:11" ht="14.25" hidden="1" customHeight="1">
      <c r="A107" s="14" t="s">
        <v>245</v>
      </c>
      <c r="B107" s="68">
        <v>3</v>
      </c>
      <c r="C107" s="68"/>
      <c r="D107" s="69">
        <v>44865</v>
      </c>
      <c r="E107" s="68">
        <v>142</v>
      </c>
      <c r="F107" s="58"/>
      <c r="G107" s="58">
        <v>76530</v>
      </c>
      <c r="H107" s="70" t="s">
        <v>1044</v>
      </c>
      <c r="I107" s="7">
        <f t="shared" ca="1" si="0"/>
        <v>0</v>
      </c>
      <c r="J107" s="71"/>
      <c r="K107" s="7"/>
    </row>
    <row r="108" spans="1:11" ht="14.25" hidden="1" customHeight="1">
      <c r="A108" s="14" t="s">
        <v>256</v>
      </c>
      <c r="B108" s="68">
        <v>9</v>
      </c>
      <c r="C108" s="68"/>
      <c r="D108" s="69">
        <v>44869</v>
      </c>
      <c r="E108" s="68">
        <v>143</v>
      </c>
      <c r="F108" s="58"/>
      <c r="G108" s="58">
        <v>236954</v>
      </c>
      <c r="H108" s="70" t="s">
        <v>1044</v>
      </c>
      <c r="I108" s="7">
        <f t="shared" ca="1" si="0"/>
        <v>0</v>
      </c>
      <c r="J108" s="71"/>
      <c r="K108" s="7"/>
    </row>
    <row r="109" spans="1:11" ht="14.25" hidden="1" customHeight="1">
      <c r="A109" s="14" t="s">
        <v>1088</v>
      </c>
      <c r="B109" s="68">
        <v>5</v>
      </c>
      <c r="C109" s="68" t="s">
        <v>1043</v>
      </c>
      <c r="D109" s="69">
        <v>44856</v>
      </c>
      <c r="E109" s="68">
        <v>136</v>
      </c>
      <c r="F109" s="58"/>
      <c r="G109" s="58">
        <v>131437</v>
      </c>
      <c r="H109" s="70" t="s">
        <v>1044</v>
      </c>
      <c r="I109" s="7">
        <f t="shared" ca="1" si="0"/>
        <v>0</v>
      </c>
      <c r="J109" s="71"/>
      <c r="K109" s="7"/>
    </row>
    <row r="110" spans="1:11" ht="14.25" hidden="1" customHeight="1">
      <c r="A110" s="14" t="s">
        <v>283</v>
      </c>
      <c r="B110" s="68">
        <v>4</v>
      </c>
      <c r="C110" s="68"/>
      <c r="D110" s="69">
        <v>44869</v>
      </c>
      <c r="E110" s="68">
        <v>148</v>
      </c>
      <c r="F110" s="58"/>
      <c r="G110" s="58">
        <v>106603</v>
      </c>
      <c r="H110" s="70" t="s">
        <v>1044</v>
      </c>
      <c r="I110" s="7">
        <f t="shared" ca="1" si="0"/>
        <v>0</v>
      </c>
      <c r="J110" s="71"/>
      <c r="K110" s="7"/>
    </row>
    <row r="111" spans="1:11" ht="14.25" hidden="1" customHeight="1">
      <c r="A111" s="14" t="s">
        <v>126</v>
      </c>
      <c r="B111" s="68">
        <v>6</v>
      </c>
      <c r="C111" s="68"/>
      <c r="D111" s="69">
        <v>44869</v>
      </c>
      <c r="E111" s="68" t="s">
        <v>1043</v>
      </c>
      <c r="F111" s="58"/>
      <c r="G111" s="58">
        <v>160425</v>
      </c>
      <c r="H111" s="70" t="s">
        <v>1044</v>
      </c>
      <c r="I111" s="7">
        <f t="shared" ca="1" si="0"/>
        <v>0</v>
      </c>
      <c r="J111" s="71"/>
      <c r="K111" s="7"/>
    </row>
    <row r="112" spans="1:11" ht="14.25" hidden="1" customHeight="1">
      <c r="A112" s="14" t="s">
        <v>1079</v>
      </c>
      <c r="B112" s="68"/>
      <c r="C112" s="68">
        <v>2</v>
      </c>
      <c r="D112" s="69">
        <v>44873</v>
      </c>
      <c r="E112" s="68">
        <v>145</v>
      </c>
      <c r="F112" s="58"/>
      <c r="G112" s="58">
        <v>167332</v>
      </c>
      <c r="H112" s="70" t="s">
        <v>1044</v>
      </c>
      <c r="I112" s="7">
        <f t="shared" ca="1" si="0"/>
        <v>0</v>
      </c>
      <c r="J112" s="71"/>
      <c r="K112" s="7"/>
    </row>
    <row r="113" spans="1:11" ht="14.25" hidden="1" customHeight="1">
      <c r="A113" s="14" t="s">
        <v>1056</v>
      </c>
      <c r="B113" s="68"/>
      <c r="C113" s="68"/>
      <c r="D113" s="69"/>
      <c r="E113" s="68" t="s">
        <v>1057</v>
      </c>
      <c r="F113" s="58"/>
      <c r="G113" s="58">
        <v>166000</v>
      </c>
      <c r="H113" s="70" t="s">
        <v>1044</v>
      </c>
      <c r="I113" s="7">
        <f t="shared" ca="1" si="0"/>
        <v>0</v>
      </c>
      <c r="J113" s="71"/>
      <c r="K113" s="7"/>
    </row>
    <row r="114" spans="1:11" ht="14.25" hidden="1" customHeight="1">
      <c r="A114" s="14" t="s">
        <v>1089</v>
      </c>
      <c r="B114" s="68"/>
      <c r="C114" s="68"/>
      <c r="D114" s="69"/>
      <c r="E114" s="68" t="s">
        <v>1043</v>
      </c>
      <c r="F114" s="58"/>
      <c r="G114" s="58" t="s">
        <v>1090</v>
      </c>
      <c r="H114" s="70" t="s">
        <v>1044</v>
      </c>
      <c r="I114" s="7">
        <f t="shared" ca="1" si="0"/>
        <v>0</v>
      </c>
      <c r="J114" s="71"/>
      <c r="K114" s="7"/>
    </row>
    <row r="115" spans="1:11" ht="14.25" hidden="1" customHeight="1">
      <c r="A115" s="14" t="s">
        <v>1053</v>
      </c>
      <c r="B115" s="68">
        <v>10</v>
      </c>
      <c r="C115" s="68"/>
      <c r="D115" s="69">
        <v>44870</v>
      </c>
      <c r="E115" s="68">
        <v>144</v>
      </c>
      <c r="F115" s="58"/>
      <c r="G115" s="58">
        <v>289880</v>
      </c>
      <c r="H115" s="70" t="s">
        <v>1044</v>
      </c>
      <c r="I115" s="7">
        <f t="shared" ca="1" si="0"/>
        <v>0</v>
      </c>
      <c r="J115" s="71"/>
      <c r="K115" s="7"/>
    </row>
    <row r="116" spans="1:11" ht="14.25" hidden="1" customHeight="1">
      <c r="A116" s="68" t="s">
        <v>226</v>
      </c>
      <c r="B116" s="68">
        <v>12</v>
      </c>
      <c r="C116" s="68"/>
      <c r="D116" s="69">
        <v>44879</v>
      </c>
      <c r="E116" s="68">
        <v>150</v>
      </c>
      <c r="F116" s="58"/>
      <c r="G116" s="58">
        <v>320849</v>
      </c>
      <c r="H116" s="70" t="s">
        <v>1044</v>
      </c>
      <c r="I116" s="7">
        <f t="shared" ca="1" si="0"/>
        <v>0</v>
      </c>
      <c r="J116" s="71"/>
      <c r="K116" s="7"/>
    </row>
    <row r="117" spans="1:11" ht="14.25" hidden="1" customHeight="1">
      <c r="A117" s="14" t="s">
        <v>1077</v>
      </c>
      <c r="B117" s="68"/>
      <c r="C117" s="68"/>
      <c r="D117" s="69">
        <v>44880</v>
      </c>
      <c r="E117" s="68">
        <v>151</v>
      </c>
      <c r="F117" s="58"/>
      <c r="G117" s="58">
        <v>206392</v>
      </c>
      <c r="H117" s="70" t="s">
        <v>1044</v>
      </c>
      <c r="I117" s="7">
        <f t="shared" ca="1" si="0"/>
        <v>0</v>
      </c>
      <c r="J117" s="71"/>
      <c r="K117" s="7"/>
    </row>
    <row r="118" spans="1:11" ht="14.25" hidden="1" customHeight="1">
      <c r="A118" s="14" t="s">
        <v>126</v>
      </c>
      <c r="B118" s="68"/>
      <c r="C118" s="68"/>
      <c r="D118" s="69">
        <v>44886</v>
      </c>
      <c r="E118" s="68">
        <v>155</v>
      </c>
      <c r="F118" s="58"/>
      <c r="G118" s="58">
        <v>22580</v>
      </c>
      <c r="H118" s="70" t="s">
        <v>1044</v>
      </c>
      <c r="I118" s="7">
        <f t="shared" ca="1" si="0"/>
        <v>0</v>
      </c>
      <c r="J118" s="71"/>
      <c r="K118" s="7"/>
    </row>
    <row r="119" spans="1:11" ht="14.25" hidden="1" customHeight="1">
      <c r="A119" s="14" t="s">
        <v>1053</v>
      </c>
      <c r="B119" s="68" t="s">
        <v>1043</v>
      </c>
      <c r="C119" s="68">
        <v>3</v>
      </c>
      <c r="D119" s="69">
        <v>44887</v>
      </c>
      <c r="E119" s="68">
        <v>153</v>
      </c>
      <c r="F119" s="58"/>
      <c r="G119" s="58">
        <v>309588</v>
      </c>
      <c r="H119" s="70" t="s">
        <v>1044</v>
      </c>
      <c r="I119" s="7">
        <f t="shared" ca="1" si="0"/>
        <v>0</v>
      </c>
      <c r="J119" s="71"/>
      <c r="K119" s="7"/>
    </row>
    <row r="120" spans="1:11" ht="14.25" hidden="1" customHeight="1">
      <c r="A120" s="14" t="s">
        <v>1070</v>
      </c>
      <c r="B120" s="68" t="s">
        <v>1043</v>
      </c>
      <c r="C120" s="68">
        <v>3</v>
      </c>
      <c r="D120" s="69">
        <v>44887</v>
      </c>
      <c r="E120" s="68">
        <v>154</v>
      </c>
      <c r="F120" s="58"/>
      <c r="G120" s="58">
        <v>309588</v>
      </c>
      <c r="H120" s="70" t="s">
        <v>1044</v>
      </c>
      <c r="I120" s="7">
        <f t="shared" ca="1" si="0"/>
        <v>0</v>
      </c>
      <c r="J120" s="71"/>
      <c r="K120" s="7"/>
    </row>
    <row r="121" spans="1:11" ht="14.25" hidden="1" customHeight="1">
      <c r="A121" s="14" t="s">
        <v>1088</v>
      </c>
      <c r="B121" s="68">
        <v>7</v>
      </c>
      <c r="C121" s="68">
        <v>1</v>
      </c>
      <c r="D121" s="69">
        <v>44889</v>
      </c>
      <c r="E121" s="68">
        <v>155</v>
      </c>
      <c r="F121" s="58"/>
      <c r="G121" s="58">
        <v>189413</v>
      </c>
      <c r="H121" s="70" t="s">
        <v>1044</v>
      </c>
      <c r="I121" s="7">
        <f t="shared" ca="1" si="0"/>
        <v>0</v>
      </c>
      <c r="J121" s="71"/>
      <c r="K121" s="7"/>
    </row>
    <row r="122" spans="1:11" ht="14.25" hidden="1" customHeight="1">
      <c r="A122" s="14" t="s">
        <v>1088</v>
      </c>
      <c r="B122" s="68"/>
      <c r="C122" s="68"/>
      <c r="D122" s="69">
        <v>44889</v>
      </c>
      <c r="E122" s="68">
        <v>156</v>
      </c>
      <c r="F122" s="58"/>
      <c r="G122" s="58">
        <v>103196</v>
      </c>
      <c r="H122" s="70" t="s">
        <v>1044</v>
      </c>
      <c r="I122" s="7">
        <f t="shared" ca="1" si="0"/>
        <v>0</v>
      </c>
      <c r="J122" s="71"/>
      <c r="K122" s="7"/>
    </row>
    <row r="123" spans="1:11" ht="14.25" hidden="1" customHeight="1">
      <c r="A123" s="14" t="s">
        <v>143</v>
      </c>
      <c r="B123" s="68">
        <v>3</v>
      </c>
      <c r="C123" s="68"/>
      <c r="D123" s="69">
        <v>44894</v>
      </c>
      <c r="E123" s="68">
        <v>158</v>
      </c>
      <c r="F123" s="58"/>
      <c r="G123" s="58">
        <v>81746</v>
      </c>
      <c r="H123" s="70" t="s">
        <v>1044</v>
      </c>
      <c r="I123" s="7">
        <f t="shared" ca="1" si="0"/>
        <v>0</v>
      </c>
      <c r="J123" s="71"/>
      <c r="K123" s="7"/>
    </row>
    <row r="124" spans="1:11" ht="14.25" hidden="1" customHeight="1">
      <c r="A124" s="14" t="s">
        <v>251</v>
      </c>
      <c r="B124" s="68">
        <v>12</v>
      </c>
      <c r="C124" s="68"/>
      <c r="D124" s="69">
        <v>44894</v>
      </c>
      <c r="E124" s="68">
        <v>159</v>
      </c>
      <c r="F124" s="58"/>
      <c r="G124" s="58">
        <v>320849</v>
      </c>
      <c r="H124" s="70" t="s">
        <v>1044</v>
      </c>
      <c r="I124" s="7">
        <f t="shared" ca="1" si="0"/>
        <v>0</v>
      </c>
      <c r="J124" s="71"/>
      <c r="K124" s="7"/>
    </row>
    <row r="125" spans="1:11" ht="14.25" customHeight="1">
      <c r="A125" s="14" t="s">
        <v>256</v>
      </c>
      <c r="B125" s="68">
        <v>5</v>
      </c>
      <c r="C125" s="68"/>
      <c r="D125" s="69">
        <v>44894</v>
      </c>
      <c r="E125" s="68">
        <v>160</v>
      </c>
      <c r="F125" s="58"/>
      <c r="G125" s="58">
        <v>138188</v>
      </c>
      <c r="H125" s="70" t="s">
        <v>0</v>
      </c>
      <c r="I125" s="7">
        <f t="shared" ca="1" si="0"/>
        <v>905</v>
      </c>
      <c r="J125" s="71" t="str">
        <f>LOOKUP(A125,'Base Clientes'!B:B,'Base Clientes'!D:D)</f>
        <v>algranoalmacen@gmail.com</v>
      </c>
      <c r="K125" s="7" t="s">
        <v>1091</v>
      </c>
    </row>
    <row r="126" spans="1:11" ht="14.25" hidden="1" customHeight="1">
      <c r="A126" s="14" t="s">
        <v>245</v>
      </c>
      <c r="B126" s="68">
        <v>4</v>
      </c>
      <c r="C126" s="68"/>
      <c r="D126" s="69">
        <v>44900</v>
      </c>
      <c r="E126" s="68">
        <v>161</v>
      </c>
      <c r="F126" s="58"/>
      <c r="G126" s="58">
        <v>107665</v>
      </c>
      <c r="H126" s="70" t="s">
        <v>1044</v>
      </c>
      <c r="I126" s="7">
        <f t="shared" ca="1" si="0"/>
        <v>0</v>
      </c>
      <c r="J126" s="71"/>
      <c r="K126" s="7"/>
    </row>
    <row r="127" spans="1:11" ht="14.25" hidden="1" customHeight="1">
      <c r="A127" s="14" t="s">
        <v>126</v>
      </c>
      <c r="B127" s="68"/>
      <c r="C127" s="68"/>
      <c r="D127" s="69">
        <v>44908</v>
      </c>
      <c r="E127" s="68">
        <v>164</v>
      </c>
      <c r="F127" s="58"/>
      <c r="G127" s="58">
        <v>85430</v>
      </c>
      <c r="H127" s="70" t="s">
        <v>1044</v>
      </c>
      <c r="I127" s="7">
        <f t="shared" ca="1" si="0"/>
        <v>0</v>
      </c>
      <c r="J127" s="71"/>
      <c r="K127" s="7"/>
    </row>
    <row r="128" spans="1:11" ht="14.25" hidden="1" customHeight="1">
      <c r="A128" s="14" t="s">
        <v>1077</v>
      </c>
      <c r="B128" s="68"/>
      <c r="C128" s="68"/>
      <c r="D128" s="69">
        <v>44908</v>
      </c>
      <c r="E128" s="68">
        <v>165</v>
      </c>
      <c r="F128" s="58"/>
      <c r="G128" s="58">
        <v>373724</v>
      </c>
      <c r="H128" s="70" t="s">
        <v>1044</v>
      </c>
      <c r="I128" s="7">
        <f t="shared" ca="1" si="0"/>
        <v>0</v>
      </c>
      <c r="J128" s="71"/>
      <c r="K128" s="7"/>
    </row>
    <row r="129" spans="1:11" ht="14.25" hidden="1" customHeight="1">
      <c r="A129" s="14" t="s">
        <v>126</v>
      </c>
      <c r="B129" s="68"/>
      <c r="C129" s="68"/>
      <c r="D129" s="69">
        <v>44910</v>
      </c>
      <c r="E129" s="68">
        <v>170</v>
      </c>
      <c r="F129" s="58"/>
      <c r="G129" s="58">
        <v>156471</v>
      </c>
      <c r="H129" s="70" t="s">
        <v>1044</v>
      </c>
      <c r="I129" s="7">
        <f t="shared" ca="1" si="0"/>
        <v>0</v>
      </c>
      <c r="J129" s="71"/>
      <c r="K129" s="7"/>
    </row>
    <row r="130" spans="1:11" ht="14.25" hidden="1" customHeight="1">
      <c r="A130" s="14" t="s">
        <v>1092</v>
      </c>
      <c r="B130" s="68"/>
      <c r="C130" s="68"/>
      <c r="D130" s="69">
        <v>44909</v>
      </c>
      <c r="E130" s="68">
        <v>167</v>
      </c>
      <c r="F130" s="58"/>
      <c r="G130" s="58">
        <v>115952</v>
      </c>
      <c r="H130" s="70" t="s">
        <v>1044</v>
      </c>
      <c r="I130" s="7">
        <f t="shared" ca="1" si="0"/>
        <v>0</v>
      </c>
      <c r="J130" s="71"/>
      <c r="K130" s="7"/>
    </row>
    <row r="131" spans="1:11" ht="14.25" hidden="1" customHeight="1">
      <c r="A131" s="14" t="s">
        <v>1093</v>
      </c>
      <c r="B131" s="68"/>
      <c r="C131" s="68"/>
      <c r="D131" s="69">
        <v>44909</v>
      </c>
      <c r="E131" s="73">
        <v>162</v>
      </c>
      <c r="F131" s="58"/>
      <c r="G131" s="58">
        <v>206392</v>
      </c>
      <c r="H131" s="70" t="s">
        <v>1044</v>
      </c>
      <c r="I131" s="7">
        <f t="shared" ca="1" si="0"/>
        <v>0</v>
      </c>
      <c r="J131" s="71"/>
      <c r="K131" s="7"/>
    </row>
    <row r="132" spans="1:11" ht="14.25" hidden="1" customHeight="1">
      <c r="A132" s="14" t="s">
        <v>300</v>
      </c>
      <c r="B132" s="68"/>
      <c r="C132" s="68"/>
      <c r="D132" s="69">
        <v>44909</v>
      </c>
      <c r="E132" s="68">
        <v>166</v>
      </c>
      <c r="F132" s="58"/>
      <c r="G132" s="58">
        <v>112883</v>
      </c>
      <c r="H132" s="70" t="s">
        <v>1044</v>
      </c>
      <c r="I132" s="7">
        <f t="shared" ca="1" si="0"/>
        <v>0</v>
      </c>
      <c r="J132" s="71"/>
      <c r="K132" s="7"/>
    </row>
    <row r="133" spans="1:11" ht="14.25" hidden="1" customHeight="1">
      <c r="A133" s="68" t="s">
        <v>226</v>
      </c>
      <c r="B133" s="68"/>
      <c r="C133" s="68"/>
      <c r="D133" s="69">
        <v>44909</v>
      </c>
      <c r="E133" s="68">
        <v>163</v>
      </c>
      <c r="F133" s="58"/>
      <c r="G133" s="58">
        <v>320849</v>
      </c>
      <c r="H133" s="70" t="s">
        <v>1044</v>
      </c>
      <c r="I133" s="7">
        <f t="shared" ca="1" si="0"/>
        <v>0</v>
      </c>
      <c r="J133" s="71"/>
      <c r="K133" s="7"/>
    </row>
    <row r="134" spans="1:11" ht="14.25" hidden="1" customHeight="1">
      <c r="A134" s="14" t="s">
        <v>1094</v>
      </c>
      <c r="B134" s="68"/>
      <c r="C134" s="68"/>
      <c r="D134" s="69">
        <v>44908</v>
      </c>
      <c r="E134" s="68">
        <v>169</v>
      </c>
      <c r="F134" s="58"/>
      <c r="G134" s="58">
        <v>106957</v>
      </c>
      <c r="H134" s="70" t="s">
        <v>1044</v>
      </c>
      <c r="I134" s="7">
        <f t="shared" ca="1" si="0"/>
        <v>0</v>
      </c>
      <c r="J134" s="71"/>
      <c r="K134" s="7"/>
    </row>
    <row r="135" spans="1:11" ht="14.25" hidden="1" customHeight="1">
      <c r="A135" s="14" t="s">
        <v>1077</v>
      </c>
      <c r="B135" s="68"/>
      <c r="C135" s="68"/>
      <c r="D135" s="69">
        <v>44915</v>
      </c>
      <c r="E135" s="68">
        <v>181</v>
      </c>
      <c r="F135" s="58"/>
      <c r="G135" s="58">
        <v>186862</v>
      </c>
      <c r="H135" s="70" t="s">
        <v>1044</v>
      </c>
      <c r="I135" s="7">
        <f t="shared" ca="1" si="0"/>
        <v>0</v>
      </c>
      <c r="J135" s="71"/>
      <c r="K135" s="7"/>
    </row>
    <row r="136" spans="1:11" ht="14.25" hidden="1" customHeight="1">
      <c r="A136" s="14" t="s">
        <v>1079</v>
      </c>
      <c r="B136" s="68"/>
      <c r="C136" s="68"/>
      <c r="D136" s="69">
        <v>44883</v>
      </c>
      <c r="E136" s="68">
        <v>152</v>
      </c>
      <c r="F136" s="58"/>
      <c r="G136" s="58">
        <v>186862</v>
      </c>
      <c r="H136" s="70" t="s">
        <v>1044</v>
      </c>
      <c r="I136" s="7">
        <f t="shared" ca="1" si="0"/>
        <v>0</v>
      </c>
      <c r="J136" s="71"/>
      <c r="K136" s="7"/>
    </row>
    <row r="137" spans="1:11" ht="14.25" hidden="1" customHeight="1">
      <c r="A137" s="14" t="s">
        <v>1079</v>
      </c>
      <c r="B137" s="68"/>
      <c r="C137" s="68"/>
      <c r="D137" s="69">
        <v>44914</v>
      </c>
      <c r="E137" s="68">
        <v>174</v>
      </c>
      <c r="F137" s="58"/>
      <c r="G137" s="58">
        <v>83666</v>
      </c>
      <c r="H137" s="70" t="s">
        <v>1044</v>
      </c>
      <c r="I137" s="7">
        <f t="shared" ca="1" si="0"/>
        <v>0</v>
      </c>
      <c r="J137" s="71"/>
      <c r="K137" s="7"/>
    </row>
    <row r="138" spans="1:11" ht="14.25" hidden="1" customHeight="1">
      <c r="A138" s="14" t="s">
        <v>323</v>
      </c>
      <c r="B138" s="68"/>
      <c r="C138" s="68"/>
      <c r="D138" s="69">
        <v>44915</v>
      </c>
      <c r="E138" s="68">
        <v>179</v>
      </c>
      <c r="F138" s="58"/>
      <c r="G138" s="58">
        <v>160429</v>
      </c>
      <c r="H138" s="70" t="s">
        <v>1044</v>
      </c>
      <c r="I138" s="7">
        <f t="shared" ca="1" si="0"/>
        <v>0</v>
      </c>
      <c r="J138" s="71"/>
      <c r="K138" s="7"/>
    </row>
    <row r="139" spans="1:11" ht="14.25" hidden="1" customHeight="1">
      <c r="A139" s="14" t="s">
        <v>143</v>
      </c>
      <c r="B139" s="68"/>
      <c r="C139" s="68"/>
      <c r="D139" s="69">
        <v>44916</v>
      </c>
      <c r="E139" s="68">
        <v>177</v>
      </c>
      <c r="F139" s="58"/>
      <c r="G139" s="58">
        <v>51224</v>
      </c>
      <c r="H139" s="70" t="s">
        <v>1044</v>
      </c>
      <c r="I139" s="7">
        <f t="shared" ca="1" si="0"/>
        <v>0</v>
      </c>
      <c r="J139" s="71"/>
      <c r="K139" s="7"/>
    </row>
    <row r="140" spans="1:11" ht="14.25" hidden="1" customHeight="1">
      <c r="A140" s="14" t="s">
        <v>126</v>
      </c>
      <c r="B140" s="68"/>
      <c r="C140" s="68"/>
      <c r="D140" s="69">
        <v>44915</v>
      </c>
      <c r="E140" s="68">
        <v>180</v>
      </c>
      <c r="F140" s="58"/>
      <c r="G140" s="58">
        <v>57976</v>
      </c>
      <c r="H140" s="70" t="s">
        <v>1044</v>
      </c>
      <c r="I140" s="7">
        <f t="shared" ca="1" si="0"/>
        <v>0</v>
      </c>
      <c r="J140" s="71"/>
      <c r="K140" s="7"/>
    </row>
    <row r="141" spans="1:11" ht="14.25" hidden="1" customHeight="1">
      <c r="A141" s="14" t="s">
        <v>1095</v>
      </c>
      <c r="B141" s="68"/>
      <c r="C141" s="68"/>
      <c r="D141" s="69">
        <v>44915</v>
      </c>
      <c r="E141" s="68">
        <v>178</v>
      </c>
      <c r="F141" s="58"/>
      <c r="G141" s="58">
        <v>80212</v>
      </c>
      <c r="H141" s="70" t="s">
        <v>1044</v>
      </c>
      <c r="I141" s="7">
        <f t="shared" ca="1" si="0"/>
        <v>0</v>
      </c>
      <c r="J141" s="71"/>
      <c r="K141" s="7"/>
    </row>
    <row r="142" spans="1:11" ht="14.25" hidden="1" customHeight="1">
      <c r="A142" s="14" t="s">
        <v>283</v>
      </c>
      <c r="B142" s="68"/>
      <c r="C142" s="68"/>
      <c r="D142" s="69">
        <v>44915</v>
      </c>
      <c r="E142" s="68">
        <v>179</v>
      </c>
      <c r="F142" s="58"/>
      <c r="G142" s="58">
        <v>109200</v>
      </c>
      <c r="H142" s="70" t="s">
        <v>1044</v>
      </c>
      <c r="I142" s="7">
        <f t="shared" ca="1" si="0"/>
        <v>0</v>
      </c>
      <c r="J142" s="71"/>
      <c r="K142" s="7"/>
    </row>
    <row r="143" spans="1:11" ht="14.25" hidden="1" customHeight="1">
      <c r="A143" s="14" t="s">
        <v>1096</v>
      </c>
      <c r="B143" s="68"/>
      <c r="C143" s="68"/>
      <c r="D143" s="69">
        <v>44915</v>
      </c>
      <c r="E143" s="68">
        <v>175</v>
      </c>
      <c r="F143" s="58"/>
      <c r="G143" s="58">
        <v>160425</v>
      </c>
      <c r="H143" s="70" t="s">
        <v>1044</v>
      </c>
      <c r="I143" s="7">
        <f t="shared" ca="1" si="0"/>
        <v>0</v>
      </c>
      <c r="J143" s="71"/>
      <c r="K143" s="7"/>
    </row>
    <row r="144" spans="1:11" ht="14.25" hidden="1" customHeight="1">
      <c r="A144" s="14" t="s">
        <v>1097</v>
      </c>
      <c r="B144" s="68"/>
      <c r="C144" s="68"/>
      <c r="D144" s="69">
        <v>44916</v>
      </c>
      <c r="E144" s="68">
        <v>183</v>
      </c>
      <c r="F144" s="58"/>
      <c r="G144" s="58">
        <v>320849</v>
      </c>
      <c r="H144" s="70" t="s">
        <v>1044</v>
      </c>
      <c r="I144" s="7">
        <f t="shared" ca="1" si="0"/>
        <v>0</v>
      </c>
      <c r="J144" s="71"/>
      <c r="K144" s="7"/>
    </row>
    <row r="145" spans="1:11" ht="14.25" hidden="1" customHeight="1">
      <c r="A145" s="14" t="s">
        <v>1098</v>
      </c>
      <c r="B145" s="68"/>
      <c r="C145" s="68"/>
      <c r="D145" s="69">
        <v>44916</v>
      </c>
      <c r="E145" s="68">
        <v>182</v>
      </c>
      <c r="F145" s="58"/>
      <c r="G145" s="58">
        <v>105821</v>
      </c>
      <c r="H145" s="70" t="s">
        <v>1044</v>
      </c>
      <c r="I145" s="7">
        <f t="shared" ca="1" si="0"/>
        <v>0</v>
      </c>
      <c r="J145" s="71"/>
      <c r="K145" s="7"/>
    </row>
    <row r="146" spans="1:11" ht="14.25" hidden="1" customHeight="1">
      <c r="A146" s="14" t="s">
        <v>1099</v>
      </c>
      <c r="B146" s="68"/>
      <c r="C146" s="68"/>
      <c r="D146" s="69">
        <v>44917</v>
      </c>
      <c r="E146" s="73">
        <v>297</v>
      </c>
      <c r="F146" s="58"/>
      <c r="G146" s="58">
        <v>481950</v>
      </c>
      <c r="H146" s="70" t="s">
        <v>1044</v>
      </c>
      <c r="I146" s="7">
        <f t="shared" ca="1" si="0"/>
        <v>0</v>
      </c>
      <c r="J146" s="71"/>
      <c r="K146" s="7"/>
    </row>
    <row r="147" spans="1:11" ht="14.25" hidden="1" customHeight="1">
      <c r="A147" s="14" t="s">
        <v>126</v>
      </c>
      <c r="B147" s="68"/>
      <c r="C147" s="68"/>
      <c r="D147" s="69">
        <v>44921</v>
      </c>
      <c r="E147" s="68">
        <v>186</v>
      </c>
      <c r="F147" s="58"/>
      <c r="G147" s="58">
        <v>259358</v>
      </c>
      <c r="H147" s="70" t="s">
        <v>1044</v>
      </c>
      <c r="I147" s="7">
        <f t="shared" ca="1" si="0"/>
        <v>0</v>
      </c>
      <c r="J147" s="71"/>
      <c r="K147" s="7"/>
    </row>
    <row r="148" spans="1:11" ht="14.25" hidden="1" customHeight="1">
      <c r="A148" s="14" t="s">
        <v>1084</v>
      </c>
      <c r="B148" s="68"/>
      <c r="C148" s="68"/>
      <c r="D148" s="69">
        <v>44917</v>
      </c>
      <c r="E148" s="68">
        <v>185</v>
      </c>
      <c r="F148" s="58"/>
      <c r="G148" s="58">
        <v>28988</v>
      </c>
      <c r="H148" s="70" t="s">
        <v>1044</v>
      </c>
      <c r="I148" s="7">
        <f t="shared" ca="1" si="0"/>
        <v>0</v>
      </c>
      <c r="J148" s="71"/>
      <c r="K148" s="7"/>
    </row>
    <row r="149" spans="1:11" ht="14.25" hidden="1" customHeight="1">
      <c r="A149" s="14" t="s">
        <v>1077</v>
      </c>
      <c r="B149" s="68"/>
      <c r="C149" s="68"/>
      <c r="D149" s="69">
        <v>44564</v>
      </c>
      <c r="E149" s="68">
        <v>192</v>
      </c>
      <c r="F149" s="58"/>
      <c r="G149" s="58">
        <v>103196</v>
      </c>
      <c r="H149" s="70" t="s">
        <v>1044</v>
      </c>
      <c r="I149" s="7">
        <f t="shared" ca="1" si="0"/>
        <v>0</v>
      </c>
      <c r="J149" s="71"/>
      <c r="K149" s="7"/>
    </row>
    <row r="150" spans="1:11" ht="14.25" hidden="1" customHeight="1">
      <c r="A150" s="14" t="s">
        <v>126</v>
      </c>
      <c r="B150" s="68"/>
      <c r="C150" s="68"/>
      <c r="D150" s="69">
        <v>44564</v>
      </c>
      <c r="E150" s="68">
        <v>190</v>
      </c>
      <c r="F150" s="58"/>
      <c r="G150" s="58">
        <v>346154</v>
      </c>
      <c r="H150" s="70" t="s">
        <v>1044</v>
      </c>
      <c r="I150" s="7">
        <f t="shared" ca="1" si="0"/>
        <v>0</v>
      </c>
      <c r="J150" s="71"/>
      <c r="K150" s="7"/>
    </row>
    <row r="151" spans="1:11" ht="14.25" hidden="1" customHeight="1">
      <c r="A151" s="14" t="s">
        <v>1056</v>
      </c>
      <c r="B151" s="68"/>
      <c r="C151" s="68"/>
      <c r="D151" s="69">
        <v>44917</v>
      </c>
      <c r="E151" s="68" t="s">
        <v>1057</v>
      </c>
      <c r="F151" s="58"/>
      <c r="G151" s="58">
        <v>188000</v>
      </c>
      <c r="H151" s="70" t="s">
        <v>1044</v>
      </c>
      <c r="I151" s="7">
        <f t="shared" ca="1" si="0"/>
        <v>0</v>
      </c>
      <c r="J151" s="71"/>
      <c r="K151" s="7"/>
    </row>
    <row r="152" spans="1:11" ht="14.25" hidden="1" customHeight="1">
      <c r="A152" s="14" t="s">
        <v>330</v>
      </c>
      <c r="B152" s="68"/>
      <c r="C152" s="68"/>
      <c r="D152" s="69">
        <v>44922</v>
      </c>
      <c r="E152" s="68" t="s">
        <v>1043</v>
      </c>
      <c r="F152" s="58"/>
      <c r="G152" s="58"/>
      <c r="H152" s="70" t="s">
        <v>1044</v>
      </c>
      <c r="I152" s="7">
        <f t="shared" ca="1" si="0"/>
        <v>0</v>
      </c>
      <c r="J152" s="71"/>
      <c r="K152" s="7"/>
    </row>
    <row r="153" spans="1:11" ht="14.25" hidden="1" customHeight="1">
      <c r="A153" s="14" t="s">
        <v>1067</v>
      </c>
      <c r="B153" s="68"/>
      <c r="C153" s="68"/>
      <c r="D153" s="69">
        <v>44924</v>
      </c>
      <c r="E153" s="68">
        <v>188</v>
      </c>
      <c r="F153" s="58"/>
      <c r="G153" s="58">
        <v>76532</v>
      </c>
      <c r="H153" s="70" t="s">
        <v>1044</v>
      </c>
      <c r="I153" s="7">
        <f t="shared" ca="1" si="0"/>
        <v>0</v>
      </c>
      <c r="J153" s="71"/>
      <c r="K153" s="7"/>
    </row>
    <row r="154" spans="1:11" ht="14.25" hidden="1" customHeight="1">
      <c r="A154" s="14" t="s">
        <v>261</v>
      </c>
      <c r="B154" s="68"/>
      <c r="C154" s="68"/>
      <c r="D154" s="69">
        <v>44929</v>
      </c>
      <c r="E154" s="68">
        <v>189</v>
      </c>
      <c r="F154" s="58"/>
      <c r="G154" s="58">
        <v>160425</v>
      </c>
      <c r="H154" s="70" t="s">
        <v>1100</v>
      </c>
      <c r="I154" s="7">
        <f t="shared" ca="1" si="0"/>
        <v>0</v>
      </c>
      <c r="J154" s="71"/>
      <c r="K154" s="7"/>
    </row>
    <row r="155" spans="1:11" ht="14.25" hidden="1" customHeight="1">
      <c r="A155" s="14" t="s">
        <v>1101</v>
      </c>
      <c r="B155" s="68"/>
      <c r="C155" s="68"/>
      <c r="D155" s="69">
        <v>44924</v>
      </c>
      <c r="E155" s="68" t="s">
        <v>1057</v>
      </c>
      <c r="F155" s="58"/>
      <c r="G155" s="58"/>
      <c r="H155" s="70" t="s">
        <v>1044</v>
      </c>
      <c r="I155" s="7">
        <f t="shared" ca="1" si="0"/>
        <v>0</v>
      </c>
      <c r="J155" s="71"/>
      <c r="K155" s="7"/>
    </row>
    <row r="156" spans="1:11" ht="14.25" hidden="1" customHeight="1">
      <c r="A156" s="14" t="s">
        <v>1078</v>
      </c>
      <c r="B156" s="68"/>
      <c r="C156" s="68"/>
      <c r="D156" s="69">
        <v>44564</v>
      </c>
      <c r="E156" s="68">
        <v>191</v>
      </c>
      <c r="F156" s="58"/>
      <c r="G156" s="58">
        <v>206392</v>
      </c>
      <c r="H156" s="70" t="s">
        <v>1044</v>
      </c>
      <c r="I156" s="7">
        <f t="shared" ca="1" si="0"/>
        <v>0</v>
      </c>
      <c r="J156" s="71"/>
      <c r="K156" s="7"/>
    </row>
    <row r="157" spans="1:11" ht="14.25" hidden="1" customHeight="1">
      <c r="A157" s="14" t="s">
        <v>1056</v>
      </c>
      <c r="B157" s="68"/>
      <c r="C157" s="68"/>
      <c r="D157" s="69">
        <v>44565</v>
      </c>
      <c r="E157" s="68" t="s">
        <v>1057</v>
      </c>
      <c r="F157" s="58"/>
      <c r="G157" s="58">
        <v>188000</v>
      </c>
      <c r="H157" s="70" t="s">
        <v>1044</v>
      </c>
      <c r="I157" s="7">
        <f t="shared" ca="1" si="0"/>
        <v>0</v>
      </c>
      <c r="J157" s="71"/>
      <c r="K157" s="7"/>
    </row>
    <row r="158" spans="1:11" ht="14.25" hidden="1" customHeight="1">
      <c r="A158" s="14" t="s">
        <v>1096</v>
      </c>
      <c r="B158" s="68"/>
      <c r="C158" s="68"/>
      <c r="D158" s="69">
        <v>44915</v>
      </c>
      <c r="E158" s="68">
        <v>175</v>
      </c>
      <c r="F158" s="58"/>
      <c r="G158" s="58">
        <v>160425</v>
      </c>
      <c r="H158" s="70" t="s">
        <v>1044</v>
      </c>
      <c r="I158" s="7">
        <f t="shared" ca="1" si="0"/>
        <v>0</v>
      </c>
      <c r="J158" s="71"/>
      <c r="K158" s="7"/>
    </row>
    <row r="159" spans="1:11" ht="14.25" customHeight="1">
      <c r="A159" s="14" t="s">
        <v>256</v>
      </c>
      <c r="B159" s="68"/>
      <c r="C159" s="68"/>
      <c r="D159" s="69">
        <v>44938</v>
      </c>
      <c r="E159" s="68">
        <v>193</v>
      </c>
      <c r="F159" s="74"/>
      <c r="G159" s="58">
        <v>470247</v>
      </c>
      <c r="H159" s="70" t="s">
        <v>0</v>
      </c>
      <c r="I159" s="7">
        <f t="shared" ca="1" si="0"/>
        <v>861</v>
      </c>
      <c r="J159" s="71" t="str">
        <f>LOOKUP(A159,'Base Clientes'!B:B,'Base Clientes'!D:D)</f>
        <v>algranoalmacen@gmail.com</v>
      </c>
      <c r="K159" s="7"/>
    </row>
    <row r="160" spans="1:11" ht="14.25" hidden="1" customHeight="1">
      <c r="A160" s="14" t="s">
        <v>1102</v>
      </c>
      <c r="B160" s="68"/>
      <c r="C160" s="68"/>
      <c r="D160" s="69">
        <v>44943</v>
      </c>
      <c r="E160" s="68">
        <v>199</v>
      </c>
      <c r="F160" s="58"/>
      <c r="G160" s="58">
        <v>206392</v>
      </c>
      <c r="H160" s="70" t="s">
        <v>1044</v>
      </c>
      <c r="I160" s="7">
        <f t="shared" ca="1" si="0"/>
        <v>0</v>
      </c>
      <c r="J160" s="71"/>
      <c r="K160" s="7"/>
    </row>
    <row r="161" spans="1:11" ht="14.25" hidden="1" customHeight="1">
      <c r="A161" s="14" t="s">
        <v>283</v>
      </c>
      <c r="B161" s="68"/>
      <c r="C161" s="68"/>
      <c r="D161" s="69">
        <v>44943</v>
      </c>
      <c r="E161" s="68">
        <v>194</v>
      </c>
      <c r="F161" s="74"/>
      <c r="G161" s="58">
        <v>110170</v>
      </c>
      <c r="H161" s="70" t="s">
        <v>1044</v>
      </c>
      <c r="I161" s="7">
        <f t="shared" ca="1" si="0"/>
        <v>0</v>
      </c>
      <c r="J161" s="71"/>
      <c r="K161" s="7"/>
    </row>
    <row r="162" spans="1:11" ht="14.25" hidden="1" customHeight="1">
      <c r="A162" s="14" t="s">
        <v>226</v>
      </c>
      <c r="B162" s="68"/>
      <c r="C162" s="68"/>
      <c r="D162" s="69">
        <v>44942</v>
      </c>
      <c r="E162" s="68">
        <v>196</v>
      </c>
      <c r="F162" s="58"/>
      <c r="G162" s="58">
        <v>320849</v>
      </c>
      <c r="H162" s="70" t="s">
        <v>1100</v>
      </c>
      <c r="I162" s="7">
        <f t="shared" ca="1" si="0"/>
        <v>0</v>
      </c>
      <c r="J162" s="71"/>
      <c r="K162" s="7"/>
    </row>
    <row r="163" spans="1:11" ht="14.25" hidden="1" customHeight="1">
      <c r="A163" s="14" t="s">
        <v>1094</v>
      </c>
      <c r="B163" s="68"/>
      <c r="C163" s="68"/>
      <c r="D163" s="69">
        <v>44942</v>
      </c>
      <c r="E163" s="68">
        <v>195</v>
      </c>
      <c r="F163" s="58"/>
      <c r="G163" s="58">
        <v>76532</v>
      </c>
      <c r="H163" s="70" t="s">
        <v>1044</v>
      </c>
      <c r="I163" s="7">
        <f t="shared" ca="1" si="0"/>
        <v>0</v>
      </c>
      <c r="J163" s="71"/>
      <c r="K163" s="7"/>
    </row>
    <row r="164" spans="1:11" ht="14.25" hidden="1" customHeight="1">
      <c r="A164" s="14" t="s">
        <v>1081</v>
      </c>
      <c r="B164" s="68"/>
      <c r="C164" s="68"/>
      <c r="D164" s="69">
        <v>44942</v>
      </c>
      <c r="E164" s="68">
        <v>197</v>
      </c>
      <c r="F164" s="58"/>
      <c r="G164" s="58">
        <v>265942</v>
      </c>
      <c r="H164" s="70" t="s">
        <v>1044</v>
      </c>
      <c r="I164" s="7">
        <f t="shared" ca="1" si="0"/>
        <v>0</v>
      </c>
      <c r="J164" s="71"/>
      <c r="K164" s="7"/>
    </row>
    <row r="165" spans="1:11" ht="14.25" hidden="1" customHeight="1">
      <c r="A165" s="14" t="s">
        <v>330</v>
      </c>
      <c r="B165" s="68"/>
      <c r="C165" s="68"/>
      <c r="D165" s="69">
        <v>44943</v>
      </c>
      <c r="E165" s="68">
        <v>198</v>
      </c>
      <c r="F165" s="58"/>
      <c r="G165" s="58">
        <v>206392</v>
      </c>
      <c r="H165" s="70" t="s">
        <v>1044</v>
      </c>
      <c r="I165" s="7">
        <f t="shared" ca="1" si="0"/>
        <v>0</v>
      </c>
      <c r="J165" s="71"/>
      <c r="K165" s="7"/>
    </row>
    <row r="166" spans="1:11" ht="14.25" hidden="1" customHeight="1">
      <c r="A166" s="14" t="s">
        <v>1079</v>
      </c>
      <c r="B166" s="68"/>
      <c r="C166" s="68"/>
      <c r="D166" s="69">
        <v>44944</v>
      </c>
      <c r="E166" s="68">
        <v>200</v>
      </c>
      <c r="F166" s="58"/>
      <c r="G166" s="58">
        <v>89246</v>
      </c>
      <c r="H166" s="70" t="s">
        <v>1044</v>
      </c>
      <c r="I166" s="7">
        <f t="shared" ca="1" si="0"/>
        <v>0</v>
      </c>
      <c r="J166" s="71"/>
      <c r="K166" s="7"/>
    </row>
    <row r="167" spans="1:11" ht="14.25" hidden="1" customHeight="1">
      <c r="A167" s="14" t="s">
        <v>336</v>
      </c>
      <c r="B167" s="68"/>
      <c r="C167" s="68"/>
      <c r="D167" s="69">
        <v>44944</v>
      </c>
      <c r="E167" s="68">
        <v>201</v>
      </c>
      <c r="F167" s="58"/>
      <c r="G167" s="58">
        <v>47542</v>
      </c>
      <c r="H167" s="70" t="s">
        <v>1100</v>
      </c>
      <c r="I167" s="7">
        <f t="shared" ca="1" si="0"/>
        <v>0</v>
      </c>
      <c r="J167" s="71"/>
      <c r="K167" s="7"/>
    </row>
    <row r="168" spans="1:11" ht="14.25" hidden="1" customHeight="1">
      <c r="A168" s="14" t="s">
        <v>1058</v>
      </c>
      <c r="B168" s="68"/>
      <c r="C168" s="68"/>
      <c r="D168" s="69">
        <v>44945</v>
      </c>
      <c r="E168" s="68">
        <v>203</v>
      </c>
      <c r="F168" s="58"/>
      <c r="G168" s="58">
        <v>79507</v>
      </c>
      <c r="H168" s="70" t="s">
        <v>1044</v>
      </c>
      <c r="I168" s="7">
        <f t="shared" ca="1" si="0"/>
        <v>0</v>
      </c>
      <c r="J168" s="71"/>
      <c r="K168" s="7"/>
    </row>
    <row r="169" spans="1:11" ht="14.25" hidden="1" customHeight="1">
      <c r="A169" s="14" t="s">
        <v>1062</v>
      </c>
      <c r="B169" s="68"/>
      <c r="C169" s="68"/>
      <c r="D169" s="69">
        <v>44950</v>
      </c>
      <c r="E169" s="68">
        <v>202</v>
      </c>
      <c r="F169" s="58"/>
      <c r="G169" s="58">
        <v>142004</v>
      </c>
      <c r="H169" s="70" t="s">
        <v>1044</v>
      </c>
      <c r="I169" s="7">
        <f t="shared" ca="1" si="0"/>
        <v>0</v>
      </c>
      <c r="J169" s="71"/>
      <c r="K169" s="7"/>
    </row>
    <row r="170" spans="1:11" ht="14.25" hidden="1" customHeight="1">
      <c r="A170" s="14" t="s">
        <v>1103</v>
      </c>
      <c r="B170" s="68"/>
      <c r="C170" s="68"/>
      <c r="D170" s="69">
        <v>44956</v>
      </c>
      <c r="E170" s="68">
        <v>205</v>
      </c>
      <c r="F170" s="58"/>
      <c r="G170" s="58">
        <v>101026</v>
      </c>
      <c r="H170" s="70" t="s">
        <v>1044</v>
      </c>
      <c r="I170" s="7">
        <f t="shared" ca="1" si="0"/>
        <v>0</v>
      </c>
      <c r="J170" s="71"/>
      <c r="K170" s="7"/>
    </row>
    <row r="171" spans="1:11" ht="14.25" hidden="1" customHeight="1">
      <c r="A171" s="14" t="s">
        <v>126</v>
      </c>
      <c r="B171" s="68"/>
      <c r="C171" s="68"/>
      <c r="D171" s="69">
        <v>44956</v>
      </c>
      <c r="E171" s="68">
        <v>208</v>
      </c>
      <c r="F171" s="58"/>
      <c r="G171" s="58">
        <v>144488</v>
      </c>
      <c r="H171" s="70" t="s">
        <v>1044</v>
      </c>
      <c r="I171" s="7">
        <f t="shared" ca="1" si="0"/>
        <v>0</v>
      </c>
      <c r="J171" s="71"/>
      <c r="K171" s="7"/>
    </row>
    <row r="172" spans="1:11" ht="14.25" hidden="1" customHeight="1">
      <c r="A172" s="14" t="s">
        <v>126</v>
      </c>
      <c r="B172" s="68"/>
      <c r="C172" s="68"/>
      <c r="D172" s="69">
        <v>44956</v>
      </c>
      <c r="E172" s="68">
        <v>209</v>
      </c>
      <c r="F172" s="58"/>
      <c r="G172" s="58">
        <v>113249</v>
      </c>
      <c r="H172" s="70" t="s">
        <v>1044</v>
      </c>
      <c r="I172" s="7">
        <f t="shared" ca="1" si="0"/>
        <v>0</v>
      </c>
      <c r="J172" s="71"/>
      <c r="K172" s="7"/>
    </row>
    <row r="173" spans="1:11" ht="14.25" hidden="1" customHeight="1">
      <c r="A173" s="14" t="s">
        <v>348</v>
      </c>
      <c r="B173" s="68"/>
      <c r="C173" s="68"/>
      <c r="D173" s="69">
        <v>44956</v>
      </c>
      <c r="E173" s="68">
        <v>206</v>
      </c>
      <c r="F173" s="58"/>
      <c r="G173" s="58">
        <v>202053</v>
      </c>
      <c r="H173" s="70" t="s">
        <v>1044</v>
      </c>
      <c r="I173" s="7">
        <f t="shared" ca="1" si="0"/>
        <v>0</v>
      </c>
      <c r="J173" s="71"/>
      <c r="K173" s="7"/>
    </row>
    <row r="174" spans="1:11" ht="14.25" hidden="1" customHeight="1">
      <c r="A174" s="14" t="s">
        <v>251</v>
      </c>
      <c r="B174" s="68"/>
      <c r="C174" s="68"/>
      <c r="D174" s="69">
        <v>44956</v>
      </c>
      <c r="E174" s="68">
        <v>207</v>
      </c>
      <c r="F174" s="58"/>
      <c r="G174" s="58">
        <v>172029</v>
      </c>
      <c r="H174" s="70" t="s">
        <v>1044</v>
      </c>
      <c r="I174" s="7">
        <f t="shared" ca="1" si="0"/>
        <v>0</v>
      </c>
      <c r="J174" s="71"/>
      <c r="K174" s="7"/>
    </row>
    <row r="175" spans="1:11" ht="14.25" hidden="1" customHeight="1">
      <c r="A175" s="14" t="s">
        <v>143</v>
      </c>
      <c r="B175" s="68"/>
      <c r="C175" s="68"/>
      <c r="D175" s="69">
        <v>44956</v>
      </c>
      <c r="E175" s="68">
        <v>212</v>
      </c>
      <c r="F175" s="58"/>
      <c r="G175" s="58">
        <v>58254</v>
      </c>
      <c r="H175" s="70" t="s">
        <v>1044</v>
      </c>
      <c r="I175" s="7">
        <f t="shared" ca="1" si="0"/>
        <v>0</v>
      </c>
      <c r="J175" s="71"/>
      <c r="K175" s="7"/>
    </row>
    <row r="176" spans="1:11" ht="14.25" hidden="1" customHeight="1">
      <c r="A176" s="14" t="s">
        <v>354</v>
      </c>
      <c r="B176" s="68"/>
      <c r="C176" s="68"/>
      <c r="D176" s="69">
        <v>44956</v>
      </c>
      <c r="E176" s="68">
        <v>211</v>
      </c>
      <c r="F176" s="58"/>
      <c r="G176" s="58">
        <v>117297</v>
      </c>
      <c r="H176" s="70" t="s">
        <v>1044</v>
      </c>
      <c r="I176" s="7">
        <f t="shared" ca="1" si="0"/>
        <v>0</v>
      </c>
      <c r="J176" s="71"/>
      <c r="K176" s="7"/>
    </row>
    <row r="177" spans="1:11" ht="14.25" hidden="1" customHeight="1">
      <c r="A177" s="14" t="s">
        <v>245</v>
      </c>
      <c r="B177" s="68"/>
      <c r="C177" s="68"/>
      <c r="D177" s="69">
        <v>44957</v>
      </c>
      <c r="E177" s="68">
        <v>213</v>
      </c>
      <c r="F177" s="58"/>
      <c r="G177" s="58">
        <v>143336</v>
      </c>
      <c r="H177" s="70" t="s">
        <v>1044</v>
      </c>
      <c r="I177" s="7">
        <f t="shared" ca="1" si="0"/>
        <v>0</v>
      </c>
      <c r="J177" s="71"/>
      <c r="K177" s="7"/>
    </row>
    <row r="178" spans="1:11" ht="14.25" hidden="1" customHeight="1">
      <c r="A178" s="14" t="s">
        <v>256</v>
      </c>
      <c r="B178" s="68"/>
      <c r="C178" s="68"/>
      <c r="D178" s="69">
        <v>44958</v>
      </c>
      <c r="E178" s="68" t="s">
        <v>1104</v>
      </c>
      <c r="F178" s="58"/>
      <c r="G178" s="58">
        <f>206113+22044</f>
        <v>228157</v>
      </c>
      <c r="H178" s="70" t="s">
        <v>1044</v>
      </c>
      <c r="I178" s="7">
        <f t="shared" ca="1" si="0"/>
        <v>0</v>
      </c>
      <c r="J178" s="71"/>
      <c r="K178" s="7"/>
    </row>
    <row r="179" spans="1:11" ht="14.25" hidden="1" customHeight="1">
      <c r="A179" s="14" t="s">
        <v>1079</v>
      </c>
      <c r="B179" s="68"/>
      <c r="C179" s="68"/>
      <c r="D179" s="69">
        <v>44958</v>
      </c>
      <c r="E179" s="68">
        <v>214</v>
      </c>
      <c r="F179" s="58"/>
      <c r="G179" s="58">
        <v>89246</v>
      </c>
      <c r="H179" s="70" t="s">
        <v>1044</v>
      </c>
      <c r="I179" s="7">
        <f t="shared" ca="1" si="0"/>
        <v>0</v>
      </c>
      <c r="J179" s="71"/>
      <c r="K179" s="7"/>
    </row>
    <row r="180" spans="1:11" ht="14.25" hidden="1" customHeight="1">
      <c r="A180" s="14" t="s">
        <v>360</v>
      </c>
      <c r="B180" s="68"/>
      <c r="C180" s="68"/>
      <c r="D180" s="69">
        <v>44958</v>
      </c>
      <c r="E180" s="68">
        <v>216</v>
      </c>
      <c r="F180" s="58"/>
      <c r="G180" s="58">
        <v>202053</v>
      </c>
      <c r="H180" s="70" t="s">
        <v>1044</v>
      </c>
      <c r="I180" s="7">
        <f t="shared" ca="1" si="0"/>
        <v>0</v>
      </c>
      <c r="J180" s="71"/>
      <c r="K180" s="7"/>
    </row>
    <row r="181" spans="1:11" ht="14.25" hidden="1" customHeight="1">
      <c r="A181" s="14" t="s">
        <v>1105</v>
      </c>
      <c r="B181" s="68"/>
      <c r="C181" s="68"/>
      <c r="D181" s="69">
        <v>44958</v>
      </c>
      <c r="E181" s="68">
        <v>215</v>
      </c>
      <c r="F181" s="58"/>
      <c r="G181" s="58">
        <v>109190</v>
      </c>
      <c r="H181" s="70" t="s">
        <v>1100</v>
      </c>
      <c r="I181" s="7">
        <f t="shared" ca="1" si="0"/>
        <v>0</v>
      </c>
      <c r="J181" s="71"/>
      <c r="K181" s="7"/>
    </row>
    <row r="182" spans="1:11" ht="14.25" hidden="1" customHeight="1">
      <c r="A182" s="14" t="s">
        <v>1077</v>
      </c>
      <c r="B182" s="68"/>
      <c r="C182" s="68"/>
      <c r="D182" s="69">
        <v>44964</v>
      </c>
      <c r="E182" s="68">
        <v>227</v>
      </c>
      <c r="F182" s="58"/>
      <c r="G182" s="58">
        <v>220342</v>
      </c>
      <c r="H182" s="70" t="s">
        <v>1044</v>
      </c>
      <c r="I182" s="7">
        <f t="shared" ca="1" si="0"/>
        <v>0</v>
      </c>
      <c r="J182" s="71"/>
      <c r="K182" s="7"/>
    </row>
    <row r="183" spans="1:11" ht="14.25" hidden="1" customHeight="1">
      <c r="A183" s="14" t="s">
        <v>1106</v>
      </c>
      <c r="B183" s="68"/>
      <c r="C183" s="68"/>
      <c r="D183" s="69">
        <v>45022</v>
      </c>
      <c r="E183" s="68" t="s">
        <v>1057</v>
      </c>
      <c r="F183" s="58"/>
      <c r="G183" s="58">
        <v>79611</v>
      </c>
      <c r="H183" s="70" t="s">
        <v>1100</v>
      </c>
      <c r="I183" s="7">
        <f t="shared" ca="1" si="0"/>
        <v>0</v>
      </c>
      <c r="J183" s="71"/>
      <c r="K183" s="7"/>
    </row>
    <row r="184" spans="1:11" ht="14.25" hidden="1" customHeight="1">
      <c r="A184" s="68" t="s">
        <v>226</v>
      </c>
      <c r="B184" s="68"/>
      <c r="C184" s="68"/>
      <c r="D184" s="69">
        <v>44964</v>
      </c>
      <c r="E184" s="68">
        <v>220</v>
      </c>
      <c r="F184" s="58"/>
      <c r="G184" s="58">
        <v>404106</v>
      </c>
      <c r="H184" s="70" t="s">
        <v>1044</v>
      </c>
      <c r="I184" s="7">
        <f t="shared" ca="1" si="0"/>
        <v>0</v>
      </c>
      <c r="J184" s="71"/>
      <c r="K184" s="7"/>
    </row>
    <row r="185" spans="1:11" ht="14.25" hidden="1" customHeight="1">
      <c r="A185" s="14" t="s">
        <v>1107</v>
      </c>
      <c r="B185" s="68"/>
      <c r="C185" s="68"/>
      <c r="D185" s="69">
        <v>44964</v>
      </c>
      <c r="E185" s="68">
        <v>222</v>
      </c>
      <c r="F185" s="58"/>
      <c r="G185" s="58">
        <v>202053</v>
      </c>
      <c r="H185" s="70" t="s">
        <v>1044</v>
      </c>
      <c r="I185" s="7">
        <f t="shared" ca="1" si="0"/>
        <v>0</v>
      </c>
      <c r="J185" s="71"/>
      <c r="K185" s="7"/>
    </row>
    <row r="186" spans="1:11" ht="14.25" hidden="1" customHeight="1">
      <c r="A186" s="14" t="s">
        <v>126</v>
      </c>
      <c r="B186" s="68"/>
      <c r="C186" s="68"/>
      <c r="D186" s="69">
        <v>44964</v>
      </c>
      <c r="E186" s="68">
        <v>226</v>
      </c>
      <c r="F186" s="58"/>
      <c r="G186" s="58">
        <v>111184</v>
      </c>
      <c r="H186" s="70" t="s">
        <v>1044</v>
      </c>
      <c r="I186" s="7">
        <f t="shared" ca="1" si="0"/>
        <v>0</v>
      </c>
      <c r="J186" s="71"/>
      <c r="K186" s="7"/>
    </row>
    <row r="187" spans="1:11" ht="14.25" customHeight="1">
      <c r="A187" s="14" t="s">
        <v>256</v>
      </c>
      <c r="B187" s="68"/>
      <c r="C187" s="68"/>
      <c r="D187" s="69">
        <v>44964</v>
      </c>
      <c r="E187" s="68">
        <v>224</v>
      </c>
      <c r="F187" s="58"/>
      <c r="G187" s="58">
        <v>211972</v>
      </c>
      <c r="H187" s="70" t="s">
        <v>0</v>
      </c>
      <c r="I187" s="7">
        <f t="shared" ca="1" si="0"/>
        <v>835</v>
      </c>
      <c r="J187" s="71" t="str">
        <f>LOOKUP(A187,'Base Clientes'!B:B,'Base Clientes'!D:D)</f>
        <v>algranoalmacen@gmail.com</v>
      </c>
      <c r="K187" s="7"/>
    </row>
    <row r="188" spans="1:11" ht="14.25" hidden="1" customHeight="1">
      <c r="A188" s="14" t="s">
        <v>1043</v>
      </c>
      <c r="B188" s="68"/>
      <c r="C188" s="68"/>
      <c r="D188" s="69">
        <v>44964</v>
      </c>
      <c r="E188" s="68">
        <v>221</v>
      </c>
      <c r="F188" s="58"/>
      <c r="G188" s="58">
        <v>111133</v>
      </c>
      <c r="H188" s="70" t="s">
        <v>1044</v>
      </c>
      <c r="I188" s="7">
        <f t="shared" ca="1" si="0"/>
        <v>0</v>
      </c>
      <c r="J188" s="71"/>
      <c r="K188" s="7"/>
    </row>
    <row r="189" spans="1:11" ht="14.25" hidden="1" customHeight="1">
      <c r="A189" s="14" t="s">
        <v>1108</v>
      </c>
      <c r="B189" s="68"/>
      <c r="C189" s="68"/>
      <c r="D189" s="69">
        <v>44964</v>
      </c>
      <c r="E189" s="68">
        <v>219</v>
      </c>
      <c r="F189" s="58"/>
      <c r="G189" s="58">
        <v>202053</v>
      </c>
      <c r="H189" s="70" t="s">
        <v>1044</v>
      </c>
      <c r="I189" s="7">
        <f t="shared" ca="1" si="0"/>
        <v>0</v>
      </c>
      <c r="J189" s="71"/>
      <c r="K189" s="7"/>
    </row>
    <row r="190" spans="1:11" ht="14.25" hidden="1" customHeight="1">
      <c r="A190" s="14" t="s">
        <v>1062</v>
      </c>
      <c r="B190" s="68"/>
      <c r="C190" s="68"/>
      <c r="D190" s="69">
        <v>44964</v>
      </c>
      <c r="E190" s="68">
        <v>223</v>
      </c>
      <c r="F190" s="58"/>
      <c r="G190" s="58">
        <v>58654</v>
      </c>
      <c r="H190" s="70" t="s">
        <v>1044</v>
      </c>
      <c r="I190" s="7">
        <f t="shared" ca="1" si="0"/>
        <v>0</v>
      </c>
      <c r="J190" s="71"/>
      <c r="K190" s="7"/>
    </row>
    <row r="191" spans="1:11" ht="14.25" hidden="1" customHeight="1">
      <c r="A191" s="14" t="s">
        <v>1049</v>
      </c>
      <c r="B191" s="68"/>
      <c r="C191" s="68"/>
      <c r="D191" s="69">
        <v>44970</v>
      </c>
      <c r="E191" s="68">
        <v>231</v>
      </c>
      <c r="F191" s="58"/>
      <c r="G191" s="58">
        <v>114664</v>
      </c>
      <c r="H191" s="70" t="s">
        <v>1044</v>
      </c>
      <c r="I191" s="7">
        <f t="shared" ca="1" si="0"/>
        <v>0</v>
      </c>
      <c r="J191" s="71"/>
      <c r="K191" s="7"/>
    </row>
    <row r="192" spans="1:11" ht="14.25" hidden="1" customHeight="1">
      <c r="A192" s="14" t="s">
        <v>1109</v>
      </c>
      <c r="B192" s="68"/>
      <c r="C192" s="68"/>
      <c r="D192" s="69">
        <v>44970</v>
      </c>
      <c r="E192" s="68">
        <v>232</v>
      </c>
      <c r="F192" s="58"/>
      <c r="G192" s="58">
        <v>51930</v>
      </c>
      <c r="H192" s="70" t="s">
        <v>1044</v>
      </c>
      <c r="I192" s="7">
        <f t="shared" ca="1" si="0"/>
        <v>0</v>
      </c>
      <c r="J192" s="71"/>
      <c r="K192" s="7"/>
    </row>
    <row r="193" spans="1:25" ht="14.25" hidden="1" customHeight="1">
      <c r="A193" s="14" t="s">
        <v>1079</v>
      </c>
      <c r="B193" s="14"/>
      <c r="C193" s="14"/>
      <c r="D193" s="69">
        <v>44970</v>
      </c>
      <c r="E193" s="14">
        <v>233</v>
      </c>
      <c r="F193" s="58"/>
      <c r="G193" s="58">
        <v>89246</v>
      </c>
      <c r="H193" s="70" t="s">
        <v>1044</v>
      </c>
      <c r="I193" s="7">
        <f t="shared" ca="1" si="0"/>
        <v>0</v>
      </c>
      <c r="J193" s="71"/>
      <c r="K193" s="7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4.25" hidden="1" customHeight="1">
      <c r="A194" s="14" t="s">
        <v>1110</v>
      </c>
      <c r="B194" s="68"/>
      <c r="C194" s="68"/>
      <c r="D194" s="69">
        <v>44970</v>
      </c>
      <c r="E194" s="68">
        <v>234</v>
      </c>
      <c r="F194" s="58"/>
      <c r="G194" s="58">
        <v>202053</v>
      </c>
      <c r="H194" s="70" t="s">
        <v>1044</v>
      </c>
      <c r="I194" s="7">
        <f t="shared" ca="1" si="0"/>
        <v>0</v>
      </c>
      <c r="J194" s="71"/>
      <c r="K194" s="7"/>
    </row>
    <row r="195" spans="1:25" ht="14.25" hidden="1" customHeight="1">
      <c r="A195" s="14" t="s">
        <v>1081</v>
      </c>
      <c r="B195" s="68"/>
      <c r="C195" s="68"/>
      <c r="D195" s="69">
        <v>44971</v>
      </c>
      <c r="E195" s="68">
        <v>235</v>
      </c>
      <c r="F195" s="58"/>
      <c r="G195" s="58">
        <v>27234</v>
      </c>
      <c r="H195" s="70" t="s">
        <v>1044</v>
      </c>
      <c r="I195" s="7">
        <f t="shared" ca="1" si="0"/>
        <v>0</v>
      </c>
      <c r="J195" s="71"/>
      <c r="K195" s="7"/>
    </row>
    <row r="196" spans="1:25" ht="14.25" hidden="1" customHeight="1">
      <c r="A196" s="14" t="s">
        <v>1111</v>
      </c>
      <c r="B196" s="68"/>
      <c r="C196" s="68"/>
      <c r="D196" s="69">
        <v>44973</v>
      </c>
      <c r="E196" s="68">
        <v>236</v>
      </c>
      <c r="F196" s="58"/>
      <c r="G196" s="58">
        <v>118703</v>
      </c>
      <c r="H196" s="70" t="s">
        <v>1044</v>
      </c>
      <c r="I196" s="7">
        <f t="shared" ca="1" si="0"/>
        <v>0</v>
      </c>
      <c r="J196" s="71"/>
      <c r="K196" s="7"/>
    </row>
    <row r="197" spans="1:25" ht="14.25" hidden="1" customHeight="1">
      <c r="A197" s="14" t="s">
        <v>1112</v>
      </c>
      <c r="B197" s="14"/>
      <c r="C197" s="14"/>
      <c r="D197" s="69">
        <v>44973</v>
      </c>
      <c r="E197" s="14">
        <v>237</v>
      </c>
      <c r="F197" s="58"/>
      <c r="G197" s="58">
        <v>178492</v>
      </c>
      <c r="H197" s="70" t="s">
        <v>1044</v>
      </c>
      <c r="I197" s="7">
        <f t="shared" ca="1" si="0"/>
        <v>0</v>
      </c>
      <c r="J197" s="71"/>
      <c r="K197" s="7"/>
    </row>
    <row r="198" spans="1:25" ht="14.25" customHeight="1">
      <c r="A198" s="14" t="s">
        <v>1082</v>
      </c>
      <c r="B198" s="68"/>
      <c r="C198" s="68"/>
      <c r="D198" s="69">
        <v>44973</v>
      </c>
      <c r="E198" s="68">
        <v>238</v>
      </c>
      <c r="F198" s="58"/>
      <c r="G198" s="58">
        <v>220342</v>
      </c>
      <c r="H198" s="70" t="s">
        <v>0</v>
      </c>
      <c r="I198" s="7">
        <f t="shared" ca="1" si="0"/>
        <v>826</v>
      </c>
      <c r="J198" s="71" t="str">
        <f>LOOKUP(A198,'Base Clientes'!B:B,'Base Clientes'!D:D)</f>
        <v>algranoalmacen@gmail.com</v>
      </c>
      <c r="K198" s="7"/>
    </row>
    <row r="199" spans="1:25" ht="14.25" customHeight="1">
      <c r="A199" s="14" t="s">
        <v>1082</v>
      </c>
      <c r="B199" s="68"/>
      <c r="C199" s="68"/>
      <c r="D199" s="69">
        <v>44973</v>
      </c>
      <c r="E199" s="68">
        <v>239</v>
      </c>
      <c r="F199" s="58"/>
      <c r="G199" s="58">
        <v>504357</v>
      </c>
      <c r="H199" s="70" t="s">
        <v>0</v>
      </c>
      <c r="I199" s="7">
        <f t="shared" ca="1" si="0"/>
        <v>826</v>
      </c>
      <c r="J199" s="71" t="str">
        <f>LOOKUP(A199,'Base Clientes'!B:B,'Base Clientes'!D:D)</f>
        <v>algranoalmacen@gmail.com</v>
      </c>
      <c r="K199" s="7"/>
    </row>
    <row r="200" spans="1:25" ht="14.25" hidden="1" customHeight="1">
      <c r="A200" s="14" t="s">
        <v>150</v>
      </c>
      <c r="B200" s="68"/>
      <c r="C200" s="68"/>
      <c r="D200" s="69">
        <v>44973</v>
      </c>
      <c r="E200" s="68">
        <v>240</v>
      </c>
      <c r="F200" s="58"/>
      <c r="G200" s="58">
        <v>182938</v>
      </c>
      <c r="H200" s="70" t="s">
        <v>1044</v>
      </c>
      <c r="I200" s="7">
        <f t="shared" ca="1" si="0"/>
        <v>0</v>
      </c>
      <c r="J200" s="71"/>
      <c r="K200" s="7"/>
    </row>
    <row r="201" spans="1:25" ht="14.25" hidden="1" customHeight="1">
      <c r="A201" s="14" t="s">
        <v>330</v>
      </c>
      <c r="B201" s="68"/>
      <c r="C201" s="68"/>
      <c r="D201" s="69">
        <v>44984</v>
      </c>
      <c r="E201" s="68">
        <v>241</v>
      </c>
      <c r="F201" s="58"/>
      <c r="G201" s="58">
        <v>330513</v>
      </c>
      <c r="H201" s="70" t="s">
        <v>1044</v>
      </c>
      <c r="I201" s="7">
        <f t="shared" ca="1" si="0"/>
        <v>0</v>
      </c>
      <c r="J201" s="71"/>
      <c r="K201" s="7"/>
    </row>
    <row r="202" spans="1:25" ht="14.25" hidden="1" customHeight="1">
      <c r="A202" s="14" t="s">
        <v>348</v>
      </c>
      <c r="B202" s="68"/>
      <c r="C202" s="68"/>
      <c r="D202" s="69">
        <v>44984</v>
      </c>
      <c r="E202" s="68">
        <v>242</v>
      </c>
      <c r="F202" s="58"/>
      <c r="G202" s="58">
        <v>172029</v>
      </c>
      <c r="H202" s="70" t="s">
        <v>1100</v>
      </c>
      <c r="I202" s="7">
        <f t="shared" ca="1" si="0"/>
        <v>0</v>
      </c>
      <c r="J202" s="71"/>
      <c r="K202" s="7"/>
    </row>
    <row r="203" spans="1:25" ht="14.25" hidden="1" customHeight="1">
      <c r="A203" s="14" t="s">
        <v>1113</v>
      </c>
      <c r="B203" s="68"/>
      <c r="C203" s="68"/>
      <c r="D203" s="69">
        <v>44991</v>
      </c>
      <c r="E203" s="68">
        <v>243</v>
      </c>
      <c r="F203" s="58"/>
      <c r="G203" s="58">
        <v>170634</v>
      </c>
      <c r="H203" s="70" t="s">
        <v>1044</v>
      </c>
      <c r="I203" s="7">
        <f t="shared" ca="1" si="0"/>
        <v>0</v>
      </c>
      <c r="J203" s="71"/>
      <c r="K203" s="7"/>
    </row>
    <row r="204" spans="1:25" ht="14.25" hidden="1" customHeight="1">
      <c r="A204" s="14" t="s">
        <v>1114</v>
      </c>
      <c r="B204" s="68"/>
      <c r="C204" s="68"/>
      <c r="D204" s="69">
        <v>44991</v>
      </c>
      <c r="E204" s="68">
        <v>244</v>
      </c>
      <c r="F204" s="58"/>
      <c r="G204" s="58">
        <v>77896</v>
      </c>
      <c r="H204" s="70" t="s">
        <v>1044</v>
      </c>
      <c r="I204" s="7">
        <f t="shared" ca="1" si="0"/>
        <v>0</v>
      </c>
      <c r="J204" s="71"/>
      <c r="K204" s="7"/>
    </row>
    <row r="205" spans="1:25" ht="14.25" hidden="1" customHeight="1">
      <c r="A205" s="14" t="s">
        <v>245</v>
      </c>
      <c r="B205" s="68"/>
      <c r="C205" s="68"/>
      <c r="D205" s="69">
        <v>44991</v>
      </c>
      <c r="E205" s="68">
        <v>245</v>
      </c>
      <c r="F205" s="58"/>
      <c r="G205" s="58">
        <v>132446</v>
      </c>
      <c r="H205" s="70" t="s">
        <v>1044</v>
      </c>
      <c r="I205" s="7">
        <f t="shared" ca="1" si="0"/>
        <v>0</v>
      </c>
      <c r="J205" s="71"/>
      <c r="K205" s="7"/>
    </row>
    <row r="206" spans="1:25" ht="14.25" hidden="1" customHeight="1">
      <c r="A206" s="14" t="s">
        <v>1067</v>
      </c>
      <c r="B206" s="68"/>
      <c r="C206" s="68"/>
      <c r="D206" s="69">
        <v>44991</v>
      </c>
      <c r="E206" s="68">
        <v>246</v>
      </c>
      <c r="F206" s="58"/>
      <c r="G206" s="58">
        <v>84619</v>
      </c>
      <c r="H206" s="70" t="s">
        <v>1044</v>
      </c>
      <c r="I206" s="7">
        <f t="shared" ca="1" si="0"/>
        <v>0</v>
      </c>
      <c r="J206" s="71"/>
      <c r="K206" s="7"/>
    </row>
    <row r="207" spans="1:25" ht="14.25" hidden="1" customHeight="1">
      <c r="A207" s="14" t="s">
        <v>1101</v>
      </c>
      <c r="B207" s="68"/>
      <c r="C207" s="68"/>
      <c r="D207" s="69">
        <v>44991</v>
      </c>
      <c r="E207" s="68" t="s">
        <v>1057</v>
      </c>
      <c r="F207" s="58"/>
      <c r="G207" s="58">
        <v>101611</v>
      </c>
      <c r="H207" s="70" t="s">
        <v>1044</v>
      </c>
      <c r="I207" s="7">
        <f t="shared" ca="1" si="0"/>
        <v>0</v>
      </c>
      <c r="J207" s="71"/>
      <c r="K207" s="7"/>
    </row>
    <row r="208" spans="1:25" ht="14.25" hidden="1" customHeight="1">
      <c r="A208" s="14" t="s">
        <v>1115</v>
      </c>
      <c r="B208" s="7"/>
      <c r="C208" s="7"/>
      <c r="D208" s="69">
        <v>44991</v>
      </c>
      <c r="E208" s="68">
        <v>247</v>
      </c>
      <c r="F208" s="58"/>
      <c r="G208" s="58">
        <v>111808</v>
      </c>
      <c r="H208" s="70" t="s">
        <v>1044</v>
      </c>
      <c r="I208" s="7">
        <f t="shared" ca="1" si="0"/>
        <v>0</v>
      </c>
      <c r="J208" s="71"/>
      <c r="K208" s="7"/>
    </row>
    <row r="209" spans="1:11" ht="14.25" hidden="1" customHeight="1">
      <c r="A209" s="14" t="s">
        <v>126</v>
      </c>
      <c r="B209" s="7"/>
      <c r="C209" s="7"/>
      <c r="D209" s="69">
        <v>44994</v>
      </c>
      <c r="E209" s="68">
        <v>250</v>
      </c>
      <c r="F209" s="58"/>
      <c r="G209" s="58">
        <v>222716</v>
      </c>
      <c r="H209" s="70" t="s">
        <v>1044</v>
      </c>
      <c r="I209" s="7">
        <f t="shared" ca="1" si="0"/>
        <v>0</v>
      </c>
      <c r="J209" s="71"/>
      <c r="K209" s="7"/>
    </row>
    <row r="210" spans="1:11" ht="14.25" hidden="1" customHeight="1">
      <c r="A210" s="14" t="s">
        <v>1077</v>
      </c>
      <c r="B210" s="7"/>
      <c r="C210" s="7"/>
      <c r="D210" s="69">
        <v>44994</v>
      </c>
      <c r="E210" s="68">
        <v>251</v>
      </c>
      <c r="F210" s="58"/>
      <c r="G210" s="58">
        <v>184072</v>
      </c>
      <c r="H210" s="70" t="s">
        <v>1044</v>
      </c>
      <c r="I210" s="7">
        <f t="shared" ca="1" si="0"/>
        <v>0</v>
      </c>
      <c r="J210" s="71"/>
      <c r="K210" s="7"/>
    </row>
    <row r="211" spans="1:11" ht="14.25" hidden="1" customHeight="1">
      <c r="A211" s="14" t="s">
        <v>1088</v>
      </c>
      <c r="B211" s="7"/>
      <c r="C211" s="7"/>
      <c r="D211" s="69">
        <v>44994</v>
      </c>
      <c r="E211" s="68">
        <v>248</v>
      </c>
      <c r="F211" s="58"/>
      <c r="G211" s="58">
        <v>144794</v>
      </c>
      <c r="H211" s="70" t="s">
        <v>1044</v>
      </c>
      <c r="I211" s="7">
        <f t="shared" ca="1" si="0"/>
        <v>0</v>
      </c>
      <c r="J211" s="71"/>
      <c r="K211" s="7"/>
    </row>
    <row r="212" spans="1:11" ht="14.25" hidden="1" customHeight="1">
      <c r="A212" s="14" t="s">
        <v>1116</v>
      </c>
      <c r="B212" s="7"/>
      <c r="C212" s="7"/>
      <c r="D212" s="69">
        <v>44994</v>
      </c>
      <c r="E212" s="68">
        <v>249</v>
      </c>
      <c r="F212" s="58"/>
      <c r="G212" s="58">
        <v>173486</v>
      </c>
      <c r="H212" s="70" t="s">
        <v>1044</v>
      </c>
      <c r="I212" s="7">
        <f t="shared" ca="1" si="0"/>
        <v>0</v>
      </c>
      <c r="J212" s="71"/>
      <c r="K212" s="7"/>
    </row>
    <row r="213" spans="1:11" ht="14.25" hidden="1" customHeight="1">
      <c r="A213" s="14" t="s">
        <v>1056</v>
      </c>
      <c r="B213" s="7"/>
      <c r="C213" s="7"/>
      <c r="D213" s="69">
        <v>44994</v>
      </c>
      <c r="E213" s="68" t="s">
        <v>1057</v>
      </c>
      <c r="F213" s="58"/>
      <c r="G213" s="58">
        <v>320000</v>
      </c>
      <c r="H213" s="70" t="s">
        <v>1044</v>
      </c>
      <c r="I213" s="7">
        <f t="shared" ca="1" si="0"/>
        <v>0</v>
      </c>
      <c r="J213" s="71"/>
      <c r="K213" s="7"/>
    </row>
    <row r="214" spans="1:11" ht="14.25" hidden="1" customHeight="1">
      <c r="A214" s="14" t="s">
        <v>1117</v>
      </c>
      <c r="B214" s="7"/>
      <c r="C214" s="7"/>
      <c r="D214" s="69">
        <v>45000</v>
      </c>
      <c r="E214" s="68">
        <v>252</v>
      </c>
      <c r="F214" s="58"/>
      <c r="G214" s="58">
        <v>88060</v>
      </c>
      <c r="H214" s="70" t="s">
        <v>1044</v>
      </c>
      <c r="I214" s="7">
        <f t="shared" ca="1" si="0"/>
        <v>0</v>
      </c>
      <c r="J214" s="71"/>
      <c r="K214" s="7"/>
    </row>
    <row r="215" spans="1:11" ht="14.25" hidden="1" customHeight="1">
      <c r="A215" s="14" t="s">
        <v>1062</v>
      </c>
      <c r="B215" s="7"/>
      <c r="C215" s="7"/>
      <c r="D215" s="69">
        <v>45000</v>
      </c>
      <c r="E215" s="68">
        <v>253</v>
      </c>
      <c r="F215" s="58"/>
      <c r="G215" s="58">
        <v>81955</v>
      </c>
      <c r="H215" s="70" t="s">
        <v>1044</v>
      </c>
      <c r="I215" s="7">
        <f t="shared" ca="1" si="0"/>
        <v>0</v>
      </c>
      <c r="J215" s="71"/>
      <c r="K215" s="7"/>
    </row>
    <row r="216" spans="1:11" ht="14.25" hidden="1" customHeight="1">
      <c r="A216" s="14" t="s">
        <v>342</v>
      </c>
      <c r="B216" s="7"/>
      <c r="C216" s="7"/>
      <c r="D216" s="69">
        <v>45000</v>
      </c>
      <c r="E216" s="68">
        <v>254</v>
      </c>
      <c r="F216" s="58"/>
      <c r="G216" s="58">
        <v>199803</v>
      </c>
      <c r="H216" s="70" t="s">
        <v>1044</v>
      </c>
      <c r="I216" s="7">
        <f t="shared" ca="1" si="0"/>
        <v>0</v>
      </c>
      <c r="J216" s="71"/>
      <c r="K216" s="7"/>
    </row>
    <row r="217" spans="1:11" ht="14.25" hidden="1" customHeight="1">
      <c r="A217" s="14" t="s">
        <v>283</v>
      </c>
      <c r="B217" s="7"/>
      <c r="C217" s="7"/>
      <c r="D217" s="69">
        <v>45005</v>
      </c>
      <c r="E217" s="68">
        <v>255</v>
      </c>
      <c r="F217" s="58"/>
      <c r="G217" s="58">
        <v>118829</v>
      </c>
      <c r="H217" s="70" t="s">
        <v>1044</v>
      </c>
      <c r="I217" s="7">
        <f t="shared" ca="1" si="0"/>
        <v>0</v>
      </c>
      <c r="J217" s="71"/>
      <c r="K217" s="7"/>
    </row>
    <row r="218" spans="1:11" ht="14.25" hidden="1" customHeight="1">
      <c r="A218" s="68" t="s">
        <v>226</v>
      </c>
      <c r="B218" s="7"/>
      <c r="C218" s="7"/>
      <c r="D218" s="69">
        <v>45005</v>
      </c>
      <c r="E218" s="68">
        <v>256</v>
      </c>
      <c r="F218" s="58"/>
      <c r="G218" s="58">
        <v>199083</v>
      </c>
      <c r="H218" s="70" t="s">
        <v>1044</v>
      </c>
      <c r="I218" s="7">
        <f t="shared" ca="1" si="0"/>
        <v>0</v>
      </c>
      <c r="J218" s="71"/>
      <c r="K218" s="7"/>
    </row>
    <row r="219" spans="1:11" ht="14.25" hidden="1" customHeight="1">
      <c r="A219" s="14" t="s">
        <v>330</v>
      </c>
      <c r="B219" s="7"/>
      <c r="C219" s="7"/>
      <c r="D219" s="69">
        <v>45005</v>
      </c>
      <c r="E219" s="68">
        <v>257</v>
      </c>
      <c r="F219" s="58"/>
      <c r="G219" s="58">
        <v>220342</v>
      </c>
      <c r="H219" s="70" t="s">
        <v>1044</v>
      </c>
      <c r="I219" s="7">
        <f t="shared" ca="1" si="0"/>
        <v>0</v>
      </c>
      <c r="J219" s="71"/>
      <c r="K219" s="7"/>
    </row>
    <row r="220" spans="1:11" ht="14.25" hidden="1" customHeight="1">
      <c r="A220" s="14" t="s">
        <v>1067</v>
      </c>
      <c r="B220" s="7"/>
      <c r="C220" s="7"/>
      <c r="D220" s="69">
        <v>45013</v>
      </c>
      <c r="E220" s="68">
        <v>258</v>
      </c>
      <c r="F220" s="58"/>
      <c r="G220" s="58">
        <v>114644</v>
      </c>
      <c r="H220" s="70" t="s">
        <v>1044</v>
      </c>
      <c r="I220" s="7">
        <f t="shared" ca="1" si="0"/>
        <v>0</v>
      </c>
      <c r="J220" s="71"/>
      <c r="K220" s="7"/>
    </row>
    <row r="221" spans="1:11" ht="14.25" hidden="1" customHeight="1">
      <c r="A221" s="14" t="s">
        <v>251</v>
      </c>
      <c r="B221" s="7"/>
      <c r="C221" s="7"/>
      <c r="D221" s="69">
        <v>45015</v>
      </c>
      <c r="E221" s="68">
        <v>259</v>
      </c>
      <c r="F221" s="58"/>
      <c r="G221" s="58">
        <v>210520</v>
      </c>
      <c r="H221" s="70" t="s">
        <v>1044</v>
      </c>
      <c r="I221" s="7">
        <f t="shared" ca="1" si="0"/>
        <v>0</v>
      </c>
      <c r="J221" s="71"/>
      <c r="K221" s="7"/>
    </row>
    <row r="222" spans="1:11" ht="14.25" hidden="1" customHeight="1">
      <c r="A222" s="18" t="s">
        <v>371</v>
      </c>
      <c r="B222" s="7"/>
      <c r="C222" s="7"/>
      <c r="D222" s="69">
        <v>45015</v>
      </c>
      <c r="E222" s="68">
        <v>260</v>
      </c>
      <c r="F222" s="58"/>
      <c r="G222" s="58">
        <v>210520</v>
      </c>
      <c r="H222" s="70" t="s">
        <v>1044</v>
      </c>
      <c r="I222" s="7">
        <f t="shared" ca="1" si="0"/>
        <v>0</v>
      </c>
      <c r="J222" s="71"/>
      <c r="K222" s="7"/>
    </row>
    <row r="223" spans="1:11" ht="14.25" hidden="1" customHeight="1">
      <c r="A223" s="18" t="s">
        <v>1113</v>
      </c>
      <c r="B223" s="7"/>
      <c r="C223" s="7"/>
      <c r="D223" s="69">
        <v>45019</v>
      </c>
      <c r="E223" s="68">
        <v>261</v>
      </c>
      <c r="F223" s="58"/>
      <c r="G223" s="58">
        <v>142004</v>
      </c>
      <c r="H223" s="70" t="s">
        <v>1044</v>
      </c>
      <c r="I223" s="7">
        <f t="shared" ca="1" si="0"/>
        <v>0</v>
      </c>
      <c r="J223" s="71"/>
      <c r="K223" s="7"/>
    </row>
    <row r="224" spans="1:11" ht="14.25" hidden="1" customHeight="1">
      <c r="A224" s="18" t="s">
        <v>1118</v>
      </c>
      <c r="B224" s="7"/>
      <c r="C224" s="7"/>
      <c r="D224" s="69">
        <v>45019</v>
      </c>
      <c r="E224" s="68">
        <v>262</v>
      </c>
      <c r="F224" s="58"/>
      <c r="G224" s="58">
        <v>169058</v>
      </c>
      <c r="H224" s="70" t="s">
        <v>1100</v>
      </c>
      <c r="I224" s="7">
        <f t="shared" ca="1" si="0"/>
        <v>0</v>
      </c>
      <c r="J224" s="71"/>
      <c r="K224" s="7"/>
    </row>
    <row r="225" spans="1:11" ht="14.25" hidden="1" customHeight="1">
      <c r="A225" s="18" t="s">
        <v>126</v>
      </c>
      <c r="B225" s="7"/>
      <c r="C225" s="7"/>
      <c r="D225" s="69">
        <v>45019</v>
      </c>
      <c r="E225" s="68">
        <v>263</v>
      </c>
      <c r="F225" s="58"/>
      <c r="G225" s="58">
        <v>62839</v>
      </c>
      <c r="H225" s="70" t="s">
        <v>1044</v>
      </c>
      <c r="I225" s="7">
        <f t="shared" ca="1" si="0"/>
        <v>0</v>
      </c>
      <c r="J225" s="71"/>
      <c r="K225" s="7"/>
    </row>
    <row r="226" spans="1:11" ht="14.25" hidden="1" customHeight="1">
      <c r="A226" s="18" t="s">
        <v>377</v>
      </c>
      <c r="B226" s="7"/>
      <c r="C226" s="7"/>
      <c r="D226" s="69">
        <v>45019</v>
      </c>
      <c r="E226" s="68">
        <v>264</v>
      </c>
      <c r="F226" s="58"/>
      <c r="G226" s="58">
        <v>55989</v>
      </c>
      <c r="H226" s="70" t="s">
        <v>1044</v>
      </c>
      <c r="I226" s="7">
        <f t="shared" ca="1" si="0"/>
        <v>0</v>
      </c>
      <c r="J226" s="71"/>
      <c r="K226" s="7"/>
    </row>
    <row r="227" spans="1:11" ht="14.25" hidden="1" customHeight="1">
      <c r="A227" s="18" t="s">
        <v>1119</v>
      </c>
      <c r="B227" s="7"/>
      <c r="C227" s="7"/>
      <c r="D227" s="69">
        <v>45019</v>
      </c>
      <c r="E227" s="68">
        <v>265</v>
      </c>
      <c r="F227" s="58"/>
      <c r="G227" s="58">
        <v>91468</v>
      </c>
      <c r="H227" s="70" t="s">
        <v>1044</v>
      </c>
      <c r="I227" s="7">
        <f t="shared" ca="1" si="0"/>
        <v>0</v>
      </c>
      <c r="J227" s="71"/>
      <c r="K227" s="7"/>
    </row>
    <row r="228" spans="1:11" ht="14.25" hidden="1" customHeight="1">
      <c r="A228" s="18" t="s">
        <v>1119</v>
      </c>
      <c r="B228" s="7"/>
      <c r="C228" s="7"/>
      <c r="D228" s="69">
        <v>45019</v>
      </c>
      <c r="E228" s="68">
        <v>266</v>
      </c>
      <c r="F228" s="58"/>
      <c r="G228" s="58">
        <v>131095</v>
      </c>
      <c r="H228" s="70" t="s">
        <v>1044</v>
      </c>
      <c r="I228" s="7">
        <f t="shared" ca="1" si="0"/>
        <v>0</v>
      </c>
      <c r="J228" s="71"/>
      <c r="K228" s="7"/>
    </row>
    <row r="229" spans="1:11" ht="14.25" hidden="1" customHeight="1">
      <c r="A229" s="18" t="s">
        <v>1108</v>
      </c>
      <c r="B229" s="7"/>
      <c r="C229" s="7"/>
      <c r="D229" s="69">
        <v>45019</v>
      </c>
      <c r="E229" s="68">
        <v>267</v>
      </c>
      <c r="F229" s="58"/>
      <c r="G229" s="58">
        <v>62839</v>
      </c>
      <c r="H229" s="70" t="s">
        <v>1044</v>
      </c>
      <c r="I229" s="7">
        <f t="shared" ca="1" si="0"/>
        <v>0</v>
      </c>
      <c r="J229" s="71"/>
      <c r="K229" s="7"/>
    </row>
    <row r="230" spans="1:11" ht="14.25" hidden="1" customHeight="1">
      <c r="A230" s="18" t="s">
        <v>1088</v>
      </c>
      <c r="B230" s="7"/>
      <c r="C230" s="7"/>
      <c r="D230" s="69">
        <v>45019</v>
      </c>
      <c r="E230" s="68">
        <v>268</v>
      </c>
      <c r="F230" s="58"/>
      <c r="G230" s="58">
        <v>150123</v>
      </c>
      <c r="H230" s="70" t="s">
        <v>1044</v>
      </c>
      <c r="I230" s="7">
        <f t="shared" ca="1" si="0"/>
        <v>0</v>
      </c>
      <c r="J230" s="71"/>
      <c r="K230" s="7"/>
    </row>
    <row r="231" spans="1:11" ht="14.25" hidden="1" customHeight="1">
      <c r="A231" s="18" t="s">
        <v>1120</v>
      </c>
      <c r="B231" s="7"/>
      <c r="C231" s="7"/>
      <c r="D231" s="69">
        <v>45019</v>
      </c>
      <c r="E231" s="68">
        <v>269</v>
      </c>
      <c r="F231" s="58"/>
      <c r="G231" s="58">
        <v>128686</v>
      </c>
      <c r="H231" s="70" t="s">
        <v>1100</v>
      </c>
      <c r="I231" s="7">
        <f t="shared" ca="1" si="0"/>
        <v>0</v>
      </c>
      <c r="J231" s="71"/>
      <c r="K231" s="7"/>
    </row>
    <row r="232" spans="1:11" ht="14.25" hidden="1" customHeight="1">
      <c r="A232" s="18" t="s">
        <v>1120</v>
      </c>
      <c r="B232" s="7"/>
      <c r="C232" s="7"/>
      <c r="D232" s="69">
        <v>45019</v>
      </c>
      <c r="E232" s="68">
        <v>270</v>
      </c>
      <c r="F232" s="58"/>
      <c r="G232" s="58">
        <v>41947</v>
      </c>
      <c r="H232" s="70" t="s">
        <v>1100</v>
      </c>
      <c r="I232" s="7">
        <f t="shared" ca="1" si="0"/>
        <v>0</v>
      </c>
      <c r="J232" s="71"/>
      <c r="K232" s="7"/>
    </row>
    <row r="233" spans="1:11" ht="14.25" hidden="1" customHeight="1">
      <c r="A233" s="18" t="s">
        <v>126</v>
      </c>
      <c r="B233" s="7"/>
      <c r="C233" s="7"/>
      <c r="D233" s="69">
        <v>45021</v>
      </c>
      <c r="E233" s="68">
        <v>271</v>
      </c>
      <c r="F233" s="58"/>
      <c r="G233" s="58">
        <v>55989</v>
      </c>
      <c r="H233" s="70" t="s">
        <v>1044</v>
      </c>
      <c r="I233" s="7">
        <f t="shared" ca="1" si="0"/>
        <v>0</v>
      </c>
      <c r="J233" s="71"/>
      <c r="K233" s="7"/>
    </row>
    <row r="234" spans="1:11" ht="14.25" hidden="1" customHeight="1">
      <c r="A234" s="18" t="s">
        <v>1067</v>
      </c>
      <c r="B234" s="7"/>
      <c r="C234" s="7"/>
      <c r="D234" s="69">
        <v>45021</v>
      </c>
      <c r="E234" s="68">
        <v>272</v>
      </c>
      <c r="F234" s="58"/>
      <c r="G234" s="58">
        <v>114644</v>
      </c>
      <c r="H234" s="70" t="s">
        <v>1044</v>
      </c>
      <c r="I234" s="7">
        <f t="shared" ca="1" si="0"/>
        <v>0</v>
      </c>
      <c r="J234" s="71"/>
      <c r="K234" s="7"/>
    </row>
    <row r="235" spans="1:11" ht="14.25" hidden="1" customHeight="1">
      <c r="A235" s="68" t="s">
        <v>226</v>
      </c>
      <c r="B235" s="7"/>
      <c r="C235" s="7"/>
      <c r="D235" s="69">
        <v>45021</v>
      </c>
      <c r="E235" s="68">
        <v>273</v>
      </c>
      <c r="F235" s="58"/>
      <c r="G235" s="58">
        <v>170634</v>
      </c>
      <c r="H235" s="70" t="s">
        <v>1100</v>
      </c>
      <c r="I235" s="7">
        <f t="shared" ca="1" si="0"/>
        <v>0</v>
      </c>
      <c r="J235" s="71"/>
      <c r="K235" s="7"/>
    </row>
    <row r="236" spans="1:11" ht="14.25" hidden="1" customHeight="1">
      <c r="A236" s="18" t="s">
        <v>383</v>
      </c>
      <c r="B236" s="7"/>
      <c r="C236" s="7"/>
      <c r="D236" s="69">
        <v>45021</v>
      </c>
      <c r="E236" s="68">
        <v>274</v>
      </c>
      <c r="F236" s="58"/>
      <c r="G236" s="58">
        <v>113759</v>
      </c>
      <c r="H236" s="70" t="s">
        <v>1044</v>
      </c>
      <c r="I236" s="7">
        <f t="shared" ca="1" si="0"/>
        <v>0</v>
      </c>
      <c r="J236" s="71"/>
      <c r="K236" s="7"/>
    </row>
    <row r="237" spans="1:11" ht="14.25" hidden="1" customHeight="1">
      <c r="A237" s="18" t="s">
        <v>330</v>
      </c>
      <c r="B237" s="7"/>
      <c r="C237" s="7"/>
      <c r="D237" s="69">
        <v>45021</v>
      </c>
      <c r="E237" s="68">
        <v>275</v>
      </c>
      <c r="F237" s="58"/>
      <c r="G237" s="58">
        <v>220342</v>
      </c>
      <c r="H237" s="70" t="s">
        <v>1044</v>
      </c>
      <c r="I237" s="7">
        <f t="shared" ca="1" si="0"/>
        <v>0</v>
      </c>
      <c r="J237" s="71"/>
      <c r="K237" s="7"/>
    </row>
    <row r="238" spans="1:11" ht="14.25" hidden="1" customHeight="1">
      <c r="A238" s="18" t="s">
        <v>1121</v>
      </c>
      <c r="B238" s="7"/>
      <c r="C238" s="7"/>
      <c r="D238" s="69">
        <v>45028</v>
      </c>
      <c r="E238" s="68">
        <v>276</v>
      </c>
      <c r="F238" s="58"/>
      <c r="G238" s="58">
        <v>170634</v>
      </c>
      <c r="H238" s="70" t="s">
        <v>1044</v>
      </c>
      <c r="I238" s="7">
        <f t="shared" ca="1" si="0"/>
        <v>0</v>
      </c>
      <c r="J238" s="71"/>
      <c r="K238" s="7"/>
    </row>
    <row r="239" spans="1:11" ht="14.25" hidden="1" customHeight="1">
      <c r="A239" s="18" t="s">
        <v>1122</v>
      </c>
      <c r="B239" s="7"/>
      <c r="C239" s="7"/>
      <c r="D239" s="69">
        <v>45028</v>
      </c>
      <c r="E239" s="68">
        <v>277</v>
      </c>
      <c r="F239" s="58"/>
      <c r="G239" s="58">
        <v>116639</v>
      </c>
      <c r="H239" s="70" t="s">
        <v>1044</v>
      </c>
      <c r="I239" s="7">
        <f t="shared" ca="1" si="0"/>
        <v>0</v>
      </c>
      <c r="J239" s="71"/>
      <c r="K239" s="7"/>
    </row>
    <row r="240" spans="1:11" ht="14.25" hidden="1" customHeight="1">
      <c r="A240" s="18" t="s">
        <v>377</v>
      </c>
      <c r="B240" s="7"/>
      <c r="C240" s="7"/>
      <c r="D240" s="69">
        <v>45028</v>
      </c>
      <c r="E240" s="68">
        <v>278</v>
      </c>
      <c r="F240" s="58"/>
      <c r="G240" s="58">
        <v>109190</v>
      </c>
      <c r="H240" s="70" t="s">
        <v>1044</v>
      </c>
      <c r="I240" s="7">
        <f t="shared" ca="1" si="0"/>
        <v>0</v>
      </c>
      <c r="J240" s="71"/>
      <c r="K240" s="7"/>
    </row>
    <row r="241" spans="1:11" ht="14.25" hidden="1" customHeight="1">
      <c r="A241" s="18" t="s">
        <v>1103</v>
      </c>
      <c r="B241" s="7"/>
      <c r="C241" s="7"/>
      <c r="D241" s="69">
        <v>45040</v>
      </c>
      <c r="E241" s="68">
        <v>279</v>
      </c>
      <c r="F241" s="58"/>
      <c r="G241" s="58">
        <v>111980</v>
      </c>
      <c r="H241" s="70" t="s">
        <v>1044</v>
      </c>
      <c r="I241" s="7">
        <f t="shared" ca="1" si="0"/>
        <v>0</v>
      </c>
      <c r="J241" s="71"/>
      <c r="K241" s="7"/>
    </row>
    <row r="242" spans="1:11" ht="14.25" hidden="1" customHeight="1">
      <c r="A242" s="18" t="s">
        <v>1123</v>
      </c>
      <c r="B242" s="7"/>
      <c r="C242" s="7"/>
      <c r="D242" s="69">
        <v>45040</v>
      </c>
      <c r="E242" s="75">
        <v>280</v>
      </c>
      <c r="F242" s="58"/>
      <c r="G242" s="58">
        <v>111367</v>
      </c>
      <c r="H242" s="70" t="s">
        <v>1100</v>
      </c>
      <c r="I242" s="7">
        <f t="shared" ca="1" si="0"/>
        <v>0</v>
      </c>
      <c r="J242" s="71"/>
      <c r="K242" s="7"/>
    </row>
    <row r="243" spans="1:11" ht="14.25" hidden="1" customHeight="1">
      <c r="A243" s="18" t="s">
        <v>371</v>
      </c>
      <c r="B243" s="7"/>
      <c r="C243" s="7"/>
      <c r="D243" s="69">
        <v>45040</v>
      </c>
      <c r="E243" s="75">
        <v>281</v>
      </c>
      <c r="F243" s="58"/>
      <c r="G243" s="58">
        <v>94258</v>
      </c>
      <c r="H243" s="70" t="s">
        <v>1044</v>
      </c>
      <c r="I243" s="7">
        <f t="shared" ca="1" si="0"/>
        <v>0</v>
      </c>
      <c r="J243" s="71"/>
      <c r="K243" s="7"/>
    </row>
    <row r="244" spans="1:11" ht="14.25" hidden="1" customHeight="1">
      <c r="A244" s="18" t="s">
        <v>126</v>
      </c>
      <c r="B244" s="7"/>
      <c r="C244" s="7"/>
      <c r="D244" s="69">
        <v>45040</v>
      </c>
      <c r="E244" s="75">
        <v>282</v>
      </c>
      <c r="F244" s="58"/>
      <c r="G244" s="58">
        <v>146189</v>
      </c>
      <c r="H244" s="70" t="s">
        <v>1044</v>
      </c>
      <c r="I244" s="7">
        <f t="shared" ca="1" si="0"/>
        <v>0</v>
      </c>
      <c r="J244" s="71"/>
      <c r="K244" s="7"/>
    </row>
    <row r="245" spans="1:11" ht="14.25" hidden="1" customHeight="1">
      <c r="A245" s="18" t="s">
        <v>1124</v>
      </c>
      <c r="B245" s="7"/>
      <c r="C245" s="7"/>
      <c r="D245" s="69">
        <v>45040</v>
      </c>
      <c r="E245" s="75">
        <v>283</v>
      </c>
      <c r="F245" s="58"/>
      <c r="G245" s="58">
        <v>837163</v>
      </c>
      <c r="H245" s="70" t="s">
        <v>1044</v>
      </c>
      <c r="I245" s="7">
        <f t="shared" ca="1" si="0"/>
        <v>0</v>
      </c>
      <c r="J245" s="71"/>
      <c r="K245" s="7"/>
    </row>
    <row r="246" spans="1:11" ht="14.25" hidden="1" customHeight="1">
      <c r="A246" s="14" t="s">
        <v>245</v>
      </c>
      <c r="B246" s="14"/>
      <c r="C246" s="14"/>
      <c r="D246" s="69">
        <v>45054</v>
      </c>
      <c r="E246" s="75">
        <v>288</v>
      </c>
      <c r="F246" s="58"/>
      <c r="G246" s="58">
        <v>115342</v>
      </c>
      <c r="H246" s="70" t="s">
        <v>1044</v>
      </c>
      <c r="I246" s="7">
        <f t="shared" ca="1" si="0"/>
        <v>0</v>
      </c>
      <c r="J246" s="71"/>
      <c r="K246" s="7"/>
    </row>
    <row r="247" spans="1:11" ht="14.25" hidden="1" customHeight="1">
      <c r="A247" s="14" t="s">
        <v>377</v>
      </c>
      <c r="B247" s="14"/>
      <c r="C247" s="14"/>
      <c r="D247" s="69">
        <v>45044</v>
      </c>
      <c r="E247" s="75">
        <v>287</v>
      </c>
      <c r="F247" s="58"/>
      <c r="G247" s="58">
        <v>146064</v>
      </c>
      <c r="H247" s="70" t="s">
        <v>1044</v>
      </c>
      <c r="I247" s="7">
        <f t="shared" ca="1" si="0"/>
        <v>0</v>
      </c>
      <c r="J247" s="71"/>
      <c r="K247" s="7"/>
    </row>
    <row r="248" spans="1:11" ht="14.25" hidden="1" customHeight="1">
      <c r="A248" s="14" t="s">
        <v>1125</v>
      </c>
      <c r="B248" s="14"/>
      <c r="C248" s="14"/>
      <c r="D248" s="69">
        <v>45048</v>
      </c>
      <c r="E248" s="14">
        <v>284</v>
      </c>
      <c r="F248" s="76"/>
      <c r="G248" s="76">
        <v>202053</v>
      </c>
      <c r="H248" s="70" t="s">
        <v>1044</v>
      </c>
      <c r="I248" s="7">
        <f t="shared" ca="1" si="0"/>
        <v>0</v>
      </c>
      <c r="J248" s="71"/>
      <c r="K248" s="7"/>
    </row>
    <row r="249" spans="1:11" ht="14.25" hidden="1" customHeight="1">
      <c r="A249" s="14" t="s">
        <v>1079</v>
      </c>
      <c r="B249" s="14"/>
      <c r="C249" s="14"/>
      <c r="D249" s="69">
        <v>45048</v>
      </c>
      <c r="E249" s="14">
        <v>285</v>
      </c>
      <c r="F249" s="76"/>
      <c r="G249" s="76">
        <v>178492</v>
      </c>
      <c r="H249" s="70" t="s">
        <v>1044</v>
      </c>
      <c r="I249" s="7">
        <f t="shared" ca="1" si="0"/>
        <v>0</v>
      </c>
      <c r="J249" s="71"/>
      <c r="K249" s="7"/>
    </row>
    <row r="250" spans="1:11" ht="14.25" hidden="1" customHeight="1">
      <c r="A250" s="14" t="s">
        <v>330</v>
      </c>
      <c r="B250" s="14"/>
      <c r="C250" s="14"/>
      <c r="D250" s="69">
        <v>45049</v>
      </c>
      <c r="E250" s="14">
        <v>286</v>
      </c>
      <c r="F250" s="76"/>
      <c r="G250" s="76">
        <v>220342</v>
      </c>
      <c r="H250" s="70" t="s">
        <v>1044</v>
      </c>
      <c r="I250" s="7">
        <f t="shared" ca="1" si="0"/>
        <v>0</v>
      </c>
      <c r="J250" s="71"/>
      <c r="K250" s="7"/>
    </row>
    <row r="251" spans="1:11" ht="14.25" hidden="1" customHeight="1">
      <c r="A251" s="14" t="s">
        <v>1126</v>
      </c>
      <c r="B251" s="14"/>
      <c r="C251" s="14"/>
      <c r="D251" s="69">
        <v>45054</v>
      </c>
      <c r="E251" s="14">
        <v>289</v>
      </c>
      <c r="F251" s="76"/>
      <c r="G251" s="76">
        <v>101026</v>
      </c>
      <c r="H251" s="70" t="s">
        <v>1044</v>
      </c>
      <c r="I251" s="7">
        <f t="shared" ca="1" si="0"/>
        <v>0</v>
      </c>
      <c r="J251" s="71"/>
      <c r="K251" s="7"/>
    </row>
    <row r="252" spans="1:11" ht="14.25" hidden="1" customHeight="1">
      <c r="A252" s="14" t="s">
        <v>1067</v>
      </c>
      <c r="B252" s="14"/>
      <c r="C252" s="14"/>
      <c r="D252" s="69">
        <v>45056</v>
      </c>
      <c r="E252" s="14">
        <v>290</v>
      </c>
      <c r="F252" s="76"/>
      <c r="G252" s="76">
        <v>110585</v>
      </c>
      <c r="H252" s="70" t="s">
        <v>1044</v>
      </c>
      <c r="I252" s="7">
        <f t="shared" ca="1" si="0"/>
        <v>0</v>
      </c>
      <c r="J252" s="71"/>
      <c r="K252" s="7"/>
    </row>
    <row r="253" spans="1:11" ht="14.25" hidden="1" customHeight="1">
      <c r="A253" s="14" t="s">
        <v>1127</v>
      </c>
      <c r="B253" s="14"/>
      <c r="C253" s="14"/>
      <c r="D253" s="69">
        <v>45056</v>
      </c>
      <c r="E253" s="14">
        <v>291</v>
      </c>
      <c r="F253" s="76"/>
      <c r="G253" s="76">
        <v>55989</v>
      </c>
      <c r="H253" s="70" t="s">
        <v>1044</v>
      </c>
      <c r="I253" s="7">
        <f t="shared" ca="1" si="0"/>
        <v>0</v>
      </c>
      <c r="J253" s="71"/>
      <c r="K253" s="7"/>
    </row>
    <row r="254" spans="1:11" ht="14.25" hidden="1" customHeight="1">
      <c r="A254" s="14" t="s">
        <v>1107</v>
      </c>
      <c r="B254" s="14"/>
      <c r="C254" s="14"/>
      <c r="D254" s="69">
        <v>45062</v>
      </c>
      <c r="E254" s="14">
        <v>294</v>
      </c>
      <c r="F254" s="76"/>
      <c r="G254" s="76">
        <v>289336</v>
      </c>
      <c r="H254" s="70" t="s">
        <v>1044</v>
      </c>
      <c r="I254" s="7">
        <f t="shared" ca="1" si="0"/>
        <v>0</v>
      </c>
      <c r="J254" s="71"/>
      <c r="K254" s="7"/>
    </row>
    <row r="255" spans="1:11" ht="14.25" hidden="1" customHeight="1">
      <c r="A255" s="14" t="s">
        <v>1128</v>
      </c>
      <c r="B255" s="14"/>
      <c r="C255" s="14"/>
      <c r="D255" s="69">
        <v>45061</v>
      </c>
      <c r="E255" s="14">
        <v>292</v>
      </c>
      <c r="F255" s="76"/>
      <c r="G255" s="76">
        <v>202053</v>
      </c>
      <c r="H255" s="70" t="s">
        <v>1100</v>
      </c>
      <c r="I255" s="7">
        <f t="shared" ca="1" si="0"/>
        <v>0</v>
      </c>
      <c r="J255" s="71"/>
      <c r="K255" s="7"/>
    </row>
    <row r="256" spans="1:11" ht="14.25" hidden="1" customHeight="1">
      <c r="A256" s="14" t="s">
        <v>1129</v>
      </c>
      <c r="B256" s="14"/>
      <c r="C256" s="14"/>
      <c r="D256" s="69">
        <v>45062</v>
      </c>
      <c r="E256" s="14">
        <v>293</v>
      </c>
      <c r="F256" s="76"/>
      <c r="G256" s="76">
        <v>56699</v>
      </c>
      <c r="H256" s="70" t="s">
        <v>1130</v>
      </c>
      <c r="I256" s="7">
        <f t="shared" ca="1" si="0"/>
        <v>0</v>
      </c>
      <c r="J256" s="71"/>
      <c r="K256" s="7"/>
    </row>
    <row r="257" spans="1:11" ht="14.25" hidden="1" customHeight="1">
      <c r="A257" s="14" t="s">
        <v>126</v>
      </c>
      <c r="B257" s="14"/>
      <c r="C257" s="14"/>
      <c r="D257" s="69">
        <v>45062</v>
      </c>
      <c r="E257" s="14">
        <v>295</v>
      </c>
      <c r="F257" s="76"/>
      <c r="G257" s="76">
        <v>147137</v>
      </c>
      <c r="H257" s="70" t="s">
        <v>1044</v>
      </c>
      <c r="I257" s="7">
        <f t="shared" ref="I257:I363" ca="1" si="1">IF(OR(H257="Pagado",H257="Anulada"),0,IF(ISNUMBER(E257),TODAY()-D257,TODAY()-F257))</f>
        <v>0</v>
      </c>
      <c r="J257" s="71"/>
      <c r="K257" s="7"/>
    </row>
    <row r="258" spans="1:11" ht="14.25" hidden="1" customHeight="1">
      <c r="A258" s="14" t="s">
        <v>342</v>
      </c>
      <c r="B258" s="14"/>
      <c r="C258" s="14"/>
      <c r="D258" s="69">
        <v>45062</v>
      </c>
      <c r="E258" s="14">
        <v>296</v>
      </c>
      <c r="F258" s="76"/>
      <c r="G258" s="76">
        <v>110987</v>
      </c>
      <c r="H258" s="70" t="s">
        <v>1044</v>
      </c>
      <c r="I258" s="7">
        <f t="shared" ca="1" si="1"/>
        <v>0</v>
      </c>
      <c r="J258" s="71"/>
      <c r="K258" s="7"/>
    </row>
    <row r="259" spans="1:11" ht="14.25" hidden="1" customHeight="1">
      <c r="A259" s="14" t="s">
        <v>1131</v>
      </c>
      <c r="B259" s="14"/>
      <c r="C259" s="14"/>
      <c r="D259" s="69">
        <v>45064</v>
      </c>
      <c r="E259" s="14">
        <v>298</v>
      </c>
      <c r="F259" s="76"/>
      <c r="G259" s="76">
        <v>607500</v>
      </c>
      <c r="H259" s="70" t="s">
        <v>1044</v>
      </c>
      <c r="I259" s="7">
        <f t="shared" ca="1" si="1"/>
        <v>0</v>
      </c>
      <c r="J259" s="71"/>
      <c r="K259" s="7"/>
    </row>
    <row r="260" spans="1:11" ht="14.25" hidden="1" customHeight="1">
      <c r="A260" s="14" t="s">
        <v>1129</v>
      </c>
      <c r="B260" s="14"/>
      <c r="C260" s="14"/>
      <c r="D260" s="69">
        <v>45065</v>
      </c>
      <c r="E260" s="14">
        <v>299</v>
      </c>
      <c r="F260" s="76"/>
      <c r="G260" s="76">
        <v>113735</v>
      </c>
      <c r="H260" s="70" t="s">
        <v>1044</v>
      </c>
      <c r="I260" s="7">
        <f t="shared" ca="1" si="1"/>
        <v>0</v>
      </c>
      <c r="J260" s="71"/>
      <c r="K260" s="7"/>
    </row>
    <row r="261" spans="1:11" ht="14.25" hidden="1" customHeight="1">
      <c r="A261" s="14" t="s">
        <v>1132</v>
      </c>
      <c r="B261" s="14"/>
      <c r="C261" s="14"/>
      <c r="D261" s="69">
        <v>45070</v>
      </c>
      <c r="E261" s="14">
        <v>300</v>
      </c>
      <c r="F261" s="76"/>
      <c r="G261" s="76">
        <v>624750</v>
      </c>
      <c r="H261" s="70" t="s">
        <v>1130</v>
      </c>
      <c r="I261" s="7">
        <f t="shared" ca="1" si="1"/>
        <v>0</v>
      </c>
      <c r="J261" s="71"/>
      <c r="K261" s="7"/>
    </row>
    <row r="262" spans="1:11" ht="14.25" hidden="1" customHeight="1">
      <c r="A262" s="14" t="s">
        <v>1133</v>
      </c>
      <c r="B262" s="14"/>
      <c r="C262" s="14"/>
      <c r="D262" s="69">
        <v>45070</v>
      </c>
      <c r="E262" s="14">
        <v>301</v>
      </c>
      <c r="F262" s="76"/>
      <c r="G262" s="76">
        <v>144794</v>
      </c>
      <c r="H262" s="70" t="s">
        <v>1044</v>
      </c>
      <c r="I262" s="7">
        <f t="shared" ca="1" si="1"/>
        <v>0</v>
      </c>
      <c r="J262" s="71"/>
      <c r="K262" s="7"/>
    </row>
    <row r="263" spans="1:11" ht="14.25" hidden="1" customHeight="1">
      <c r="A263" s="14" t="s">
        <v>410</v>
      </c>
      <c r="B263" s="14"/>
      <c r="C263" s="14"/>
      <c r="D263" s="69">
        <v>45075</v>
      </c>
      <c r="E263" s="14">
        <v>302</v>
      </c>
      <c r="F263" s="76"/>
      <c r="G263" s="76">
        <v>113375</v>
      </c>
      <c r="H263" s="70" t="s">
        <v>1044</v>
      </c>
      <c r="I263" s="7">
        <f t="shared" ca="1" si="1"/>
        <v>0</v>
      </c>
      <c r="J263" s="71"/>
      <c r="K263" s="7"/>
    </row>
    <row r="264" spans="1:11" ht="14.25" hidden="1" customHeight="1">
      <c r="A264" s="14" t="s">
        <v>1079</v>
      </c>
      <c r="B264" s="14"/>
      <c r="C264" s="14"/>
      <c r="D264" s="69">
        <v>45075</v>
      </c>
      <c r="E264" s="14">
        <v>303</v>
      </c>
      <c r="F264" s="76"/>
      <c r="G264" s="76">
        <v>89246</v>
      </c>
      <c r="H264" s="70" t="s">
        <v>1044</v>
      </c>
      <c r="I264" s="7">
        <f t="shared" ca="1" si="1"/>
        <v>0</v>
      </c>
      <c r="J264" s="71"/>
      <c r="K264" s="7"/>
    </row>
    <row r="265" spans="1:11" ht="14.25" hidden="1" customHeight="1">
      <c r="A265" s="14" t="s">
        <v>126</v>
      </c>
      <c r="B265" s="14"/>
      <c r="C265" s="14"/>
      <c r="D265" s="69">
        <v>45076</v>
      </c>
      <c r="E265" s="14">
        <v>304</v>
      </c>
      <c r="F265" s="76"/>
      <c r="G265" s="76">
        <v>51930</v>
      </c>
      <c r="H265" s="70" t="s">
        <v>1044</v>
      </c>
      <c r="I265" s="7">
        <f t="shared" ca="1" si="1"/>
        <v>0</v>
      </c>
      <c r="J265" s="71"/>
      <c r="K265" s="7"/>
    </row>
    <row r="266" spans="1:11" ht="14.25" hidden="1" customHeight="1">
      <c r="A266" s="14" t="s">
        <v>245</v>
      </c>
      <c r="B266" s="14"/>
      <c r="C266" s="14"/>
      <c r="D266" s="69">
        <v>45078</v>
      </c>
      <c r="E266" s="14">
        <v>305</v>
      </c>
      <c r="F266" s="76"/>
      <c r="G266" s="76">
        <v>146823</v>
      </c>
      <c r="H266" s="70" t="s">
        <v>1044</v>
      </c>
      <c r="I266" s="7">
        <f t="shared" ca="1" si="1"/>
        <v>0</v>
      </c>
      <c r="J266" s="71"/>
      <c r="K266" s="7"/>
    </row>
    <row r="267" spans="1:11" ht="14.25" hidden="1" customHeight="1">
      <c r="A267" s="14" t="s">
        <v>1134</v>
      </c>
      <c r="B267" s="14"/>
      <c r="C267" s="14"/>
      <c r="D267" s="69">
        <v>45078</v>
      </c>
      <c r="E267" s="14">
        <v>306</v>
      </c>
      <c r="F267" s="76"/>
      <c r="G267" s="76">
        <v>118829</v>
      </c>
      <c r="H267" s="70" t="s">
        <v>1044</v>
      </c>
      <c r="I267" s="7">
        <f t="shared" ca="1" si="1"/>
        <v>0</v>
      </c>
      <c r="J267" s="71"/>
      <c r="K267" s="7"/>
    </row>
    <row r="268" spans="1:11" ht="14.25" hidden="1" customHeight="1">
      <c r="A268" s="14" t="s">
        <v>354</v>
      </c>
      <c r="B268" s="14"/>
      <c r="C268" s="14"/>
      <c r="D268" s="69">
        <v>45079</v>
      </c>
      <c r="E268" s="14">
        <v>308</v>
      </c>
      <c r="F268" s="76"/>
      <c r="G268" s="76">
        <v>178492</v>
      </c>
      <c r="H268" s="70" t="s">
        <v>1044</v>
      </c>
      <c r="I268" s="7">
        <f t="shared" ca="1" si="1"/>
        <v>0</v>
      </c>
      <c r="J268" s="71"/>
      <c r="K268" s="7"/>
    </row>
    <row r="269" spans="1:11" ht="14.25" hidden="1" customHeight="1">
      <c r="A269" s="14" t="s">
        <v>330</v>
      </c>
      <c r="B269" s="14"/>
      <c r="C269" s="14"/>
      <c r="D269" s="69">
        <v>45078</v>
      </c>
      <c r="E269" s="14">
        <v>309</v>
      </c>
      <c r="F269" s="76"/>
      <c r="G269" s="76">
        <v>220342</v>
      </c>
      <c r="H269" s="70" t="s">
        <v>1044</v>
      </c>
      <c r="I269" s="7">
        <f t="shared" ca="1" si="1"/>
        <v>0</v>
      </c>
      <c r="J269" s="71"/>
      <c r="K269" s="7"/>
    </row>
    <row r="270" spans="1:11" ht="14.25" hidden="1" customHeight="1">
      <c r="A270" s="14" t="s">
        <v>1135</v>
      </c>
      <c r="B270" s="14"/>
      <c r="C270" s="14"/>
      <c r="D270" s="69">
        <v>45078</v>
      </c>
      <c r="E270" s="14">
        <v>310</v>
      </c>
      <c r="F270" s="76"/>
      <c r="G270" s="76">
        <v>111222</v>
      </c>
      <c r="H270" s="70" t="s">
        <v>1044</v>
      </c>
      <c r="I270" s="7">
        <f t="shared" ca="1" si="1"/>
        <v>0</v>
      </c>
      <c r="J270" s="71"/>
      <c r="K270" s="7"/>
    </row>
    <row r="271" spans="1:11" ht="14.25" hidden="1" customHeight="1">
      <c r="A271" s="14" t="s">
        <v>371</v>
      </c>
      <c r="B271" s="14"/>
      <c r="C271" s="14"/>
      <c r="D271" s="69">
        <v>45078</v>
      </c>
      <c r="E271" s="14">
        <v>311</v>
      </c>
      <c r="F271" s="76"/>
      <c r="G271" s="76">
        <v>88804</v>
      </c>
      <c r="H271" s="70" t="s">
        <v>1044</v>
      </c>
      <c r="I271" s="7">
        <f t="shared" ca="1" si="1"/>
        <v>0</v>
      </c>
      <c r="J271" s="71"/>
      <c r="K271" s="7"/>
    </row>
    <row r="272" spans="1:11" ht="14.25" hidden="1" customHeight="1">
      <c r="A272" s="14" t="s">
        <v>1067</v>
      </c>
      <c r="B272" s="14"/>
      <c r="C272" s="14"/>
      <c r="D272" s="69">
        <v>45084</v>
      </c>
      <c r="E272" s="14">
        <v>312</v>
      </c>
      <c r="F272" s="76"/>
      <c r="G272" s="76">
        <v>142683</v>
      </c>
      <c r="H272" s="70" t="s">
        <v>1044</v>
      </c>
      <c r="I272" s="7">
        <f t="shared" ca="1" si="1"/>
        <v>0</v>
      </c>
      <c r="J272" s="71"/>
      <c r="K272" s="7"/>
    </row>
    <row r="273" spans="1:11" ht="14.25" hidden="1" customHeight="1">
      <c r="A273" s="14" t="s">
        <v>126</v>
      </c>
      <c r="B273" s="14"/>
      <c r="C273" s="14"/>
      <c r="D273" s="69">
        <v>45084</v>
      </c>
      <c r="E273" s="14">
        <v>313</v>
      </c>
      <c r="F273" s="76"/>
      <c r="G273" s="76">
        <v>122092</v>
      </c>
      <c r="H273" s="70" t="s">
        <v>1044</v>
      </c>
      <c r="I273" s="7">
        <f t="shared" ca="1" si="1"/>
        <v>0</v>
      </c>
      <c r="J273" s="71"/>
      <c r="K273" s="7"/>
    </row>
    <row r="274" spans="1:11" ht="14.25" hidden="1" customHeight="1">
      <c r="A274" s="14" t="s">
        <v>1136</v>
      </c>
      <c r="B274" s="14"/>
      <c r="C274" s="14"/>
      <c r="D274" s="69">
        <v>45089</v>
      </c>
      <c r="E274" s="14">
        <v>317</v>
      </c>
      <c r="F274" s="76"/>
      <c r="G274" s="76">
        <v>228874</v>
      </c>
      <c r="H274" s="70" t="s">
        <v>1044</v>
      </c>
      <c r="I274" s="7">
        <f t="shared" ca="1" si="1"/>
        <v>0</v>
      </c>
      <c r="J274" s="71"/>
      <c r="K274" s="7"/>
    </row>
    <row r="275" spans="1:11" ht="14.25" hidden="1" customHeight="1">
      <c r="A275" s="14" t="s">
        <v>1137</v>
      </c>
      <c r="B275" s="14"/>
      <c r="C275" s="14"/>
      <c r="D275" s="69">
        <v>45089</v>
      </c>
      <c r="E275" s="14">
        <v>316</v>
      </c>
      <c r="F275" s="76"/>
      <c r="G275" s="76">
        <v>1106165</v>
      </c>
      <c r="H275" s="70" t="s">
        <v>1044</v>
      </c>
      <c r="I275" s="7">
        <f t="shared" ca="1" si="1"/>
        <v>0</v>
      </c>
      <c r="J275" s="71"/>
      <c r="K275" s="7"/>
    </row>
    <row r="276" spans="1:11" ht="14.25" hidden="1" customHeight="1">
      <c r="A276" s="14" t="s">
        <v>1056</v>
      </c>
      <c r="B276" s="14"/>
      <c r="C276" s="14"/>
      <c r="D276" s="69">
        <v>45084</v>
      </c>
      <c r="E276" s="68" t="s">
        <v>1057</v>
      </c>
      <c r="F276" s="76"/>
      <c r="G276" s="76">
        <v>169000</v>
      </c>
      <c r="H276" s="70" t="s">
        <v>1044</v>
      </c>
      <c r="I276" s="7">
        <f t="shared" ca="1" si="1"/>
        <v>0</v>
      </c>
      <c r="J276" s="71"/>
      <c r="K276" s="7"/>
    </row>
    <row r="277" spans="1:11" ht="14.25" hidden="1" customHeight="1">
      <c r="A277" s="14" t="s">
        <v>1138</v>
      </c>
      <c r="B277" s="14"/>
      <c r="C277" s="14"/>
      <c r="D277" s="69">
        <v>45085</v>
      </c>
      <c r="E277" s="14">
        <v>315</v>
      </c>
      <c r="F277" s="76"/>
      <c r="G277" s="76">
        <v>56687</v>
      </c>
      <c r="H277" s="70" t="s">
        <v>1044</v>
      </c>
      <c r="I277" s="7">
        <f t="shared" ca="1" si="1"/>
        <v>0</v>
      </c>
      <c r="J277" s="71"/>
      <c r="K277" s="7"/>
    </row>
    <row r="278" spans="1:11" ht="14.25" hidden="1" customHeight="1">
      <c r="A278" s="14" t="s">
        <v>1113</v>
      </c>
      <c r="B278" s="14"/>
      <c r="C278" s="14"/>
      <c r="D278" s="69">
        <v>45089</v>
      </c>
      <c r="E278" s="14">
        <v>318</v>
      </c>
      <c r="F278" s="76"/>
      <c r="G278" s="76">
        <v>113249</v>
      </c>
      <c r="H278" s="70" t="s">
        <v>1044</v>
      </c>
      <c r="I278" s="7">
        <f t="shared" ca="1" si="1"/>
        <v>0</v>
      </c>
      <c r="J278" s="71"/>
      <c r="K278" s="7"/>
    </row>
    <row r="279" spans="1:11" ht="14.25" hidden="1" customHeight="1">
      <c r="A279" s="14" t="s">
        <v>410</v>
      </c>
      <c r="B279" s="14"/>
      <c r="C279" s="14"/>
      <c r="D279" s="69">
        <v>45089</v>
      </c>
      <c r="E279" s="14">
        <v>319</v>
      </c>
      <c r="F279" s="76"/>
      <c r="G279" s="76">
        <v>110585</v>
      </c>
      <c r="H279" s="70" t="s">
        <v>1044</v>
      </c>
      <c r="I279" s="7">
        <f t="shared" ca="1" si="1"/>
        <v>0</v>
      </c>
      <c r="J279" s="71"/>
      <c r="K279" s="7"/>
    </row>
    <row r="280" spans="1:11" ht="14.25" hidden="1" customHeight="1">
      <c r="A280" s="14" t="s">
        <v>1128</v>
      </c>
      <c r="B280" s="14"/>
      <c r="C280" s="14"/>
      <c r="D280" s="69">
        <v>45092</v>
      </c>
      <c r="E280" s="14">
        <v>320</v>
      </c>
      <c r="F280" s="76"/>
      <c r="G280" s="76">
        <v>199083</v>
      </c>
      <c r="H280" s="70" t="s">
        <v>1100</v>
      </c>
      <c r="I280" s="7">
        <f t="shared" ca="1" si="1"/>
        <v>0</v>
      </c>
      <c r="J280" s="71"/>
      <c r="K280" s="7"/>
    </row>
    <row r="281" spans="1:11" ht="14.25" hidden="1" customHeight="1">
      <c r="A281" s="14" t="s">
        <v>1079</v>
      </c>
      <c r="B281" s="14"/>
      <c r="C281" s="14"/>
      <c r="D281" s="69">
        <v>45092</v>
      </c>
      <c r="E281" s="14">
        <v>321</v>
      </c>
      <c r="F281" s="76"/>
      <c r="G281" s="76">
        <v>92036</v>
      </c>
      <c r="H281" s="70" t="s">
        <v>1100</v>
      </c>
      <c r="I281" s="7">
        <f t="shared" ca="1" si="1"/>
        <v>0</v>
      </c>
      <c r="J281" s="71"/>
      <c r="K281" s="7"/>
    </row>
    <row r="282" spans="1:11" ht="14.25" hidden="1" customHeight="1">
      <c r="A282" s="14" t="s">
        <v>1135</v>
      </c>
      <c r="B282" s="14"/>
      <c r="C282" s="14"/>
      <c r="D282" s="69">
        <v>45099</v>
      </c>
      <c r="E282" s="14">
        <v>322</v>
      </c>
      <c r="F282" s="76"/>
      <c r="G282" s="76">
        <v>115282</v>
      </c>
      <c r="H282" s="70" t="s">
        <v>1044</v>
      </c>
      <c r="I282" s="7">
        <f t="shared" ca="1" si="1"/>
        <v>0</v>
      </c>
      <c r="J282" s="71"/>
      <c r="K282" s="7"/>
    </row>
    <row r="283" spans="1:11" ht="14.25" hidden="1" customHeight="1">
      <c r="A283" s="14" t="s">
        <v>1139</v>
      </c>
      <c r="B283" s="14"/>
      <c r="C283" s="14"/>
      <c r="D283" s="69">
        <v>45099</v>
      </c>
      <c r="E283" s="14">
        <v>323</v>
      </c>
      <c r="F283" s="76"/>
      <c r="G283" s="76">
        <v>200658</v>
      </c>
      <c r="H283" s="70" t="s">
        <v>1044</v>
      </c>
      <c r="I283" s="7">
        <f t="shared" ca="1" si="1"/>
        <v>0</v>
      </c>
      <c r="J283" s="71"/>
      <c r="K283" s="7"/>
    </row>
    <row r="284" spans="1:11" ht="14.25" hidden="1" customHeight="1">
      <c r="A284" s="14" t="s">
        <v>1140</v>
      </c>
      <c r="B284" s="14"/>
      <c r="C284" s="14"/>
      <c r="D284" s="69">
        <v>45107</v>
      </c>
      <c r="E284" s="14">
        <v>324</v>
      </c>
      <c r="F284" s="76"/>
      <c r="G284" s="76">
        <v>116430</v>
      </c>
      <c r="H284" s="70" t="s">
        <v>1044</v>
      </c>
      <c r="I284" s="7">
        <f t="shared" ca="1" si="1"/>
        <v>0</v>
      </c>
      <c r="J284" s="71"/>
      <c r="K284" s="7"/>
    </row>
    <row r="285" spans="1:11" ht="14.25" hidden="1" customHeight="1">
      <c r="A285" s="14" t="s">
        <v>1141</v>
      </c>
      <c r="B285" s="14"/>
      <c r="C285" s="14"/>
      <c r="D285" s="69">
        <v>45111</v>
      </c>
      <c r="E285" s="14">
        <v>325</v>
      </c>
      <c r="F285" s="76"/>
      <c r="G285" s="76">
        <v>202053</v>
      </c>
      <c r="H285" s="70" t="s">
        <v>1100</v>
      </c>
      <c r="I285" s="7">
        <f t="shared" ca="1" si="1"/>
        <v>0</v>
      </c>
      <c r="J285" s="71"/>
      <c r="K285" s="7"/>
    </row>
    <row r="286" spans="1:11" ht="14.25" hidden="1" customHeight="1">
      <c r="A286" s="14" t="s">
        <v>440</v>
      </c>
      <c r="B286" s="14"/>
      <c r="C286" s="14"/>
      <c r="D286" s="69">
        <v>45112</v>
      </c>
      <c r="E286" s="14">
        <v>326</v>
      </c>
      <c r="F286" s="76"/>
      <c r="G286" s="76">
        <v>104537</v>
      </c>
      <c r="H286" s="70" t="s">
        <v>1044</v>
      </c>
      <c r="I286" s="7">
        <f t="shared" ca="1" si="1"/>
        <v>0</v>
      </c>
      <c r="J286" s="71"/>
      <c r="K286" s="7"/>
    </row>
    <row r="287" spans="1:11" ht="14.25" hidden="1" customHeight="1">
      <c r="A287" s="14" t="s">
        <v>1142</v>
      </c>
      <c r="B287" s="14"/>
      <c r="C287" s="14"/>
      <c r="D287" s="69">
        <v>45112</v>
      </c>
      <c r="E287" s="14">
        <v>327</v>
      </c>
      <c r="F287" s="77">
        <v>45170</v>
      </c>
      <c r="G287" s="76">
        <v>148854</v>
      </c>
      <c r="H287" s="70" t="s">
        <v>1100</v>
      </c>
      <c r="I287" s="7">
        <f t="shared" ca="1" si="1"/>
        <v>0</v>
      </c>
      <c r="J287" s="71"/>
      <c r="K287" s="7"/>
    </row>
    <row r="288" spans="1:11" ht="14.25" hidden="1" customHeight="1">
      <c r="A288" s="14" t="s">
        <v>1088</v>
      </c>
      <c r="B288" s="14"/>
      <c r="C288" s="14"/>
      <c r="D288" s="69">
        <v>45112</v>
      </c>
      <c r="E288" s="14">
        <v>328</v>
      </c>
      <c r="F288" s="76"/>
      <c r="G288" s="76">
        <v>139893</v>
      </c>
      <c r="H288" s="70" t="s">
        <v>1100</v>
      </c>
      <c r="I288" s="7">
        <f t="shared" ca="1" si="1"/>
        <v>0</v>
      </c>
      <c r="J288" s="71"/>
      <c r="K288" s="7"/>
    </row>
    <row r="289" spans="1:11" ht="14.25" hidden="1" customHeight="1">
      <c r="A289" s="14" t="s">
        <v>1088</v>
      </c>
      <c r="B289" s="14"/>
      <c r="C289" s="14"/>
      <c r="D289" s="69">
        <v>45112</v>
      </c>
      <c r="E289" s="14">
        <v>329</v>
      </c>
      <c r="F289" s="76"/>
      <c r="G289" s="76">
        <v>119797</v>
      </c>
      <c r="H289" s="70" t="s">
        <v>1100</v>
      </c>
      <c r="I289" s="7">
        <f t="shared" ca="1" si="1"/>
        <v>0</v>
      </c>
      <c r="J289" s="71"/>
      <c r="K289" s="7"/>
    </row>
    <row r="290" spans="1:11" ht="14.25" hidden="1" customHeight="1">
      <c r="A290" s="14" t="s">
        <v>1143</v>
      </c>
      <c r="B290" s="14"/>
      <c r="C290" s="14"/>
      <c r="D290" s="69">
        <v>45112</v>
      </c>
      <c r="E290" s="14">
        <v>330</v>
      </c>
      <c r="F290" s="76"/>
      <c r="G290" s="76">
        <v>161052</v>
      </c>
      <c r="H290" s="70" t="s">
        <v>1100</v>
      </c>
      <c r="I290" s="7">
        <f t="shared" ca="1" si="1"/>
        <v>0</v>
      </c>
      <c r="J290" s="71"/>
      <c r="K290" s="7"/>
    </row>
    <row r="291" spans="1:11" ht="14.25" hidden="1" customHeight="1">
      <c r="A291" s="14" t="s">
        <v>1144</v>
      </c>
      <c r="B291" s="14"/>
      <c r="C291" s="14"/>
      <c r="D291" s="69">
        <v>45119</v>
      </c>
      <c r="E291" s="14">
        <v>332</v>
      </c>
      <c r="F291" s="76"/>
      <c r="G291" s="76">
        <v>99541</v>
      </c>
      <c r="H291" s="70" t="s">
        <v>1044</v>
      </c>
      <c r="I291" s="7">
        <f t="shared" ca="1" si="1"/>
        <v>0</v>
      </c>
      <c r="J291" s="71"/>
      <c r="K291" s="7"/>
    </row>
    <row r="292" spans="1:11" ht="14.25" hidden="1" customHeight="1">
      <c r="A292" s="14" t="s">
        <v>1067</v>
      </c>
      <c r="B292" s="14"/>
      <c r="C292" s="14"/>
      <c r="D292" s="69">
        <v>45119</v>
      </c>
      <c r="E292" s="14">
        <v>333</v>
      </c>
      <c r="F292" s="76"/>
      <c r="G292" s="76">
        <v>114644</v>
      </c>
      <c r="H292" s="70" t="s">
        <v>1100</v>
      </c>
      <c r="I292" s="7">
        <f t="shared" ca="1" si="1"/>
        <v>0</v>
      </c>
      <c r="J292" s="71"/>
      <c r="K292" s="7"/>
    </row>
    <row r="293" spans="1:11" ht="14.25" hidden="1" customHeight="1">
      <c r="A293" s="14" t="s">
        <v>1138</v>
      </c>
      <c r="B293" s="14"/>
      <c r="C293" s="14"/>
      <c r="D293" s="69">
        <v>45119</v>
      </c>
      <c r="E293" s="14">
        <v>334</v>
      </c>
      <c r="F293" s="76"/>
      <c r="G293" s="76">
        <v>115342</v>
      </c>
      <c r="H293" s="70" t="s">
        <v>1044</v>
      </c>
      <c r="I293" s="7">
        <f t="shared" ca="1" si="1"/>
        <v>0</v>
      </c>
      <c r="J293" s="71"/>
      <c r="K293" s="7"/>
    </row>
    <row r="294" spans="1:11" ht="14.25" hidden="1" customHeight="1">
      <c r="A294" s="14" t="s">
        <v>1145</v>
      </c>
      <c r="B294" s="14"/>
      <c r="C294" s="14"/>
      <c r="D294" s="69">
        <v>45119</v>
      </c>
      <c r="E294" s="14">
        <v>335</v>
      </c>
      <c r="F294" s="76"/>
      <c r="G294" s="76">
        <v>202053</v>
      </c>
      <c r="H294" s="70" t="s">
        <v>1100</v>
      </c>
      <c r="I294" s="7">
        <f t="shared" ca="1" si="1"/>
        <v>0</v>
      </c>
      <c r="J294" s="71"/>
      <c r="K294" s="7"/>
    </row>
    <row r="295" spans="1:11" ht="14.25" hidden="1" customHeight="1">
      <c r="A295" s="14" t="s">
        <v>251</v>
      </c>
      <c r="B295" s="14"/>
      <c r="C295" s="14"/>
      <c r="D295" s="69">
        <v>45121</v>
      </c>
      <c r="E295" s="14">
        <v>340</v>
      </c>
      <c r="F295" s="76"/>
      <c r="G295" s="76">
        <v>142004</v>
      </c>
      <c r="H295" s="70" t="s">
        <v>1100</v>
      </c>
      <c r="I295" s="7">
        <f t="shared" ca="1" si="1"/>
        <v>0</v>
      </c>
      <c r="J295" s="71"/>
      <c r="K295" s="7"/>
    </row>
    <row r="296" spans="1:11" ht="14.25" hidden="1" customHeight="1">
      <c r="A296" s="14" t="s">
        <v>1146</v>
      </c>
      <c r="B296" s="78"/>
      <c r="C296" s="78"/>
      <c r="D296" s="69">
        <v>45121</v>
      </c>
      <c r="E296" s="14">
        <v>337</v>
      </c>
      <c r="F296" s="76"/>
      <c r="G296" s="76">
        <v>714000</v>
      </c>
      <c r="H296" s="70" t="s">
        <v>1100</v>
      </c>
      <c r="I296" s="7">
        <f t="shared" ca="1" si="1"/>
        <v>0</v>
      </c>
      <c r="J296" s="71"/>
      <c r="K296" s="7"/>
    </row>
    <row r="297" spans="1:11" ht="14.25" hidden="1" customHeight="1">
      <c r="A297" s="14" t="s">
        <v>1079</v>
      </c>
      <c r="B297" s="78"/>
      <c r="C297" s="78"/>
      <c r="D297" s="69">
        <v>45121</v>
      </c>
      <c r="E297" s="14">
        <v>338</v>
      </c>
      <c r="F297" s="76"/>
      <c r="G297" s="76">
        <v>89246</v>
      </c>
      <c r="H297" s="70" t="s">
        <v>1044</v>
      </c>
      <c r="I297" s="7">
        <f t="shared" ca="1" si="1"/>
        <v>0</v>
      </c>
      <c r="J297" s="71"/>
      <c r="K297" s="7"/>
    </row>
    <row r="298" spans="1:11" ht="14.25" hidden="1" customHeight="1">
      <c r="A298" s="14" t="s">
        <v>126</v>
      </c>
      <c r="B298" s="7"/>
      <c r="C298" s="7"/>
      <c r="D298" s="69">
        <v>45121</v>
      </c>
      <c r="E298" s="14">
        <v>339</v>
      </c>
      <c r="F298" s="76"/>
      <c r="G298" s="76">
        <v>226901</v>
      </c>
      <c r="H298" s="70" t="s">
        <v>1044</v>
      </c>
      <c r="I298" s="7">
        <f t="shared" ca="1" si="1"/>
        <v>0</v>
      </c>
      <c r="J298" s="71"/>
      <c r="K298" s="7"/>
    </row>
    <row r="299" spans="1:11" ht="14.25" hidden="1" customHeight="1">
      <c r="A299" s="14" t="s">
        <v>330</v>
      </c>
      <c r="B299" s="78"/>
      <c r="C299" s="78"/>
      <c r="D299" s="69">
        <v>45125</v>
      </c>
      <c r="E299" s="14">
        <v>341</v>
      </c>
      <c r="F299" s="76"/>
      <c r="G299" s="76">
        <v>110171</v>
      </c>
      <c r="H299" s="70" t="s">
        <v>1044</v>
      </c>
      <c r="I299" s="7">
        <f t="shared" ca="1" si="1"/>
        <v>0</v>
      </c>
      <c r="J299" s="71"/>
      <c r="K299" s="7"/>
    </row>
    <row r="300" spans="1:11" ht="14.25" hidden="1" customHeight="1">
      <c r="A300" s="14" t="s">
        <v>245</v>
      </c>
      <c r="B300" s="78"/>
      <c r="C300" s="78"/>
      <c r="D300" s="69">
        <v>45125</v>
      </c>
      <c r="E300" s="14">
        <v>342</v>
      </c>
      <c r="F300" s="76"/>
      <c r="G300" s="76">
        <v>120098</v>
      </c>
      <c r="H300" s="70" t="s">
        <v>1044</v>
      </c>
      <c r="I300" s="7">
        <f t="shared" ca="1" si="1"/>
        <v>0</v>
      </c>
      <c r="J300" s="71"/>
      <c r="K300" s="7"/>
    </row>
    <row r="301" spans="1:11" ht="14.25" hidden="1" customHeight="1">
      <c r="A301" s="14" t="s">
        <v>342</v>
      </c>
      <c r="B301" s="78"/>
      <c r="C301" s="78"/>
      <c r="D301" s="69">
        <v>45125</v>
      </c>
      <c r="E301" s="14">
        <v>343</v>
      </c>
      <c r="F301" s="76"/>
      <c r="G301" s="76">
        <v>107614</v>
      </c>
      <c r="H301" s="70" t="s">
        <v>1044</v>
      </c>
      <c r="I301" s="7">
        <f t="shared" ca="1" si="1"/>
        <v>0</v>
      </c>
      <c r="J301" s="71"/>
      <c r="K301" s="7"/>
    </row>
    <row r="302" spans="1:11" ht="14.25" hidden="1" customHeight="1">
      <c r="A302" s="14" t="s">
        <v>1147</v>
      </c>
      <c r="B302" s="78"/>
      <c r="C302" s="78"/>
      <c r="D302" s="69">
        <v>45131</v>
      </c>
      <c r="E302" s="14">
        <v>344</v>
      </c>
      <c r="F302" s="77">
        <v>45128</v>
      </c>
      <c r="G302" s="76">
        <v>120098</v>
      </c>
      <c r="H302" s="70" t="s">
        <v>1044</v>
      </c>
      <c r="I302" s="7">
        <f t="shared" ca="1" si="1"/>
        <v>0</v>
      </c>
      <c r="J302" s="71"/>
      <c r="K302" s="7"/>
    </row>
    <row r="303" spans="1:11" ht="14.25" hidden="1" customHeight="1">
      <c r="A303" s="14" t="s">
        <v>1081</v>
      </c>
      <c r="B303" s="78"/>
      <c r="C303" s="78"/>
      <c r="D303" s="69">
        <v>45134</v>
      </c>
      <c r="E303" s="14">
        <v>345</v>
      </c>
      <c r="F303" s="76"/>
      <c r="G303" s="76">
        <v>122888</v>
      </c>
      <c r="H303" s="70" t="s">
        <v>1044</v>
      </c>
      <c r="I303" s="7">
        <f t="shared" ca="1" si="1"/>
        <v>0</v>
      </c>
      <c r="J303" s="71"/>
      <c r="K303" s="7"/>
    </row>
    <row r="304" spans="1:11" ht="14.25" hidden="1" customHeight="1">
      <c r="A304" s="14" t="s">
        <v>330</v>
      </c>
      <c r="B304" s="78"/>
      <c r="C304" s="78"/>
      <c r="D304" s="69">
        <v>45134</v>
      </c>
      <c r="E304" s="14">
        <v>346</v>
      </c>
      <c r="F304" s="76"/>
      <c r="G304" s="76">
        <v>92036</v>
      </c>
      <c r="H304" s="70" t="s">
        <v>1130</v>
      </c>
      <c r="I304" s="7">
        <f t="shared" ca="1" si="1"/>
        <v>0</v>
      </c>
      <c r="J304" s="71"/>
      <c r="K304" s="7" t="s">
        <v>1148</v>
      </c>
    </row>
    <row r="305" spans="1:11" ht="14.25" hidden="1" customHeight="1">
      <c r="A305" s="14" t="s">
        <v>1125</v>
      </c>
      <c r="B305" s="78"/>
      <c r="C305" s="78"/>
      <c r="D305" s="69">
        <v>45134</v>
      </c>
      <c r="E305" s="14">
        <v>347</v>
      </c>
      <c r="F305" s="76"/>
      <c r="G305" s="76">
        <v>199083</v>
      </c>
      <c r="H305" s="70" t="s">
        <v>1100</v>
      </c>
      <c r="I305" s="7">
        <f t="shared" ca="1" si="1"/>
        <v>0</v>
      </c>
      <c r="J305" s="71"/>
      <c r="K305" s="7"/>
    </row>
    <row r="306" spans="1:11" ht="14.25" hidden="1" customHeight="1">
      <c r="A306" s="14" t="s">
        <v>1079</v>
      </c>
      <c r="B306" s="78"/>
      <c r="C306" s="78"/>
      <c r="D306" s="69">
        <v>45134</v>
      </c>
      <c r="E306" s="14">
        <v>349</v>
      </c>
      <c r="F306" s="76"/>
      <c r="G306" s="76">
        <v>89246</v>
      </c>
      <c r="H306" s="70" t="s">
        <v>1044</v>
      </c>
      <c r="I306" s="7">
        <f t="shared" ca="1" si="1"/>
        <v>0</v>
      </c>
      <c r="J306" s="71"/>
      <c r="K306" s="7"/>
    </row>
    <row r="307" spans="1:11" ht="14.25" hidden="1" customHeight="1">
      <c r="A307" s="14" t="s">
        <v>126</v>
      </c>
      <c r="B307" s="78"/>
      <c r="C307" s="78"/>
      <c r="D307" s="69">
        <v>45135</v>
      </c>
      <c r="E307" s="14">
        <v>348</v>
      </c>
      <c r="F307" s="76"/>
      <c r="G307" s="76">
        <v>62839</v>
      </c>
      <c r="H307" s="70" t="s">
        <v>1044</v>
      </c>
      <c r="I307" s="7">
        <f t="shared" ca="1" si="1"/>
        <v>0</v>
      </c>
      <c r="J307" s="71"/>
      <c r="K307" s="7"/>
    </row>
    <row r="308" spans="1:11" ht="14.25" hidden="1" customHeight="1">
      <c r="A308" s="14" t="s">
        <v>336</v>
      </c>
      <c r="B308" s="78"/>
      <c r="C308" s="78"/>
      <c r="D308" s="69">
        <v>45146</v>
      </c>
      <c r="E308" s="14">
        <v>351</v>
      </c>
      <c r="F308" s="76"/>
      <c r="G308" s="76">
        <v>115615</v>
      </c>
      <c r="H308" s="70" t="s">
        <v>1100</v>
      </c>
      <c r="I308" s="7">
        <f t="shared" ca="1" si="1"/>
        <v>0</v>
      </c>
      <c r="J308" s="71"/>
      <c r="K308" s="7"/>
    </row>
    <row r="309" spans="1:11" ht="14.25" hidden="1" customHeight="1">
      <c r="A309" s="14" t="s">
        <v>410</v>
      </c>
      <c r="B309" s="78"/>
      <c r="C309" s="78"/>
      <c r="D309" s="69">
        <v>45146</v>
      </c>
      <c r="E309" s="14">
        <v>350</v>
      </c>
      <c r="F309" s="79"/>
      <c r="G309" s="76">
        <v>140019</v>
      </c>
      <c r="H309" s="70" t="s">
        <v>1044</v>
      </c>
      <c r="I309" s="7">
        <f t="shared" ca="1" si="1"/>
        <v>0</v>
      </c>
      <c r="J309" s="71"/>
      <c r="K309" s="7"/>
    </row>
    <row r="310" spans="1:11" ht="14.25" hidden="1" customHeight="1">
      <c r="A310" s="14" t="s">
        <v>1056</v>
      </c>
      <c r="B310" s="78"/>
      <c r="C310" s="78"/>
      <c r="D310" s="69">
        <v>45139</v>
      </c>
      <c r="E310" s="68" t="s">
        <v>1057</v>
      </c>
      <c r="F310" s="69">
        <v>45139</v>
      </c>
      <c r="G310" s="76">
        <v>356000</v>
      </c>
      <c r="H310" s="70" t="s">
        <v>1100</v>
      </c>
      <c r="I310" s="7">
        <f t="shared" ca="1" si="1"/>
        <v>0</v>
      </c>
      <c r="J310" s="71"/>
      <c r="K310" s="7"/>
    </row>
    <row r="311" spans="1:11" ht="14.25" hidden="1" customHeight="1">
      <c r="A311" s="14" t="s">
        <v>330</v>
      </c>
      <c r="B311" s="78"/>
      <c r="C311" s="78"/>
      <c r="D311" s="69">
        <v>45148</v>
      </c>
      <c r="E311" s="14">
        <v>352</v>
      </c>
      <c r="F311" s="76"/>
      <c r="G311" s="76">
        <v>220342</v>
      </c>
      <c r="H311" s="70" t="s">
        <v>1100</v>
      </c>
      <c r="I311" s="7">
        <f t="shared" ca="1" si="1"/>
        <v>0</v>
      </c>
      <c r="J311" s="71"/>
      <c r="K311" s="7"/>
    </row>
    <row r="312" spans="1:11" ht="14.25" hidden="1" customHeight="1">
      <c r="A312" s="14" t="s">
        <v>1149</v>
      </c>
      <c r="B312" s="78"/>
      <c r="C312" s="78"/>
      <c r="D312" s="69"/>
      <c r="E312" s="68" t="s">
        <v>1057</v>
      </c>
      <c r="F312" s="14"/>
      <c r="G312" s="76">
        <v>235251</v>
      </c>
      <c r="H312" s="70" t="s">
        <v>1100</v>
      </c>
      <c r="I312" s="7">
        <f t="shared" ca="1" si="1"/>
        <v>0</v>
      </c>
      <c r="J312" s="71"/>
      <c r="K312" s="7"/>
    </row>
    <row r="313" spans="1:11" ht="14.25" hidden="1" customHeight="1">
      <c r="A313" s="14" t="s">
        <v>1113</v>
      </c>
      <c r="B313" s="78"/>
      <c r="C313" s="78"/>
      <c r="D313" s="69">
        <v>45148</v>
      </c>
      <c r="E313" s="14">
        <v>353</v>
      </c>
      <c r="F313" s="76"/>
      <c r="G313" s="76">
        <v>145268</v>
      </c>
      <c r="H313" s="70" t="s">
        <v>1100</v>
      </c>
      <c r="I313" s="7">
        <f t="shared" ca="1" si="1"/>
        <v>0</v>
      </c>
      <c r="J313" s="71"/>
      <c r="K313" s="7"/>
    </row>
    <row r="314" spans="1:11" ht="14.25" hidden="1" customHeight="1">
      <c r="A314" s="14" t="s">
        <v>1138</v>
      </c>
      <c r="B314" s="78"/>
      <c r="C314" s="78"/>
      <c r="D314" s="69">
        <v>45148</v>
      </c>
      <c r="E314" s="14">
        <v>354</v>
      </c>
      <c r="F314" s="76"/>
      <c r="G314" s="76">
        <v>114166</v>
      </c>
      <c r="H314" s="70" t="s">
        <v>1100</v>
      </c>
      <c r="I314" s="7">
        <f t="shared" ca="1" si="1"/>
        <v>0</v>
      </c>
      <c r="J314" s="71"/>
      <c r="K314" s="7"/>
    </row>
    <row r="315" spans="1:11" ht="14.25" hidden="1" customHeight="1">
      <c r="A315" s="14" t="s">
        <v>1150</v>
      </c>
      <c r="B315" s="78"/>
      <c r="C315" s="78"/>
      <c r="D315" s="69">
        <v>45155</v>
      </c>
      <c r="E315" s="14">
        <v>355</v>
      </c>
      <c r="F315" s="76"/>
      <c r="G315" s="76">
        <v>120098</v>
      </c>
      <c r="H315" s="70" t="s">
        <v>1100</v>
      </c>
      <c r="I315" s="7">
        <f t="shared" ca="1" si="1"/>
        <v>0</v>
      </c>
      <c r="J315" s="71"/>
      <c r="K315" s="7"/>
    </row>
    <row r="316" spans="1:11" ht="14.25" hidden="1" customHeight="1">
      <c r="A316" s="14" t="s">
        <v>1151</v>
      </c>
      <c r="B316" s="78"/>
      <c r="C316" s="78"/>
      <c r="D316" s="69">
        <v>45160</v>
      </c>
      <c r="E316" s="14">
        <v>356</v>
      </c>
      <c r="F316" s="76"/>
      <c r="G316" s="76">
        <v>122888</v>
      </c>
      <c r="H316" s="70" t="s">
        <v>1100</v>
      </c>
      <c r="I316" s="7">
        <f t="shared" ca="1" si="1"/>
        <v>0</v>
      </c>
      <c r="J316" s="71"/>
      <c r="K316" s="7"/>
    </row>
    <row r="317" spans="1:11" ht="14.25" hidden="1" customHeight="1">
      <c r="A317" s="14" t="s">
        <v>1152</v>
      </c>
      <c r="B317" s="78"/>
      <c r="C317" s="78"/>
      <c r="D317" s="69">
        <v>45160</v>
      </c>
      <c r="E317" s="14">
        <v>357</v>
      </c>
      <c r="F317" s="76"/>
      <c r="G317" s="76">
        <v>199083</v>
      </c>
      <c r="H317" s="70" t="s">
        <v>1100</v>
      </c>
      <c r="I317" s="7">
        <f t="shared" ca="1" si="1"/>
        <v>0</v>
      </c>
      <c r="J317" s="71"/>
      <c r="K317" s="7"/>
    </row>
    <row r="318" spans="1:11" ht="14.25" hidden="1" customHeight="1">
      <c r="A318" s="14" t="s">
        <v>1153</v>
      </c>
      <c r="B318" s="78"/>
      <c r="C318" s="78"/>
      <c r="D318" s="69">
        <v>45162</v>
      </c>
      <c r="E318" s="14">
        <v>358</v>
      </c>
      <c r="F318" s="76"/>
      <c r="G318" s="76">
        <v>177358</v>
      </c>
      <c r="H318" s="70" t="s">
        <v>1100</v>
      </c>
      <c r="I318" s="7">
        <f t="shared" ca="1" si="1"/>
        <v>0</v>
      </c>
      <c r="J318" s="71"/>
      <c r="K318" s="7"/>
    </row>
    <row r="319" spans="1:11" ht="14.25" hidden="1" customHeight="1">
      <c r="A319" s="14" t="s">
        <v>470</v>
      </c>
      <c r="B319" s="78"/>
      <c r="C319" s="78"/>
      <c r="D319" s="69">
        <v>45162</v>
      </c>
      <c r="E319" s="14">
        <v>359</v>
      </c>
      <c r="F319" s="76"/>
      <c r="G319" s="76">
        <v>199083</v>
      </c>
      <c r="H319" s="70" t="s">
        <v>1100</v>
      </c>
      <c r="I319" s="7">
        <f t="shared" ca="1" si="1"/>
        <v>0</v>
      </c>
      <c r="J319" s="71"/>
      <c r="K319" s="7"/>
    </row>
    <row r="320" spans="1:11" ht="14.25" hidden="1" customHeight="1">
      <c r="A320" s="14" t="s">
        <v>245</v>
      </c>
      <c r="B320" s="78"/>
      <c r="C320" s="78"/>
      <c r="D320" s="69">
        <v>45162</v>
      </c>
      <c r="E320" s="14">
        <v>360</v>
      </c>
      <c r="F320" s="76"/>
      <c r="G320" s="76">
        <v>57322</v>
      </c>
      <c r="H320" s="70" t="s">
        <v>1100</v>
      </c>
      <c r="I320" s="7">
        <f t="shared" ca="1" si="1"/>
        <v>0</v>
      </c>
      <c r="J320" s="71"/>
      <c r="K320" s="7"/>
    </row>
    <row r="321" spans="1:11" ht="14.25" hidden="1" customHeight="1">
      <c r="A321" s="14" t="s">
        <v>1101</v>
      </c>
      <c r="B321" s="78"/>
      <c r="C321" s="78"/>
      <c r="D321" s="69">
        <v>45162</v>
      </c>
      <c r="E321" s="14">
        <v>361</v>
      </c>
      <c r="F321" s="77">
        <v>45160</v>
      </c>
      <c r="G321" s="76">
        <v>89246</v>
      </c>
      <c r="H321" s="70" t="s">
        <v>1044</v>
      </c>
      <c r="I321" s="7">
        <f t="shared" ca="1" si="1"/>
        <v>0</v>
      </c>
      <c r="J321" s="71"/>
      <c r="K321" s="7"/>
    </row>
    <row r="322" spans="1:11" ht="14.25" hidden="1" customHeight="1">
      <c r="A322" s="14" t="s">
        <v>1126</v>
      </c>
      <c r="B322" s="78"/>
      <c r="C322" s="78"/>
      <c r="D322" s="69">
        <v>45173</v>
      </c>
      <c r="E322" s="14">
        <v>362</v>
      </c>
      <c r="F322" s="77">
        <v>45170</v>
      </c>
      <c r="G322" s="76">
        <v>114644</v>
      </c>
      <c r="H322" s="70" t="s">
        <v>1100</v>
      </c>
      <c r="I322" s="7">
        <f t="shared" ca="1" si="1"/>
        <v>0</v>
      </c>
      <c r="J322" s="71"/>
      <c r="K322" s="7"/>
    </row>
    <row r="323" spans="1:11" ht="14.25" hidden="1" customHeight="1">
      <c r="A323" s="14" t="s">
        <v>330</v>
      </c>
      <c r="B323" s="78"/>
      <c r="C323" s="78"/>
      <c r="D323" s="69">
        <v>45173</v>
      </c>
      <c r="E323" s="14">
        <v>363</v>
      </c>
      <c r="F323" s="69">
        <v>45173</v>
      </c>
      <c r="G323" s="76">
        <v>220342</v>
      </c>
      <c r="H323" s="70" t="s">
        <v>1100</v>
      </c>
      <c r="I323" s="7">
        <f t="shared" ca="1" si="1"/>
        <v>0</v>
      </c>
      <c r="J323" s="71"/>
      <c r="K323" s="7"/>
    </row>
    <row r="324" spans="1:11" ht="14.25" hidden="1" customHeight="1">
      <c r="A324" s="14" t="s">
        <v>416</v>
      </c>
      <c r="B324" s="78"/>
      <c r="C324" s="78"/>
      <c r="D324" s="69">
        <v>45173</v>
      </c>
      <c r="E324" s="14">
        <v>364</v>
      </c>
      <c r="F324" s="69">
        <v>45174</v>
      </c>
      <c r="G324" s="76">
        <v>112614</v>
      </c>
      <c r="H324" s="70" t="s">
        <v>1100</v>
      </c>
      <c r="I324" s="7">
        <f t="shared" ca="1" si="1"/>
        <v>0</v>
      </c>
      <c r="J324" s="71"/>
      <c r="K324" s="7"/>
    </row>
    <row r="325" spans="1:11" ht="14.25" hidden="1" customHeight="1">
      <c r="A325" s="14" t="s">
        <v>245</v>
      </c>
      <c r="B325" s="78"/>
      <c r="C325" s="78"/>
      <c r="D325" s="69">
        <v>45173</v>
      </c>
      <c r="E325" s="14">
        <v>365</v>
      </c>
      <c r="F325" s="69">
        <v>45173</v>
      </c>
      <c r="G325" s="76">
        <v>122366</v>
      </c>
      <c r="H325" s="70" t="s">
        <v>1100</v>
      </c>
      <c r="I325" s="7">
        <f t="shared" ca="1" si="1"/>
        <v>0</v>
      </c>
      <c r="J325" s="71"/>
      <c r="K325" s="7"/>
    </row>
    <row r="326" spans="1:11" ht="14.25" hidden="1" customHeight="1">
      <c r="A326" s="14" t="s">
        <v>126</v>
      </c>
      <c r="B326" s="78"/>
      <c r="C326" s="78"/>
      <c r="D326" s="69">
        <v>45173</v>
      </c>
      <c r="E326" s="14">
        <v>366</v>
      </c>
      <c r="F326" s="77">
        <v>45170</v>
      </c>
      <c r="G326" s="76">
        <v>94258</v>
      </c>
      <c r="H326" s="70" t="s">
        <v>1100</v>
      </c>
      <c r="I326" s="7">
        <f t="shared" ca="1" si="1"/>
        <v>0</v>
      </c>
      <c r="J326" s="71"/>
      <c r="K326" s="7"/>
    </row>
    <row r="327" spans="1:11" ht="14.25" hidden="1" customHeight="1">
      <c r="A327" s="14" t="s">
        <v>1073</v>
      </c>
      <c r="B327" s="78"/>
      <c r="C327" s="78"/>
      <c r="D327" s="69">
        <v>45177</v>
      </c>
      <c r="E327" s="14">
        <v>367</v>
      </c>
      <c r="F327" s="77">
        <v>45176</v>
      </c>
      <c r="G327" s="76">
        <v>89246</v>
      </c>
      <c r="H327" s="70" t="s">
        <v>1100</v>
      </c>
      <c r="I327" s="7">
        <f t="shared" ca="1" si="1"/>
        <v>0</v>
      </c>
      <c r="J327" s="71"/>
      <c r="K327" s="7"/>
    </row>
    <row r="328" spans="1:11" ht="14.25" hidden="1" customHeight="1">
      <c r="A328" s="14" t="s">
        <v>1147</v>
      </c>
      <c r="B328" s="78"/>
      <c r="C328" s="78"/>
      <c r="D328" s="69">
        <v>45177</v>
      </c>
      <c r="E328" s="14">
        <v>368</v>
      </c>
      <c r="F328" s="77">
        <v>45176</v>
      </c>
      <c r="G328" s="76">
        <v>116045</v>
      </c>
      <c r="H328" s="70" t="s">
        <v>1100</v>
      </c>
      <c r="I328" s="7">
        <f t="shared" ca="1" si="1"/>
        <v>0</v>
      </c>
      <c r="J328" s="71"/>
      <c r="K328" s="7"/>
    </row>
    <row r="329" spans="1:11" ht="14.25" hidden="1" customHeight="1">
      <c r="A329" s="14" t="s">
        <v>1067</v>
      </c>
      <c r="B329" s="78"/>
      <c r="C329" s="78"/>
      <c r="D329" s="69">
        <v>45177</v>
      </c>
      <c r="E329" s="14">
        <v>369</v>
      </c>
      <c r="F329" s="69">
        <v>45178</v>
      </c>
      <c r="G329" s="76">
        <v>84619</v>
      </c>
      <c r="H329" s="70" t="s">
        <v>1100</v>
      </c>
      <c r="I329" s="7">
        <f t="shared" ca="1" si="1"/>
        <v>0</v>
      </c>
      <c r="J329" s="71"/>
      <c r="K329" s="7"/>
    </row>
    <row r="330" spans="1:11" ht="14.25" hidden="1" customHeight="1">
      <c r="A330" s="14" t="s">
        <v>1067</v>
      </c>
      <c r="B330" s="78"/>
      <c r="C330" s="78"/>
      <c r="D330" s="69">
        <v>45195</v>
      </c>
      <c r="E330" s="14">
        <v>371</v>
      </c>
      <c r="F330" s="69">
        <v>45195</v>
      </c>
      <c r="G330" s="76">
        <v>139340</v>
      </c>
      <c r="H330" s="70" t="s">
        <v>1044</v>
      </c>
      <c r="I330" s="7">
        <f t="shared" ca="1" si="1"/>
        <v>0</v>
      </c>
      <c r="J330" s="71"/>
      <c r="K330" s="7"/>
    </row>
    <row r="331" spans="1:11" ht="14.25" hidden="1" customHeight="1">
      <c r="A331" s="14" t="s">
        <v>410</v>
      </c>
      <c r="B331" s="78"/>
      <c r="C331" s="78"/>
      <c r="D331" s="69">
        <v>45195</v>
      </c>
      <c r="E331" s="14">
        <v>372</v>
      </c>
      <c r="F331" s="69">
        <v>45195</v>
      </c>
      <c r="G331" s="76">
        <v>107614</v>
      </c>
      <c r="H331" s="70" t="s">
        <v>1044</v>
      </c>
      <c r="I331" s="7">
        <f t="shared" ca="1" si="1"/>
        <v>0</v>
      </c>
      <c r="J331" s="71"/>
      <c r="K331" s="7"/>
    </row>
    <row r="332" spans="1:11" ht="14.25" hidden="1" customHeight="1">
      <c r="A332" s="14" t="s">
        <v>1101</v>
      </c>
      <c r="B332" s="78"/>
      <c r="C332" s="78"/>
      <c r="D332" s="69">
        <v>45195</v>
      </c>
      <c r="E332" s="14">
        <v>373</v>
      </c>
      <c r="F332" s="69">
        <v>45195</v>
      </c>
      <c r="G332" s="76">
        <v>89246</v>
      </c>
      <c r="H332" s="70" t="s">
        <v>1100</v>
      </c>
      <c r="I332" s="7">
        <f t="shared" ca="1" si="1"/>
        <v>0</v>
      </c>
      <c r="J332" s="71"/>
      <c r="K332" s="7"/>
    </row>
    <row r="333" spans="1:11" ht="14.25" hidden="1" customHeight="1">
      <c r="A333" s="14" t="s">
        <v>1154</v>
      </c>
      <c r="B333" s="78"/>
      <c r="C333" s="78"/>
      <c r="D333" s="69">
        <v>45195</v>
      </c>
      <c r="E333" s="14">
        <v>374</v>
      </c>
      <c r="F333" s="69">
        <v>45195</v>
      </c>
      <c r="G333" s="76">
        <v>351050</v>
      </c>
      <c r="H333" s="70" t="s">
        <v>1130</v>
      </c>
      <c r="I333" s="7">
        <f t="shared" ca="1" si="1"/>
        <v>0</v>
      </c>
      <c r="J333" s="71"/>
      <c r="K333" s="7"/>
    </row>
    <row r="334" spans="1:11" ht="14.25" hidden="1" customHeight="1">
      <c r="A334" s="14" t="s">
        <v>1154</v>
      </c>
      <c r="B334" s="78"/>
      <c r="C334" s="78"/>
      <c r="D334" s="69">
        <v>45195</v>
      </c>
      <c r="E334" s="14">
        <v>375</v>
      </c>
      <c r="F334" s="69">
        <v>45195</v>
      </c>
      <c r="G334" s="76">
        <v>351050</v>
      </c>
      <c r="H334" s="70" t="s">
        <v>1100</v>
      </c>
      <c r="I334" s="7">
        <f t="shared" ca="1" si="1"/>
        <v>0</v>
      </c>
      <c r="J334" s="71"/>
      <c r="K334" s="7"/>
    </row>
    <row r="335" spans="1:11" ht="14.25" hidden="1" customHeight="1">
      <c r="A335" s="14" t="s">
        <v>1068</v>
      </c>
      <c r="B335" s="78"/>
      <c r="C335" s="78"/>
      <c r="D335" s="69">
        <v>45195</v>
      </c>
      <c r="E335" s="14">
        <v>376</v>
      </c>
      <c r="F335" s="69">
        <v>45195</v>
      </c>
      <c r="G335" s="76">
        <v>674858</v>
      </c>
      <c r="H335" s="70" t="s">
        <v>1100</v>
      </c>
      <c r="I335" s="7">
        <f t="shared" ca="1" si="1"/>
        <v>0</v>
      </c>
      <c r="J335" s="71"/>
      <c r="K335" s="7"/>
    </row>
    <row r="336" spans="1:11" ht="14.25" hidden="1" customHeight="1">
      <c r="A336" s="14" t="s">
        <v>1073</v>
      </c>
      <c r="B336" s="78"/>
      <c r="C336" s="78"/>
      <c r="D336" s="69">
        <v>45196</v>
      </c>
      <c r="E336" s="14">
        <v>377</v>
      </c>
      <c r="F336" s="69">
        <v>45198</v>
      </c>
      <c r="G336" s="76">
        <v>89246</v>
      </c>
      <c r="H336" s="70" t="s">
        <v>1100</v>
      </c>
      <c r="I336" s="7">
        <f t="shared" ca="1" si="1"/>
        <v>0</v>
      </c>
      <c r="J336" s="71"/>
      <c r="K336" s="7"/>
    </row>
    <row r="337" spans="1:11" ht="14.25" hidden="1" customHeight="1">
      <c r="A337" s="14" t="s">
        <v>261</v>
      </c>
      <c r="B337" s="78"/>
      <c r="C337" s="78"/>
      <c r="D337" s="69">
        <v>45196</v>
      </c>
      <c r="E337" s="14">
        <v>378</v>
      </c>
      <c r="F337" s="69">
        <v>45196</v>
      </c>
      <c r="G337" s="76">
        <v>202053</v>
      </c>
      <c r="H337" s="70" t="s">
        <v>1044</v>
      </c>
      <c r="I337" s="7">
        <f t="shared" ca="1" si="1"/>
        <v>0</v>
      </c>
      <c r="J337" s="71"/>
      <c r="K337" s="7"/>
    </row>
    <row r="338" spans="1:11" ht="14.25" hidden="1" customHeight="1">
      <c r="A338" s="14" t="s">
        <v>1155</v>
      </c>
      <c r="B338" s="78"/>
      <c r="C338" s="78"/>
      <c r="D338" s="69">
        <v>45196</v>
      </c>
      <c r="E338" s="14">
        <v>380</v>
      </c>
      <c r="F338" s="69">
        <v>45196</v>
      </c>
      <c r="G338" s="76">
        <v>185728</v>
      </c>
      <c r="H338" s="70" t="s">
        <v>1044</v>
      </c>
      <c r="I338" s="7">
        <f t="shared" ca="1" si="1"/>
        <v>0</v>
      </c>
      <c r="J338" s="71"/>
      <c r="K338" s="7"/>
    </row>
    <row r="339" spans="1:11" ht="14.25" hidden="1" customHeight="1">
      <c r="A339" s="14" t="s">
        <v>470</v>
      </c>
      <c r="B339" s="78"/>
      <c r="C339" s="78"/>
      <c r="D339" s="69">
        <v>45196</v>
      </c>
      <c r="E339" s="14">
        <v>381</v>
      </c>
      <c r="F339" s="69">
        <v>45197</v>
      </c>
      <c r="G339" s="76">
        <v>111980</v>
      </c>
      <c r="H339" s="70" t="s">
        <v>1100</v>
      </c>
      <c r="I339" s="7">
        <f t="shared" ca="1" si="1"/>
        <v>0</v>
      </c>
      <c r="J339" s="71"/>
      <c r="K339" s="7"/>
    </row>
    <row r="340" spans="1:11" ht="14.25" hidden="1" customHeight="1">
      <c r="A340" s="14" t="s">
        <v>220</v>
      </c>
      <c r="B340" s="78"/>
      <c r="C340" s="78"/>
      <c r="D340" s="69">
        <v>45196</v>
      </c>
      <c r="E340" s="14">
        <v>382</v>
      </c>
      <c r="F340" s="69">
        <v>45197</v>
      </c>
      <c r="G340" s="76">
        <v>606159</v>
      </c>
      <c r="H340" s="70" t="s">
        <v>1100</v>
      </c>
      <c r="I340" s="7">
        <f t="shared" ca="1" si="1"/>
        <v>0</v>
      </c>
      <c r="J340" s="71"/>
      <c r="K340" s="7"/>
    </row>
    <row r="341" spans="1:11" ht="14.25" hidden="1" customHeight="1">
      <c r="A341" s="14" t="s">
        <v>416</v>
      </c>
      <c r="B341" s="78"/>
      <c r="C341" s="78"/>
      <c r="D341" s="69">
        <v>45196</v>
      </c>
      <c r="E341" s="14">
        <v>383</v>
      </c>
      <c r="F341" s="69">
        <v>45197</v>
      </c>
      <c r="G341" s="76">
        <v>95487</v>
      </c>
      <c r="H341" s="70" t="s">
        <v>1044</v>
      </c>
      <c r="I341" s="7">
        <f t="shared" ca="1" si="1"/>
        <v>0</v>
      </c>
      <c r="J341" s="71"/>
      <c r="K341" s="7"/>
    </row>
    <row r="342" spans="1:11" ht="14.25" hidden="1" customHeight="1">
      <c r="A342" s="14" t="s">
        <v>1153</v>
      </c>
      <c r="B342" s="78"/>
      <c r="C342" s="78"/>
      <c r="D342" s="69">
        <v>45203</v>
      </c>
      <c r="E342" s="14">
        <v>384</v>
      </c>
      <c r="F342" s="69">
        <v>45203</v>
      </c>
      <c r="G342" s="76">
        <v>117308</v>
      </c>
      <c r="H342" s="70" t="s">
        <v>1044</v>
      </c>
      <c r="I342" s="7">
        <f t="shared" ca="1" si="1"/>
        <v>0</v>
      </c>
      <c r="J342" s="71"/>
      <c r="K342" s="7"/>
    </row>
    <row r="343" spans="1:11" ht="14.25" hidden="1" customHeight="1">
      <c r="A343" s="14" t="s">
        <v>1088</v>
      </c>
      <c r="B343" s="78"/>
      <c r="C343" s="78"/>
      <c r="D343" s="69">
        <v>45203</v>
      </c>
      <c r="E343" s="14">
        <v>385</v>
      </c>
      <c r="F343" s="69">
        <v>45203</v>
      </c>
      <c r="G343" s="76">
        <v>150123</v>
      </c>
      <c r="H343" s="70" t="s">
        <v>1044</v>
      </c>
      <c r="I343" s="7">
        <f t="shared" ca="1" si="1"/>
        <v>0</v>
      </c>
      <c r="J343" s="71"/>
      <c r="K343" s="7"/>
    </row>
    <row r="344" spans="1:11" ht="14.25" hidden="1" customHeight="1">
      <c r="A344" s="14" t="s">
        <v>1156</v>
      </c>
      <c r="B344" s="78"/>
      <c r="C344" s="78"/>
      <c r="D344" s="69">
        <v>45196</v>
      </c>
      <c r="E344" s="14">
        <v>386</v>
      </c>
      <c r="F344" s="69">
        <v>45196</v>
      </c>
      <c r="G344" s="76">
        <v>142004</v>
      </c>
      <c r="H344" s="70" t="s">
        <v>1100</v>
      </c>
      <c r="I344" s="7">
        <f t="shared" ca="1" si="1"/>
        <v>0</v>
      </c>
      <c r="J344" s="71"/>
      <c r="K344" s="7"/>
    </row>
    <row r="345" spans="1:11" ht="14.25" hidden="1" customHeight="1">
      <c r="A345" s="14" t="s">
        <v>1157</v>
      </c>
      <c r="B345" s="78"/>
      <c r="C345" s="78"/>
      <c r="D345" s="69">
        <v>45180</v>
      </c>
      <c r="E345" s="14">
        <v>370</v>
      </c>
      <c r="F345" s="69">
        <v>45182</v>
      </c>
      <c r="G345" s="76">
        <v>111674</v>
      </c>
      <c r="H345" s="70" t="s">
        <v>1100</v>
      </c>
      <c r="I345" s="7">
        <f t="shared" ca="1" si="1"/>
        <v>0</v>
      </c>
      <c r="J345" s="71"/>
      <c r="K345" s="7"/>
    </row>
    <row r="346" spans="1:11" ht="14.25" hidden="1" customHeight="1">
      <c r="A346" s="14" t="s">
        <v>383</v>
      </c>
      <c r="B346" s="78"/>
      <c r="C346" s="78"/>
      <c r="D346" s="69">
        <v>45210</v>
      </c>
      <c r="E346" s="14">
        <v>387</v>
      </c>
      <c r="F346" s="69">
        <v>45213</v>
      </c>
      <c r="G346" s="76">
        <v>113759</v>
      </c>
      <c r="H346" s="70" t="s">
        <v>1100</v>
      </c>
      <c r="I346" s="7">
        <f t="shared" ca="1" si="1"/>
        <v>0</v>
      </c>
      <c r="J346" s="71"/>
      <c r="K346" s="7"/>
    </row>
    <row r="347" spans="1:11" ht="14.25" hidden="1" customHeight="1">
      <c r="A347" s="14" t="s">
        <v>1158</v>
      </c>
      <c r="B347" s="78"/>
      <c r="C347" s="78"/>
      <c r="D347" s="69">
        <v>45210</v>
      </c>
      <c r="E347" s="14">
        <v>388</v>
      </c>
      <c r="F347" s="69">
        <v>45212</v>
      </c>
      <c r="G347" s="76">
        <v>114944</v>
      </c>
      <c r="H347" s="70" t="s">
        <v>1044</v>
      </c>
      <c r="I347" s="7">
        <f t="shared" ca="1" si="1"/>
        <v>0</v>
      </c>
      <c r="J347" s="71"/>
      <c r="K347" s="7"/>
    </row>
    <row r="348" spans="1:11" ht="14.25" hidden="1" customHeight="1">
      <c r="A348" s="14" t="s">
        <v>1159</v>
      </c>
      <c r="B348" s="78"/>
      <c r="C348" s="78"/>
      <c r="D348" s="69">
        <v>45210</v>
      </c>
      <c r="E348" s="14">
        <v>389</v>
      </c>
      <c r="F348" s="69">
        <v>45212</v>
      </c>
      <c r="G348" s="76">
        <v>121493</v>
      </c>
      <c r="H348" s="70" t="s">
        <v>1044</v>
      </c>
      <c r="I348" s="7">
        <f t="shared" ca="1" si="1"/>
        <v>0</v>
      </c>
      <c r="J348" s="71"/>
      <c r="K348" s="7"/>
    </row>
    <row r="349" spans="1:11" ht="14.25" hidden="1" customHeight="1">
      <c r="A349" s="14" t="s">
        <v>1056</v>
      </c>
      <c r="B349" s="78"/>
      <c r="C349" s="78"/>
      <c r="D349" s="69">
        <v>45197</v>
      </c>
      <c r="E349" s="14" t="s">
        <v>1057</v>
      </c>
      <c r="F349" s="69">
        <v>45197</v>
      </c>
      <c r="G349" s="76">
        <v>172000</v>
      </c>
      <c r="H349" s="70" t="s">
        <v>1044</v>
      </c>
      <c r="I349" s="7">
        <f t="shared" ca="1" si="1"/>
        <v>0</v>
      </c>
      <c r="J349" s="71"/>
      <c r="K349" s="7"/>
    </row>
    <row r="350" spans="1:11" ht="14.25" hidden="1" customHeight="1">
      <c r="A350" s="14" t="s">
        <v>126</v>
      </c>
      <c r="B350" s="78"/>
      <c r="C350" s="78"/>
      <c r="D350" s="69">
        <v>45215</v>
      </c>
      <c r="E350" s="14">
        <v>390</v>
      </c>
      <c r="F350" s="69">
        <v>45215</v>
      </c>
      <c r="G350" s="76">
        <v>197403</v>
      </c>
      <c r="H350" s="70" t="s">
        <v>1100</v>
      </c>
      <c r="I350" s="7">
        <f t="shared" ca="1" si="1"/>
        <v>0</v>
      </c>
      <c r="J350" s="71"/>
      <c r="K350" s="7"/>
    </row>
    <row r="351" spans="1:11" ht="14.25" hidden="1" customHeight="1">
      <c r="A351" s="14" t="s">
        <v>1064</v>
      </c>
      <c r="B351" s="78"/>
      <c r="C351" s="78"/>
      <c r="D351" s="69">
        <v>45215</v>
      </c>
      <c r="E351" s="14">
        <v>391</v>
      </c>
      <c r="F351" s="69">
        <v>45215</v>
      </c>
      <c r="G351" s="76">
        <v>56687</v>
      </c>
      <c r="H351" s="70" t="s">
        <v>1100</v>
      </c>
      <c r="I351" s="7">
        <f t="shared" ca="1" si="1"/>
        <v>0</v>
      </c>
      <c r="J351" s="71"/>
      <c r="K351" s="7"/>
    </row>
    <row r="352" spans="1:11" ht="14.25" hidden="1" customHeight="1">
      <c r="A352" s="14" t="s">
        <v>1157</v>
      </c>
      <c r="B352" s="78"/>
      <c r="C352" s="78"/>
      <c r="D352" s="69">
        <v>45215</v>
      </c>
      <c r="E352" s="14">
        <v>392</v>
      </c>
      <c r="F352" s="69">
        <v>45216</v>
      </c>
      <c r="G352" s="76">
        <v>121556</v>
      </c>
      <c r="H352" s="70" t="s">
        <v>1100</v>
      </c>
      <c r="I352" s="7">
        <f t="shared" ca="1" si="1"/>
        <v>0</v>
      </c>
      <c r="J352" s="71"/>
      <c r="K352" s="7"/>
    </row>
    <row r="353" spans="1:11" ht="14.25" hidden="1" customHeight="1">
      <c r="A353" s="14" t="s">
        <v>1160</v>
      </c>
      <c r="B353" s="78"/>
      <c r="C353" s="78"/>
      <c r="D353" s="69">
        <v>45217</v>
      </c>
      <c r="E353" s="14">
        <v>393</v>
      </c>
      <c r="F353" s="69">
        <v>45217</v>
      </c>
      <c r="G353" s="76">
        <v>101026</v>
      </c>
      <c r="H353" s="70" t="s">
        <v>1100</v>
      </c>
      <c r="I353" s="7">
        <f t="shared" ca="1" si="1"/>
        <v>0</v>
      </c>
      <c r="J353" s="71"/>
      <c r="K353" s="7"/>
    </row>
    <row r="354" spans="1:11" ht="14.25" hidden="1" customHeight="1">
      <c r="A354" s="14" t="s">
        <v>1113</v>
      </c>
      <c r="B354" s="78"/>
      <c r="C354" s="78"/>
      <c r="D354" s="69">
        <v>45219</v>
      </c>
      <c r="E354" s="14">
        <v>394</v>
      </c>
      <c r="F354" s="69">
        <v>45219</v>
      </c>
      <c r="G354" s="76">
        <v>232077</v>
      </c>
      <c r="H354" s="70" t="s">
        <v>1100</v>
      </c>
      <c r="I354" s="7">
        <f t="shared" ca="1" si="1"/>
        <v>0</v>
      </c>
      <c r="J354" s="71"/>
      <c r="K354" s="7"/>
    </row>
    <row r="355" spans="1:11" ht="14.25" hidden="1" customHeight="1">
      <c r="A355" s="14" t="s">
        <v>330</v>
      </c>
      <c r="B355" s="78"/>
      <c r="C355" s="78"/>
      <c r="D355" s="69">
        <v>45219</v>
      </c>
      <c r="E355" s="14">
        <v>395</v>
      </c>
      <c r="F355" s="69">
        <v>45219</v>
      </c>
      <c r="G355" s="76">
        <v>220342</v>
      </c>
      <c r="H355" s="70" t="s">
        <v>1100</v>
      </c>
      <c r="I355" s="7">
        <f t="shared" ca="1" si="1"/>
        <v>0</v>
      </c>
      <c r="J355" s="71"/>
      <c r="K355" s="7"/>
    </row>
    <row r="356" spans="1:11" ht="14.25" hidden="1" customHeight="1">
      <c r="A356" s="14" t="s">
        <v>1073</v>
      </c>
      <c r="B356" s="78"/>
      <c r="C356" s="78"/>
      <c r="D356" s="69">
        <v>45219</v>
      </c>
      <c r="E356" s="14">
        <v>396</v>
      </c>
      <c r="F356" s="69">
        <v>45219</v>
      </c>
      <c r="G356" s="76">
        <v>178492</v>
      </c>
      <c r="H356" s="70" t="s">
        <v>1044</v>
      </c>
      <c r="I356" s="7">
        <f t="shared" ca="1" si="1"/>
        <v>0</v>
      </c>
      <c r="J356" s="71"/>
      <c r="K356" s="7"/>
    </row>
    <row r="357" spans="1:11" ht="14.25" hidden="1" customHeight="1">
      <c r="A357" s="14" t="s">
        <v>1161</v>
      </c>
      <c r="B357" s="78"/>
      <c r="C357" s="78"/>
      <c r="D357" s="69">
        <v>45219</v>
      </c>
      <c r="E357" s="14">
        <v>397</v>
      </c>
      <c r="F357" s="69">
        <v>45220</v>
      </c>
      <c r="G357" s="76">
        <v>202053</v>
      </c>
      <c r="H357" s="70" t="s">
        <v>1044</v>
      </c>
      <c r="I357" s="7">
        <f t="shared" ca="1" si="1"/>
        <v>0</v>
      </c>
      <c r="J357" s="71"/>
      <c r="K357" s="7"/>
    </row>
    <row r="358" spans="1:11" ht="14.25" hidden="1" customHeight="1">
      <c r="A358" s="14" t="s">
        <v>1076</v>
      </c>
      <c r="B358" s="78"/>
      <c r="C358" s="78"/>
      <c r="D358" s="69">
        <v>45224</v>
      </c>
      <c r="E358" s="14">
        <v>398</v>
      </c>
      <c r="F358" s="69">
        <v>45224</v>
      </c>
      <c r="G358" s="76">
        <v>117434</v>
      </c>
      <c r="H358" s="70" t="s">
        <v>1100</v>
      </c>
      <c r="I358" s="7">
        <f t="shared" ca="1" si="1"/>
        <v>0</v>
      </c>
      <c r="J358" s="71"/>
      <c r="K358" s="7"/>
    </row>
    <row r="359" spans="1:11" ht="14.25" hidden="1" customHeight="1">
      <c r="A359" s="14" t="s">
        <v>410</v>
      </c>
      <c r="B359" s="78"/>
      <c r="C359" s="78"/>
      <c r="D359" s="69">
        <v>45224</v>
      </c>
      <c r="E359" s="14">
        <v>399</v>
      </c>
      <c r="F359" s="69">
        <v>45224</v>
      </c>
      <c r="G359" s="76">
        <v>122888</v>
      </c>
      <c r="H359" s="70" t="s">
        <v>1044</v>
      </c>
      <c r="I359" s="7">
        <f t="shared" ca="1" si="1"/>
        <v>0</v>
      </c>
      <c r="J359" s="71"/>
      <c r="K359" s="7"/>
    </row>
    <row r="360" spans="1:11" ht="14.25" hidden="1" customHeight="1">
      <c r="A360" s="14" t="s">
        <v>1125</v>
      </c>
      <c r="B360" s="78"/>
      <c r="C360" s="78"/>
      <c r="D360" s="69">
        <v>45224</v>
      </c>
      <c r="E360" s="14">
        <v>400</v>
      </c>
      <c r="F360" s="69">
        <v>45226</v>
      </c>
      <c r="G360" s="76">
        <v>398165</v>
      </c>
      <c r="H360" s="70" t="s">
        <v>1130</v>
      </c>
      <c r="I360" s="7">
        <f t="shared" ca="1" si="1"/>
        <v>0</v>
      </c>
      <c r="J360" s="71"/>
      <c r="K360" s="7" t="s">
        <v>1162</v>
      </c>
    </row>
    <row r="361" spans="1:11" ht="14.25" hidden="1" customHeight="1">
      <c r="A361" s="14" t="s">
        <v>1067</v>
      </c>
      <c r="B361" s="78"/>
      <c r="C361" s="78"/>
      <c r="D361" s="69">
        <v>45224</v>
      </c>
      <c r="E361" s="14">
        <v>401</v>
      </c>
      <c r="F361" s="69">
        <v>45224</v>
      </c>
      <c r="G361" s="76">
        <v>46737</v>
      </c>
      <c r="H361" s="70" t="s">
        <v>1100</v>
      </c>
      <c r="I361" s="7">
        <f t="shared" ca="1" si="1"/>
        <v>0</v>
      </c>
      <c r="J361" s="71"/>
      <c r="K361" s="7"/>
    </row>
    <row r="362" spans="1:11" ht="14.25" hidden="1" customHeight="1">
      <c r="A362" s="14" t="s">
        <v>1088</v>
      </c>
      <c r="B362" s="78"/>
      <c r="C362" s="78"/>
      <c r="D362" s="69">
        <v>45224</v>
      </c>
      <c r="E362" s="14">
        <v>402</v>
      </c>
      <c r="F362" s="69">
        <v>45224</v>
      </c>
      <c r="G362" s="76">
        <v>114644</v>
      </c>
      <c r="H362" s="70" t="s">
        <v>1044</v>
      </c>
      <c r="I362" s="7">
        <f t="shared" ca="1" si="1"/>
        <v>0</v>
      </c>
      <c r="J362" s="71"/>
      <c r="K362" s="7"/>
    </row>
    <row r="363" spans="1:11" ht="14.25" hidden="1" customHeight="1">
      <c r="A363" s="14" t="s">
        <v>126</v>
      </c>
      <c r="B363" s="78"/>
      <c r="C363" s="78"/>
      <c r="D363" s="69">
        <v>45224</v>
      </c>
      <c r="E363" s="14">
        <v>403</v>
      </c>
      <c r="F363" s="69">
        <v>45222</v>
      </c>
      <c r="G363" s="76">
        <v>324745</v>
      </c>
      <c r="H363" s="70" t="s">
        <v>1044</v>
      </c>
      <c r="I363" s="7">
        <f t="shared" ca="1" si="1"/>
        <v>0</v>
      </c>
      <c r="J363" s="71"/>
      <c r="K363" s="7"/>
    </row>
    <row r="364" spans="1:11" ht="14.25" hidden="1" customHeight="1">
      <c r="A364" s="14" t="s">
        <v>1128</v>
      </c>
      <c r="B364" s="78"/>
      <c r="C364" s="78"/>
      <c r="D364" s="69">
        <v>45230</v>
      </c>
      <c r="E364" s="14">
        <v>404</v>
      </c>
      <c r="F364" s="69">
        <v>45230</v>
      </c>
      <c r="G364" s="76">
        <v>202053</v>
      </c>
      <c r="H364" s="70" t="s">
        <v>1100</v>
      </c>
      <c r="I364" s="7"/>
      <c r="J364" s="71"/>
      <c r="K364" s="7" t="s">
        <v>1163</v>
      </c>
    </row>
    <row r="365" spans="1:11" ht="14.25" hidden="1" customHeight="1">
      <c r="A365" s="14" t="s">
        <v>1164</v>
      </c>
      <c r="B365" s="78"/>
      <c r="C365" s="78"/>
      <c r="D365" s="69">
        <v>45230</v>
      </c>
      <c r="E365" s="14">
        <v>405</v>
      </c>
      <c r="F365" s="69">
        <v>45232</v>
      </c>
      <c r="G365" s="76">
        <v>101026</v>
      </c>
      <c r="H365" s="70" t="s">
        <v>1100</v>
      </c>
      <c r="I365" s="7">
        <f t="shared" ref="I365:I526" ca="1" si="2">IF(OR(H365="Pagado",H365="Anulada"),0,IF(ISNUMBER(E365),TODAY()-D365,TODAY()-F365))</f>
        <v>0</v>
      </c>
      <c r="J365" s="71"/>
      <c r="K365" s="7"/>
    </row>
    <row r="366" spans="1:11" ht="14.25" hidden="1" customHeight="1">
      <c r="A366" s="14" t="s">
        <v>1165</v>
      </c>
      <c r="B366" s="78"/>
      <c r="C366" s="78"/>
      <c r="D366" s="69">
        <v>45230</v>
      </c>
      <c r="E366" s="14">
        <v>406</v>
      </c>
      <c r="F366" s="69"/>
      <c r="G366" s="76">
        <v>220342</v>
      </c>
      <c r="H366" s="70" t="s">
        <v>1130</v>
      </c>
      <c r="I366" s="7">
        <f t="shared" ca="1" si="2"/>
        <v>0</v>
      </c>
      <c r="J366" s="71"/>
      <c r="K366" s="7" t="s">
        <v>1166</v>
      </c>
    </row>
    <row r="367" spans="1:11" ht="14.25" hidden="1" customHeight="1">
      <c r="A367" s="14" t="s">
        <v>1067</v>
      </c>
      <c r="B367" s="78"/>
      <c r="C367" s="78"/>
      <c r="D367" s="69">
        <v>45238</v>
      </c>
      <c r="E367" s="14">
        <v>407</v>
      </c>
      <c r="F367" s="69">
        <v>45238</v>
      </c>
      <c r="G367" s="76">
        <v>183109</v>
      </c>
      <c r="H367" s="70" t="s">
        <v>1044</v>
      </c>
      <c r="I367" s="7">
        <f t="shared" ca="1" si="2"/>
        <v>0</v>
      </c>
      <c r="J367" s="71"/>
      <c r="K367" s="7"/>
    </row>
    <row r="368" spans="1:11" ht="14.25" hidden="1" customHeight="1">
      <c r="A368" s="14" t="s">
        <v>245</v>
      </c>
      <c r="B368" s="78"/>
      <c r="C368" s="78"/>
      <c r="D368" s="69">
        <v>45238</v>
      </c>
      <c r="E368" s="14">
        <v>408</v>
      </c>
      <c r="F368" s="69">
        <v>45238</v>
      </c>
      <c r="G368" s="76">
        <v>110413</v>
      </c>
      <c r="H368" s="70" t="s">
        <v>1044</v>
      </c>
      <c r="I368" s="7">
        <f t="shared" ca="1" si="2"/>
        <v>0</v>
      </c>
      <c r="J368" s="71"/>
      <c r="K368" s="7"/>
    </row>
    <row r="369" spans="1:13" ht="14.25" hidden="1" customHeight="1">
      <c r="A369" s="14" t="s">
        <v>1157</v>
      </c>
      <c r="B369" s="78"/>
      <c r="C369" s="78"/>
      <c r="D369" s="69">
        <v>45238</v>
      </c>
      <c r="E369" s="14">
        <v>410</v>
      </c>
      <c r="F369" s="69">
        <v>45239</v>
      </c>
      <c r="G369" s="76">
        <v>105130</v>
      </c>
      <c r="H369" s="70" t="s">
        <v>1100</v>
      </c>
      <c r="I369" s="7">
        <f t="shared" ca="1" si="2"/>
        <v>0</v>
      </c>
      <c r="J369" s="71"/>
      <c r="K369" s="7"/>
    </row>
    <row r="370" spans="1:13" ht="14.25" hidden="1" customHeight="1">
      <c r="A370" s="14" t="s">
        <v>487</v>
      </c>
      <c r="B370" s="78"/>
      <c r="C370" s="78"/>
      <c r="D370" s="69">
        <v>45243</v>
      </c>
      <c r="E370" s="14">
        <v>411</v>
      </c>
      <c r="F370" s="69">
        <v>45246</v>
      </c>
      <c r="G370" s="76">
        <v>199263</v>
      </c>
      <c r="H370" s="70" t="s">
        <v>1044</v>
      </c>
      <c r="I370" s="7">
        <f t="shared" ca="1" si="2"/>
        <v>0</v>
      </c>
      <c r="J370" s="71"/>
      <c r="K370" s="7"/>
    </row>
    <row r="371" spans="1:13" ht="14.25" hidden="1" customHeight="1">
      <c r="A371" s="14" t="s">
        <v>251</v>
      </c>
      <c r="B371" s="78"/>
      <c r="C371" s="78"/>
      <c r="D371" s="69">
        <v>45243</v>
      </c>
      <c r="E371" s="14">
        <v>412</v>
      </c>
      <c r="F371" s="69">
        <v>45243</v>
      </c>
      <c r="G371" s="76">
        <v>114770</v>
      </c>
      <c r="H371" s="70" t="s">
        <v>1100</v>
      </c>
      <c r="I371" s="7">
        <f t="shared" ca="1" si="2"/>
        <v>0</v>
      </c>
      <c r="J371" s="80"/>
      <c r="K371" s="7"/>
    </row>
    <row r="372" spans="1:13" ht="14.25" hidden="1" customHeight="1">
      <c r="A372" s="14" t="s">
        <v>470</v>
      </c>
      <c r="B372" s="78"/>
      <c r="C372" s="78"/>
      <c r="D372" s="69">
        <v>45243</v>
      </c>
      <c r="E372" s="14">
        <v>413</v>
      </c>
      <c r="F372" s="69">
        <v>45243</v>
      </c>
      <c r="G372" s="76">
        <v>144669</v>
      </c>
      <c r="H372" s="70" t="s">
        <v>1100</v>
      </c>
      <c r="I372" s="7">
        <f t="shared" ca="1" si="2"/>
        <v>0</v>
      </c>
      <c r="J372" s="71"/>
      <c r="K372" s="7"/>
    </row>
    <row r="373" spans="1:13" ht="14.25" hidden="1" customHeight="1">
      <c r="A373" s="14" t="s">
        <v>1164</v>
      </c>
      <c r="B373" s="78"/>
      <c r="C373" s="78"/>
      <c r="D373" s="69">
        <v>45243</v>
      </c>
      <c r="E373" s="14">
        <v>414</v>
      </c>
      <c r="F373" s="69">
        <v>45243</v>
      </c>
      <c r="G373" s="76">
        <v>174054</v>
      </c>
      <c r="H373" s="70" t="s">
        <v>1100</v>
      </c>
      <c r="I373" s="7">
        <f t="shared" ca="1" si="2"/>
        <v>0</v>
      </c>
      <c r="J373" s="71"/>
      <c r="K373" s="7"/>
      <c r="M373" s="81"/>
    </row>
    <row r="374" spans="1:13" ht="14.25" hidden="1" customHeight="1">
      <c r="A374" s="14" t="s">
        <v>1167</v>
      </c>
      <c r="B374" s="78"/>
      <c r="C374" s="78"/>
      <c r="D374" s="69">
        <v>45246</v>
      </c>
      <c r="E374" s="14">
        <v>415</v>
      </c>
      <c r="F374" s="69">
        <v>45250</v>
      </c>
      <c r="G374" s="76">
        <v>118829</v>
      </c>
      <c r="H374" s="70" t="s">
        <v>1044</v>
      </c>
      <c r="I374" s="7">
        <f t="shared" ca="1" si="2"/>
        <v>0</v>
      </c>
      <c r="J374" s="71"/>
      <c r="K374" s="7"/>
    </row>
    <row r="375" spans="1:13" ht="14.25" hidden="1" customHeight="1">
      <c r="A375" s="14" t="s">
        <v>440</v>
      </c>
      <c r="B375" s="78"/>
      <c r="C375" s="78"/>
      <c r="D375" s="69">
        <v>45246</v>
      </c>
      <c r="E375" s="14">
        <v>417</v>
      </c>
      <c r="F375" s="69">
        <v>45250</v>
      </c>
      <c r="G375" s="76">
        <v>120795</v>
      </c>
      <c r="H375" s="70" t="s">
        <v>1100</v>
      </c>
      <c r="I375" s="7">
        <f t="shared" ca="1" si="2"/>
        <v>0</v>
      </c>
      <c r="J375" s="71"/>
      <c r="K375" s="7"/>
    </row>
    <row r="376" spans="1:13" ht="14.25" hidden="1" customHeight="1">
      <c r="A376" s="14" t="s">
        <v>1073</v>
      </c>
      <c r="B376" s="78"/>
      <c r="C376" s="78"/>
      <c r="D376" s="69">
        <v>45246</v>
      </c>
      <c r="E376" s="14">
        <v>418</v>
      </c>
      <c r="F376" s="69">
        <v>45246</v>
      </c>
      <c r="G376" s="76">
        <v>178492</v>
      </c>
      <c r="H376" s="70" t="s">
        <v>1044</v>
      </c>
      <c r="I376" s="7">
        <f t="shared" ca="1" si="2"/>
        <v>0</v>
      </c>
      <c r="J376" s="71"/>
      <c r="K376" s="7"/>
    </row>
    <row r="377" spans="1:13" ht="14.25" hidden="1" customHeight="1">
      <c r="A377" s="14" t="s">
        <v>330</v>
      </c>
      <c r="B377" s="78"/>
      <c r="C377" s="78"/>
      <c r="D377" s="69">
        <v>45246</v>
      </c>
      <c r="E377" s="14">
        <v>419</v>
      </c>
      <c r="F377" s="69">
        <v>45245</v>
      </c>
      <c r="G377" s="76">
        <v>220342</v>
      </c>
      <c r="H377" s="70" t="s">
        <v>1100</v>
      </c>
      <c r="I377" s="7">
        <f t="shared" ca="1" si="2"/>
        <v>0</v>
      </c>
      <c r="J377" s="71"/>
      <c r="K377" s="7" t="s">
        <v>1168</v>
      </c>
    </row>
    <row r="378" spans="1:13" ht="14.25" hidden="1" customHeight="1">
      <c r="A378" s="82" t="s">
        <v>131</v>
      </c>
      <c r="B378" s="78"/>
      <c r="C378" s="78"/>
      <c r="D378" s="69">
        <v>45246</v>
      </c>
      <c r="E378" s="14">
        <v>420</v>
      </c>
      <c r="F378" s="69">
        <v>45245</v>
      </c>
      <c r="G378" s="76">
        <v>115449</v>
      </c>
      <c r="H378" s="70" t="s">
        <v>1044</v>
      </c>
      <c r="I378" s="7">
        <f t="shared" ca="1" si="2"/>
        <v>0</v>
      </c>
      <c r="J378" s="71"/>
      <c r="K378" s="7"/>
    </row>
    <row r="379" spans="1:13" ht="14.25" hidden="1" customHeight="1">
      <c r="A379" s="14" t="s">
        <v>1142</v>
      </c>
      <c r="B379" s="78"/>
      <c r="C379" s="78"/>
      <c r="D379" s="69">
        <v>45246</v>
      </c>
      <c r="E379" s="14">
        <v>421</v>
      </c>
      <c r="F379" s="77">
        <v>45247</v>
      </c>
      <c r="G379" s="76">
        <v>284790</v>
      </c>
      <c r="H379" s="70" t="s">
        <v>1044</v>
      </c>
      <c r="I379" s="7">
        <f t="shared" ca="1" si="2"/>
        <v>0</v>
      </c>
      <c r="J379" s="71"/>
      <c r="K379" s="7"/>
    </row>
    <row r="380" spans="1:13" ht="14.25" hidden="1" customHeight="1">
      <c r="A380" s="14" t="s">
        <v>1077</v>
      </c>
      <c r="B380" s="78"/>
      <c r="C380" s="78"/>
      <c r="D380" s="69">
        <v>45246</v>
      </c>
      <c r="E380" s="14">
        <v>422</v>
      </c>
      <c r="F380" s="69">
        <v>45245</v>
      </c>
      <c r="G380" s="76">
        <v>178492</v>
      </c>
      <c r="H380" s="70" t="s">
        <v>1100</v>
      </c>
      <c r="I380" s="7">
        <f t="shared" ca="1" si="2"/>
        <v>0</v>
      </c>
      <c r="J380" s="71"/>
      <c r="K380" s="7"/>
    </row>
    <row r="381" spans="1:13" ht="14.25" hidden="1" customHeight="1">
      <c r="A381" s="14" t="s">
        <v>1169</v>
      </c>
      <c r="B381" s="78"/>
      <c r="C381" s="78"/>
      <c r="D381" s="69">
        <v>45247</v>
      </c>
      <c r="E381" s="14">
        <v>423</v>
      </c>
      <c r="F381" s="69">
        <v>45246</v>
      </c>
      <c r="G381" s="76">
        <v>145473</v>
      </c>
      <c r="H381" s="70" t="s">
        <v>1130</v>
      </c>
      <c r="I381" s="7">
        <f t="shared" ca="1" si="2"/>
        <v>0</v>
      </c>
      <c r="J381" s="71"/>
      <c r="K381" s="7" t="s">
        <v>1170</v>
      </c>
    </row>
    <row r="382" spans="1:13" ht="14.25" hidden="1" customHeight="1">
      <c r="A382" s="14" t="s">
        <v>1171</v>
      </c>
      <c r="B382" s="78"/>
      <c r="C382" s="78"/>
      <c r="D382" s="69">
        <v>45247</v>
      </c>
      <c r="E382" s="14">
        <v>424</v>
      </c>
      <c r="F382" s="69">
        <v>45246</v>
      </c>
      <c r="G382" s="76">
        <v>122888</v>
      </c>
      <c r="H382" s="70" t="s">
        <v>1044</v>
      </c>
      <c r="I382" s="7">
        <f t="shared" ca="1" si="2"/>
        <v>0</v>
      </c>
      <c r="J382" s="71"/>
      <c r="K382" s="7"/>
    </row>
    <row r="383" spans="1:13" ht="14.25" hidden="1" customHeight="1">
      <c r="A383" s="14" t="s">
        <v>1152</v>
      </c>
      <c r="B383" s="78"/>
      <c r="C383" s="78"/>
      <c r="D383" s="69">
        <v>45248</v>
      </c>
      <c r="E383" s="14">
        <v>425</v>
      </c>
      <c r="F383" s="69">
        <v>45248</v>
      </c>
      <c r="G383" s="76">
        <v>202053</v>
      </c>
      <c r="H383" s="70" t="s">
        <v>1100</v>
      </c>
      <c r="I383" s="7">
        <f t="shared" ca="1" si="2"/>
        <v>0</v>
      </c>
      <c r="J383" s="71"/>
      <c r="K383" s="7"/>
    </row>
    <row r="384" spans="1:13" ht="14.25" hidden="1" customHeight="1">
      <c r="A384" s="14" t="s">
        <v>1169</v>
      </c>
      <c r="B384" s="78"/>
      <c r="C384" s="78"/>
      <c r="D384" s="69">
        <v>45250</v>
      </c>
      <c r="E384" s="14">
        <v>427</v>
      </c>
      <c r="F384" s="69">
        <v>45250</v>
      </c>
      <c r="G384" s="76">
        <v>148854</v>
      </c>
      <c r="H384" s="70" t="s">
        <v>1100</v>
      </c>
      <c r="I384" s="7">
        <f t="shared" ca="1" si="2"/>
        <v>0</v>
      </c>
      <c r="J384" s="71"/>
      <c r="K384" s="7"/>
    </row>
    <row r="385" spans="1:11" ht="14.25" hidden="1" customHeight="1">
      <c r="A385" s="14" t="s">
        <v>1171</v>
      </c>
      <c r="B385" s="78"/>
      <c r="C385" s="78"/>
      <c r="D385" s="69">
        <v>45252</v>
      </c>
      <c r="E385" s="14">
        <v>430</v>
      </c>
      <c r="F385" s="69">
        <v>45252</v>
      </c>
      <c r="G385" s="76">
        <v>88678</v>
      </c>
      <c r="H385" s="70" t="s">
        <v>1044</v>
      </c>
      <c r="I385" s="7">
        <f t="shared" ca="1" si="2"/>
        <v>0</v>
      </c>
      <c r="J385" s="71"/>
      <c r="K385" s="7"/>
    </row>
    <row r="386" spans="1:11" ht="14.25" hidden="1" customHeight="1">
      <c r="A386" s="384" t="s">
        <v>1113</v>
      </c>
      <c r="B386" s="78"/>
      <c r="C386" s="78"/>
      <c r="D386" s="69">
        <v>45252</v>
      </c>
      <c r="E386" s="14">
        <v>431</v>
      </c>
      <c r="F386" s="77">
        <v>45252</v>
      </c>
      <c r="G386" s="76">
        <v>170634</v>
      </c>
      <c r="H386" s="70" t="s">
        <v>1100</v>
      </c>
      <c r="I386" s="7">
        <f t="shared" ca="1" si="2"/>
        <v>0</v>
      </c>
      <c r="J386" s="71"/>
      <c r="K386" s="7"/>
    </row>
    <row r="387" spans="1:11" ht="14.25" hidden="1" customHeight="1">
      <c r="A387" s="14" t="s">
        <v>1172</v>
      </c>
      <c r="B387" s="78"/>
      <c r="C387" s="78"/>
      <c r="D387" s="69">
        <v>45250</v>
      </c>
      <c r="E387" s="14">
        <v>428</v>
      </c>
      <c r="F387" s="69">
        <v>45251</v>
      </c>
      <c r="G387" s="76">
        <v>116737</v>
      </c>
      <c r="H387" s="70" t="s">
        <v>1044</v>
      </c>
      <c r="I387" s="7">
        <f t="shared" ca="1" si="2"/>
        <v>0</v>
      </c>
      <c r="J387" s="71"/>
      <c r="K387" s="7"/>
    </row>
    <row r="388" spans="1:11" ht="14.25" hidden="1" customHeight="1">
      <c r="A388" s="14" t="s">
        <v>410</v>
      </c>
      <c r="B388" s="78"/>
      <c r="C388" s="78"/>
      <c r="D388" s="69">
        <v>45250</v>
      </c>
      <c r="E388" s="14">
        <v>429</v>
      </c>
      <c r="F388" s="69">
        <v>45251</v>
      </c>
      <c r="G388" s="76">
        <v>170634</v>
      </c>
      <c r="H388" s="70" t="s">
        <v>1100</v>
      </c>
      <c r="I388" s="7">
        <f t="shared" ca="1" si="2"/>
        <v>0</v>
      </c>
      <c r="J388" s="71"/>
      <c r="K388" s="7"/>
    </row>
    <row r="389" spans="1:11" ht="14.25" hidden="1" customHeight="1">
      <c r="A389" s="14" t="s">
        <v>1160</v>
      </c>
      <c r="B389" s="78"/>
      <c r="C389" s="78"/>
      <c r="D389" s="69">
        <v>45253</v>
      </c>
      <c r="E389" s="14">
        <v>432</v>
      </c>
      <c r="F389" s="77"/>
      <c r="G389" s="76">
        <v>119716</v>
      </c>
      <c r="H389" s="70" t="s">
        <v>1044</v>
      </c>
      <c r="I389" s="7">
        <f t="shared" ca="1" si="2"/>
        <v>0</v>
      </c>
      <c r="J389" s="71"/>
      <c r="K389" s="7"/>
    </row>
    <row r="390" spans="1:11" ht="14.25" hidden="1" customHeight="1">
      <c r="A390" s="14" t="s">
        <v>1056</v>
      </c>
      <c r="B390" s="78"/>
      <c r="C390" s="78"/>
      <c r="D390" s="69">
        <v>45258</v>
      </c>
      <c r="E390" s="15" t="s">
        <v>1057</v>
      </c>
      <c r="F390" s="69">
        <v>45258</v>
      </c>
      <c r="G390" s="76">
        <v>174000</v>
      </c>
      <c r="H390" s="70" t="s">
        <v>1100</v>
      </c>
      <c r="I390" s="7">
        <f t="shared" ca="1" si="2"/>
        <v>0</v>
      </c>
      <c r="J390" s="71"/>
      <c r="K390" s="7"/>
    </row>
    <row r="391" spans="1:11" ht="14.25" hidden="1" customHeight="1">
      <c r="A391" s="14" t="s">
        <v>1173</v>
      </c>
      <c r="B391" s="78"/>
      <c r="C391" s="78"/>
      <c r="D391" s="69">
        <v>45253</v>
      </c>
      <c r="E391" s="14">
        <v>433</v>
      </c>
      <c r="F391" s="14" t="s">
        <v>1174</v>
      </c>
      <c r="G391" s="76">
        <v>392700</v>
      </c>
      <c r="H391" s="70" t="s">
        <v>1044</v>
      </c>
      <c r="I391" s="7">
        <f t="shared" ca="1" si="2"/>
        <v>0</v>
      </c>
      <c r="J391" s="71"/>
      <c r="K391" s="7" t="s">
        <v>1175</v>
      </c>
    </row>
    <row r="392" spans="1:11" ht="14.25" hidden="1" customHeight="1">
      <c r="A392" s="14" t="s">
        <v>226</v>
      </c>
      <c r="B392" s="78"/>
      <c r="C392" s="78"/>
      <c r="D392" s="69">
        <v>45254</v>
      </c>
      <c r="E392" s="14">
        <v>434</v>
      </c>
      <c r="F392" s="69">
        <v>45254</v>
      </c>
      <c r="G392" s="76">
        <v>202053</v>
      </c>
      <c r="H392" s="70" t="s">
        <v>1100</v>
      </c>
      <c r="I392" s="7">
        <f t="shared" ca="1" si="2"/>
        <v>0</v>
      </c>
      <c r="J392" s="71"/>
      <c r="K392" s="7" t="s">
        <v>1163</v>
      </c>
    </row>
    <row r="393" spans="1:11" ht="14.25" hidden="1" customHeight="1">
      <c r="A393" s="14" t="s">
        <v>547</v>
      </c>
      <c r="B393" s="78"/>
      <c r="C393" s="78"/>
      <c r="D393" s="69">
        <v>45254</v>
      </c>
      <c r="E393" s="14">
        <v>435</v>
      </c>
      <c r="F393" s="69">
        <v>45254</v>
      </c>
      <c r="G393" s="76">
        <v>114644</v>
      </c>
      <c r="H393" s="70" t="s">
        <v>1100</v>
      </c>
      <c r="I393" s="7">
        <f t="shared" ca="1" si="2"/>
        <v>0</v>
      </c>
      <c r="J393" s="71"/>
      <c r="K393" s="7"/>
    </row>
    <row r="394" spans="1:11" ht="14.25" hidden="1" customHeight="1">
      <c r="A394" s="14" t="s">
        <v>1176</v>
      </c>
      <c r="B394" s="78"/>
      <c r="C394" s="78"/>
      <c r="D394" s="69">
        <v>45259</v>
      </c>
      <c r="E394" s="14">
        <v>436</v>
      </c>
      <c r="F394" s="14" t="s">
        <v>1174</v>
      </c>
      <c r="G394" s="76">
        <v>103114</v>
      </c>
      <c r="H394" s="70" t="s">
        <v>1177</v>
      </c>
      <c r="I394" s="7">
        <f t="shared" ca="1" si="2"/>
        <v>0</v>
      </c>
      <c r="J394" s="71"/>
      <c r="K394" s="7" t="s">
        <v>1178</v>
      </c>
    </row>
    <row r="395" spans="1:11" ht="14.25" hidden="1" customHeight="1">
      <c r="A395" s="14" t="s">
        <v>1176</v>
      </c>
      <c r="B395" s="78"/>
      <c r="C395" s="78"/>
      <c r="D395" s="69">
        <v>45259</v>
      </c>
      <c r="E395" s="14">
        <v>437</v>
      </c>
      <c r="F395" s="77">
        <v>45261</v>
      </c>
      <c r="G395" s="76">
        <v>116039</v>
      </c>
      <c r="H395" s="70" t="s">
        <v>1044</v>
      </c>
      <c r="I395" s="7">
        <f t="shared" ca="1" si="2"/>
        <v>0</v>
      </c>
      <c r="J395" s="71"/>
      <c r="K395" s="7"/>
    </row>
    <row r="396" spans="1:11" ht="14.25" hidden="1" customHeight="1">
      <c r="A396" s="14" t="s">
        <v>126</v>
      </c>
      <c r="B396" s="78"/>
      <c r="C396" s="78"/>
      <c r="D396" s="69">
        <v>45260</v>
      </c>
      <c r="E396" s="14">
        <v>438</v>
      </c>
      <c r="F396" s="69">
        <v>45260</v>
      </c>
      <c r="G396" s="76">
        <v>155703</v>
      </c>
      <c r="H396" s="70" t="s">
        <v>1100</v>
      </c>
      <c r="I396" s="7">
        <f t="shared" ca="1" si="2"/>
        <v>0</v>
      </c>
      <c r="J396" s="71"/>
      <c r="K396" s="7"/>
    </row>
    <row r="397" spans="1:11" ht="14.25" hidden="1" customHeight="1">
      <c r="A397" s="14" t="s">
        <v>470</v>
      </c>
      <c r="B397" s="78"/>
      <c r="C397" s="78"/>
      <c r="D397" s="69">
        <v>45261</v>
      </c>
      <c r="E397" s="14">
        <v>439</v>
      </c>
      <c r="F397" s="77">
        <v>45262</v>
      </c>
      <c r="G397" s="76">
        <v>170634</v>
      </c>
      <c r="H397" s="70" t="s">
        <v>1100</v>
      </c>
      <c r="I397" s="7">
        <f t="shared" ca="1" si="2"/>
        <v>0</v>
      </c>
      <c r="J397" s="71"/>
      <c r="K397" s="7"/>
    </row>
    <row r="398" spans="1:11" ht="14.25" hidden="1" customHeight="1">
      <c r="A398" s="14" t="s">
        <v>1088</v>
      </c>
      <c r="B398" s="78"/>
      <c r="C398" s="78"/>
      <c r="D398" s="69">
        <v>45261</v>
      </c>
      <c r="E398" s="14">
        <v>440</v>
      </c>
      <c r="F398" s="77">
        <v>45261</v>
      </c>
      <c r="G398" s="76">
        <v>118703</v>
      </c>
      <c r="H398" s="70" t="s">
        <v>1100</v>
      </c>
      <c r="I398" s="7">
        <f t="shared" ca="1" si="2"/>
        <v>0</v>
      </c>
      <c r="J398" s="71"/>
      <c r="K398" s="7"/>
    </row>
    <row r="399" spans="1:11" ht="14.25" hidden="1" customHeight="1">
      <c r="A399" s="14" t="s">
        <v>1157</v>
      </c>
      <c r="B399" s="78"/>
      <c r="C399" s="78"/>
      <c r="D399" s="69">
        <v>45264</v>
      </c>
      <c r="E399" s="68">
        <v>441</v>
      </c>
      <c r="F399" s="77">
        <v>45264</v>
      </c>
      <c r="G399" s="76">
        <v>154308</v>
      </c>
      <c r="H399" s="70" t="s">
        <v>1100</v>
      </c>
      <c r="I399" s="7">
        <f t="shared" ca="1" si="2"/>
        <v>0</v>
      </c>
      <c r="J399" s="71"/>
      <c r="K399" s="7"/>
    </row>
    <row r="400" spans="1:11" ht="14.25" hidden="1" customHeight="1">
      <c r="A400" s="14" t="s">
        <v>1101</v>
      </c>
      <c r="B400" s="78"/>
      <c r="C400" s="78"/>
      <c r="D400" s="69">
        <v>45267</v>
      </c>
      <c r="E400" s="14">
        <v>442</v>
      </c>
      <c r="F400" s="77">
        <v>45266</v>
      </c>
      <c r="G400" s="76">
        <v>178492</v>
      </c>
      <c r="H400" s="70" t="s">
        <v>1044</v>
      </c>
      <c r="I400" s="7">
        <f t="shared" ca="1" si="2"/>
        <v>0</v>
      </c>
      <c r="J400" s="71"/>
      <c r="K400" s="7" t="s">
        <v>1179</v>
      </c>
    </row>
    <row r="401" spans="1:11" ht="14.25" hidden="1" customHeight="1">
      <c r="A401" s="14" t="s">
        <v>126</v>
      </c>
      <c r="B401" s="78"/>
      <c r="C401" s="78"/>
      <c r="D401" s="69">
        <v>45267</v>
      </c>
      <c r="E401" s="14">
        <v>443</v>
      </c>
      <c r="F401" s="77">
        <v>45266</v>
      </c>
      <c r="G401" s="76">
        <v>62839</v>
      </c>
      <c r="H401" s="70" t="s">
        <v>1100</v>
      </c>
      <c r="I401" s="7">
        <f t="shared" ca="1" si="2"/>
        <v>0</v>
      </c>
      <c r="J401" s="71"/>
      <c r="K401" s="7"/>
    </row>
    <row r="402" spans="1:11" ht="14.25" hidden="1" customHeight="1">
      <c r="A402" s="14" t="s">
        <v>1064</v>
      </c>
      <c r="B402" s="78"/>
      <c r="C402" s="78"/>
      <c r="D402" s="69">
        <v>45267</v>
      </c>
      <c r="E402" s="68">
        <v>444</v>
      </c>
      <c r="F402" s="77">
        <v>45269</v>
      </c>
      <c r="G402" s="76">
        <v>70729</v>
      </c>
      <c r="H402" s="70" t="s">
        <v>1044</v>
      </c>
      <c r="I402" s="7">
        <f t="shared" ca="1" si="2"/>
        <v>0</v>
      </c>
      <c r="J402" s="71"/>
      <c r="K402" s="7"/>
    </row>
    <row r="403" spans="1:11" ht="14.25" hidden="1" customHeight="1">
      <c r="A403" s="14" t="s">
        <v>1153</v>
      </c>
      <c r="B403" s="78"/>
      <c r="C403" s="78"/>
      <c r="D403" s="69">
        <v>45267</v>
      </c>
      <c r="E403" s="14">
        <v>445</v>
      </c>
      <c r="F403" s="77">
        <v>45268</v>
      </c>
      <c r="G403" s="76">
        <v>117308</v>
      </c>
      <c r="H403" s="70" t="s">
        <v>1044</v>
      </c>
      <c r="I403" s="7">
        <f t="shared" ca="1" si="2"/>
        <v>0</v>
      </c>
      <c r="J403" s="71"/>
      <c r="K403" s="7"/>
    </row>
    <row r="404" spans="1:11" ht="14.25" hidden="1" customHeight="1">
      <c r="A404" s="14" t="s">
        <v>1180</v>
      </c>
      <c r="B404" s="78"/>
      <c r="C404" s="78"/>
      <c r="D404" s="69">
        <v>45267</v>
      </c>
      <c r="E404" s="14">
        <v>446</v>
      </c>
      <c r="F404" s="77">
        <v>45268</v>
      </c>
      <c r="G404" s="76">
        <v>202053</v>
      </c>
      <c r="H404" s="70" t="s">
        <v>1100</v>
      </c>
      <c r="I404" s="7">
        <f t="shared" ca="1" si="2"/>
        <v>0</v>
      </c>
      <c r="J404" s="71"/>
      <c r="K404" s="7"/>
    </row>
    <row r="405" spans="1:11" ht="14.25" hidden="1" customHeight="1">
      <c r="A405" s="14" t="s">
        <v>565</v>
      </c>
      <c r="B405" s="78"/>
      <c r="C405" s="78"/>
      <c r="D405" s="69">
        <v>45267</v>
      </c>
      <c r="E405" s="14">
        <v>447</v>
      </c>
      <c r="F405" s="77">
        <v>45267</v>
      </c>
      <c r="G405" s="76">
        <v>116737</v>
      </c>
      <c r="H405" s="70" t="s">
        <v>1100</v>
      </c>
      <c r="I405" s="7">
        <f t="shared" ca="1" si="2"/>
        <v>0</v>
      </c>
      <c r="J405" s="71"/>
      <c r="K405" s="7"/>
    </row>
    <row r="406" spans="1:11" ht="14.25" hidden="1" customHeight="1">
      <c r="A406" s="14" t="s">
        <v>571</v>
      </c>
      <c r="B406" s="78"/>
      <c r="C406" s="78"/>
      <c r="D406" s="69">
        <v>45267</v>
      </c>
      <c r="E406" s="68">
        <v>448</v>
      </c>
      <c r="F406" s="14" t="s">
        <v>1174</v>
      </c>
      <c r="G406" s="76">
        <v>55482</v>
      </c>
      <c r="H406" s="70" t="s">
        <v>1177</v>
      </c>
      <c r="I406" s="7">
        <f t="shared" ca="1" si="2"/>
        <v>0</v>
      </c>
      <c r="J406" s="71"/>
      <c r="K406" s="7" t="s">
        <v>1181</v>
      </c>
    </row>
    <row r="407" spans="1:11" ht="14.25" hidden="1" customHeight="1">
      <c r="A407" s="14" t="s">
        <v>571</v>
      </c>
      <c r="B407" s="78"/>
      <c r="C407" s="78"/>
      <c r="D407" s="69">
        <v>45267</v>
      </c>
      <c r="E407" s="14">
        <v>449</v>
      </c>
      <c r="F407" s="77">
        <v>45267</v>
      </c>
      <c r="G407" s="76">
        <v>56941</v>
      </c>
      <c r="H407" s="70" t="s">
        <v>1100</v>
      </c>
      <c r="I407" s="7">
        <f t="shared" ca="1" si="2"/>
        <v>0</v>
      </c>
      <c r="J407" s="71"/>
      <c r="K407" s="7"/>
    </row>
    <row r="408" spans="1:11" ht="14.25" hidden="1" customHeight="1">
      <c r="A408" s="14" t="s">
        <v>459</v>
      </c>
      <c r="B408" s="78"/>
      <c r="C408" s="78"/>
      <c r="D408" s="77">
        <v>45273</v>
      </c>
      <c r="E408" s="14">
        <v>450</v>
      </c>
      <c r="F408" s="77">
        <v>45272</v>
      </c>
      <c r="G408" s="76">
        <v>222267</v>
      </c>
      <c r="H408" s="70" t="s">
        <v>1177</v>
      </c>
      <c r="I408" s="7">
        <f t="shared" ca="1" si="2"/>
        <v>0</v>
      </c>
      <c r="J408" s="71"/>
      <c r="K408" s="7" t="s">
        <v>1182</v>
      </c>
    </row>
    <row r="409" spans="1:11" ht="14.25" hidden="1" customHeight="1">
      <c r="A409" s="14" t="s">
        <v>459</v>
      </c>
      <c r="B409" s="78"/>
      <c r="C409" s="78"/>
      <c r="D409" s="77">
        <v>45273</v>
      </c>
      <c r="E409" s="68">
        <v>451</v>
      </c>
      <c r="F409" s="77">
        <v>45272</v>
      </c>
      <c r="G409" s="76">
        <v>202053</v>
      </c>
      <c r="H409" s="70" t="s">
        <v>1100</v>
      </c>
      <c r="I409" s="7">
        <f t="shared" ca="1" si="2"/>
        <v>0</v>
      </c>
      <c r="J409" s="71"/>
      <c r="K409" s="7"/>
    </row>
    <row r="410" spans="1:11" ht="14.25" hidden="1" customHeight="1">
      <c r="A410" s="14" t="s">
        <v>1067</v>
      </c>
      <c r="B410" s="78"/>
      <c r="C410" s="78"/>
      <c r="D410" s="77">
        <v>45273</v>
      </c>
      <c r="E410" s="14">
        <v>452</v>
      </c>
      <c r="F410" s="77">
        <v>45271</v>
      </c>
      <c r="G410" s="76">
        <v>174693</v>
      </c>
      <c r="H410" s="70" t="s">
        <v>1100</v>
      </c>
      <c r="I410" s="7">
        <f t="shared" ca="1" si="2"/>
        <v>0</v>
      </c>
      <c r="J410" s="71"/>
      <c r="K410" s="7"/>
    </row>
    <row r="411" spans="1:11" ht="14.25" hidden="1" customHeight="1">
      <c r="A411" s="18" t="s">
        <v>1120</v>
      </c>
      <c r="B411" s="78"/>
      <c r="C411" s="78"/>
      <c r="D411" s="77">
        <v>45273</v>
      </c>
      <c r="E411" s="14">
        <v>453</v>
      </c>
      <c r="F411" s="77">
        <v>45272</v>
      </c>
      <c r="G411" s="76">
        <v>150123</v>
      </c>
      <c r="H411" s="70" t="s">
        <v>1100</v>
      </c>
      <c r="I411" s="7">
        <f t="shared" ca="1" si="2"/>
        <v>0</v>
      </c>
      <c r="J411" s="71"/>
      <c r="K411" s="7"/>
    </row>
    <row r="412" spans="1:11" ht="14.25" hidden="1" customHeight="1">
      <c r="A412" s="14" t="s">
        <v>1183</v>
      </c>
      <c r="B412" s="78"/>
      <c r="C412" s="78"/>
      <c r="D412" s="77">
        <v>45273</v>
      </c>
      <c r="E412" s="14">
        <v>454</v>
      </c>
      <c r="F412" s="77">
        <v>45273</v>
      </c>
      <c r="G412" s="76">
        <v>202053</v>
      </c>
      <c r="H412" s="70" t="s">
        <v>1100</v>
      </c>
      <c r="I412" s="7">
        <f t="shared" ca="1" si="2"/>
        <v>0</v>
      </c>
      <c r="J412" s="71"/>
      <c r="K412" s="7"/>
    </row>
    <row r="413" spans="1:11" ht="14.25" hidden="1" customHeight="1">
      <c r="A413" s="14" t="s">
        <v>440</v>
      </c>
      <c r="B413" s="78"/>
      <c r="C413" s="78"/>
      <c r="D413" s="69">
        <v>45275</v>
      </c>
      <c r="E413" s="68">
        <v>455</v>
      </c>
      <c r="F413" s="77">
        <v>45274</v>
      </c>
      <c r="G413" s="76">
        <v>171965</v>
      </c>
      <c r="H413" s="70" t="s">
        <v>1100</v>
      </c>
      <c r="I413" s="7">
        <f t="shared" ca="1" si="2"/>
        <v>0</v>
      </c>
      <c r="J413" s="71"/>
      <c r="K413" s="7"/>
    </row>
    <row r="414" spans="1:11" ht="14.25" hidden="1" customHeight="1">
      <c r="A414" s="14" t="s">
        <v>1113</v>
      </c>
      <c r="B414" s="78"/>
      <c r="C414" s="78"/>
      <c r="D414" s="83">
        <v>45280</v>
      </c>
      <c r="E414" s="14">
        <v>456</v>
      </c>
      <c r="F414" s="77">
        <v>45279</v>
      </c>
      <c r="G414" s="76">
        <v>199263</v>
      </c>
      <c r="H414" s="70" t="s">
        <v>1100</v>
      </c>
      <c r="I414" s="7">
        <f t="shared" ca="1" si="2"/>
        <v>0</v>
      </c>
      <c r="J414" s="71"/>
      <c r="K414" s="7"/>
    </row>
    <row r="415" spans="1:11" ht="14.25" hidden="1" customHeight="1">
      <c r="A415" s="14" t="s">
        <v>547</v>
      </c>
      <c r="B415" s="78"/>
      <c r="C415" s="78"/>
      <c r="D415" s="83">
        <v>45280</v>
      </c>
      <c r="E415" s="14">
        <v>457</v>
      </c>
      <c r="F415" s="77">
        <v>45281</v>
      </c>
      <c r="G415" s="76">
        <v>118132</v>
      </c>
      <c r="H415" s="70" t="s">
        <v>1100</v>
      </c>
      <c r="I415" s="7">
        <f t="shared" ca="1" si="2"/>
        <v>0</v>
      </c>
      <c r="J415" s="71"/>
      <c r="K415" s="7"/>
    </row>
    <row r="416" spans="1:11" ht="14.25" hidden="1" customHeight="1">
      <c r="A416" s="14" t="s">
        <v>487</v>
      </c>
      <c r="B416" s="78"/>
      <c r="C416" s="78"/>
      <c r="D416" s="83">
        <v>45280</v>
      </c>
      <c r="E416" s="68">
        <v>458</v>
      </c>
      <c r="F416" s="77">
        <v>45281</v>
      </c>
      <c r="G416" s="76">
        <v>111336</v>
      </c>
      <c r="H416" s="70" t="s">
        <v>1100</v>
      </c>
      <c r="I416" s="7">
        <f t="shared" ca="1" si="2"/>
        <v>0</v>
      </c>
      <c r="J416" s="71"/>
      <c r="K416" s="7"/>
    </row>
    <row r="417" spans="1:11" ht="14.25" hidden="1" customHeight="1">
      <c r="A417" s="14" t="s">
        <v>1088</v>
      </c>
      <c r="B417" s="78"/>
      <c r="C417" s="78"/>
      <c r="D417" s="83">
        <v>45280</v>
      </c>
      <c r="E417" s="14">
        <v>459</v>
      </c>
      <c r="F417" s="77">
        <v>45280</v>
      </c>
      <c r="G417" s="76">
        <v>216571</v>
      </c>
      <c r="H417" s="70" t="s">
        <v>1177</v>
      </c>
      <c r="I417" s="7">
        <f t="shared" ca="1" si="2"/>
        <v>0</v>
      </c>
      <c r="J417" s="71"/>
      <c r="K417" s="7" t="s">
        <v>1184</v>
      </c>
    </row>
    <row r="418" spans="1:11" ht="14.25" hidden="1" customHeight="1">
      <c r="A418" s="14" t="s">
        <v>1185</v>
      </c>
      <c r="B418" s="78"/>
      <c r="C418" s="78"/>
      <c r="D418" s="83">
        <v>45280</v>
      </c>
      <c r="E418" s="14">
        <v>460</v>
      </c>
      <c r="F418" s="77">
        <v>45281</v>
      </c>
      <c r="G418" s="76">
        <v>113946</v>
      </c>
      <c r="H418" s="70" t="s">
        <v>1100</v>
      </c>
      <c r="I418" s="7">
        <f t="shared" ca="1" si="2"/>
        <v>0</v>
      </c>
      <c r="J418" s="71"/>
      <c r="K418" s="7"/>
    </row>
    <row r="419" spans="1:11" ht="14.25" hidden="1" customHeight="1">
      <c r="A419" s="14" t="s">
        <v>1160</v>
      </c>
      <c r="B419" s="78"/>
      <c r="C419" s="78"/>
      <c r="D419" s="83">
        <v>45280</v>
      </c>
      <c r="E419" s="14">
        <v>461</v>
      </c>
      <c r="F419" s="77">
        <v>45280</v>
      </c>
      <c r="G419" s="76">
        <v>113311</v>
      </c>
      <c r="H419" s="70" t="s">
        <v>1100</v>
      </c>
      <c r="I419" s="7">
        <f t="shared" ca="1" si="2"/>
        <v>0</v>
      </c>
      <c r="J419" s="71"/>
      <c r="K419" s="7"/>
    </row>
    <row r="420" spans="1:11" ht="14.25" hidden="1" customHeight="1">
      <c r="A420" s="14" t="s">
        <v>126</v>
      </c>
      <c r="B420" s="78"/>
      <c r="C420" s="78"/>
      <c r="D420" s="83">
        <v>45280</v>
      </c>
      <c r="E420" s="68">
        <v>462</v>
      </c>
      <c r="F420" s="77">
        <v>45275</v>
      </c>
      <c r="G420" s="76">
        <v>304196</v>
      </c>
      <c r="H420" s="70" t="s">
        <v>1100</v>
      </c>
      <c r="I420" s="7">
        <f t="shared" ca="1" si="2"/>
        <v>0</v>
      </c>
      <c r="J420" s="71"/>
      <c r="K420" s="7" t="s">
        <v>1186</v>
      </c>
    </row>
    <row r="421" spans="1:11" ht="14.25" hidden="1" customHeight="1">
      <c r="A421" s="14" t="s">
        <v>1077</v>
      </c>
      <c r="B421" s="78"/>
      <c r="C421" s="78"/>
      <c r="D421" s="83">
        <v>45280</v>
      </c>
      <c r="E421" s="14">
        <v>463</v>
      </c>
      <c r="F421" s="77">
        <v>45268</v>
      </c>
      <c r="G421" s="76">
        <v>184072</v>
      </c>
      <c r="H421" s="70" t="s">
        <v>1100</v>
      </c>
      <c r="I421" s="7">
        <f t="shared" ca="1" si="2"/>
        <v>0</v>
      </c>
      <c r="J421" s="71"/>
      <c r="K421" s="7"/>
    </row>
    <row r="422" spans="1:11" ht="14.25" hidden="1" customHeight="1">
      <c r="A422" s="14" t="s">
        <v>1157</v>
      </c>
      <c r="B422" s="78"/>
      <c r="C422" s="78"/>
      <c r="D422" s="77">
        <v>45281</v>
      </c>
      <c r="E422" s="14">
        <v>464</v>
      </c>
      <c r="F422" s="77">
        <v>45281</v>
      </c>
      <c r="G422" s="76">
        <v>111219</v>
      </c>
      <c r="H422" s="70" t="s">
        <v>1100</v>
      </c>
      <c r="I422" s="7">
        <f t="shared" ca="1" si="2"/>
        <v>0</v>
      </c>
      <c r="J422" s="71"/>
      <c r="K422" s="7"/>
    </row>
    <row r="423" spans="1:11" ht="14.25" hidden="1" customHeight="1">
      <c r="A423" s="14" t="s">
        <v>1088</v>
      </c>
      <c r="B423" s="78"/>
      <c r="C423" s="78"/>
      <c r="D423" s="77">
        <v>45281</v>
      </c>
      <c r="E423" s="68">
        <v>465</v>
      </c>
      <c r="F423" s="77">
        <v>45280</v>
      </c>
      <c r="G423" s="76">
        <v>113375</v>
      </c>
      <c r="H423" s="70" t="s">
        <v>1100</v>
      </c>
      <c r="I423" s="7">
        <f t="shared" ca="1" si="2"/>
        <v>0</v>
      </c>
      <c r="J423" s="71"/>
      <c r="K423" s="7"/>
    </row>
    <row r="424" spans="1:11" ht="14.25" hidden="1" customHeight="1">
      <c r="A424" s="14" t="s">
        <v>1073</v>
      </c>
      <c r="B424" s="78"/>
      <c r="C424" s="78"/>
      <c r="D424" s="77">
        <v>45282</v>
      </c>
      <c r="E424" s="14">
        <v>466</v>
      </c>
      <c r="F424" s="77">
        <v>45282</v>
      </c>
      <c r="G424" s="76">
        <v>89246</v>
      </c>
      <c r="H424" s="70" t="s">
        <v>1044</v>
      </c>
      <c r="I424" s="7">
        <f t="shared" ca="1" si="2"/>
        <v>0</v>
      </c>
      <c r="J424" s="71"/>
      <c r="K424" s="7"/>
    </row>
    <row r="425" spans="1:11" ht="14.25" hidden="1" customHeight="1">
      <c r="A425" s="14" t="s">
        <v>1125</v>
      </c>
      <c r="B425" s="78"/>
      <c r="C425" s="78"/>
      <c r="D425" s="77">
        <v>45282</v>
      </c>
      <c r="E425" s="14">
        <v>467</v>
      </c>
      <c r="F425" s="69">
        <v>45226</v>
      </c>
      <c r="G425" s="76">
        <v>349637</v>
      </c>
      <c r="H425" s="70" t="s">
        <v>1100</v>
      </c>
      <c r="I425" s="7">
        <f t="shared" ca="1" si="2"/>
        <v>0</v>
      </c>
      <c r="J425" s="71"/>
      <c r="K425" s="7" t="s">
        <v>1187</v>
      </c>
    </row>
    <row r="426" spans="1:11" ht="14.25" hidden="1" customHeight="1">
      <c r="A426" s="14" t="s">
        <v>1088</v>
      </c>
      <c r="B426" s="78"/>
      <c r="C426" s="78"/>
      <c r="D426" s="77">
        <v>45282</v>
      </c>
      <c r="E426" s="14">
        <v>468</v>
      </c>
      <c r="F426" s="77">
        <v>45282</v>
      </c>
      <c r="G426" s="76">
        <v>110171</v>
      </c>
      <c r="H426" s="70" t="s">
        <v>1100</v>
      </c>
      <c r="I426" s="7">
        <f t="shared" ca="1" si="2"/>
        <v>0</v>
      </c>
      <c r="J426" s="71"/>
      <c r="K426" s="7"/>
    </row>
    <row r="427" spans="1:11" ht="14.25" hidden="1" customHeight="1">
      <c r="A427" s="14" t="s">
        <v>1188</v>
      </c>
      <c r="B427" s="78"/>
      <c r="C427" s="78"/>
      <c r="D427" s="77">
        <v>45282</v>
      </c>
      <c r="E427" s="68">
        <v>469</v>
      </c>
      <c r="F427" s="77">
        <v>45279</v>
      </c>
      <c r="G427" s="76">
        <v>89246</v>
      </c>
      <c r="H427" s="70" t="s">
        <v>1044</v>
      </c>
      <c r="I427" s="7">
        <f t="shared" ca="1" si="2"/>
        <v>0</v>
      </c>
      <c r="J427" s="71"/>
      <c r="K427" s="7" t="s">
        <v>1189</v>
      </c>
    </row>
    <row r="428" spans="1:11" ht="14.25" hidden="1" customHeight="1">
      <c r="A428" s="14" t="s">
        <v>577</v>
      </c>
      <c r="B428" s="78"/>
      <c r="C428" s="78"/>
      <c r="D428" s="77">
        <v>45282</v>
      </c>
      <c r="E428" s="14">
        <v>470</v>
      </c>
      <c r="F428" s="77">
        <v>45281</v>
      </c>
      <c r="G428" s="76">
        <v>43646</v>
      </c>
      <c r="H428" s="70" t="s">
        <v>1100</v>
      </c>
      <c r="I428" s="7">
        <f t="shared" ca="1" si="2"/>
        <v>0</v>
      </c>
      <c r="J428" s="71"/>
      <c r="K428" s="7"/>
    </row>
    <row r="429" spans="1:11" ht="14.25" hidden="1" customHeight="1">
      <c r="A429" s="14" t="s">
        <v>126</v>
      </c>
      <c r="B429" s="78"/>
      <c r="C429" s="78"/>
      <c r="D429" s="69">
        <v>45294</v>
      </c>
      <c r="E429" s="14">
        <v>471</v>
      </c>
      <c r="F429" s="77">
        <v>45287</v>
      </c>
      <c r="G429" s="76">
        <v>45696</v>
      </c>
      <c r="H429" s="70" t="s">
        <v>1100</v>
      </c>
      <c r="I429" s="7">
        <f t="shared" ca="1" si="2"/>
        <v>0</v>
      </c>
      <c r="J429" s="71"/>
      <c r="K429" s="7" t="s">
        <v>1190</v>
      </c>
    </row>
    <row r="430" spans="1:11" ht="14.25" hidden="1" customHeight="1">
      <c r="A430" s="14" t="s">
        <v>1157</v>
      </c>
      <c r="B430" s="78"/>
      <c r="C430" s="78"/>
      <c r="D430" s="69">
        <v>45296</v>
      </c>
      <c r="E430" s="68">
        <v>472</v>
      </c>
      <c r="F430" s="69">
        <v>45295</v>
      </c>
      <c r="G430" s="76">
        <v>150249</v>
      </c>
      <c r="H430" s="70" t="s">
        <v>1100</v>
      </c>
      <c r="I430" s="7">
        <f t="shared" ca="1" si="2"/>
        <v>0</v>
      </c>
      <c r="J430" s="71"/>
      <c r="K430" s="7"/>
    </row>
    <row r="431" spans="1:11" ht="14.25" hidden="1" customHeight="1">
      <c r="A431" s="14" t="s">
        <v>470</v>
      </c>
      <c r="B431" s="78"/>
      <c r="C431" s="78"/>
      <c r="D431" s="69">
        <v>45296</v>
      </c>
      <c r="E431" s="14">
        <v>473</v>
      </c>
      <c r="F431" s="69">
        <v>45295</v>
      </c>
      <c r="G431" s="76">
        <v>140609</v>
      </c>
      <c r="H431" s="70" t="s">
        <v>1044</v>
      </c>
      <c r="I431" s="7">
        <f t="shared" ca="1" si="2"/>
        <v>0</v>
      </c>
      <c r="J431" s="71"/>
      <c r="K431" s="7"/>
    </row>
    <row r="432" spans="1:11" ht="14.25" hidden="1" customHeight="1">
      <c r="A432" s="14" t="s">
        <v>1191</v>
      </c>
      <c r="B432" s="78"/>
      <c r="C432" s="78"/>
      <c r="D432" s="69">
        <v>45296</v>
      </c>
      <c r="E432" s="14">
        <v>474</v>
      </c>
      <c r="F432" s="69">
        <v>45295</v>
      </c>
      <c r="G432" s="76">
        <v>172029</v>
      </c>
      <c r="H432" s="70" t="s">
        <v>1044</v>
      </c>
      <c r="I432" s="7">
        <f t="shared" ca="1" si="2"/>
        <v>0</v>
      </c>
      <c r="J432" s="71"/>
      <c r="K432" s="7"/>
    </row>
    <row r="433" spans="1:11" ht="14.25" hidden="1" customHeight="1">
      <c r="A433" s="14" t="s">
        <v>1191</v>
      </c>
      <c r="B433" s="78"/>
      <c r="C433" s="78"/>
      <c r="D433" s="69">
        <v>45296</v>
      </c>
      <c r="E433" s="14">
        <v>475</v>
      </c>
      <c r="F433" s="69">
        <v>45295</v>
      </c>
      <c r="G433" s="76">
        <v>22848</v>
      </c>
      <c r="H433" s="70" t="s">
        <v>1044</v>
      </c>
      <c r="I433" s="7">
        <f t="shared" ca="1" si="2"/>
        <v>0</v>
      </c>
      <c r="J433" s="71"/>
      <c r="K433" s="7"/>
    </row>
    <row r="434" spans="1:11" ht="14.25" hidden="1" customHeight="1">
      <c r="A434" s="14" t="s">
        <v>245</v>
      </c>
      <c r="B434" s="78"/>
      <c r="C434" s="78"/>
      <c r="D434" s="69">
        <v>45296</v>
      </c>
      <c r="E434" s="68">
        <v>476</v>
      </c>
      <c r="F434" s="69">
        <v>45295</v>
      </c>
      <c r="G434" s="76">
        <v>131737</v>
      </c>
      <c r="H434" s="70" t="s">
        <v>1044</v>
      </c>
      <c r="I434" s="7">
        <f t="shared" ca="1" si="2"/>
        <v>0</v>
      </c>
      <c r="J434" s="71"/>
      <c r="K434" s="7"/>
    </row>
    <row r="435" spans="1:11" ht="14.25" hidden="1" customHeight="1">
      <c r="A435" s="14" t="s">
        <v>1192</v>
      </c>
      <c r="B435" s="78"/>
      <c r="C435" s="78"/>
      <c r="D435" s="69">
        <v>45300</v>
      </c>
      <c r="E435" s="14">
        <v>477</v>
      </c>
      <c r="F435" s="77">
        <v>45303</v>
      </c>
      <c r="G435" s="76">
        <v>101026</v>
      </c>
      <c r="H435" s="70" t="s">
        <v>1100</v>
      </c>
      <c r="I435" s="7">
        <f t="shared" ca="1" si="2"/>
        <v>0</v>
      </c>
      <c r="J435" s="71"/>
      <c r="K435" s="7"/>
    </row>
    <row r="436" spans="1:11" ht="14.25" hidden="1" customHeight="1">
      <c r="A436" s="14" t="s">
        <v>1064</v>
      </c>
      <c r="B436" s="78"/>
      <c r="C436" s="78"/>
      <c r="D436" s="69">
        <v>45300</v>
      </c>
      <c r="E436" s="14">
        <v>478</v>
      </c>
      <c r="F436" s="77">
        <v>45307</v>
      </c>
      <c r="G436" s="76">
        <v>63867</v>
      </c>
      <c r="H436" s="70" t="s">
        <v>1100</v>
      </c>
      <c r="I436" s="7">
        <f t="shared" ca="1" si="2"/>
        <v>0</v>
      </c>
      <c r="J436" s="71"/>
      <c r="K436" s="7"/>
    </row>
    <row r="437" spans="1:11" ht="14.25" hidden="1" customHeight="1">
      <c r="A437" s="14" t="s">
        <v>1164</v>
      </c>
      <c r="B437" s="78"/>
      <c r="C437" s="78"/>
      <c r="D437" s="69">
        <v>45300</v>
      </c>
      <c r="E437" s="68">
        <v>479</v>
      </c>
      <c r="F437" s="14" t="s">
        <v>1043</v>
      </c>
      <c r="G437" s="76">
        <v>138348</v>
      </c>
      <c r="H437" s="70" t="s">
        <v>1177</v>
      </c>
      <c r="I437" s="7">
        <f t="shared" ca="1" si="2"/>
        <v>0</v>
      </c>
      <c r="J437" s="71"/>
      <c r="K437" s="7" t="s">
        <v>1193</v>
      </c>
    </row>
    <row r="438" spans="1:11" ht="14.25" hidden="1" customHeight="1">
      <c r="A438" s="14" t="s">
        <v>1164</v>
      </c>
      <c r="B438" s="78"/>
      <c r="C438" s="78"/>
      <c r="D438" s="69">
        <v>45300</v>
      </c>
      <c r="E438" s="14">
        <v>480</v>
      </c>
      <c r="F438" s="77">
        <v>45301</v>
      </c>
      <c r="G438" s="76">
        <v>118769</v>
      </c>
      <c r="H438" s="70" t="s">
        <v>1100</v>
      </c>
      <c r="I438" s="7">
        <f t="shared" ca="1" si="2"/>
        <v>0</v>
      </c>
      <c r="J438" s="71"/>
      <c r="K438" s="7"/>
    </row>
    <row r="439" spans="1:11" ht="14.25" hidden="1" customHeight="1">
      <c r="A439" s="14" t="s">
        <v>571</v>
      </c>
      <c r="B439" s="78"/>
      <c r="C439" s="78"/>
      <c r="D439" s="69">
        <v>45300</v>
      </c>
      <c r="E439" s="14">
        <v>481</v>
      </c>
      <c r="F439" s="77">
        <v>45301</v>
      </c>
      <c r="G439" s="76">
        <v>110311</v>
      </c>
      <c r="H439" s="70" t="s">
        <v>1100</v>
      </c>
      <c r="I439" s="7">
        <f t="shared" ca="1" si="2"/>
        <v>0</v>
      </c>
      <c r="J439" s="71"/>
      <c r="K439" s="7"/>
    </row>
    <row r="440" spans="1:11" ht="14.25" hidden="1" customHeight="1">
      <c r="A440" s="14" t="s">
        <v>1141</v>
      </c>
      <c r="B440" s="78"/>
      <c r="C440" s="78"/>
      <c r="D440" s="69">
        <v>45300</v>
      </c>
      <c r="E440" s="14">
        <v>482</v>
      </c>
      <c r="F440" s="69">
        <v>45300</v>
      </c>
      <c r="G440" s="76">
        <v>127648</v>
      </c>
      <c r="H440" s="70" t="s">
        <v>1100</v>
      </c>
      <c r="I440" s="7">
        <f t="shared" ca="1" si="2"/>
        <v>0</v>
      </c>
      <c r="J440" s="71"/>
      <c r="K440" s="7"/>
    </row>
    <row r="441" spans="1:11" ht="14.25" hidden="1" customHeight="1">
      <c r="A441" s="15" t="s">
        <v>1172</v>
      </c>
      <c r="B441" s="78"/>
      <c r="C441" s="78"/>
      <c r="D441" s="69">
        <v>45300</v>
      </c>
      <c r="E441" s="68">
        <v>483</v>
      </c>
      <c r="F441" s="69">
        <v>45306</v>
      </c>
      <c r="G441" s="76">
        <v>119466</v>
      </c>
      <c r="H441" s="70" t="s">
        <v>1044</v>
      </c>
      <c r="I441" s="7">
        <f t="shared" ca="1" si="2"/>
        <v>0</v>
      </c>
      <c r="J441" s="71"/>
      <c r="K441" s="7"/>
    </row>
    <row r="442" spans="1:11" ht="14.25" hidden="1" customHeight="1">
      <c r="A442" s="14" t="s">
        <v>1142</v>
      </c>
      <c r="B442" s="78"/>
      <c r="C442" s="78"/>
      <c r="D442" s="69">
        <v>45307</v>
      </c>
      <c r="E442" s="14">
        <v>484</v>
      </c>
      <c r="F442" s="77">
        <v>45304</v>
      </c>
      <c r="G442" s="76">
        <v>304026</v>
      </c>
      <c r="H442" s="70" t="s">
        <v>1100</v>
      </c>
      <c r="I442" s="7">
        <f t="shared" ca="1" si="2"/>
        <v>0</v>
      </c>
      <c r="J442" s="71"/>
      <c r="K442" s="7"/>
    </row>
    <row r="443" spans="1:11" ht="14.25" hidden="1" customHeight="1">
      <c r="A443" s="14" t="s">
        <v>1194</v>
      </c>
      <c r="B443" s="78"/>
      <c r="C443" s="78"/>
      <c r="D443" s="69">
        <v>45307</v>
      </c>
      <c r="E443" s="14">
        <v>485</v>
      </c>
      <c r="F443" s="69">
        <v>45307</v>
      </c>
      <c r="G443" s="76">
        <v>120102</v>
      </c>
      <c r="H443" s="70" t="s">
        <v>1100</v>
      </c>
      <c r="I443" s="7">
        <f t="shared" ca="1" si="2"/>
        <v>0</v>
      </c>
      <c r="J443" s="71"/>
      <c r="K443" s="7"/>
    </row>
    <row r="444" spans="1:11" ht="14.25" hidden="1" customHeight="1">
      <c r="A444" s="14" t="s">
        <v>1120</v>
      </c>
      <c r="B444" s="78"/>
      <c r="C444" s="78"/>
      <c r="D444" s="69">
        <v>45307</v>
      </c>
      <c r="E444" s="68">
        <v>486</v>
      </c>
      <c r="F444" s="69">
        <v>45307</v>
      </c>
      <c r="G444" s="76">
        <v>118135</v>
      </c>
      <c r="H444" s="70" t="s">
        <v>1100</v>
      </c>
      <c r="I444" s="7">
        <f t="shared" ca="1" si="2"/>
        <v>0</v>
      </c>
      <c r="J444" s="71"/>
      <c r="K444" s="7"/>
    </row>
    <row r="445" spans="1:11" ht="14.25" hidden="1" customHeight="1">
      <c r="A445" s="14" t="s">
        <v>1101</v>
      </c>
      <c r="B445" s="78"/>
      <c r="C445" s="78"/>
      <c r="D445" s="68" t="s">
        <v>1195</v>
      </c>
      <c r="E445" s="14" t="s">
        <v>1057</v>
      </c>
      <c r="F445" s="77">
        <v>45279</v>
      </c>
      <c r="G445" s="76">
        <f>80000+90000*2</f>
        <v>260000</v>
      </c>
      <c r="H445" s="70" t="s">
        <v>1044</v>
      </c>
      <c r="I445" s="7">
        <f t="shared" ca="1" si="2"/>
        <v>0</v>
      </c>
      <c r="J445" s="71"/>
      <c r="K445" s="7" t="s">
        <v>1196</v>
      </c>
    </row>
    <row r="446" spans="1:11" ht="14.25" hidden="1" customHeight="1">
      <c r="A446" s="14" t="s">
        <v>1135</v>
      </c>
      <c r="B446" s="78"/>
      <c r="C446" s="78"/>
      <c r="D446" s="69">
        <v>45308</v>
      </c>
      <c r="E446" s="14">
        <v>487</v>
      </c>
      <c r="F446" s="77">
        <v>45308</v>
      </c>
      <c r="G446" s="76">
        <v>142991</v>
      </c>
      <c r="H446" s="70" t="s">
        <v>1100</v>
      </c>
      <c r="I446" s="7">
        <f t="shared" ca="1" si="2"/>
        <v>0</v>
      </c>
      <c r="J446" s="71"/>
      <c r="K446" s="7"/>
    </row>
    <row r="447" spans="1:11" ht="14.25" hidden="1" customHeight="1">
      <c r="A447" s="14" t="s">
        <v>1197</v>
      </c>
      <c r="B447" s="78"/>
      <c r="C447" s="78"/>
      <c r="D447" s="69">
        <v>45309</v>
      </c>
      <c r="E447" s="14">
        <v>488</v>
      </c>
      <c r="F447" s="77">
        <v>45310</v>
      </c>
      <c r="G447" s="76">
        <v>420766</v>
      </c>
      <c r="H447" s="70" t="s">
        <v>1100</v>
      </c>
      <c r="I447" s="7">
        <f t="shared" ca="1" si="2"/>
        <v>0</v>
      </c>
      <c r="J447" s="71"/>
      <c r="K447" s="7"/>
    </row>
    <row r="448" spans="1:11" ht="14.25" hidden="1" customHeight="1">
      <c r="A448" s="14" t="s">
        <v>1067</v>
      </c>
      <c r="B448" s="78"/>
      <c r="C448" s="78"/>
      <c r="D448" s="69">
        <v>45309</v>
      </c>
      <c r="E448" s="14">
        <v>489</v>
      </c>
      <c r="F448" s="77">
        <v>45309</v>
      </c>
      <c r="G448" s="76">
        <v>124858</v>
      </c>
      <c r="H448" s="70" t="s">
        <v>1044</v>
      </c>
      <c r="I448" s="7">
        <f t="shared" ca="1" si="2"/>
        <v>0</v>
      </c>
      <c r="J448" s="71"/>
      <c r="K448" s="7"/>
    </row>
    <row r="449" spans="1:11" ht="14.25" hidden="1" customHeight="1">
      <c r="A449" s="14" t="s">
        <v>1198</v>
      </c>
      <c r="B449" s="78"/>
      <c r="C449" s="78"/>
      <c r="D449" s="69">
        <v>45310</v>
      </c>
      <c r="E449" s="68">
        <v>490</v>
      </c>
      <c r="F449" s="77">
        <v>45310</v>
      </c>
      <c r="G449" s="76">
        <v>122194</v>
      </c>
      <c r="H449" s="70" t="s">
        <v>1100</v>
      </c>
      <c r="I449" s="7">
        <f t="shared" ca="1" si="2"/>
        <v>0</v>
      </c>
      <c r="J449" s="71"/>
      <c r="K449" s="7"/>
    </row>
    <row r="450" spans="1:11" ht="14.25" hidden="1" customHeight="1">
      <c r="A450" s="14" t="s">
        <v>1199</v>
      </c>
      <c r="B450" s="78"/>
      <c r="C450" s="78"/>
      <c r="D450" s="69">
        <v>45310</v>
      </c>
      <c r="E450" s="14">
        <v>491</v>
      </c>
      <c r="F450" s="77">
        <v>45310</v>
      </c>
      <c r="G450" s="76">
        <v>201950</v>
      </c>
      <c r="H450" s="70" t="s">
        <v>1100</v>
      </c>
      <c r="I450" s="7">
        <f t="shared" ca="1" si="2"/>
        <v>0</v>
      </c>
      <c r="J450" s="71"/>
      <c r="K450" s="7"/>
    </row>
    <row r="451" spans="1:11" ht="14.25" hidden="1" customHeight="1">
      <c r="A451" s="14" t="s">
        <v>245</v>
      </c>
      <c r="B451" s="78"/>
      <c r="C451" s="78"/>
      <c r="D451" s="69">
        <v>45310</v>
      </c>
      <c r="E451" s="14">
        <v>492</v>
      </c>
      <c r="F451" s="77">
        <v>45310</v>
      </c>
      <c r="G451" s="76">
        <v>77402</v>
      </c>
      <c r="H451" s="70" t="s">
        <v>1100</v>
      </c>
      <c r="I451" s="7">
        <f t="shared" ca="1" si="2"/>
        <v>0</v>
      </c>
      <c r="J451" s="71"/>
      <c r="K451" s="7"/>
    </row>
    <row r="452" spans="1:11" ht="14.25" hidden="1" customHeight="1">
      <c r="A452" s="14" t="s">
        <v>1157</v>
      </c>
      <c r="B452" s="78"/>
      <c r="C452" s="78"/>
      <c r="D452" s="69"/>
      <c r="E452" s="68">
        <v>493</v>
      </c>
      <c r="F452" s="77">
        <v>45310</v>
      </c>
      <c r="G452" s="76">
        <v>116740</v>
      </c>
      <c r="H452" s="70" t="s">
        <v>1100</v>
      </c>
      <c r="I452" s="7">
        <f t="shared" ca="1" si="2"/>
        <v>0</v>
      </c>
      <c r="J452" s="71"/>
      <c r="K452" s="7"/>
    </row>
    <row r="453" spans="1:11" ht="14.25" hidden="1" customHeight="1">
      <c r="A453" s="14" t="s">
        <v>251</v>
      </c>
      <c r="B453" s="78"/>
      <c r="C453" s="78"/>
      <c r="D453" s="69">
        <v>45314</v>
      </c>
      <c r="E453" s="14">
        <v>494</v>
      </c>
      <c r="F453" s="77">
        <v>45312</v>
      </c>
      <c r="G453" s="76">
        <v>420766</v>
      </c>
      <c r="H453" s="70" t="s">
        <v>1177</v>
      </c>
      <c r="I453" s="7">
        <f t="shared" ca="1" si="2"/>
        <v>0</v>
      </c>
      <c r="J453" s="71"/>
      <c r="K453" s="84" t="s">
        <v>1200</v>
      </c>
    </row>
    <row r="454" spans="1:11" ht="14.25" hidden="1" customHeight="1">
      <c r="A454" s="14" t="s">
        <v>251</v>
      </c>
      <c r="B454" s="78"/>
      <c r="C454" s="78"/>
      <c r="D454" s="69">
        <v>45314</v>
      </c>
      <c r="E454" s="14">
        <v>495</v>
      </c>
      <c r="F454" s="77">
        <v>45312</v>
      </c>
      <c r="G454" s="76">
        <v>358337</v>
      </c>
      <c r="H454" s="70" t="s">
        <v>1100</v>
      </c>
      <c r="I454" s="7">
        <f t="shared" ca="1" si="2"/>
        <v>0</v>
      </c>
      <c r="J454" s="71"/>
      <c r="K454" s="84" t="s">
        <v>1201</v>
      </c>
    </row>
    <row r="455" spans="1:11" ht="14.25" hidden="1" customHeight="1">
      <c r="A455" s="14" t="s">
        <v>1169</v>
      </c>
      <c r="B455" s="78"/>
      <c r="C455" s="78"/>
      <c r="D455" s="69">
        <v>45315</v>
      </c>
      <c r="E455" s="14">
        <v>496</v>
      </c>
      <c r="F455" s="77">
        <v>45312</v>
      </c>
      <c r="G455" s="76">
        <v>154804</v>
      </c>
      <c r="H455" s="70" t="s">
        <v>1100</v>
      </c>
      <c r="I455" s="7">
        <f t="shared" ca="1" si="2"/>
        <v>0</v>
      </c>
      <c r="J455" s="7"/>
      <c r="K455" s="7"/>
    </row>
    <row r="456" spans="1:11" ht="14.25" hidden="1" customHeight="1">
      <c r="A456" s="14" t="s">
        <v>226</v>
      </c>
      <c r="B456" s="78"/>
      <c r="C456" s="78"/>
      <c r="D456" s="69">
        <v>45323</v>
      </c>
      <c r="E456" s="14">
        <v>499</v>
      </c>
      <c r="F456" s="77">
        <v>45320</v>
      </c>
      <c r="G456" s="76">
        <v>174348</v>
      </c>
      <c r="H456" s="70" t="s">
        <v>1100</v>
      </c>
      <c r="I456" s="7">
        <f t="shared" ca="1" si="2"/>
        <v>0</v>
      </c>
      <c r="J456" s="7"/>
      <c r="K456" s="7"/>
    </row>
    <row r="457" spans="1:11" ht="14.25" hidden="1" customHeight="1">
      <c r="A457" s="14" t="s">
        <v>1202</v>
      </c>
      <c r="B457" s="78"/>
      <c r="C457" s="78"/>
      <c r="D457" s="69">
        <v>45323</v>
      </c>
      <c r="E457" s="68">
        <v>500</v>
      </c>
      <c r="F457" s="77">
        <v>45358</v>
      </c>
      <c r="G457" s="76">
        <v>115808</v>
      </c>
      <c r="H457" s="70" t="s">
        <v>1100</v>
      </c>
      <c r="I457" s="7">
        <f t="shared" ca="1" si="2"/>
        <v>0</v>
      </c>
      <c r="J457" s="85"/>
      <c r="K457" s="7"/>
    </row>
    <row r="458" spans="1:11" ht="14.25" hidden="1" customHeight="1">
      <c r="A458" s="14" t="s">
        <v>1199</v>
      </c>
      <c r="B458" s="78"/>
      <c r="C458" s="78"/>
      <c r="D458" s="69">
        <v>45323</v>
      </c>
      <c r="E458" s="14">
        <v>501</v>
      </c>
      <c r="F458" s="77">
        <v>45321</v>
      </c>
      <c r="G458" s="76">
        <v>107506</v>
      </c>
      <c r="H458" s="70" t="s">
        <v>1100</v>
      </c>
      <c r="I458" s="7">
        <f t="shared" ca="1" si="2"/>
        <v>0</v>
      </c>
      <c r="J458" s="86"/>
      <c r="K458" s="7"/>
    </row>
    <row r="459" spans="1:11" ht="14.25" hidden="1" customHeight="1">
      <c r="A459" s="14" t="s">
        <v>1110</v>
      </c>
      <c r="B459" s="78"/>
      <c r="C459" s="78"/>
      <c r="D459" s="69">
        <v>45323</v>
      </c>
      <c r="E459" s="14">
        <v>502</v>
      </c>
      <c r="F459" s="77">
        <v>45327</v>
      </c>
      <c r="G459" s="76">
        <v>118135</v>
      </c>
      <c r="H459" s="70" t="s">
        <v>1044</v>
      </c>
      <c r="I459" s="7">
        <f t="shared" ca="1" si="2"/>
        <v>0</v>
      </c>
      <c r="J459" s="71"/>
      <c r="K459" s="7"/>
    </row>
    <row r="460" spans="1:11" ht="14.25" hidden="1" customHeight="1">
      <c r="A460" s="14" t="s">
        <v>1203</v>
      </c>
      <c r="B460" s="78"/>
      <c r="C460" s="78"/>
      <c r="D460" s="69">
        <v>45323</v>
      </c>
      <c r="E460" s="14">
        <v>503</v>
      </c>
      <c r="F460" s="77">
        <v>45330</v>
      </c>
      <c r="G460" s="76">
        <v>119404</v>
      </c>
      <c r="H460" s="70" t="s">
        <v>1100</v>
      </c>
      <c r="I460" s="7">
        <f t="shared" ca="1" si="2"/>
        <v>0</v>
      </c>
      <c r="J460" s="71"/>
      <c r="K460" s="7"/>
    </row>
    <row r="461" spans="1:11" ht="14.25" hidden="1" customHeight="1">
      <c r="A461" s="14" t="s">
        <v>1153</v>
      </c>
      <c r="B461" s="78"/>
      <c r="C461" s="78"/>
      <c r="D461" s="69">
        <v>45323</v>
      </c>
      <c r="E461" s="68">
        <v>504</v>
      </c>
      <c r="F461" s="77">
        <v>45321</v>
      </c>
      <c r="G461" s="76">
        <v>113464</v>
      </c>
      <c r="H461" s="70" t="s">
        <v>1044</v>
      </c>
      <c r="I461" s="7">
        <f t="shared" ca="1" si="2"/>
        <v>0</v>
      </c>
      <c r="J461" s="80"/>
      <c r="K461" s="7"/>
    </row>
    <row r="462" spans="1:11" ht="14.25" hidden="1" customHeight="1">
      <c r="A462" s="14" t="s">
        <v>245</v>
      </c>
      <c r="B462" s="78"/>
      <c r="C462" s="78"/>
      <c r="D462" s="69">
        <v>45323</v>
      </c>
      <c r="E462" s="14">
        <v>505</v>
      </c>
      <c r="F462" s="77">
        <v>45321</v>
      </c>
      <c r="G462" s="76">
        <v>117437</v>
      </c>
      <c r="H462" s="70" t="s">
        <v>1044</v>
      </c>
      <c r="I462" s="7">
        <f t="shared" ca="1" si="2"/>
        <v>0</v>
      </c>
      <c r="J462" s="71"/>
      <c r="K462" s="7"/>
    </row>
    <row r="463" spans="1:11" ht="14.25" hidden="1" customHeight="1">
      <c r="A463" s="14" t="s">
        <v>547</v>
      </c>
      <c r="B463" s="78"/>
      <c r="C463" s="78"/>
      <c r="D463" s="69">
        <v>45323</v>
      </c>
      <c r="E463" s="14">
        <v>506</v>
      </c>
      <c r="F463" s="77">
        <v>45321</v>
      </c>
      <c r="G463" s="76">
        <v>113252</v>
      </c>
      <c r="H463" s="70" t="s">
        <v>1100</v>
      </c>
      <c r="I463" s="7">
        <f t="shared" ca="1" si="2"/>
        <v>0</v>
      </c>
      <c r="J463" s="86"/>
      <c r="K463" s="7"/>
    </row>
    <row r="464" spans="1:11" ht="14.25" hidden="1" customHeight="1">
      <c r="A464" s="14" t="s">
        <v>126</v>
      </c>
      <c r="B464" s="78"/>
      <c r="C464" s="78"/>
      <c r="D464" s="69">
        <v>45324</v>
      </c>
      <c r="E464" s="68">
        <v>507</v>
      </c>
      <c r="F464" s="77">
        <v>45328</v>
      </c>
      <c r="G464" s="76">
        <v>63824</v>
      </c>
      <c r="H464" s="70" t="s">
        <v>1044</v>
      </c>
      <c r="I464" s="7">
        <f t="shared" ca="1" si="2"/>
        <v>0</v>
      </c>
      <c r="J464" s="71"/>
      <c r="K464" s="7"/>
    </row>
    <row r="465" spans="1:11" ht="14.25" hidden="1" customHeight="1">
      <c r="A465" s="14" t="s">
        <v>1056</v>
      </c>
      <c r="B465" s="78"/>
      <c r="C465" s="78"/>
      <c r="D465" s="69">
        <v>45310</v>
      </c>
      <c r="E465" s="14" t="s">
        <v>1057</v>
      </c>
      <c r="F465" s="69">
        <v>45310</v>
      </c>
      <c r="G465" s="76">
        <v>178000</v>
      </c>
      <c r="H465" s="70" t="s">
        <v>1100</v>
      </c>
      <c r="I465" s="7">
        <f t="shared" ca="1" si="2"/>
        <v>0</v>
      </c>
      <c r="J465" s="85"/>
      <c r="K465" s="7"/>
    </row>
    <row r="466" spans="1:11" ht="14.25" hidden="1" customHeight="1">
      <c r="A466" s="14" t="s">
        <v>1088</v>
      </c>
      <c r="B466" s="78"/>
      <c r="C466" s="78"/>
      <c r="D466" s="69">
        <v>45324</v>
      </c>
      <c r="E466" s="14">
        <v>508</v>
      </c>
      <c r="F466" s="77">
        <v>45321</v>
      </c>
      <c r="G466" s="76">
        <v>212379</v>
      </c>
      <c r="H466" s="70" t="s">
        <v>1044</v>
      </c>
      <c r="I466" s="7">
        <f t="shared" ca="1" si="2"/>
        <v>0</v>
      </c>
      <c r="J466" s="86"/>
      <c r="K466" s="7"/>
    </row>
    <row r="467" spans="1:11" ht="14.25" hidden="1" customHeight="1">
      <c r="A467" s="14" t="s">
        <v>470</v>
      </c>
      <c r="B467" s="78"/>
      <c r="C467" s="78"/>
      <c r="D467" s="69">
        <v>45328</v>
      </c>
      <c r="E467" s="14">
        <v>509</v>
      </c>
      <c r="F467" s="77"/>
      <c r="G467" s="76">
        <v>118135</v>
      </c>
      <c r="H467" s="70" t="s">
        <v>1177</v>
      </c>
      <c r="I467" s="7">
        <f t="shared" ca="1" si="2"/>
        <v>0</v>
      </c>
      <c r="J467" s="7"/>
      <c r="K467" s="7" t="s">
        <v>1204</v>
      </c>
    </row>
    <row r="468" spans="1:11" ht="14.25" customHeight="1">
      <c r="A468" s="82" t="s">
        <v>1205</v>
      </c>
      <c r="B468" s="78"/>
      <c r="C468" s="78"/>
      <c r="D468" s="69">
        <v>45329</v>
      </c>
      <c r="E468" s="68">
        <v>510</v>
      </c>
      <c r="F468" s="77">
        <v>45330</v>
      </c>
      <c r="G468" s="76">
        <v>179169</v>
      </c>
      <c r="H468" s="70" t="s">
        <v>0</v>
      </c>
      <c r="I468" s="7">
        <f t="shared" ca="1" si="2"/>
        <v>470</v>
      </c>
      <c r="J468" s="71" t="str">
        <f>LOOKUP(A468,'Base Clientes'!B:B,'Base Clientes'!D:D)</f>
        <v>algranoalmacen@gmail.com</v>
      </c>
      <c r="K468" s="7" t="s">
        <v>1206</v>
      </c>
    </row>
    <row r="469" spans="1:11" ht="14.25" hidden="1" customHeight="1">
      <c r="A469" s="14" t="s">
        <v>1199</v>
      </c>
      <c r="B469" s="78"/>
      <c r="C469" s="78"/>
      <c r="D469" s="69">
        <v>45336</v>
      </c>
      <c r="E469" s="14">
        <v>511</v>
      </c>
      <c r="F469" s="69">
        <v>45336</v>
      </c>
      <c r="G469" s="76">
        <v>107506</v>
      </c>
      <c r="H469" s="70" t="s">
        <v>1100</v>
      </c>
      <c r="I469" s="7">
        <f t="shared" ca="1" si="2"/>
        <v>0</v>
      </c>
      <c r="J469" s="86"/>
      <c r="K469" s="7"/>
    </row>
    <row r="470" spans="1:11" ht="14.25" hidden="1" customHeight="1">
      <c r="A470" s="14" t="s">
        <v>1157</v>
      </c>
      <c r="B470" s="78"/>
      <c r="C470" s="78"/>
      <c r="D470" s="69">
        <v>45336</v>
      </c>
      <c r="E470" s="14">
        <v>512</v>
      </c>
      <c r="F470" s="69"/>
      <c r="G470" s="76">
        <v>84601</v>
      </c>
      <c r="H470" s="70" t="s">
        <v>1177</v>
      </c>
      <c r="I470" s="7">
        <f t="shared" ca="1" si="2"/>
        <v>0</v>
      </c>
      <c r="J470" s="7"/>
      <c r="K470" s="7" t="s">
        <v>1207</v>
      </c>
    </row>
    <row r="471" spans="1:11" ht="14.25" hidden="1" customHeight="1">
      <c r="A471" s="14" t="s">
        <v>1208</v>
      </c>
      <c r="B471" s="78"/>
      <c r="C471" s="78"/>
      <c r="D471" s="69">
        <v>45336</v>
      </c>
      <c r="E471" s="14">
        <v>513</v>
      </c>
      <c r="F471" s="69">
        <v>45338</v>
      </c>
      <c r="G471" s="76">
        <v>152014</v>
      </c>
      <c r="H471" s="70" t="s">
        <v>1044</v>
      </c>
      <c r="I471" s="7">
        <f t="shared" ca="1" si="2"/>
        <v>0</v>
      </c>
      <c r="J471" s="86"/>
      <c r="K471" s="7"/>
    </row>
    <row r="472" spans="1:11" ht="14.25" hidden="1" customHeight="1">
      <c r="A472" s="14" t="s">
        <v>245</v>
      </c>
      <c r="B472" s="78"/>
      <c r="C472" s="78"/>
      <c r="D472" s="69">
        <v>45336</v>
      </c>
      <c r="E472" s="68">
        <v>514</v>
      </c>
      <c r="F472" s="69">
        <v>45336</v>
      </c>
      <c r="G472" s="76">
        <v>128345</v>
      </c>
      <c r="H472" s="70" t="s">
        <v>1100</v>
      </c>
      <c r="I472" s="7">
        <f t="shared" ca="1" si="2"/>
        <v>0</v>
      </c>
      <c r="J472" s="86"/>
      <c r="K472" s="7"/>
    </row>
    <row r="473" spans="1:11" ht="14.25" hidden="1" customHeight="1">
      <c r="A473" s="14" t="s">
        <v>470</v>
      </c>
      <c r="B473" s="78"/>
      <c r="C473" s="78"/>
      <c r="D473" s="69">
        <v>45336</v>
      </c>
      <c r="E473" s="14">
        <v>515</v>
      </c>
      <c r="F473" s="69">
        <v>45336</v>
      </c>
      <c r="G473" s="76">
        <v>149349</v>
      </c>
      <c r="H473" s="70" t="s">
        <v>1100</v>
      </c>
      <c r="I473" s="7">
        <f t="shared" ca="1" si="2"/>
        <v>0</v>
      </c>
      <c r="J473" s="86"/>
      <c r="K473" s="7"/>
    </row>
    <row r="474" spans="1:11" ht="14.25" hidden="1" customHeight="1">
      <c r="A474" s="14" t="s">
        <v>1157</v>
      </c>
      <c r="B474" s="78"/>
      <c r="C474" s="78"/>
      <c r="D474" s="69">
        <v>45337</v>
      </c>
      <c r="E474" s="14">
        <v>516</v>
      </c>
      <c r="F474" s="69">
        <v>45337</v>
      </c>
      <c r="G474" s="76">
        <v>109234</v>
      </c>
      <c r="H474" s="70" t="s">
        <v>1100</v>
      </c>
      <c r="I474" s="7">
        <f t="shared" ca="1" si="2"/>
        <v>0</v>
      </c>
      <c r="J474" s="86"/>
      <c r="K474" s="7"/>
    </row>
    <row r="475" spans="1:11" ht="14.25" hidden="1" customHeight="1">
      <c r="A475" s="14" t="s">
        <v>622</v>
      </c>
      <c r="B475" s="78"/>
      <c r="C475" s="78"/>
      <c r="D475" s="69">
        <v>45337</v>
      </c>
      <c r="E475" s="14">
        <v>517</v>
      </c>
      <c r="F475" s="77">
        <v>45334</v>
      </c>
      <c r="G475" s="76">
        <v>120799</v>
      </c>
      <c r="H475" s="70" t="s">
        <v>1044</v>
      </c>
      <c r="I475" s="7">
        <f t="shared" ca="1" si="2"/>
        <v>0</v>
      </c>
      <c r="J475" s="85"/>
      <c r="K475" s="7"/>
    </row>
    <row r="476" spans="1:11" ht="14.25" hidden="1" customHeight="1">
      <c r="A476" s="14" t="s">
        <v>1056</v>
      </c>
      <c r="B476" s="78"/>
      <c r="C476" s="78"/>
      <c r="D476" s="69">
        <v>45340</v>
      </c>
      <c r="E476" s="15" t="s">
        <v>1057</v>
      </c>
      <c r="F476" s="69">
        <v>45340</v>
      </c>
      <c r="G476" s="76">
        <v>178000</v>
      </c>
      <c r="H476" s="70" t="s">
        <v>1044</v>
      </c>
      <c r="I476" s="7">
        <f t="shared" ca="1" si="2"/>
        <v>0</v>
      </c>
      <c r="J476" s="87"/>
      <c r="K476" s="7"/>
    </row>
    <row r="477" spans="1:11" ht="14.25" hidden="1" customHeight="1">
      <c r="A477" s="14" t="s">
        <v>1209</v>
      </c>
      <c r="B477" s="78"/>
      <c r="C477" s="78"/>
      <c r="D477" s="69">
        <v>45342</v>
      </c>
      <c r="E477" s="68">
        <v>518</v>
      </c>
      <c r="F477" s="69">
        <v>45344</v>
      </c>
      <c r="G477" s="76">
        <v>105191</v>
      </c>
      <c r="H477" s="70" t="s">
        <v>1044</v>
      </c>
      <c r="I477" s="7">
        <f t="shared" ca="1" si="2"/>
        <v>0</v>
      </c>
      <c r="J477" s="7"/>
      <c r="K477" s="7" t="s">
        <v>1210</v>
      </c>
    </row>
    <row r="478" spans="1:11" ht="14.25" hidden="1" customHeight="1">
      <c r="A478" s="14" t="s">
        <v>1164</v>
      </c>
      <c r="B478" s="78"/>
      <c r="C478" s="78"/>
      <c r="D478" s="69">
        <v>45348</v>
      </c>
      <c r="E478" s="14">
        <v>519</v>
      </c>
      <c r="F478" s="69">
        <v>45348</v>
      </c>
      <c r="G478" s="76">
        <v>120102</v>
      </c>
      <c r="H478" s="70" t="s">
        <v>1100</v>
      </c>
      <c r="I478" s="7">
        <f t="shared" ca="1" si="2"/>
        <v>0</v>
      </c>
      <c r="J478" s="85"/>
      <c r="K478" s="7"/>
    </row>
    <row r="479" spans="1:11" ht="14.25" hidden="1" customHeight="1">
      <c r="A479" s="14" t="s">
        <v>622</v>
      </c>
      <c r="B479" s="78"/>
      <c r="C479" s="78"/>
      <c r="D479" s="69">
        <v>45350</v>
      </c>
      <c r="E479" s="14">
        <v>520</v>
      </c>
      <c r="F479" s="69">
        <v>45349</v>
      </c>
      <c r="G479" s="76">
        <v>32609</v>
      </c>
      <c r="H479" s="70" t="s">
        <v>1044</v>
      </c>
      <c r="I479" s="7">
        <f t="shared" ca="1" si="2"/>
        <v>0</v>
      </c>
      <c r="J479" s="85"/>
      <c r="K479" s="7"/>
    </row>
    <row r="480" spans="1:11" ht="14.25" hidden="1" customHeight="1">
      <c r="A480" s="14" t="s">
        <v>394</v>
      </c>
      <c r="B480" s="78"/>
      <c r="C480" s="78"/>
      <c r="D480" s="69">
        <v>45355</v>
      </c>
      <c r="E480" s="14">
        <v>521</v>
      </c>
      <c r="F480" s="69">
        <v>45351</v>
      </c>
      <c r="G480" s="76">
        <v>119404</v>
      </c>
      <c r="H480" s="70" t="s">
        <v>1044</v>
      </c>
      <c r="I480" s="7">
        <f t="shared" ca="1" si="2"/>
        <v>0</v>
      </c>
      <c r="J480" s="85"/>
      <c r="K480" s="7"/>
    </row>
    <row r="481" spans="1:11" ht="14.25" hidden="1" customHeight="1">
      <c r="A481" s="14" t="s">
        <v>628</v>
      </c>
      <c r="B481" s="78"/>
      <c r="C481" s="78"/>
      <c r="D481" s="69">
        <v>45355</v>
      </c>
      <c r="E481" s="14">
        <v>522</v>
      </c>
      <c r="F481" s="69">
        <v>45355</v>
      </c>
      <c r="G481" s="76">
        <v>210383</v>
      </c>
      <c r="H481" s="70" t="s">
        <v>1044</v>
      </c>
      <c r="I481" s="7">
        <f t="shared" ca="1" si="2"/>
        <v>0</v>
      </c>
      <c r="J481" s="86"/>
      <c r="K481" s="7"/>
    </row>
    <row r="482" spans="1:11" ht="14.25" hidden="1" customHeight="1">
      <c r="A482" s="14" t="s">
        <v>622</v>
      </c>
      <c r="B482" s="78"/>
      <c r="C482" s="78"/>
      <c r="D482" s="69">
        <v>45355</v>
      </c>
      <c r="E482" s="14">
        <v>523</v>
      </c>
      <c r="F482" s="77">
        <v>45355</v>
      </c>
      <c r="G482" s="76">
        <v>93643</v>
      </c>
      <c r="H482" s="70" t="s">
        <v>1044</v>
      </c>
      <c r="I482" s="7">
        <f t="shared" ca="1" si="2"/>
        <v>0</v>
      </c>
      <c r="J482" s="85"/>
      <c r="K482" s="7"/>
    </row>
    <row r="483" spans="1:11" ht="14.25" hidden="1" customHeight="1">
      <c r="A483" s="14" t="s">
        <v>1211</v>
      </c>
      <c r="B483" s="78"/>
      <c r="C483" s="78"/>
      <c r="D483" s="69">
        <v>45355</v>
      </c>
      <c r="E483" s="15">
        <v>524</v>
      </c>
      <c r="F483" s="69">
        <v>45356</v>
      </c>
      <c r="G483" s="76">
        <v>116740</v>
      </c>
      <c r="H483" s="70" t="s">
        <v>1100</v>
      </c>
      <c r="I483" s="7">
        <f t="shared" ca="1" si="2"/>
        <v>0</v>
      </c>
      <c r="J483" s="85"/>
      <c r="K483" s="7"/>
    </row>
    <row r="484" spans="1:11" ht="14.25" hidden="1" customHeight="1">
      <c r="A484" s="14" t="s">
        <v>143</v>
      </c>
      <c r="B484" s="78"/>
      <c r="C484" s="78"/>
      <c r="D484" s="69">
        <v>45359</v>
      </c>
      <c r="E484" s="68">
        <v>525</v>
      </c>
      <c r="F484" s="69"/>
      <c r="G484" s="76">
        <v>124858</v>
      </c>
      <c r="H484" s="70" t="s">
        <v>1100</v>
      </c>
      <c r="I484" s="7">
        <f t="shared" ca="1" si="2"/>
        <v>0</v>
      </c>
      <c r="J484" s="86"/>
      <c r="K484" s="7"/>
    </row>
    <row r="485" spans="1:11" ht="14.25" hidden="1" customHeight="1">
      <c r="A485" s="14" t="s">
        <v>226</v>
      </c>
      <c r="B485" s="78"/>
      <c r="C485" s="78"/>
      <c r="D485" s="69">
        <v>45359</v>
      </c>
      <c r="E485" s="14">
        <v>526</v>
      </c>
      <c r="F485" s="69"/>
      <c r="G485" s="76">
        <v>210383</v>
      </c>
      <c r="H485" s="70" t="s">
        <v>1100</v>
      </c>
      <c r="I485" s="7">
        <f t="shared" ca="1" si="2"/>
        <v>0</v>
      </c>
      <c r="J485" s="86"/>
      <c r="K485" s="7" t="s">
        <v>1163</v>
      </c>
    </row>
    <row r="486" spans="1:11" ht="14.25" hidden="1" customHeight="1">
      <c r="A486" s="14" t="s">
        <v>571</v>
      </c>
      <c r="B486" s="78"/>
      <c r="C486" s="78"/>
      <c r="D486" s="69">
        <v>45359</v>
      </c>
      <c r="E486" s="14">
        <v>527</v>
      </c>
      <c r="F486" s="69"/>
      <c r="G486" s="76">
        <v>110311</v>
      </c>
      <c r="H486" s="70" t="s">
        <v>1100</v>
      </c>
      <c r="I486" s="7">
        <f t="shared" ca="1" si="2"/>
        <v>0</v>
      </c>
      <c r="J486" s="85"/>
      <c r="K486" s="7"/>
    </row>
    <row r="487" spans="1:11" ht="14.25" hidden="1" customHeight="1">
      <c r="A487" s="14" t="s">
        <v>634</v>
      </c>
      <c r="B487" s="78"/>
      <c r="C487" s="78"/>
      <c r="D487" s="69">
        <v>45362</v>
      </c>
      <c r="E487" s="14">
        <v>528</v>
      </c>
      <c r="F487" s="69">
        <v>45362</v>
      </c>
      <c r="G487" s="76">
        <v>121497</v>
      </c>
      <c r="H487" s="70" t="s">
        <v>1100</v>
      </c>
      <c r="I487" s="7">
        <f t="shared" ca="1" si="2"/>
        <v>0</v>
      </c>
      <c r="J487" s="86"/>
      <c r="K487" s="7"/>
    </row>
    <row r="488" spans="1:11" ht="14.25" hidden="1" customHeight="1">
      <c r="A488" s="14" t="s">
        <v>600</v>
      </c>
      <c r="B488" s="78"/>
      <c r="C488" s="78"/>
      <c r="D488" s="69">
        <v>45366</v>
      </c>
      <c r="E488" s="14">
        <v>529</v>
      </c>
      <c r="F488" s="69">
        <v>45368</v>
      </c>
      <c r="G488" s="76">
        <v>81547</v>
      </c>
      <c r="H488" s="70" t="s">
        <v>1100</v>
      </c>
      <c r="I488" s="7">
        <f t="shared" ca="1" si="2"/>
        <v>0</v>
      </c>
      <c r="J488" s="85"/>
      <c r="K488" s="7"/>
    </row>
    <row r="489" spans="1:11" ht="14.25" hidden="1" customHeight="1">
      <c r="A489" s="14" t="s">
        <v>600</v>
      </c>
      <c r="B489" s="78"/>
      <c r="C489" s="78"/>
      <c r="D489" s="69">
        <v>45366</v>
      </c>
      <c r="E489" s="14">
        <v>530</v>
      </c>
      <c r="F489" s="69">
        <v>45368</v>
      </c>
      <c r="G489" s="76">
        <v>30885</v>
      </c>
      <c r="H489" s="70" t="s">
        <v>1100</v>
      </c>
      <c r="I489" s="7">
        <f t="shared" ca="1" si="2"/>
        <v>0</v>
      </c>
      <c r="J489" s="85"/>
      <c r="K489" s="7"/>
    </row>
    <row r="490" spans="1:11" ht="14.25" hidden="1" customHeight="1">
      <c r="A490" s="14" t="s">
        <v>342</v>
      </c>
      <c r="B490" s="78"/>
      <c r="C490" s="78"/>
      <c r="D490" s="69">
        <v>45366</v>
      </c>
      <c r="E490" s="15">
        <v>531</v>
      </c>
      <c r="F490" s="69">
        <v>45368</v>
      </c>
      <c r="G490" s="76">
        <v>127648</v>
      </c>
      <c r="H490" s="70" t="s">
        <v>1100</v>
      </c>
      <c r="I490" s="7">
        <f t="shared" ca="1" si="2"/>
        <v>0</v>
      </c>
      <c r="J490" s="85"/>
      <c r="K490" s="7"/>
    </row>
    <row r="491" spans="1:11" ht="14.25" hidden="1" customHeight="1">
      <c r="A491" s="14" t="s">
        <v>622</v>
      </c>
      <c r="B491" s="78"/>
      <c r="C491" s="78"/>
      <c r="D491" s="69">
        <v>45371</v>
      </c>
      <c r="E491" s="68">
        <v>532</v>
      </c>
      <c r="F491" s="69">
        <v>45371</v>
      </c>
      <c r="G491" s="76">
        <v>97828</v>
      </c>
      <c r="H491" s="70" t="s">
        <v>1044</v>
      </c>
      <c r="I491" s="7">
        <f t="shared" ca="1" si="2"/>
        <v>0</v>
      </c>
      <c r="J491" s="85"/>
      <c r="K491" s="7"/>
    </row>
    <row r="492" spans="1:11" ht="14.25" hidden="1" customHeight="1">
      <c r="A492" s="14" t="s">
        <v>1068</v>
      </c>
      <c r="B492" s="78"/>
      <c r="C492" s="78"/>
      <c r="D492" s="69">
        <v>45371</v>
      </c>
      <c r="E492" s="14">
        <v>533</v>
      </c>
      <c r="F492" s="69">
        <v>45368</v>
      </c>
      <c r="G492" s="76">
        <v>335020</v>
      </c>
      <c r="H492" s="70" t="s">
        <v>1100</v>
      </c>
      <c r="I492" s="7">
        <f t="shared" ca="1" si="2"/>
        <v>0</v>
      </c>
      <c r="J492" s="86"/>
      <c r="K492" s="7"/>
    </row>
    <row r="493" spans="1:11" ht="14.25" hidden="1" customHeight="1">
      <c r="A493" s="14" t="s">
        <v>1212</v>
      </c>
      <c r="B493" s="78"/>
      <c r="C493" s="78"/>
      <c r="D493" s="69">
        <v>45371</v>
      </c>
      <c r="E493" s="14">
        <v>534</v>
      </c>
      <c r="F493" s="69">
        <v>45371</v>
      </c>
      <c r="G493" s="76">
        <v>107506</v>
      </c>
      <c r="H493" s="70" t="s">
        <v>1100</v>
      </c>
      <c r="I493" s="7">
        <f t="shared" ca="1" si="2"/>
        <v>0</v>
      </c>
      <c r="J493" s="86"/>
      <c r="K493" s="7"/>
    </row>
    <row r="494" spans="1:11" ht="14.25" hidden="1" customHeight="1">
      <c r="A494" s="14" t="s">
        <v>493</v>
      </c>
      <c r="B494" s="78"/>
      <c r="C494" s="78"/>
      <c r="D494" s="69">
        <v>45371</v>
      </c>
      <c r="E494" s="14">
        <v>535</v>
      </c>
      <c r="F494" s="69">
        <v>45371</v>
      </c>
      <c r="G494" s="76">
        <v>123589</v>
      </c>
      <c r="H494" s="70" t="s">
        <v>1044</v>
      </c>
      <c r="I494" s="7">
        <f t="shared" ca="1" si="2"/>
        <v>0</v>
      </c>
      <c r="J494" s="86"/>
      <c r="K494" s="7"/>
    </row>
    <row r="495" spans="1:11" ht="14.25" hidden="1" customHeight="1">
      <c r="A495" s="14" t="s">
        <v>615</v>
      </c>
      <c r="B495" s="78"/>
      <c r="C495" s="78"/>
      <c r="D495" s="69">
        <v>45371</v>
      </c>
      <c r="E495" s="14">
        <v>537</v>
      </c>
      <c r="F495" s="69">
        <v>45371</v>
      </c>
      <c r="G495" s="76">
        <v>126253</v>
      </c>
      <c r="H495" s="70" t="s">
        <v>1100</v>
      </c>
      <c r="I495" s="7">
        <f t="shared" ca="1" si="2"/>
        <v>0</v>
      </c>
      <c r="J495" s="86"/>
      <c r="K495" s="7"/>
    </row>
    <row r="496" spans="1:11" ht="14.25" hidden="1" customHeight="1">
      <c r="A496" s="14" t="s">
        <v>559</v>
      </c>
      <c r="B496" s="78"/>
      <c r="C496" s="78"/>
      <c r="D496" s="69">
        <v>45371</v>
      </c>
      <c r="E496" s="14">
        <v>538</v>
      </c>
      <c r="F496" s="69">
        <v>45373</v>
      </c>
      <c r="G496" s="76">
        <v>187413</v>
      </c>
      <c r="H496" s="70" t="s">
        <v>1177</v>
      </c>
      <c r="I496" s="7">
        <f t="shared" ca="1" si="2"/>
        <v>0</v>
      </c>
      <c r="J496" s="7"/>
      <c r="K496" s="7" t="s">
        <v>1213</v>
      </c>
    </row>
    <row r="497" spans="1:11" ht="14.25" hidden="1" customHeight="1">
      <c r="A497" s="14" t="s">
        <v>283</v>
      </c>
      <c r="B497" s="78"/>
      <c r="C497" s="78"/>
      <c r="D497" s="69">
        <v>45373</v>
      </c>
      <c r="E497" s="15">
        <v>540</v>
      </c>
      <c r="F497" s="69">
        <v>45373</v>
      </c>
      <c r="G497" s="76">
        <v>119977</v>
      </c>
      <c r="H497" s="70" t="s">
        <v>1044</v>
      </c>
      <c r="I497" s="7">
        <f t="shared" ca="1" si="2"/>
        <v>0</v>
      </c>
      <c r="J497" s="85"/>
      <c r="K497" s="7"/>
    </row>
    <row r="498" spans="1:11" ht="14.25" hidden="1" customHeight="1">
      <c r="A498" s="14" t="s">
        <v>640</v>
      </c>
      <c r="B498" s="78"/>
      <c r="C498" s="78"/>
      <c r="D498" s="69">
        <v>45376</v>
      </c>
      <c r="E498" s="68">
        <v>541</v>
      </c>
      <c r="F498" s="69">
        <v>45376</v>
      </c>
      <c r="G498" s="76">
        <v>139769</v>
      </c>
      <c r="H498" s="70" t="s">
        <v>1044</v>
      </c>
      <c r="I498" s="7">
        <f t="shared" ca="1" si="2"/>
        <v>0</v>
      </c>
      <c r="J498" s="86"/>
      <c r="K498" s="7"/>
    </row>
    <row r="499" spans="1:11" ht="14.25" hidden="1" customHeight="1">
      <c r="A499" s="14" t="s">
        <v>278</v>
      </c>
      <c r="B499" s="78"/>
      <c r="C499" s="78"/>
      <c r="D499" s="69">
        <v>45376</v>
      </c>
      <c r="E499" s="14">
        <v>543</v>
      </c>
      <c r="F499" s="69">
        <v>45383</v>
      </c>
      <c r="G499" s="76">
        <v>80000</v>
      </c>
      <c r="H499" s="70" t="s">
        <v>1044</v>
      </c>
      <c r="I499" s="7">
        <f t="shared" ca="1" si="2"/>
        <v>0</v>
      </c>
      <c r="J499" s="69"/>
      <c r="K499" s="7" t="s">
        <v>1214</v>
      </c>
    </row>
    <row r="500" spans="1:11" ht="14.25" hidden="1" customHeight="1">
      <c r="A500" s="14" t="s">
        <v>646</v>
      </c>
      <c r="B500" s="78"/>
      <c r="C500" s="78"/>
      <c r="D500" s="69">
        <v>45377</v>
      </c>
      <c r="E500" s="14">
        <v>544</v>
      </c>
      <c r="F500" s="69">
        <v>45377</v>
      </c>
      <c r="G500" s="76">
        <v>147954</v>
      </c>
      <c r="H500" s="70" t="s">
        <v>1100</v>
      </c>
      <c r="I500" s="7">
        <f t="shared" ca="1" si="2"/>
        <v>0</v>
      </c>
      <c r="J500" s="86"/>
      <c r="K500" s="7"/>
    </row>
    <row r="501" spans="1:11" ht="14.25" hidden="1" customHeight="1">
      <c r="A501" s="14" t="s">
        <v>1068</v>
      </c>
      <c r="B501" s="78"/>
      <c r="C501" s="78"/>
      <c r="D501" s="69">
        <v>45383</v>
      </c>
      <c r="E501" s="14">
        <v>546</v>
      </c>
      <c r="F501" s="69">
        <v>45379</v>
      </c>
      <c r="G501" s="76">
        <v>891400</v>
      </c>
      <c r="H501" s="70" t="s">
        <v>1100</v>
      </c>
      <c r="I501" s="7">
        <f t="shared" ca="1" si="2"/>
        <v>0</v>
      </c>
      <c r="J501" s="86"/>
      <c r="K501" s="7"/>
    </row>
    <row r="502" spans="1:11" ht="14.25" hidden="1" customHeight="1">
      <c r="A502" s="14" t="s">
        <v>622</v>
      </c>
      <c r="B502" s="78"/>
      <c r="C502" s="78"/>
      <c r="D502" s="69">
        <v>45383</v>
      </c>
      <c r="E502" s="14">
        <v>548</v>
      </c>
      <c r="F502" s="69">
        <v>45377</v>
      </c>
      <c r="G502" s="76">
        <v>65219</v>
      </c>
      <c r="H502" s="70" t="s">
        <v>1044</v>
      </c>
      <c r="I502" s="7">
        <f t="shared" ca="1" si="2"/>
        <v>0</v>
      </c>
      <c r="J502" s="87"/>
      <c r="K502" s="7"/>
    </row>
    <row r="503" spans="1:11" ht="14.25" hidden="1" customHeight="1">
      <c r="A503" s="14" t="s">
        <v>1088</v>
      </c>
      <c r="B503" s="78"/>
      <c r="C503" s="78"/>
      <c r="D503" s="69">
        <v>45383</v>
      </c>
      <c r="E503" s="14">
        <v>550</v>
      </c>
      <c r="F503" s="69">
        <v>45383</v>
      </c>
      <c r="G503" s="76">
        <v>224494</v>
      </c>
      <c r="H503" s="70" t="s">
        <v>1100</v>
      </c>
      <c r="I503" s="7">
        <f t="shared" ca="1" si="2"/>
        <v>0</v>
      </c>
      <c r="J503" s="86"/>
      <c r="K503" s="7"/>
    </row>
    <row r="504" spans="1:11" ht="14.25" hidden="1" customHeight="1">
      <c r="A504" s="14" t="s">
        <v>1215</v>
      </c>
      <c r="B504" s="78"/>
      <c r="C504" s="78"/>
      <c r="D504" s="69">
        <v>45383</v>
      </c>
      <c r="E504" s="15">
        <v>552</v>
      </c>
      <c r="F504" s="69">
        <v>45383</v>
      </c>
      <c r="G504" s="76">
        <v>90853</v>
      </c>
      <c r="H504" s="70" t="s">
        <v>1100</v>
      </c>
      <c r="I504" s="7">
        <f t="shared" ca="1" si="2"/>
        <v>0</v>
      </c>
      <c r="J504" s="87"/>
      <c r="K504" s="7"/>
    </row>
    <row r="505" spans="1:11" ht="14.25" hidden="1" customHeight="1">
      <c r="A505" s="14" t="s">
        <v>487</v>
      </c>
      <c r="B505" s="78"/>
      <c r="C505" s="78"/>
      <c r="D505" s="69">
        <v>45383</v>
      </c>
      <c r="E505" s="68">
        <v>553</v>
      </c>
      <c r="F505" s="69">
        <v>45383</v>
      </c>
      <c r="G505" s="76">
        <v>177774</v>
      </c>
      <c r="H505" s="70" t="s">
        <v>1044</v>
      </c>
      <c r="I505" s="7">
        <f t="shared" ca="1" si="2"/>
        <v>0</v>
      </c>
      <c r="J505" s="87"/>
      <c r="K505" s="7"/>
    </row>
    <row r="506" spans="1:11" ht="14.25" hidden="1" customHeight="1">
      <c r="A506" s="14" t="s">
        <v>404</v>
      </c>
      <c r="B506" s="78"/>
      <c r="C506" s="78"/>
      <c r="D506" s="69">
        <v>45384</v>
      </c>
      <c r="E506" s="14">
        <v>554</v>
      </c>
      <c r="F506" s="69">
        <v>45384</v>
      </c>
      <c r="G506" s="76">
        <v>120779</v>
      </c>
      <c r="H506" s="70" t="s">
        <v>1100</v>
      </c>
      <c r="I506" s="7">
        <f t="shared" ca="1" si="2"/>
        <v>0</v>
      </c>
      <c r="J506" s="86"/>
      <c r="K506" s="7"/>
    </row>
    <row r="507" spans="1:11" ht="14.25" hidden="1" customHeight="1">
      <c r="A507" s="14" t="s">
        <v>126</v>
      </c>
      <c r="B507" s="78"/>
      <c r="C507" s="78"/>
      <c r="D507" s="69">
        <v>45383</v>
      </c>
      <c r="E507" s="14">
        <v>555</v>
      </c>
      <c r="F507" s="69">
        <v>45383</v>
      </c>
      <c r="G507" s="76">
        <v>153117</v>
      </c>
      <c r="H507" s="70" t="s">
        <v>1044</v>
      </c>
      <c r="I507" s="7">
        <f t="shared" ca="1" si="2"/>
        <v>0</v>
      </c>
      <c r="J507" s="69"/>
      <c r="K507" s="7"/>
    </row>
    <row r="508" spans="1:11" ht="14.25" hidden="1" customHeight="1">
      <c r="A508" s="14" t="s">
        <v>1209</v>
      </c>
      <c r="B508" s="78"/>
      <c r="C508" s="78"/>
      <c r="D508" s="69">
        <v>45386</v>
      </c>
      <c r="E508" s="14">
        <v>557</v>
      </c>
      <c r="F508" s="69">
        <v>45386</v>
      </c>
      <c r="G508" s="76">
        <v>122194</v>
      </c>
      <c r="H508" s="70" t="s">
        <v>1177</v>
      </c>
      <c r="I508" s="7">
        <f t="shared" ca="1" si="2"/>
        <v>0</v>
      </c>
      <c r="J508" s="7"/>
      <c r="K508" s="7" t="s">
        <v>1216</v>
      </c>
    </row>
    <row r="509" spans="1:11" ht="14.25" hidden="1" customHeight="1">
      <c r="A509" s="14" t="s">
        <v>622</v>
      </c>
      <c r="B509" s="78"/>
      <c r="C509" s="78"/>
      <c r="D509" s="69">
        <v>45386</v>
      </c>
      <c r="E509" s="14">
        <v>558</v>
      </c>
      <c r="F509" s="69">
        <v>45386</v>
      </c>
      <c r="G509" s="76">
        <v>55579</v>
      </c>
      <c r="H509" s="70" t="s">
        <v>1044</v>
      </c>
      <c r="I509" s="7">
        <f t="shared" ca="1" si="2"/>
        <v>0</v>
      </c>
      <c r="J509" s="69"/>
      <c r="K509" s="7"/>
    </row>
    <row r="510" spans="1:11" ht="14.25" hidden="1" customHeight="1">
      <c r="A510" s="14" t="s">
        <v>1160</v>
      </c>
      <c r="B510" s="78"/>
      <c r="C510" s="78"/>
      <c r="D510" s="69">
        <v>45387</v>
      </c>
      <c r="E510" s="68">
        <v>559</v>
      </c>
      <c r="F510" s="69">
        <v>45387</v>
      </c>
      <c r="G510" s="76">
        <v>122194</v>
      </c>
      <c r="H510" s="70" t="s">
        <v>1100</v>
      </c>
      <c r="I510" s="7">
        <f t="shared" ca="1" si="2"/>
        <v>0</v>
      </c>
      <c r="J510" s="86"/>
      <c r="K510" s="7"/>
    </row>
    <row r="511" spans="1:11" ht="14.25" hidden="1" customHeight="1">
      <c r="A511" s="14" t="s">
        <v>652</v>
      </c>
      <c r="B511" s="78"/>
      <c r="C511" s="78"/>
      <c r="D511" s="69">
        <v>45391</v>
      </c>
      <c r="E511" s="14">
        <v>560</v>
      </c>
      <c r="F511" s="69">
        <v>45392</v>
      </c>
      <c r="G511" s="76">
        <v>143223</v>
      </c>
      <c r="H511" s="70" t="s">
        <v>1100</v>
      </c>
      <c r="I511" s="7">
        <f t="shared" ca="1" si="2"/>
        <v>0</v>
      </c>
      <c r="J511" s="88"/>
      <c r="K511" s="7"/>
    </row>
    <row r="512" spans="1:11" ht="14.25" hidden="1" customHeight="1">
      <c r="A512" s="14" t="s">
        <v>226</v>
      </c>
      <c r="B512" s="78"/>
      <c r="C512" s="78"/>
      <c r="D512" s="69">
        <v>45392</v>
      </c>
      <c r="E512" s="14">
        <v>561</v>
      </c>
      <c r="F512" s="69">
        <v>45392</v>
      </c>
      <c r="G512" s="76">
        <v>172206</v>
      </c>
      <c r="H512" s="70" t="s">
        <v>1100</v>
      </c>
      <c r="I512" s="7">
        <f t="shared" ca="1" si="2"/>
        <v>0</v>
      </c>
      <c r="J512" s="87"/>
      <c r="K512" s="7" t="s">
        <v>1163</v>
      </c>
    </row>
    <row r="513" spans="1:11" ht="14.25" hidden="1" customHeight="1">
      <c r="A513" s="14" t="s">
        <v>143</v>
      </c>
      <c r="B513" s="78"/>
      <c r="C513" s="78"/>
      <c r="D513" s="69">
        <v>45392</v>
      </c>
      <c r="E513" s="68">
        <v>562</v>
      </c>
      <c r="F513" s="69">
        <v>45394</v>
      </c>
      <c r="G513" s="76">
        <v>112561</v>
      </c>
      <c r="H513" s="70" t="s">
        <v>1100</v>
      </c>
      <c r="I513" s="7">
        <f t="shared" ca="1" si="2"/>
        <v>0</v>
      </c>
      <c r="J513" s="86"/>
      <c r="K513" s="7"/>
    </row>
    <row r="514" spans="1:11" ht="14.25" hidden="1" customHeight="1">
      <c r="A514" s="14" t="s">
        <v>547</v>
      </c>
      <c r="B514" s="78"/>
      <c r="C514" s="78"/>
      <c r="D514" s="69">
        <v>45396</v>
      </c>
      <c r="E514" s="14">
        <v>563</v>
      </c>
      <c r="F514" s="69">
        <v>45395</v>
      </c>
      <c r="G514" s="76">
        <v>115345</v>
      </c>
      <c r="H514" s="70" t="s">
        <v>1044</v>
      </c>
      <c r="I514" s="7">
        <f t="shared" ca="1" si="2"/>
        <v>0</v>
      </c>
      <c r="J514" s="86"/>
      <c r="K514" s="7"/>
    </row>
    <row r="515" spans="1:11" ht="14.25" hidden="1" customHeight="1">
      <c r="A515" s="14" t="s">
        <v>1164</v>
      </c>
      <c r="B515" s="78"/>
      <c r="C515" s="78"/>
      <c r="D515" s="69">
        <v>45396</v>
      </c>
      <c r="E515" s="14">
        <v>564</v>
      </c>
      <c r="F515" s="69">
        <v>45395</v>
      </c>
      <c r="G515" s="76">
        <v>123589</v>
      </c>
      <c r="H515" s="70" t="s">
        <v>1044</v>
      </c>
      <c r="I515" s="7">
        <f t="shared" ca="1" si="2"/>
        <v>0</v>
      </c>
      <c r="J515" s="86"/>
      <c r="K515" s="7"/>
    </row>
    <row r="516" spans="1:11" ht="14.25" hidden="1" customHeight="1">
      <c r="A516" s="384" t="s">
        <v>675</v>
      </c>
      <c r="B516" s="78"/>
      <c r="C516" s="78"/>
      <c r="D516" s="69">
        <v>45397</v>
      </c>
      <c r="E516" s="14">
        <v>571</v>
      </c>
      <c r="F516" s="69">
        <v>45395</v>
      </c>
      <c r="G516" s="76">
        <v>232047</v>
      </c>
      <c r="H516" s="70" t="s">
        <v>1100</v>
      </c>
      <c r="I516" s="7">
        <f t="shared" ca="1" si="2"/>
        <v>0</v>
      </c>
      <c r="J516" s="87"/>
      <c r="K516" s="7"/>
    </row>
    <row r="517" spans="1:11" ht="14.25" hidden="1" customHeight="1">
      <c r="A517" s="14" t="s">
        <v>251</v>
      </c>
      <c r="B517" s="78"/>
      <c r="C517" s="78"/>
      <c r="D517" s="69">
        <v>45397</v>
      </c>
      <c r="E517" s="14">
        <v>565</v>
      </c>
      <c r="F517" s="77">
        <v>45397</v>
      </c>
      <c r="G517" s="76">
        <v>211457</v>
      </c>
      <c r="H517" s="70" t="s">
        <v>1100</v>
      </c>
      <c r="I517" s="7">
        <f t="shared" ca="1" si="2"/>
        <v>0</v>
      </c>
      <c r="J517" s="86"/>
      <c r="K517" s="7"/>
    </row>
    <row r="518" spans="1:11" ht="14.25" hidden="1" customHeight="1">
      <c r="A518" s="14" t="s">
        <v>1105</v>
      </c>
      <c r="B518" s="78"/>
      <c r="C518" s="78"/>
      <c r="D518" s="69">
        <v>45397</v>
      </c>
      <c r="E518" s="68">
        <v>566</v>
      </c>
      <c r="F518" s="77">
        <v>45397</v>
      </c>
      <c r="G518" s="76">
        <v>118135</v>
      </c>
      <c r="H518" s="70" t="s">
        <v>1177</v>
      </c>
      <c r="I518" s="7">
        <f t="shared" ca="1" si="2"/>
        <v>0</v>
      </c>
      <c r="J518" s="89"/>
      <c r="K518" s="7" t="s">
        <v>1217</v>
      </c>
    </row>
    <row r="519" spans="1:11" ht="14.25" hidden="1" customHeight="1">
      <c r="A519" s="14" t="s">
        <v>1218</v>
      </c>
      <c r="B519" s="78"/>
      <c r="C519" s="78"/>
      <c r="D519" s="69">
        <v>45397</v>
      </c>
      <c r="E519" s="14">
        <v>567</v>
      </c>
      <c r="F519" s="77">
        <v>45397</v>
      </c>
      <c r="G519" s="76">
        <v>119530</v>
      </c>
      <c r="H519" s="70" t="s">
        <v>1044</v>
      </c>
      <c r="I519" s="7">
        <f t="shared" ca="1" si="2"/>
        <v>0</v>
      </c>
      <c r="J519" s="89"/>
      <c r="K519" s="7"/>
    </row>
    <row r="520" spans="1:11" ht="14.25" hidden="1" customHeight="1">
      <c r="A520" s="14" t="s">
        <v>126</v>
      </c>
      <c r="B520" s="78"/>
      <c r="C520" s="78"/>
      <c r="D520" s="69">
        <v>45397</v>
      </c>
      <c r="E520" s="14">
        <v>568</v>
      </c>
      <c r="F520" s="77">
        <v>45397</v>
      </c>
      <c r="G520" s="76">
        <v>96433</v>
      </c>
      <c r="H520" s="70" t="s">
        <v>1100</v>
      </c>
      <c r="I520" s="7">
        <f t="shared" ca="1" si="2"/>
        <v>0</v>
      </c>
      <c r="J520" s="86"/>
      <c r="K520" s="7"/>
    </row>
    <row r="521" spans="1:11" ht="14.25" hidden="1" customHeight="1">
      <c r="A521" s="14" t="s">
        <v>663</v>
      </c>
      <c r="B521" s="78"/>
      <c r="C521" s="78"/>
      <c r="D521" s="69">
        <v>45397</v>
      </c>
      <c r="E521" s="14">
        <v>569</v>
      </c>
      <c r="F521" s="69">
        <v>45398</v>
      </c>
      <c r="G521" s="76">
        <v>117911</v>
      </c>
      <c r="H521" s="70" t="s">
        <v>1044</v>
      </c>
      <c r="I521" s="7">
        <f t="shared" ca="1" si="2"/>
        <v>0</v>
      </c>
      <c r="J521" s="80"/>
      <c r="K521" s="7"/>
    </row>
    <row r="522" spans="1:11" ht="14.25" hidden="1" customHeight="1">
      <c r="A522" s="14" t="s">
        <v>1142</v>
      </c>
      <c r="B522" s="78"/>
      <c r="C522" s="78"/>
      <c r="D522" s="69">
        <v>45397</v>
      </c>
      <c r="E522" s="14">
        <v>570</v>
      </c>
      <c r="F522" s="77">
        <v>45397</v>
      </c>
      <c r="G522" s="76">
        <v>348055</v>
      </c>
      <c r="H522" s="70" t="s">
        <v>1100</v>
      </c>
      <c r="I522" s="7">
        <f t="shared" ca="1" si="2"/>
        <v>0</v>
      </c>
      <c r="J522" s="86"/>
      <c r="K522" s="7"/>
    </row>
    <row r="523" spans="1:11" ht="14.25" hidden="1" customHeight="1">
      <c r="A523" s="18" t="s">
        <v>1121</v>
      </c>
      <c r="B523" s="78"/>
      <c r="C523" s="78"/>
      <c r="D523" s="69">
        <v>45398</v>
      </c>
      <c r="E523" s="68">
        <v>572</v>
      </c>
      <c r="F523" s="77">
        <v>45400</v>
      </c>
      <c r="G523" s="76">
        <v>231915</v>
      </c>
      <c r="H523" s="70" t="s">
        <v>1044</v>
      </c>
      <c r="I523" s="7">
        <f t="shared" ca="1" si="2"/>
        <v>0</v>
      </c>
      <c r="J523" s="86"/>
      <c r="K523" s="7"/>
    </row>
    <row r="524" spans="1:11" ht="14.25" hidden="1" customHeight="1">
      <c r="A524" s="14" t="s">
        <v>342</v>
      </c>
      <c r="B524" s="78"/>
      <c r="C524" s="78"/>
      <c r="D524" s="69">
        <v>45398</v>
      </c>
      <c r="E524" s="14">
        <v>573</v>
      </c>
      <c r="F524" s="69">
        <v>45398</v>
      </c>
      <c r="G524" s="76">
        <v>149349</v>
      </c>
      <c r="H524" s="70" t="s">
        <v>1100</v>
      </c>
      <c r="I524" s="7">
        <f t="shared" ca="1" si="2"/>
        <v>0</v>
      </c>
      <c r="J524" s="86"/>
      <c r="K524" s="7"/>
    </row>
    <row r="525" spans="1:11" ht="14.25" hidden="1" customHeight="1">
      <c r="A525" s="14" t="s">
        <v>1105</v>
      </c>
      <c r="B525" s="78"/>
      <c r="C525" s="78"/>
      <c r="D525" s="69">
        <v>45399</v>
      </c>
      <c r="E525" s="14">
        <v>574</v>
      </c>
      <c r="F525" s="77">
        <v>45397</v>
      </c>
      <c r="G525" s="76">
        <v>118135</v>
      </c>
      <c r="H525" s="70" t="s">
        <v>1044</v>
      </c>
      <c r="I525" s="7">
        <f t="shared" ca="1" si="2"/>
        <v>0</v>
      </c>
      <c r="J525" s="89"/>
      <c r="K525" s="7"/>
    </row>
    <row r="526" spans="1:11" ht="14.25" hidden="1" customHeight="1">
      <c r="A526" s="14" t="s">
        <v>1219</v>
      </c>
      <c r="B526" s="78"/>
      <c r="C526" s="78"/>
      <c r="D526" s="69">
        <v>45399</v>
      </c>
      <c r="E526" s="14">
        <v>575</v>
      </c>
      <c r="F526" s="69">
        <v>45399</v>
      </c>
      <c r="G526" s="76">
        <v>134216</v>
      </c>
      <c r="H526" s="70" t="s">
        <v>1100</v>
      </c>
      <c r="I526" s="7">
        <f t="shared" ca="1" si="2"/>
        <v>0</v>
      </c>
      <c r="J526" s="86"/>
      <c r="K526" s="7"/>
    </row>
    <row r="527" spans="1:11" ht="14.25" hidden="1" customHeight="1">
      <c r="A527" s="14" t="s">
        <v>565</v>
      </c>
      <c r="B527" s="78"/>
      <c r="C527" s="78"/>
      <c r="D527" s="69">
        <v>45399</v>
      </c>
      <c r="E527" s="14">
        <v>576</v>
      </c>
      <c r="F527" s="69">
        <v>45399</v>
      </c>
      <c r="G527" s="76">
        <v>94786</v>
      </c>
      <c r="H527" s="70" t="s">
        <v>1044</v>
      </c>
      <c r="I527" s="7"/>
      <c r="J527" s="90"/>
      <c r="K527" s="7"/>
    </row>
    <row r="528" spans="1:11" ht="14.25" hidden="1" customHeight="1">
      <c r="A528" s="14" t="s">
        <v>1220</v>
      </c>
      <c r="B528" s="78"/>
      <c r="C528" s="78"/>
      <c r="D528" s="69">
        <v>45402</v>
      </c>
      <c r="E528" s="68" t="s">
        <v>1221</v>
      </c>
      <c r="F528" s="69">
        <v>45402</v>
      </c>
      <c r="G528" s="76">
        <v>300000</v>
      </c>
      <c r="H528" s="70" t="s">
        <v>1044</v>
      </c>
      <c r="I528" s="7">
        <f t="shared" ref="I528:I635" ca="1" si="3">IF(OR(H528="Pagado",H528="Anulada"),0,IF(ISNUMBER(E528),TODAY()-D528,TODAY()-F528))</f>
        <v>0</v>
      </c>
      <c r="J528" s="89"/>
      <c r="K528" s="7"/>
    </row>
    <row r="529" spans="1:11" ht="14.25" hidden="1" customHeight="1">
      <c r="A529" s="14" t="s">
        <v>1068</v>
      </c>
      <c r="B529" s="78"/>
      <c r="C529" s="78"/>
      <c r="D529" s="69">
        <v>45404</v>
      </c>
      <c r="E529" s="14">
        <v>577</v>
      </c>
      <c r="F529" s="69">
        <v>45404</v>
      </c>
      <c r="G529" s="76">
        <v>306008</v>
      </c>
      <c r="H529" s="70" t="s">
        <v>1100</v>
      </c>
      <c r="I529" s="7">
        <f t="shared" ca="1" si="3"/>
        <v>0</v>
      </c>
      <c r="J529" s="86"/>
      <c r="K529" s="7"/>
    </row>
    <row r="530" spans="1:11" ht="14.25" hidden="1" customHeight="1">
      <c r="A530" s="14" t="s">
        <v>1105</v>
      </c>
      <c r="B530" s="78"/>
      <c r="C530" s="78"/>
      <c r="D530" s="69">
        <v>45405</v>
      </c>
      <c r="E530" s="14">
        <v>578</v>
      </c>
      <c r="F530" s="69">
        <v>45405</v>
      </c>
      <c r="G530" s="76">
        <v>61034</v>
      </c>
      <c r="H530" s="70" t="s">
        <v>1100</v>
      </c>
      <c r="I530" s="7">
        <f t="shared" ca="1" si="3"/>
        <v>0</v>
      </c>
      <c r="J530" s="86"/>
      <c r="K530" s="7"/>
    </row>
    <row r="531" spans="1:11" ht="14.25" hidden="1" customHeight="1">
      <c r="A531" s="14" t="s">
        <v>1218</v>
      </c>
      <c r="B531" s="78"/>
      <c r="C531" s="78"/>
      <c r="D531" s="69">
        <v>45405</v>
      </c>
      <c r="E531" s="14">
        <v>579</v>
      </c>
      <c r="F531" s="69">
        <v>45405</v>
      </c>
      <c r="G531" s="76">
        <v>61034</v>
      </c>
      <c r="H531" s="70" t="s">
        <v>1100</v>
      </c>
      <c r="I531" s="7">
        <f t="shared" ca="1" si="3"/>
        <v>0</v>
      </c>
      <c r="J531" s="86"/>
      <c r="K531" s="7"/>
    </row>
    <row r="532" spans="1:11" ht="14.25" hidden="1" customHeight="1">
      <c r="A532" s="14" t="s">
        <v>1052</v>
      </c>
      <c r="B532" s="78"/>
      <c r="C532" s="78"/>
      <c r="D532" s="69">
        <v>45405</v>
      </c>
      <c r="E532" s="14">
        <v>580</v>
      </c>
      <c r="F532" s="69">
        <v>45405</v>
      </c>
      <c r="G532" s="76">
        <v>180258</v>
      </c>
      <c r="H532" s="70" t="s">
        <v>1044</v>
      </c>
      <c r="I532" s="7">
        <f t="shared" ca="1" si="3"/>
        <v>0</v>
      </c>
      <c r="J532" s="86"/>
      <c r="K532" s="7" t="s">
        <v>1222</v>
      </c>
    </row>
    <row r="533" spans="1:11" ht="14.25" hidden="1" customHeight="1">
      <c r="A533" s="14" t="s">
        <v>1157</v>
      </c>
      <c r="B533" s="78"/>
      <c r="C533" s="78"/>
      <c r="D533" s="69">
        <v>45406</v>
      </c>
      <c r="E533" s="14">
        <v>581</v>
      </c>
      <c r="F533" s="69">
        <v>45406</v>
      </c>
      <c r="G533" s="76">
        <v>123589</v>
      </c>
      <c r="H533" s="70" t="s">
        <v>1100</v>
      </c>
      <c r="I533" s="7">
        <f t="shared" ca="1" si="3"/>
        <v>0</v>
      </c>
      <c r="J533" s="80"/>
      <c r="K533" s="7"/>
    </row>
    <row r="534" spans="1:11" ht="14.25" hidden="1" customHeight="1">
      <c r="A534" s="14" t="s">
        <v>559</v>
      </c>
      <c r="B534" s="78"/>
      <c r="C534" s="78"/>
      <c r="D534" s="69">
        <v>45371</v>
      </c>
      <c r="E534" s="14">
        <v>582</v>
      </c>
      <c r="F534" s="77">
        <v>45372</v>
      </c>
      <c r="G534" s="76">
        <v>122194</v>
      </c>
      <c r="H534" s="70" t="s">
        <v>1100</v>
      </c>
      <c r="I534" s="7">
        <f t="shared" ca="1" si="3"/>
        <v>0</v>
      </c>
      <c r="J534" s="86"/>
      <c r="K534" s="7" t="s">
        <v>1223</v>
      </c>
    </row>
    <row r="535" spans="1:11" ht="14.25" hidden="1" customHeight="1">
      <c r="A535" s="14" t="s">
        <v>1224</v>
      </c>
      <c r="B535" s="78"/>
      <c r="C535" s="78"/>
      <c r="D535" s="69">
        <v>45411</v>
      </c>
      <c r="E535" s="14">
        <v>583</v>
      </c>
      <c r="F535" s="69">
        <v>45412</v>
      </c>
      <c r="G535" s="76">
        <v>153087</v>
      </c>
      <c r="H535" s="70" t="s">
        <v>1044</v>
      </c>
      <c r="I535" s="7">
        <f t="shared" ca="1" si="3"/>
        <v>0</v>
      </c>
      <c r="J535" s="86"/>
      <c r="K535" s="7"/>
    </row>
    <row r="536" spans="1:11" ht="14.25" hidden="1" customHeight="1">
      <c r="A536" s="14" t="s">
        <v>1225</v>
      </c>
      <c r="B536" s="78"/>
      <c r="C536" s="78"/>
      <c r="D536" s="69">
        <v>45411</v>
      </c>
      <c r="E536" s="14">
        <v>584</v>
      </c>
      <c r="F536" s="77">
        <v>45411</v>
      </c>
      <c r="G536" s="76">
        <v>117919</v>
      </c>
      <c r="H536" s="70" t="s">
        <v>1177</v>
      </c>
      <c r="I536" s="7">
        <f t="shared" ca="1" si="3"/>
        <v>0</v>
      </c>
      <c r="J536" s="7"/>
      <c r="K536" s="7" t="s">
        <v>1226</v>
      </c>
    </row>
    <row r="537" spans="1:11" ht="14.25" hidden="1" customHeight="1">
      <c r="A537" s="14" t="s">
        <v>646</v>
      </c>
      <c r="B537" s="78"/>
      <c r="C537" s="78"/>
      <c r="D537" s="69">
        <v>45411</v>
      </c>
      <c r="E537" s="14">
        <v>585</v>
      </c>
      <c r="F537" s="69">
        <v>45412</v>
      </c>
      <c r="G537" s="76">
        <v>124287</v>
      </c>
      <c r="H537" s="70" t="s">
        <v>1044</v>
      </c>
      <c r="I537" s="7">
        <f t="shared" ca="1" si="3"/>
        <v>0</v>
      </c>
      <c r="J537" s="80"/>
      <c r="K537" s="7"/>
    </row>
    <row r="538" spans="1:11" ht="14.25" hidden="1" customHeight="1">
      <c r="A538" s="14" t="s">
        <v>1227</v>
      </c>
      <c r="B538" s="78"/>
      <c r="C538" s="78"/>
      <c r="D538" s="69">
        <v>45411</v>
      </c>
      <c r="E538" s="14">
        <v>586</v>
      </c>
      <c r="F538" s="77">
        <v>45411</v>
      </c>
      <c r="G538" s="76">
        <v>118769</v>
      </c>
      <c r="H538" s="70" t="s">
        <v>1100</v>
      </c>
      <c r="I538" s="7">
        <f t="shared" ca="1" si="3"/>
        <v>0</v>
      </c>
      <c r="J538" s="86"/>
      <c r="K538" s="7"/>
    </row>
    <row r="539" spans="1:11" ht="14.25" hidden="1" customHeight="1">
      <c r="A539" s="14" t="s">
        <v>1219</v>
      </c>
      <c r="B539" s="78"/>
      <c r="C539" s="78"/>
      <c r="D539" s="69">
        <v>45411</v>
      </c>
      <c r="E539" s="14">
        <v>587</v>
      </c>
      <c r="F539" s="69">
        <v>45412</v>
      </c>
      <c r="G539" s="76">
        <v>134376</v>
      </c>
      <c r="H539" s="70" t="s">
        <v>1100</v>
      </c>
      <c r="I539" s="7">
        <f t="shared" ca="1" si="3"/>
        <v>0</v>
      </c>
      <c r="J539" s="86"/>
      <c r="K539" s="7"/>
    </row>
    <row r="540" spans="1:11" ht="14.25" hidden="1" customHeight="1">
      <c r="A540" s="14" t="s">
        <v>1228</v>
      </c>
      <c r="B540" s="78"/>
      <c r="C540" s="78"/>
      <c r="D540" s="69">
        <v>45411</v>
      </c>
      <c r="E540" s="14">
        <v>588</v>
      </c>
      <c r="F540" s="77">
        <v>45411</v>
      </c>
      <c r="G540" s="76">
        <v>117508</v>
      </c>
      <c r="H540" s="70" t="s">
        <v>1100</v>
      </c>
      <c r="I540" s="7">
        <f t="shared" ca="1" si="3"/>
        <v>0</v>
      </c>
      <c r="J540" s="86"/>
      <c r="K540" s="7"/>
    </row>
    <row r="541" spans="1:11" ht="14.25" hidden="1" customHeight="1">
      <c r="A541" s="14" t="s">
        <v>1229</v>
      </c>
      <c r="B541" s="78"/>
      <c r="C541" s="78"/>
      <c r="D541" s="69">
        <v>45411</v>
      </c>
      <c r="E541" s="14">
        <v>589</v>
      </c>
      <c r="F541" s="77">
        <v>45411</v>
      </c>
      <c r="G541" s="76">
        <v>207413</v>
      </c>
      <c r="H541" s="70" t="s">
        <v>1100</v>
      </c>
      <c r="I541" s="7">
        <f t="shared" ca="1" si="3"/>
        <v>0</v>
      </c>
      <c r="J541" s="86"/>
      <c r="K541" s="7"/>
    </row>
    <row r="542" spans="1:11" ht="14.25" hidden="1" customHeight="1">
      <c r="A542" s="14" t="s">
        <v>1202</v>
      </c>
      <c r="B542" s="78"/>
      <c r="C542" s="78"/>
      <c r="D542" s="69">
        <v>45412</v>
      </c>
      <c r="E542" s="14">
        <v>592</v>
      </c>
      <c r="F542" s="69">
        <v>45415</v>
      </c>
      <c r="G542" s="76">
        <v>123589</v>
      </c>
      <c r="H542" s="70" t="s">
        <v>1100</v>
      </c>
      <c r="I542" s="7">
        <f t="shared" ca="1" si="3"/>
        <v>0</v>
      </c>
      <c r="J542" s="86"/>
      <c r="K542" s="7"/>
    </row>
    <row r="543" spans="1:11" ht="14.25" hidden="1" customHeight="1">
      <c r="A543" s="14" t="s">
        <v>1225</v>
      </c>
      <c r="B543" s="78"/>
      <c r="C543" s="78"/>
      <c r="D543" s="69">
        <v>45414</v>
      </c>
      <c r="E543" s="14">
        <v>593</v>
      </c>
      <c r="F543" s="77">
        <v>45411</v>
      </c>
      <c r="G543" s="76">
        <v>109297</v>
      </c>
      <c r="H543" s="70" t="s">
        <v>1044</v>
      </c>
      <c r="I543" s="7">
        <f t="shared" ca="1" si="3"/>
        <v>0</v>
      </c>
      <c r="J543" s="86"/>
      <c r="K543" s="7" t="s">
        <v>1230</v>
      </c>
    </row>
    <row r="544" spans="1:11" ht="14.25" hidden="1" customHeight="1">
      <c r="A544" s="18" t="s">
        <v>1120</v>
      </c>
      <c r="B544" s="78"/>
      <c r="C544" s="78"/>
      <c r="D544" s="69">
        <v>45414</v>
      </c>
      <c r="E544" s="14">
        <v>594</v>
      </c>
      <c r="F544" s="77">
        <v>45412</v>
      </c>
      <c r="G544" s="76">
        <v>127648</v>
      </c>
      <c r="H544" s="70" t="s">
        <v>1100</v>
      </c>
      <c r="I544" s="7">
        <f t="shared" ca="1" si="3"/>
        <v>0</v>
      </c>
      <c r="J544" s="86"/>
      <c r="K544" s="7"/>
    </row>
    <row r="545" spans="1:11" ht="14.25" hidden="1" customHeight="1">
      <c r="A545" s="14" t="s">
        <v>1056</v>
      </c>
      <c r="B545" s="78"/>
      <c r="C545" s="78"/>
      <c r="D545" s="68" t="s">
        <v>1221</v>
      </c>
      <c r="E545" s="14" t="s">
        <v>1221</v>
      </c>
      <c r="F545" s="77">
        <v>45412</v>
      </c>
      <c r="G545" s="76">
        <v>178000</v>
      </c>
      <c r="H545" s="70" t="s">
        <v>1100</v>
      </c>
      <c r="I545" s="7">
        <f t="shared" ca="1" si="3"/>
        <v>0</v>
      </c>
      <c r="J545" s="87"/>
      <c r="K545" s="7"/>
    </row>
    <row r="546" spans="1:11" ht="14.25" hidden="1" customHeight="1">
      <c r="A546" s="14" t="s">
        <v>1231</v>
      </c>
      <c r="B546" s="78"/>
      <c r="C546" s="78"/>
      <c r="D546" s="68" t="s">
        <v>1232</v>
      </c>
      <c r="E546" s="14" t="s">
        <v>1232</v>
      </c>
      <c r="F546" s="77">
        <v>45412</v>
      </c>
      <c r="G546" s="76">
        <v>119400</v>
      </c>
      <c r="H546" s="70" t="s">
        <v>1100</v>
      </c>
      <c r="I546" s="7">
        <f t="shared" ca="1" si="3"/>
        <v>0</v>
      </c>
      <c r="J546" s="86"/>
      <c r="K546" s="7"/>
    </row>
    <row r="547" spans="1:11" ht="14.25" hidden="1" customHeight="1">
      <c r="A547" s="14" t="s">
        <v>1105</v>
      </c>
      <c r="B547" s="78"/>
      <c r="C547" s="78"/>
      <c r="D547" s="69">
        <v>45416</v>
      </c>
      <c r="E547" s="14">
        <v>595</v>
      </c>
      <c r="F547" s="77">
        <v>45415</v>
      </c>
      <c r="G547" s="76">
        <v>349575</v>
      </c>
      <c r="H547" s="70" t="s">
        <v>1177</v>
      </c>
      <c r="I547" s="7">
        <f t="shared" ca="1" si="3"/>
        <v>0</v>
      </c>
      <c r="J547" s="7"/>
      <c r="K547" s="7" t="s">
        <v>1233</v>
      </c>
    </row>
    <row r="548" spans="1:11" ht="14.25" hidden="1" customHeight="1">
      <c r="A548" s="14" t="s">
        <v>470</v>
      </c>
      <c r="B548" s="78"/>
      <c r="C548" s="78"/>
      <c r="D548" s="69">
        <v>45416</v>
      </c>
      <c r="E548" s="14">
        <v>596</v>
      </c>
      <c r="F548" s="77">
        <v>45415</v>
      </c>
      <c r="G548" s="76">
        <v>120799</v>
      </c>
      <c r="H548" s="70" t="s">
        <v>1100</v>
      </c>
      <c r="I548" s="7">
        <f t="shared" ca="1" si="3"/>
        <v>0</v>
      </c>
      <c r="J548" s="87"/>
      <c r="K548" s="7"/>
    </row>
    <row r="549" spans="1:11" ht="14.25" hidden="1" customHeight="1">
      <c r="A549" s="14" t="s">
        <v>663</v>
      </c>
      <c r="B549" s="78"/>
      <c r="C549" s="78"/>
      <c r="D549" s="69">
        <v>45419</v>
      </c>
      <c r="E549" s="14">
        <v>597</v>
      </c>
      <c r="F549" s="77">
        <v>45421</v>
      </c>
      <c r="G549" s="76">
        <v>127648</v>
      </c>
      <c r="H549" s="70" t="s">
        <v>1100</v>
      </c>
      <c r="I549" s="7">
        <f t="shared" ca="1" si="3"/>
        <v>0</v>
      </c>
      <c r="J549" s="87"/>
      <c r="K549" s="7"/>
    </row>
    <row r="550" spans="1:11" ht="14.25" hidden="1" customHeight="1">
      <c r="A550" s="14" t="s">
        <v>729</v>
      </c>
      <c r="B550" s="78"/>
      <c r="C550" s="78"/>
      <c r="D550" s="69">
        <v>45419</v>
      </c>
      <c r="E550" s="14">
        <v>598</v>
      </c>
      <c r="F550" s="77">
        <v>45419</v>
      </c>
      <c r="G550" s="76">
        <v>189917</v>
      </c>
      <c r="H550" s="70" t="s">
        <v>1100</v>
      </c>
      <c r="I550" s="7">
        <f t="shared" ca="1" si="3"/>
        <v>0</v>
      </c>
      <c r="J550" s="87"/>
      <c r="K550" s="7"/>
    </row>
    <row r="551" spans="1:11" ht="14.25" hidden="1" customHeight="1">
      <c r="A551" s="14" t="s">
        <v>126</v>
      </c>
      <c r="B551" s="78"/>
      <c r="C551" s="78"/>
      <c r="D551" s="69">
        <v>45419</v>
      </c>
      <c r="E551" s="14">
        <v>599</v>
      </c>
      <c r="F551" s="77"/>
      <c r="G551" s="76"/>
      <c r="H551" s="70" t="s">
        <v>1177</v>
      </c>
      <c r="I551" s="7">
        <f t="shared" ca="1" si="3"/>
        <v>0</v>
      </c>
      <c r="J551" s="7"/>
      <c r="K551" s="7" t="s">
        <v>1234</v>
      </c>
    </row>
    <row r="552" spans="1:11" ht="14.25" hidden="1" customHeight="1">
      <c r="A552" s="14" t="s">
        <v>126</v>
      </c>
      <c r="B552" s="78"/>
      <c r="C552" s="78"/>
      <c r="D552" s="69">
        <v>45419</v>
      </c>
      <c r="E552" s="14">
        <v>600</v>
      </c>
      <c r="F552" s="77">
        <v>45419</v>
      </c>
      <c r="G552" s="76">
        <v>268608</v>
      </c>
      <c r="H552" s="70" t="s">
        <v>1100</v>
      </c>
      <c r="I552" s="7">
        <f t="shared" ca="1" si="3"/>
        <v>0</v>
      </c>
      <c r="J552" s="86"/>
      <c r="K552" s="7"/>
    </row>
    <row r="553" spans="1:11" ht="14.25" hidden="1" customHeight="1">
      <c r="A553" s="14" t="s">
        <v>487</v>
      </c>
      <c r="B553" s="78"/>
      <c r="C553" s="78"/>
      <c r="D553" s="69">
        <v>45419</v>
      </c>
      <c r="E553" s="14">
        <v>601</v>
      </c>
      <c r="F553" s="77">
        <v>45419</v>
      </c>
      <c r="G553" s="76">
        <v>190078</v>
      </c>
      <c r="H553" s="70" t="s">
        <v>1044</v>
      </c>
      <c r="I553" s="7">
        <f t="shared" ca="1" si="3"/>
        <v>0</v>
      </c>
      <c r="J553" s="86"/>
      <c r="K553" s="7"/>
    </row>
    <row r="554" spans="1:11" ht="14.25" hidden="1" customHeight="1">
      <c r="A554" s="14" t="s">
        <v>143</v>
      </c>
      <c r="B554" s="78"/>
      <c r="C554" s="78"/>
      <c r="D554" s="69">
        <v>45419</v>
      </c>
      <c r="E554" s="14">
        <v>602</v>
      </c>
      <c r="F554" s="77">
        <v>45419</v>
      </c>
      <c r="G554" s="76">
        <v>121179</v>
      </c>
      <c r="H554" s="70" t="s">
        <v>1044</v>
      </c>
      <c r="I554" s="7">
        <f t="shared" ca="1" si="3"/>
        <v>0</v>
      </c>
      <c r="J554" s="86"/>
      <c r="K554" s="7"/>
    </row>
    <row r="555" spans="1:11" ht="14.25" hidden="1" customHeight="1">
      <c r="A555" s="384" t="s">
        <v>1235</v>
      </c>
      <c r="B555" s="78"/>
      <c r="C555" s="78"/>
      <c r="D555" s="69">
        <v>45421</v>
      </c>
      <c r="E555" s="14">
        <v>603</v>
      </c>
      <c r="F555" s="77">
        <v>45422</v>
      </c>
      <c r="G555" s="76">
        <v>122194</v>
      </c>
      <c r="H555" s="70" t="s">
        <v>1100</v>
      </c>
      <c r="I555" s="7">
        <f t="shared" ca="1" si="3"/>
        <v>0</v>
      </c>
      <c r="J555" s="7"/>
      <c r="K555" s="7"/>
    </row>
    <row r="556" spans="1:11" ht="14.25" hidden="1" customHeight="1">
      <c r="A556" s="14" t="s">
        <v>675</v>
      </c>
      <c r="B556" s="78"/>
      <c r="C556" s="78"/>
      <c r="D556" s="69">
        <v>45421</v>
      </c>
      <c r="E556" s="14">
        <v>604</v>
      </c>
      <c r="F556" s="69">
        <v>45420</v>
      </c>
      <c r="G556" s="76">
        <v>84603</v>
      </c>
      <c r="H556" s="70" t="s">
        <v>1100</v>
      </c>
      <c r="I556" s="7">
        <f t="shared" ca="1" si="3"/>
        <v>0</v>
      </c>
      <c r="J556" s="87"/>
      <c r="K556" s="7"/>
    </row>
    <row r="557" spans="1:11" ht="14.25" hidden="1" customHeight="1">
      <c r="A557" s="14" t="s">
        <v>226</v>
      </c>
      <c r="B557" s="78"/>
      <c r="C557" s="78"/>
      <c r="D557" s="69">
        <v>45425</v>
      </c>
      <c r="E557" s="14">
        <v>605</v>
      </c>
      <c r="F557" s="69">
        <v>45425</v>
      </c>
      <c r="G557" s="76">
        <v>207413</v>
      </c>
      <c r="H557" s="70" t="s">
        <v>1100</v>
      </c>
      <c r="I557" s="7">
        <f t="shared" ca="1" si="3"/>
        <v>0</v>
      </c>
      <c r="J557" s="87"/>
      <c r="K557" s="7" t="s">
        <v>1236</v>
      </c>
    </row>
    <row r="558" spans="1:11" ht="14.25" hidden="1" customHeight="1">
      <c r="A558" s="14" t="s">
        <v>1237</v>
      </c>
      <c r="B558" s="78"/>
      <c r="C558" s="78"/>
      <c r="D558" s="69">
        <v>45425</v>
      </c>
      <c r="E558" s="14">
        <v>606</v>
      </c>
      <c r="F558" s="69">
        <v>45425</v>
      </c>
      <c r="G558" s="76">
        <v>107812</v>
      </c>
      <c r="H558" s="70" t="s">
        <v>1100</v>
      </c>
      <c r="I558" s="7">
        <f t="shared" ca="1" si="3"/>
        <v>0</v>
      </c>
      <c r="J558" s="87"/>
      <c r="K558" s="7"/>
    </row>
    <row r="559" spans="1:11" ht="14.25" hidden="1" customHeight="1">
      <c r="A559" s="14" t="s">
        <v>1208</v>
      </c>
      <c r="B559" s="78"/>
      <c r="C559" s="78"/>
      <c r="D559" s="69">
        <v>45425</v>
      </c>
      <c r="E559" s="14">
        <v>607</v>
      </c>
      <c r="F559" s="69">
        <v>45425</v>
      </c>
      <c r="G559" s="76">
        <v>123589</v>
      </c>
      <c r="H559" s="70" t="s">
        <v>1100</v>
      </c>
      <c r="I559" s="7">
        <f t="shared" ca="1" si="3"/>
        <v>0</v>
      </c>
      <c r="J559" s="86"/>
      <c r="K559" s="7"/>
    </row>
    <row r="560" spans="1:11" ht="14.25" hidden="1" customHeight="1">
      <c r="A560" s="14" t="s">
        <v>1225</v>
      </c>
      <c r="B560" s="78"/>
      <c r="C560" s="78"/>
      <c r="D560" s="69">
        <v>45425</v>
      </c>
      <c r="E560" s="14">
        <v>608</v>
      </c>
      <c r="F560" s="69">
        <v>45440</v>
      </c>
      <c r="G560" s="76">
        <v>263451</v>
      </c>
      <c r="H560" s="70" t="s">
        <v>1044</v>
      </c>
      <c r="I560" s="7">
        <f t="shared" ca="1" si="3"/>
        <v>0</v>
      </c>
      <c r="J560" s="86"/>
      <c r="K560" s="7"/>
    </row>
    <row r="561" spans="1:14" ht="14.25" hidden="1" customHeight="1">
      <c r="A561" s="14" t="s">
        <v>1238</v>
      </c>
      <c r="B561" s="78"/>
      <c r="C561" s="78"/>
      <c r="D561" s="69">
        <v>45425</v>
      </c>
      <c r="E561" s="14">
        <v>609</v>
      </c>
      <c r="F561" s="69">
        <v>45425</v>
      </c>
      <c r="G561" s="76">
        <v>108777</v>
      </c>
      <c r="H561" s="70" t="s">
        <v>1044</v>
      </c>
      <c r="I561" s="7">
        <f t="shared" ca="1" si="3"/>
        <v>0</v>
      </c>
      <c r="J561" s="86"/>
      <c r="K561" s="7"/>
    </row>
    <row r="562" spans="1:14" ht="14.25" hidden="1" customHeight="1">
      <c r="A562" s="14" t="s">
        <v>547</v>
      </c>
      <c r="B562" s="78"/>
      <c r="C562" s="78"/>
      <c r="D562" s="69">
        <v>45425</v>
      </c>
      <c r="E562" s="14">
        <v>610</v>
      </c>
      <c r="F562" s="77">
        <v>45426</v>
      </c>
      <c r="G562" s="76">
        <v>120799</v>
      </c>
      <c r="H562" s="70" t="s">
        <v>1100</v>
      </c>
      <c r="I562" s="7">
        <f t="shared" ca="1" si="3"/>
        <v>0</v>
      </c>
      <c r="J562" s="86"/>
      <c r="K562" s="7"/>
    </row>
    <row r="563" spans="1:14" ht="14.25" hidden="1" customHeight="1">
      <c r="A563" s="14" t="s">
        <v>752</v>
      </c>
      <c r="B563" s="78"/>
      <c r="C563" s="78"/>
      <c r="D563" s="69">
        <v>45425</v>
      </c>
      <c r="E563" s="14">
        <v>611</v>
      </c>
      <c r="F563" s="77">
        <v>45426</v>
      </c>
      <c r="G563" s="76">
        <v>120799</v>
      </c>
      <c r="H563" s="70" t="s">
        <v>1177</v>
      </c>
      <c r="I563" s="7">
        <f t="shared" ca="1" si="3"/>
        <v>0</v>
      </c>
      <c r="J563" s="7"/>
      <c r="K563" s="7" t="s">
        <v>1239</v>
      </c>
    </row>
    <row r="564" spans="1:14" ht="14.25" hidden="1" customHeight="1">
      <c r="A564" s="82" t="s">
        <v>752</v>
      </c>
      <c r="B564" s="78"/>
      <c r="C564" s="78"/>
      <c r="D564" s="69">
        <v>45425</v>
      </c>
      <c r="E564" s="14">
        <v>612</v>
      </c>
      <c r="F564" s="77">
        <v>45426</v>
      </c>
      <c r="G564" s="76">
        <v>65219</v>
      </c>
      <c r="H564" s="70" t="s">
        <v>1177</v>
      </c>
      <c r="I564" s="7">
        <f t="shared" ca="1" si="3"/>
        <v>0</v>
      </c>
      <c r="J564" s="7"/>
      <c r="K564" s="7" t="s">
        <v>1240</v>
      </c>
    </row>
    <row r="565" spans="1:14" ht="14.25" hidden="1" customHeight="1">
      <c r="A565" s="14" t="s">
        <v>752</v>
      </c>
      <c r="B565" s="78"/>
      <c r="C565" s="78"/>
      <c r="D565" s="69">
        <v>45425</v>
      </c>
      <c r="E565" s="14">
        <v>613</v>
      </c>
      <c r="F565" s="77">
        <v>45426</v>
      </c>
      <c r="G565" s="76">
        <v>112004</v>
      </c>
      <c r="H565" s="70" t="s">
        <v>1044</v>
      </c>
      <c r="I565" s="7">
        <f t="shared" ca="1" si="3"/>
        <v>0</v>
      </c>
      <c r="J565" s="86"/>
      <c r="K565" s="7"/>
    </row>
    <row r="566" spans="1:14" ht="14.25" hidden="1" customHeight="1">
      <c r="A566" s="82" t="s">
        <v>752</v>
      </c>
      <c r="B566" s="78"/>
      <c r="C566" s="78"/>
      <c r="D566" s="69">
        <v>45425</v>
      </c>
      <c r="E566" s="14">
        <v>614</v>
      </c>
      <c r="F566" s="77">
        <v>45426</v>
      </c>
      <c r="G566" s="76">
        <v>60340</v>
      </c>
      <c r="H566" s="70" t="s">
        <v>1044</v>
      </c>
      <c r="I566" s="7">
        <f t="shared" ca="1" si="3"/>
        <v>0</v>
      </c>
      <c r="J566" s="86"/>
      <c r="K566" s="7"/>
    </row>
    <row r="567" spans="1:14" ht="14.25" hidden="1" customHeight="1">
      <c r="A567" s="14" t="s">
        <v>198</v>
      </c>
      <c r="B567" s="78"/>
      <c r="C567" s="78"/>
      <c r="D567" s="69">
        <v>45425</v>
      </c>
      <c r="E567" s="14">
        <v>615</v>
      </c>
      <c r="F567" s="77">
        <v>45426</v>
      </c>
      <c r="G567" s="76">
        <v>119404</v>
      </c>
      <c r="H567" s="70" t="s">
        <v>1100</v>
      </c>
      <c r="I567" s="7">
        <f t="shared" ca="1" si="3"/>
        <v>0</v>
      </c>
      <c r="J567" s="87"/>
      <c r="K567" s="7" t="s">
        <v>1241</v>
      </c>
    </row>
    <row r="568" spans="1:14" ht="14.25" hidden="1" customHeight="1">
      <c r="A568" s="14" t="s">
        <v>1229</v>
      </c>
      <c r="B568" s="78"/>
      <c r="C568" s="78"/>
      <c r="D568" s="69">
        <v>45425</v>
      </c>
      <c r="E568" s="14">
        <v>616</v>
      </c>
      <c r="F568" s="77">
        <v>45428</v>
      </c>
      <c r="G568" s="76">
        <v>171013</v>
      </c>
      <c r="H568" s="70" t="s">
        <v>1100</v>
      </c>
      <c r="I568" s="7">
        <f t="shared" ca="1" si="3"/>
        <v>0</v>
      </c>
      <c r="J568" s="86"/>
      <c r="K568" s="7"/>
    </row>
    <row r="569" spans="1:14" ht="14.25" hidden="1" customHeight="1">
      <c r="A569" s="14" t="s">
        <v>1105</v>
      </c>
      <c r="B569" s="78"/>
      <c r="C569" s="78"/>
      <c r="D569" s="69">
        <v>45416</v>
      </c>
      <c r="E569" s="14">
        <v>617</v>
      </c>
      <c r="F569" s="77">
        <v>45415</v>
      </c>
      <c r="G569" s="76">
        <v>349575</v>
      </c>
      <c r="H569" s="70" t="s">
        <v>1100</v>
      </c>
      <c r="I569" s="7">
        <f t="shared" ca="1" si="3"/>
        <v>0</v>
      </c>
      <c r="J569" s="86"/>
      <c r="K569" s="7"/>
    </row>
    <row r="570" spans="1:14" ht="14.25" hidden="1" customHeight="1">
      <c r="A570" s="14" t="s">
        <v>1242</v>
      </c>
      <c r="B570" s="78"/>
      <c r="C570" s="78"/>
      <c r="D570" s="69">
        <v>45426</v>
      </c>
      <c r="E570" s="14">
        <v>618</v>
      </c>
      <c r="F570" s="69">
        <v>45426</v>
      </c>
      <c r="G570" s="76">
        <v>116676</v>
      </c>
      <c r="H570" s="70" t="s">
        <v>1100</v>
      </c>
      <c r="I570" s="7">
        <f t="shared" ca="1" si="3"/>
        <v>0</v>
      </c>
      <c r="J570" s="7"/>
      <c r="K570" s="7"/>
    </row>
    <row r="571" spans="1:14" ht="14.25" hidden="1" customHeight="1">
      <c r="A571" s="14" t="s">
        <v>1164</v>
      </c>
      <c r="B571" s="78"/>
      <c r="C571" s="78"/>
      <c r="D571" s="69">
        <v>45426</v>
      </c>
      <c r="E571" s="14">
        <v>619</v>
      </c>
      <c r="F571" s="69">
        <v>45426</v>
      </c>
      <c r="G571" s="76">
        <v>118660</v>
      </c>
      <c r="H571" s="70" t="s">
        <v>1100</v>
      </c>
      <c r="I571" s="7">
        <f t="shared" ca="1" si="3"/>
        <v>0</v>
      </c>
      <c r="J571" s="86"/>
      <c r="K571" s="7"/>
    </row>
    <row r="572" spans="1:14" ht="14.25" hidden="1" customHeight="1">
      <c r="A572" s="14" t="s">
        <v>652</v>
      </c>
      <c r="B572" s="78"/>
      <c r="C572" s="78"/>
      <c r="D572" s="69">
        <v>45427</v>
      </c>
      <c r="E572" s="14">
        <v>620</v>
      </c>
      <c r="F572" s="69">
        <v>45427</v>
      </c>
      <c r="G572" s="76">
        <v>123526</v>
      </c>
      <c r="H572" s="70" t="s">
        <v>1100</v>
      </c>
      <c r="I572" s="7">
        <f t="shared" ca="1" si="3"/>
        <v>0</v>
      </c>
      <c r="J572" s="86"/>
      <c r="K572" s="7"/>
      <c r="N572" s="91">
        <f>9*17.5</f>
        <v>157.5</v>
      </c>
    </row>
    <row r="573" spans="1:14" ht="14.25" hidden="1" customHeight="1">
      <c r="A573" s="14" t="s">
        <v>1088</v>
      </c>
      <c r="B573" s="78"/>
      <c r="C573" s="78"/>
      <c r="D573" s="69">
        <v>45427</v>
      </c>
      <c r="E573" s="14">
        <v>621</v>
      </c>
      <c r="F573" s="69">
        <v>45427</v>
      </c>
      <c r="G573" s="76">
        <v>123463</v>
      </c>
      <c r="H573" s="70" t="s">
        <v>1100</v>
      </c>
      <c r="I573" s="7">
        <f t="shared" ca="1" si="3"/>
        <v>0</v>
      </c>
      <c r="J573" s="86"/>
      <c r="K573" s="7"/>
    </row>
    <row r="574" spans="1:14" ht="14.25" hidden="1" customHeight="1">
      <c r="A574" s="14" t="s">
        <v>126</v>
      </c>
      <c r="B574" s="78"/>
      <c r="C574" s="78"/>
      <c r="D574" s="69">
        <v>45427</v>
      </c>
      <c r="E574" s="14">
        <v>622</v>
      </c>
      <c r="F574" s="69">
        <v>45427</v>
      </c>
      <c r="G574" s="76">
        <v>186643</v>
      </c>
      <c r="H574" s="70" t="s">
        <v>1044</v>
      </c>
      <c r="I574" s="7">
        <f t="shared" ca="1" si="3"/>
        <v>0</v>
      </c>
      <c r="J574" s="86"/>
      <c r="K574" s="7" t="s">
        <v>1243</v>
      </c>
    </row>
    <row r="575" spans="1:14" ht="14.25" hidden="1" customHeight="1">
      <c r="A575" s="14" t="s">
        <v>1244</v>
      </c>
      <c r="B575" s="78"/>
      <c r="C575" s="78"/>
      <c r="D575" s="69">
        <v>45427</v>
      </c>
      <c r="E575" s="14">
        <v>623</v>
      </c>
      <c r="F575" s="69">
        <v>45427</v>
      </c>
      <c r="G575" s="76">
        <v>203839</v>
      </c>
      <c r="H575" s="70" t="s">
        <v>1100</v>
      </c>
      <c r="I575" s="7">
        <f t="shared" ca="1" si="3"/>
        <v>0</v>
      </c>
      <c r="J575" s="87"/>
      <c r="K575" s="7"/>
    </row>
    <row r="576" spans="1:14" ht="14.25" hidden="1" customHeight="1">
      <c r="A576" s="14" t="s">
        <v>360</v>
      </c>
      <c r="B576" s="78"/>
      <c r="C576" s="78"/>
      <c r="D576" s="69">
        <v>45432</v>
      </c>
      <c r="E576" s="14">
        <v>624</v>
      </c>
      <c r="F576" s="77"/>
      <c r="G576" s="76">
        <v>203212</v>
      </c>
      <c r="H576" s="70" t="s">
        <v>1177</v>
      </c>
      <c r="I576" s="7">
        <f t="shared" ca="1" si="3"/>
        <v>0</v>
      </c>
      <c r="J576" s="7"/>
      <c r="K576" s="7" t="s">
        <v>1245</v>
      </c>
    </row>
    <row r="577" spans="1:11" ht="14.25" hidden="1" customHeight="1">
      <c r="A577" s="14" t="s">
        <v>1246</v>
      </c>
      <c r="B577" s="78"/>
      <c r="C577" s="78"/>
      <c r="D577" s="69">
        <v>45434</v>
      </c>
      <c r="E577" s="14">
        <v>625</v>
      </c>
      <c r="F577" s="77"/>
      <c r="G577" s="76">
        <v>117214</v>
      </c>
      <c r="H577" s="70" t="s">
        <v>1044</v>
      </c>
      <c r="I577" s="7">
        <f t="shared" ca="1" si="3"/>
        <v>0</v>
      </c>
      <c r="J577" s="7"/>
      <c r="K577" s="7"/>
    </row>
    <row r="578" spans="1:11" ht="14.25" hidden="1" customHeight="1">
      <c r="A578" s="14" t="s">
        <v>600</v>
      </c>
      <c r="B578" s="78"/>
      <c r="C578" s="78"/>
      <c r="D578" s="69">
        <v>45434</v>
      </c>
      <c r="E578" s="14">
        <v>626</v>
      </c>
      <c r="F578" s="77"/>
      <c r="G578" s="76">
        <v>116024</v>
      </c>
      <c r="H578" s="70" t="s">
        <v>1100</v>
      </c>
      <c r="I578" s="7">
        <f t="shared" ca="1" si="3"/>
        <v>0</v>
      </c>
      <c r="J578" s="87"/>
      <c r="K578" s="7"/>
    </row>
    <row r="579" spans="1:11" ht="14.25" hidden="1" customHeight="1">
      <c r="A579" s="14" t="s">
        <v>1052</v>
      </c>
      <c r="B579" s="78"/>
      <c r="C579" s="78"/>
      <c r="D579" s="69">
        <v>45439</v>
      </c>
      <c r="E579" s="14">
        <v>627</v>
      </c>
      <c r="F579" s="77"/>
      <c r="G579" s="76">
        <v>122892</v>
      </c>
      <c r="H579" s="70" t="s">
        <v>1100</v>
      </c>
      <c r="I579" s="7">
        <f t="shared" ca="1" si="3"/>
        <v>0</v>
      </c>
      <c r="J579" s="87"/>
      <c r="K579" s="7"/>
    </row>
    <row r="580" spans="1:11" ht="14.25" hidden="1" customHeight="1">
      <c r="A580" s="14" t="s">
        <v>622</v>
      </c>
      <c r="B580" s="78"/>
      <c r="C580" s="78"/>
      <c r="D580" s="69">
        <v>45439</v>
      </c>
      <c r="E580" s="14">
        <v>628</v>
      </c>
      <c r="F580" s="69">
        <v>45439</v>
      </c>
      <c r="G580" s="76">
        <v>58063</v>
      </c>
      <c r="H580" s="70" t="s">
        <v>1044</v>
      </c>
      <c r="I580" s="7">
        <f t="shared" ca="1" si="3"/>
        <v>0</v>
      </c>
      <c r="J580" s="87"/>
      <c r="K580" s="7"/>
    </row>
    <row r="581" spans="1:11" ht="14.25" hidden="1" customHeight="1">
      <c r="A581" s="14" t="s">
        <v>675</v>
      </c>
      <c r="B581" s="78"/>
      <c r="C581" s="78"/>
      <c r="D581" s="69">
        <v>45440</v>
      </c>
      <c r="E581" s="14">
        <v>629</v>
      </c>
      <c r="F581" s="69">
        <v>45439</v>
      </c>
      <c r="G581" s="76">
        <v>206557</v>
      </c>
      <c r="H581" s="70" t="s">
        <v>1100</v>
      </c>
      <c r="I581" s="7">
        <f t="shared" ca="1" si="3"/>
        <v>0</v>
      </c>
      <c r="J581" s="87"/>
      <c r="K581" s="7"/>
    </row>
    <row r="582" spans="1:11" ht="14.25" hidden="1" customHeight="1">
      <c r="A582" s="14" t="s">
        <v>675</v>
      </c>
      <c r="B582" s="78"/>
      <c r="C582" s="78"/>
      <c r="D582" s="69">
        <v>45440</v>
      </c>
      <c r="E582" s="14" t="s">
        <v>1221</v>
      </c>
      <c r="F582" s="69">
        <v>45439</v>
      </c>
      <c r="G582" s="76">
        <v>240000</v>
      </c>
      <c r="H582" s="70" t="s">
        <v>1100</v>
      </c>
      <c r="I582" s="7">
        <f t="shared" ca="1" si="3"/>
        <v>0</v>
      </c>
      <c r="J582" s="87"/>
      <c r="K582" s="7" t="s">
        <v>1247</v>
      </c>
    </row>
    <row r="583" spans="1:11" ht="14.25" hidden="1" customHeight="1">
      <c r="A583" s="14" t="s">
        <v>126</v>
      </c>
      <c r="B583" s="78"/>
      <c r="C583" s="78"/>
      <c r="D583" s="69">
        <v>45440</v>
      </c>
      <c r="E583" s="14">
        <v>630</v>
      </c>
      <c r="F583" s="69">
        <v>45440</v>
      </c>
      <c r="G583" s="76">
        <v>176183</v>
      </c>
      <c r="H583" s="70" t="s">
        <v>1100</v>
      </c>
      <c r="I583" s="7">
        <f t="shared" ca="1" si="3"/>
        <v>0</v>
      </c>
      <c r="J583" s="86"/>
      <c r="K583" s="7"/>
    </row>
    <row r="584" spans="1:11" ht="14.25" hidden="1" customHeight="1">
      <c r="A584" s="14" t="s">
        <v>1224</v>
      </c>
      <c r="B584" s="78"/>
      <c r="C584" s="78"/>
      <c r="D584" s="69">
        <v>45440</v>
      </c>
      <c r="E584" s="14">
        <v>631</v>
      </c>
      <c r="F584" s="77"/>
      <c r="G584" s="76">
        <v>127648</v>
      </c>
      <c r="H584" s="70" t="s">
        <v>1100</v>
      </c>
      <c r="I584" s="7">
        <f t="shared" ca="1" si="3"/>
        <v>0</v>
      </c>
      <c r="J584" s="7"/>
      <c r="K584" s="7"/>
    </row>
    <row r="585" spans="1:11" ht="14.25" hidden="1" customHeight="1">
      <c r="A585" s="14" t="s">
        <v>1248</v>
      </c>
      <c r="B585" s="78"/>
      <c r="C585" s="78"/>
      <c r="D585" s="69">
        <v>45443</v>
      </c>
      <c r="E585" s="14">
        <v>632</v>
      </c>
      <c r="F585" s="77"/>
      <c r="G585" s="76">
        <v>128348</v>
      </c>
      <c r="H585" s="70" t="s">
        <v>1100</v>
      </c>
      <c r="I585" s="7">
        <f t="shared" ca="1" si="3"/>
        <v>0</v>
      </c>
      <c r="J585" s="86"/>
      <c r="K585" s="7"/>
    </row>
    <row r="586" spans="1:11" ht="14.25" hidden="1" customHeight="1">
      <c r="A586" s="14" t="s">
        <v>95</v>
      </c>
      <c r="B586" s="78"/>
      <c r="C586" s="78"/>
      <c r="D586" s="69">
        <v>45443</v>
      </c>
      <c r="E586" s="14">
        <v>633</v>
      </c>
      <c r="F586" s="77"/>
      <c r="G586" s="76">
        <v>203212</v>
      </c>
      <c r="H586" s="70" t="s">
        <v>1100</v>
      </c>
      <c r="I586" s="7">
        <f t="shared" ca="1" si="3"/>
        <v>0</v>
      </c>
      <c r="J586" s="86"/>
      <c r="K586" s="7"/>
    </row>
    <row r="587" spans="1:11" ht="14.25" hidden="1" customHeight="1">
      <c r="A587" s="14" t="s">
        <v>1105</v>
      </c>
      <c r="B587" s="78"/>
      <c r="C587" s="78"/>
      <c r="D587" s="69">
        <v>45443</v>
      </c>
      <c r="E587" s="14">
        <v>634</v>
      </c>
      <c r="F587" s="77"/>
      <c r="G587" s="76">
        <v>112359</v>
      </c>
      <c r="H587" s="70" t="s">
        <v>1100</v>
      </c>
      <c r="I587" s="7">
        <f t="shared" ca="1" si="3"/>
        <v>0</v>
      </c>
      <c r="J587" s="80"/>
      <c r="K587" s="7"/>
    </row>
    <row r="588" spans="1:11" ht="14.25" hidden="1" customHeight="1">
      <c r="A588" s="14" t="s">
        <v>126</v>
      </c>
      <c r="B588" s="78"/>
      <c r="C588" s="78"/>
      <c r="D588" s="69">
        <v>45443</v>
      </c>
      <c r="E588" s="14">
        <v>635</v>
      </c>
      <c r="F588" s="77">
        <v>45444</v>
      </c>
      <c r="G588" s="76">
        <v>145121</v>
      </c>
      <c r="H588" s="70" t="s">
        <v>1100</v>
      </c>
      <c r="I588" s="7">
        <f t="shared" ca="1" si="3"/>
        <v>0</v>
      </c>
      <c r="J588" s="86"/>
      <c r="K588" s="7"/>
    </row>
    <row r="589" spans="1:11" ht="14.25" hidden="1" customHeight="1">
      <c r="A589" s="14" t="s">
        <v>226</v>
      </c>
      <c r="B589" s="78"/>
      <c r="C589" s="78"/>
      <c r="D589" s="69">
        <v>45447</v>
      </c>
      <c r="E589" s="14">
        <v>636</v>
      </c>
      <c r="F589" s="69">
        <v>45447</v>
      </c>
      <c r="G589" s="76">
        <v>353612</v>
      </c>
      <c r="H589" s="70" t="s">
        <v>1100</v>
      </c>
      <c r="I589" s="7">
        <f t="shared" ca="1" si="3"/>
        <v>0</v>
      </c>
      <c r="J589" s="87"/>
      <c r="K589" s="7" t="s">
        <v>1249</v>
      </c>
    </row>
    <row r="590" spans="1:11" ht="14.25" hidden="1" customHeight="1">
      <c r="A590" s="14" t="s">
        <v>1250</v>
      </c>
      <c r="B590" s="78"/>
      <c r="C590" s="78"/>
      <c r="D590" s="69">
        <v>45447</v>
      </c>
      <c r="E590" s="14">
        <v>637</v>
      </c>
      <c r="F590" s="77"/>
      <c r="G590" s="76">
        <v>203212</v>
      </c>
      <c r="H590" s="70" t="s">
        <v>1177</v>
      </c>
      <c r="I590" s="7">
        <f t="shared" ca="1" si="3"/>
        <v>0</v>
      </c>
      <c r="J590" s="7"/>
      <c r="K590" s="7" t="s">
        <v>1251</v>
      </c>
    </row>
    <row r="591" spans="1:11" ht="14.25" hidden="1" customHeight="1">
      <c r="A591" s="14" t="s">
        <v>1250</v>
      </c>
      <c r="B591" s="78"/>
      <c r="C591" s="78"/>
      <c r="D591" s="69">
        <v>45447</v>
      </c>
      <c r="E591" s="14">
        <v>638</v>
      </c>
      <c r="F591" s="77"/>
      <c r="G591" s="76">
        <v>184893</v>
      </c>
      <c r="H591" s="70" t="s">
        <v>1177</v>
      </c>
      <c r="I591" s="7">
        <f t="shared" ca="1" si="3"/>
        <v>0</v>
      </c>
      <c r="J591" s="7"/>
      <c r="K591" s="7" t="s">
        <v>1252</v>
      </c>
    </row>
    <row r="592" spans="1:11" ht="14.25" hidden="1" customHeight="1">
      <c r="A592" s="14" t="s">
        <v>143</v>
      </c>
      <c r="B592" s="78"/>
      <c r="C592" s="78"/>
      <c r="D592" s="69">
        <v>45447</v>
      </c>
      <c r="E592" s="14">
        <v>639</v>
      </c>
      <c r="F592" s="69">
        <v>45447</v>
      </c>
      <c r="G592" s="76">
        <v>108763</v>
      </c>
      <c r="H592" s="70" t="s">
        <v>1100</v>
      </c>
      <c r="I592" s="7">
        <f t="shared" ca="1" si="3"/>
        <v>0</v>
      </c>
      <c r="J592" s="86"/>
      <c r="K592" s="7"/>
    </row>
    <row r="593" spans="1:11" ht="14.25" hidden="1" customHeight="1">
      <c r="A593" s="14" t="s">
        <v>634</v>
      </c>
      <c r="B593" s="78"/>
      <c r="C593" s="78"/>
      <c r="D593" s="69">
        <v>45448</v>
      </c>
      <c r="E593" s="14">
        <v>640</v>
      </c>
      <c r="F593" s="77"/>
      <c r="G593" s="76">
        <v>111619</v>
      </c>
      <c r="H593" s="70" t="s">
        <v>1177</v>
      </c>
      <c r="I593" s="7">
        <f t="shared" ca="1" si="3"/>
        <v>0</v>
      </c>
      <c r="J593" s="7"/>
      <c r="K593" s="7" t="s">
        <v>1253</v>
      </c>
    </row>
    <row r="594" spans="1:11" ht="14.25" hidden="1" customHeight="1">
      <c r="A594" s="14" t="s">
        <v>342</v>
      </c>
      <c r="B594" s="78"/>
      <c r="C594" s="78"/>
      <c r="D594" s="69">
        <v>45448</v>
      </c>
      <c r="E594" s="14">
        <v>641</v>
      </c>
      <c r="F594" s="69">
        <v>45448</v>
      </c>
      <c r="G594" s="76">
        <v>110953</v>
      </c>
      <c r="H594" s="70" t="s">
        <v>1100</v>
      </c>
      <c r="I594" s="7">
        <f t="shared" ca="1" si="3"/>
        <v>0</v>
      </c>
      <c r="J594" s="86"/>
      <c r="K594" s="7"/>
    </row>
    <row r="595" spans="1:11" ht="14.25" hidden="1" customHeight="1">
      <c r="A595" s="14" t="s">
        <v>126</v>
      </c>
      <c r="B595" s="78"/>
      <c r="C595" s="78"/>
      <c r="D595" s="69">
        <v>45448</v>
      </c>
      <c r="E595" s="14">
        <v>642</v>
      </c>
      <c r="F595" s="69">
        <v>45448</v>
      </c>
      <c r="G595" s="76">
        <v>107785</v>
      </c>
      <c r="H595" s="70" t="s">
        <v>1100</v>
      </c>
      <c r="I595" s="7">
        <f t="shared" ca="1" si="3"/>
        <v>0</v>
      </c>
      <c r="J595" s="86"/>
      <c r="K595" s="7">
        <f>15000/48</f>
        <v>312.5</v>
      </c>
    </row>
    <row r="596" spans="1:11" ht="14.25" hidden="1" customHeight="1">
      <c r="A596" s="14" t="s">
        <v>1254</v>
      </c>
      <c r="B596" s="78"/>
      <c r="C596" s="78"/>
      <c r="D596" s="92">
        <v>45448</v>
      </c>
      <c r="E596" s="14">
        <v>643</v>
      </c>
      <c r="F596" s="77"/>
      <c r="G596" s="76">
        <v>142059</v>
      </c>
      <c r="H596" s="70" t="s">
        <v>1177</v>
      </c>
      <c r="I596" s="7">
        <f t="shared" ca="1" si="3"/>
        <v>0</v>
      </c>
      <c r="J596" s="7"/>
      <c r="K596" s="7" t="s">
        <v>1255</v>
      </c>
    </row>
    <row r="597" spans="1:11" ht="14.25" hidden="1" customHeight="1">
      <c r="A597" s="14" t="s">
        <v>1142</v>
      </c>
      <c r="B597" s="78"/>
      <c r="C597" s="78"/>
      <c r="D597" s="92">
        <v>45448</v>
      </c>
      <c r="E597" s="14">
        <v>644</v>
      </c>
      <c r="F597" s="77"/>
      <c r="G597" s="76">
        <v>275410</v>
      </c>
      <c r="H597" s="70" t="s">
        <v>1100</v>
      </c>
      <c r="I597" s="7">
        <f t="shared" ca="1" si="3"/>
        <v>0</v>
      </c>
      <c r="J597" s="86"/>
      <c r="K597" s="7"/>
    </row>
    <row r="598" spans="1:11" ht="14.25" hidden="1" customHeight="1">
      <c r="A598" s="14" t="s">
        <v>1254</v>
      </c>
      <c r="B598" s="78"/>
      <c r="C598" s="78"/>
      <c r="D598" s="92">
        <v>45449</v>
      </c>
      <c r="E598" s="14">
        <v>645</v>
      </c>
      <c r="F598" s="77"/>
      <c r="G598" s="76">
        <v>164732</v>
      </c>
      <c r="H598" s="70" t="s">
        <v>1100</v>
      </c>
      <c r="I598" s="7">
        <f t="shared" ca="1" si="3"/>
        <v>0</v>
      </c>
      <c r="J598" s="86"/>
      <c r="K598" s="7"/>
    </row>
    <row r="599" spans="1:11" ht="14.25" hidden="1" customHeight="1">
      <c r="A599" s="14" t="s">
        <v>634</v>
      </c>
      <c r="B599" s="78"/>
      <c r="C599" s="78"/>
      <c r="D599" s="92">
        <v>45450</v>
      </c>
      <c r="E599" s="14">
        <v>646</v>
      </c>
      <c r="F599" s="77"/>
      <c r="G599" s="76">
        <v>109401</v>
      </c>
      <c r="H599" s="70" t="s">
        <v>1100</v>
      </c>
      <c r="I599" s="7">
        <f t="shared" ca="1" si="3"/>
        <v>0</v>
      </c>
      <c r="J599" s="7"/>
      <c r="K599" s="7" t="s">
        <v>1256</v>
      </c>
    </row>
    <row r="600" spans="1:11" ht="14.25" hidden="1" customHeight="1">
      <c r="A600" s="14" t="s">
        <v>787</v>
      </c>
      <c r="B600" s="78"/>
      <c r="C600" s="78"/>
      <c r="D600" s="92">
        <v>45450</v>
      </c>
      <c r="E600" s="14">
        <v>647</v>
      </c>
      <c r="F600" s="77"/>
      <c r="G600" s="76">
        <v>112288</v>
      </c>
      <c r="H600" s="70" t="s">
        <v>1100</v>
      </c>
      <c r="I600" s="7">
        <f t="shared" ca="1" si="3"/>
        <v>0</v>
      </c>
      <c r="J600" s="86"/>
      <c r="K600" s="7"/>
    </row>
    <row r="601" spans="1:11" ht="14.25" hidden="1" customHeight="1">
      <c r="A601" s="14" t="s">
        <v>1235</v>
      </c>
      <c r="B601" s="78"/>
      <c r="C601" s="78"/>
      <c r="D601" s="92">
        <v>45450</v>
      </c>
      <c r="E601" s="14">
        <v>648</v>
      </c>
      <c r="F601" s="77"/>
      <c r="G601" s="76">
        <v>237217</v>
      </c>
      <c r="H601" s="70" t="s">
        <v>1100</v>
      </c>
      <c r="I601" s="7">
        <f t="shared" ca="1" si="3"/>
        <v>0</v>
      </c>
      <c r="J601" s="86"/>
      <c r="K601" s="7"/>
    </row>
    <row r="602" spans="1:11" ht="14.25" hidden="1" customHeight="1">
      <c r="A602" s="14" t="s">
        <v>778</v>
      </c>
      <c r="B602" s="78"/>
      <c r="C602" s="78"/>
      <c r="D602" s="92">
        <v>45453</v>
      </c>
      <c r="E602" s="14">
        <v>649</v>
      </c>
      <c r="F602" s="77"/>
      <c r="G602" s="76">
        <v>154591</v>
      </c>
      <c r="H602" s="70" t="s">
        <v>1177</v>
      </c>
      <c r="I602" s="7">
        <f t="shared" ca="1" si="3"/>
        <v>0</v>
      </c>
      <c r="J602" s="7"/>
      <c r="K602" s="7" t="s">
        <v>1257</v>
      </c>
    </row>
    <row r="603" spans="1:11" ht="14.25" hidden="1" customHeight="1">
      <c r="A603" s="14" t="s">
        <v>1056</v>
      </c>
      <c r="B603" s="78"/>
      <c r="C603" s="78"/>
      <c r="D603" s="92">
        <v>45462</v>
      </c>
      <c r="E603" s="14" t="s">
        <v>1221</v>
      </c>
      <c r="F603" s="92">
        <v>45462</v>
      </c>
      <c r="G603" s="76">
        <v>131000</v>
      </c>
      <c r="H603" s="70" t="s">
        <v>1258</v>
      </c>
      <c r="I603" s="7">
        <f t="shared" ca="1" si="3"/>
        <v>337</v>
      </c>
      <c r="J603" s="87"/>
      <c r="K603" s="7" t="s">
        <v>1259</v>
      </c>
    </row>
    <row r="604" spans="1:11" ht="14.25" hidden="1" customHeight="1">
      <c r="A604" s="14" t="s">
        <v>1260</v>
      </c>
      <c r="B604" s="78"/>
      <c r="C604" s="78"/>
      <c r="D604" s="92">
        <v>45454</v>
      </c>
      <c r="E604" s="14">
        <v>650</v>
      </c>
      <c r="F604" s="77">
        <v>45455</v>
      </c>
      <c r="G604" s="76">
        <v>105712</v>
      </c>
      <c r="H604" s="70" t="s">
        <v>1100</v>
      </c>
      <c r="I604" s="7">
        <f t="shared" ca="1" si="3"/>
        <v>0</v>
      </c>
      <c r="J604" s="86"/>
      <c r="K604" s="7"/>
    </row>
    <row r="605" spans="1:11" ht="14.25" hidden="1" customHeight="1">
      <c r="A605" s="14" t="s">
        <v>778</v>
      </c>
      <c r="B605" s="78"/>
      <c r="C605" s="78"/>
      <c r="D605" s="92">
        <v>45454</v>
      </c>
      <c r="E605" s="14">
        <v>651</v>
      </c>
      <c r="F605" s="77">
        <v>45453</v>
      </c>
      <c r="G605" s="76">
        <v>105712</v>
      </c>
      <c r="H605" s="70" t="s">
        <v>1100</v>
      </c>
      <c r="I605" s="7">
        <f t="shared" ca="1" si="3"/>
        <v>0</v>
      </c>
      <c r="J605" s="86"/>
      <c r="K605" s="7"/>
    </row>
    <row r="606" spans="1:11" ht="14.25" hidden="1" customHeight="1">
      <c r="A606" s="14" t="s">
        <v>1250</v>
      </c>
      <c r="B606" s="78"/>
      <c r="C606" s="78"/>
      <c r="D606" s="92">
        <v>45456</v>
      </c>
      <c r="E606" s="14">
        <v>652</v>
      </c>
      <c r="F606" s="77"/>
      <c r="G606" s="76">
        <v>184893</v>
      </c>
      <c r="H606" s="70" t="s">
        <v>1100</v>
      </c>
      <c r="I606" s="7">
        <f t="shared" ca="1" si="3"/>
        <v>0</v>
      </c>
      <c r="J606" s="86"/>
      <c r="K606" s="7"/>
    </row>
    <row r="607" spans="1:11" ht="14.25" hidden="1" customHeight="1">
      <c r="A607" s="14" t="s">
        <v>1228</v>
      </c>
      <c r="B607" s="78"/>
      <c r="C607" s="78"/>
      <c r="D607" s="92">
        <v>45457</v>
      </c>
      <c r="E607" s="14">
        <v>653</v>
      </c>
      <c r="F607" s="77"/>
      <c r="G607" s="76">
        <v>204750</v>
      </c>
      <c r="H607" s="70" t="s">
        <v>1100</v>
      </c>
      <c r="I607" s="7">
        <f t="shared" ca="1" si="3"/>
        <v>0</v>
      </c>
      <c r="J607" s="86"/>
      <c r="K607" s="7"/>
    </row>
    <row r="608" spans="1:11" ht="14.25" hidden="1" customHeight="1">
      <c r="A608" s="57" t="s">
        <v>1261</v>
      </c>
      <c r="B608" s="78"/>
      <c r="C608" s="78"/>
      <c r="D608" s="92">
        <v>45457</v>
      </c>
      <c r="E608" s="14">
        <v>654</v>
      </c>
      <c r="F608" s="77"/>
      <c r="G608" s="76">
        <v>118609</v>
      </c>
      <c r="H608" s="70" t="s">
        <v>1100</v>
      </c>
      <c r="I608" s="7">
        <f t="shared" ca="1" si="3"/>
        <v>0</v>
      </c>
      <c r="J608" s="86"/>
      <c r="K608" s="7"/>
    </row>
    <row r="609" spans="1:11" ht="14.25" hidden="1" customHeight="1">
      <c r="A609" s="14" t="s">
        <v>1110</v>
      </c>
      <c r="B609" s="78"/>
      <c r="C609" s="78"/>
      <c r="D609" s="92">
        <v>45457</v>
      </c>
      <c r="E609" s="14">
        <v>655</v>
      </c>
      <c r="F609" s="77"/>
      <c r="G609" s="76">
        <v>116418</v>
      </c>
      <c r="H609" s="70" t="s">
        <v>1100</v>
      </c>
      <c r="I609" s="7">
        <f t="shared" ca="1" si="3"/>
        <v>0</v>
      </c>
      <c r="J609" s="86"/>
      <c r="K609" s="7"/>
    </row>
    <row r="610" spans="1:11" ht="14.25" hidden="1" customHeight="1">
      <c r="A610" s="14" t="s">
        <v>1194</v>
      </c>
      <c r="B610" s="78"/>
      <c r="C610" s="78"/>
      <c r="D610" s="92">
        <v>45457</v>
      </c>
      <c r="E610" s="14">
        <v>656</v>
      </c>
      <c r="F610" s="77"/>
      <c r="G610" s="76">
        <v>112369</v>
      </c>
      <c r="H610" s="70" t="s">
        <v>1100</v>
      </c>
      <c r="I610" s="7">
        <f t="shared" ca="1" si="3"/>
        <v>0</v>
      </c>
      <c r="J610" s="86"/>
      <c r="K610" s="7" t="s">
        <v>1262</v>
      </c>
    </row>
    <row r="611" spans="1:11" ht="14.25" hidden="1" customHeight="1">
      <c r="A611" s="14" t="s">
        <v>646</v>
      </c>
      <c r="B611" s="78"/>
      <c r="C611" s="78"/>
      <c r="D611" s="92">
        <v>45457</v>
      </c>
      <c r="E611" s="14">
        <v>657</v>
      </c>
      <c r="F611" s="77"/>
      <c r="G611" s="76">
        <v>116427</v>
      </c>
      <c r="H611" s="70" t="s">
        <v>1100</v>
      </c>
      <c r="I611" s="7">
        <f t="shared" ca="1" si="3"/>
        <v>0</v>
      </c>
      <c r="J611" s="86"/>
      <c r="K611" s="7"/>
    </row>
    <row r="612" spans="1:11" ht="14.25" hidden="1" customHeight="1">
      <c r="A612" s="14" t="s">
        <v>1153</v>
      </c>
      <c r="B612" s="78"/>
      <c r="C612" s="78"/>
      <c r="D612" s="92">
        <v>45460</v>
      </c>
      <c r="E612" s="14">
        <v>658</v>
      </c>
      <c r="F612" s="77"/>
      <c r="G612" s="76">
        <v>123463</v>
      </c>
      <c r="H612" s="70" t="s">
        <v>1100</v>
      </c>
      <c r="I612" s="7">
        <f t="shared" ca="1" si="3"/>
        <v>0</v>
      </c>
      <c r="J612" s="86"/>
      <c r="K612" s="7"/>
    </row>
    <row r="613" spans="1:11" ht="14.25" hidden="1" customHeight="1">
      <c r="A613" s="14" t="s">
        <v>1263</v>
      </c>
      <c r="B613" s="78"/>
      <c r="C613" s="78"/>
      <c r="D613" s="92">
        <v>45460</v>
      </c>
      <c r="E613" s="14">
        <v>659</v>
      </c>
      <c r="F613" s="77">
        <v>45460</v>
      </c>
      <c r="G613" s="76">
        <v>56179</v>
      </c>
      <c r="H613" s="70" t="s">
        <v>1100</v>
      </c>
      <c r="I613" s="7">
        <f t="shared" ca="1" si="3"/>
        <v>0</v>
      </c>
      <c r="J613" s="87"/>
      <c r="K613" s="7"/>
    </row>
    <row r="614" spans="1:11" ht="14.25" hidden="1" customHeight="1">
      <c r="A614" s="14" t="s">
        <v>547</v>
      </c>
      <c r="B614" s="78"/>
      <c r="C614" s="78"/>
      <c r="D614" s="92">
        <v>45462</v>
      </c>
      <c r="E614" s="14">
        <v>660</v>
      </c>
      <c r="F614" s="92">
        <v>45462</v>
      </c>
      <c r="G614" s="76">
        <v>105646</v>
      </c>
      <c r="H614" s="70" t="s">
        <v>1100</v>
      </c>
      <c r="I614" s="7">
        <f t="shared" ca="1" si="3"/>
        <v>0</v>
      </c>
      <c r="J614" s="86"/>
      <c r="K614" s="7"/>
    </row>
    <row r="615" spans="1:11" ht="14.25" hidden="1" customHeight="1">
      <c r="A615" s="14" t="s">
        <v>126</v>
      </c>
      <c r="B615" s="78"/>
      <c r="C615" s="78"/>
      <c r="D615" s="92">
        <v>45462</v>
      </c>
      <c r="E615" s="14">
        <v>661</v>
      </c>
      <c r="F615" s="92">
        <v>45462</v>
      </c>
      <c r="G615" s="76">
        <v>321007</v>
      </c>
      <c r="H615" s="70" t="s">
        <v>1100</v>
      </c>
      <c r="I615" s="7">
        <f t="shared" ca="1" si="3"/>
        <v>0</v>
      </c>
      <c r="J615" s="86"/>
      <c r="K615" s="7"/>
    </row>
    <row r="616" spans="1:11" ht="14.25" hidden="1" customHeight="1">
      <c r="A616" s="14" t="s">
        <v>1264</v>
      </c>
      <c r="B616" s="78"/>
      <c r="C616" s="78"/>
      <c r="D616" s="92">
        <v>45462</v>
      </c>
      <c r="E616" s="14">
        <v>662</v>
      </c>
      <c r="F616" s="77"/>
      <c r="G616" s="76">
        <v>115819</v>
      </c>
      <c r="H616" s="70" t="s">
        <v>1100</v>
      </c>
      <c r="I616" s="7">
        <f t="shared" ca="1" si="3"/>
        <v>0</v>
      </c>
      <c r="J616" s="86"/>
      <c r="K616" s="7"/>
    </row>
    <row r="617" spans="1:11" ht="14.25" hidden="1" customHeight="1">
      <c r="A617" s="14" t="s">
        <v>816</v>
      </c>
      <c r="B617" s="78"/>
      <c r="C617" s="78"/>
      <c r="D617" s="92">
        <v>45462</v>
      </c>
      <c r="E617" s="14">
        <v>663</v>
      </c>
      <c r="F617" s="77"/>
      <c r="G617" s="76">
        <v>117687</v>
      </c>
      <c r="H617" s="70" t="s">
        <v>1100</v>
      </c>
      <c r="I617" s="7">
        <f t="shared" ca="1" si="3"/>
        <v>0</v>
      </c>
      <c r="J617" s="86"/>
      <c r="K617" s="7"/>
    </row>
    <row r="618" spans="1:11" ht="14.25" hidden="1" customHeight="1">
      <c r="A618" s="14" t="s">
        <v>1265</v>
      </c>
      <c r="B618" s="78"/>
      <c r="C618" s="78"/>
      <c r="D618" s="92">
        <v>45462</v>
      </c>
      <c r="E618" s="14">
        <v>664</v>
      </c>
      <c r="F618" s="92">
        <v>45462</v>
      </c>
      <c r="G618" s="76">
        <v>88726</v>
      </c>
      <c r="H618" s="70" t="s">
        <v>1100</v>
      </c>
      <c r="I618" s="7">
        <f t="shared" ca="1" si="3"/>
        <v>0</v>
      </c>
      <c r="J618" s="87"/>
      <c r="K618" s="7"/>
    </row>
    <row r="619" spans="1:11" ht="14.25" hidden="1" customHeight="1">
      <c r="A619" s="14" t="s">
        <v>1254</v>
      </c>
      <c r="B619" s="78"/>
      <c r="C619" s="78"/>
      <c r="D619" s="92">
        <v>45464</v>
      </c>
      <c r="E619" s="14">
        <v>665</v>
      </c>
      <c r="F619" s="77"/>
      <c r="G619" s="76">
        <v>118015</v>
      </c>
      <c r="H619" s="70" t="s">
        <v>1100</v>
      </c>
      <c r="I619" s="7">
        <f t="shared" ca="1" si="3"/>
        <v>0</v>
      </c>
      <c r="J619" s="86"/>
      <c r="K619" s="7"/>
    </row>
    <row r="620" spans="1:11" ht="14.25" hidden="1" customHeight="1">
      <c r="A620" s="14" t="s">
        <v>1266</v>
      </c>
      <c r="B620" s="78"/>
      <c r="C620" s="78"/>
      <c r="D620" s="92">
        <v>45464</v>
      </c>
      <c r="E620" s="14">
        <v>667</v>
      </c>
      <c r="F620" s="92">
        <v>45464</v>
      </c>
      <c r="G620" s="76">
        <v>291708</v>
      </c>
      <c r="H620" s="70" t="s">
        <v>1100</v>
      </c>
      <c r="I620" s="7">
        <f t="shared" ca="1" si="3"/>
        <v>0</v>
      </c>
      <c r="J620" s="86"/>
      <c r="K620" s="7"/>
    </row>
    <row r="621" spans="1:11" ht="14.25" hidden="1" customHeight="1">
      <c r="A621" s="14" t="s">
        <v>1248</v>
      </c>
      <c r="B621" s="78"/>
      <c r="C621" s="78"/>
      <c r="D621" s="92">
        <v>45467</v>
      </c>
      <c r="E621" s="14">
        <v>666</v>
      </c>
      <c r="F621" s="92">
        <v>45467</v>
      </c>
      <c r="G621" s="76">
        <v>120938</v>
      </c>
      <c r="H621" s="70" t="s">
        <v>1100</v>
      </c>
      <c r="I621" s="7">
        <f t="shared" ca="1" si="3"/>
        <v>0</v>
      </c>
      <c r="J621" s="86"/>
      <c r="K621" s="7"/>
    </row>
    <row r="622" spans="1:11" ht="14.25" customHeight="1">
      <c r="A622" s="14" t="s">
        <v>1212</v>
      </c>
      <c r="B622" s="78"/>
      <c r="C622" s="78"/>
      <c r="D622" s="92">
        <v>45468</v>
      </c>
      <c r="E622" s="14">
        <v>668</v>
      </c>
      <c r="F622" s="92">
        <v>45467</v>
      </c>
      <c r="G622" s="76">
        <v>92121</v>
      </c>
      <c r="H622" s="70" t="s">
        <v>1267</v>
      </c>
      <c r="I622" s="7">
        <f t="shared" ca="1" si="3"/>
        <v>331</v>
      </c>
      <c r="J622" s="71" t="str">
        <f>LOOKUP(A622,'Base Clientes'!B:B,'Base Clientes'!D:D)</f>
        <v xml:space="preserve">luis_jc6@hotmail.com </v>
      </c>
      <c r="K622" s="7"/>
    </row>
    <row r="623" spans="1:11" ht="14.25" hidden="1" customHeight="1">
      <c r="A623" s="57" t="s">
        <v>1268</v>
      </c>
      <c r="B623" s="78"/>
      <c r="C623" s="78"/>
      <c r="D623" s="92">
        <v>45468</v>
      </c>
      <c r="E623" s="14">
        <v>670</v>
      </c>
      <c r="F623" s="77"/>
      <c r="G623" s="76">
        <v>117053</v>
      </c>
      <c r="H623" s="70" t="s">
        <v>1100</v>
      </c>
      <c r="I623" s="7">
        <f t="shared" ca="1" si="3"/>
        <v>0</v>
      </c>
      <c r="J623" s="86"/>
      <c r="K623" s="7"/>
    </row>
    <row r="624" spans="1:11" ht="14.25" hidden="1" customHeight="1">
      <c r="A624" s="14" t="s">
        <v>360</v>
      </c>
      <c r="B624" s="78"/>
      <c r="C624" s="78"/>
      <c r="D624" s="69">
        <v>45432</v>
      </c>
      <c r="E624" s="14">
        <v>671</v>
      </c>
      <c r="F624" s="77"/>
      <c r="G624" s="76">
        <v>203212</v>
      </c>
      <c r="H624" s="70" t="s">
        <v>1100</v>
      </c>
      <c r="I624" s="7">
        <f t="shared" ca="1" si="3"/>
        <v>0</v>
      </c>
      <c r="J624" s="86"/>
      <c r="K624" s="7" t="s">
        <v>1269</v>
      </c>
    </row>
    <row r="625" spans="1:11" ht="14.25" hidden="1" customHeight="1">
      <c r="A625" s="14" t="s">
        <v>487</v>
      </c>
      <c r="B625" s="78"/>
      <c r="C625" s="78"/>
      <c r="D625" s="92">
        <v>45469</v>
      </c>
      <c r="E625" s="14">
        <v>673</v>
      </c>
      <c r="F625" s="77"/>
      <c r="G625" s="76">
        <v>260661</v>
      </c>
      <c r="H625" s="70" t="s">
        <v>1100</v>
      </c>
      <c r="I625" s="7">
        <f t="shared" ca="1" si="3"/>
        <v>0</v>
      </c>
      <c r="J625" s="86"/>
      <c r="K625" s="7"/>
    </row>
    <row r="626" spans="1:11" ht="14.25" hidden="1" customHeight="1">
      <c r="A626" s="14" t="s">
        <v>1270</v>
      </c>
      <c r="B626" s="78"/>
      <c r="C626" s="78"/>
      <c r="D626" s="92">
        <v>45471</v>
      </c>
      <c r="E626" s="14">
        <v>674</v>
      </c>
      <c r="F626" s="77"/>
      <c r="G626" s="76">
        <v>59720</v>
      </c>
      <c r="H626" s="70" t="s">
        <v>1100</v>
      </c>
      <c r="I626" s="7">
        <f t="shared" ca="1" si="3"/>
        <v>0</v>
      </c>
      <c r="J626" s="86"/>
      <c r="K626" s="7"/>
    </row>
    <row r="627" spans="1:11" ht="14.25" hidden="1" customHeight="1">
      <c r="A627" s="14" t="s">
        <v>1271</v>
      </c>
      <c r="B627" s="78"/>
      <c r="C627" s="78"/>
      <c r="D627" s="92">
        <v>45471</v>
      </c>
      <c r="E627" s="14">
        <v>675</v>
      </c>
      <c r="F627" s="77"/>
      <c r="G627" s="76">
        <v>59720</v>
      </c>
      <c r="H627" s="70" t="s">
        <v>1100</v>
      </c>
      <c r="I627" s="7">
        <f t="shared" ca="1" si="3"/>
        <v>0</v>
      </c>
      <c r="J627" s="86"/>
      <c r="K627" s="7"/>
    </row>
    <row r="628" spans="1:11" ht="14.25" hidden="1" customHeight="1">
      <c r="A628" s="14" t="s">
        <v>1272</v>
      </c>
      <c r="B628" s="78"/>
      <c r="C628" s="78"/>
      <c r="D628" s="92">
        <v>45471</v>
      </c>
      <c r="E628" s="14">
        <v>676</v>
      </c>
      <c r="F628" s="77"/>
      <c r="G628" s="76">
        <v>179245</v>
      </c>
      <c r="H628" s="70" t="s">
        <v>1177</v>
      </c>
      <c r="I628" s="7">
        <f t="shared" ca="1" si="3"/>
        <v>0</v>
      </c>
      <c r="J628" s="7"/>
      <c r="K628" s="7" t="s">
        <v>1273</v>
      </c>
    </row>
    <row r="629" spans="1:11" ht="14.25" hidden="1" customHeight="1">
      <c r="A629" s="57" t="s">
        <v>1272</v>
      </c>
      <c r="B629" s="78"/>
      <c r="C629" s="78"/>
      <c r="D629" s="92">
        <v>45474</v>
      </c>
      <c r="E629" s="14">
        <v>677</v>
      </c>
      <c r="F629" s="77"/>
      <c r="G629" s="76">
        <v>175757</v>
      </c>
      <c r="H629" s="70" t="s">
        <v>1100</v>
      </c>
      <c r="I629" s="7">
        <f t="shared" ca="1" si="3"/>
        <v>0</v>
      </c>
      <c r="J629" s="87"/>
      <c r="K629" s="7"/>
    </row>
    <row r="630" spans="1:11" ht="14.25" hidden="1" customHeight="1">
      <c r="A630" s="14" t="s">
        <v>1263</v>
      </c>
      <c r="B630" s="78"/>
      <c r="C630" s="78"/>
      <c r="D630" s="92">
        <v>45474</v>
      </c>
      <c r="E630" s="14">
        <v>678</v>
      </c>
      <c r="F630" s="92">
        <v>45474</v>
      </c>
      <c r="G630" s="76">
        <v>55579</v>
      </c>
      <c r="H630" s="70" t="s">
        <v>1177</v>
      </c>
      <c r="I630" s="7">
        <f t="shared" ca="1" si="3"/>
        <v>0</v>
      </c>
      <c r="J630" s="7"/>
      <c r="K630" s="7" t="s">
        <v>1274</v>
      </c>
    </row>
    <row r="631" spans="1:11" ht="14.25" hidden="1" customHeight="1">
      <c r="A631" s="14" t="s">
        <v>126</v>
      </c>
      <c r="B631" s="78"/>
      <c r="C631" s="78"/>
      <c r="D631" s="92">
        <v>45475</v>
      </c>
      <c r="E631" s="14">
        <v>679</v>
      </c>
      <c r="F631" s="77"/>
      <c r="G631" s="76">
        <v>262472</v>
      </c>
      <c r="H631" s="70" t="s">
        <v>1100</v>
      </c>
      <c r="I631" s="7">
        <f t="shared" ca="1" si="3"/>
        <v>0</v>
      </c>
      <c r="J631" s="86"/>
      <c r="K631" s="7"/>
    </row>
    <row r="632" spans="1:11" ht="14.25" customHeight="1">
      <c r="A632" s="14" t="s">
        <v>1199</v>
      </c>
      <c r="B632" s="78"/>
      <c r="C632" s="78"/>
      <c r="D632" s="92">
        <v>45475</v>
      </c>
      <c r="E632" s="14">
        <v>680</v>
      </c>
      <c r="F632" s="92">
        <v>45471</v>
      </c>
      <c r="G632" s="76">
        <v>92121</v>
      </c>
      <c r="H632" s="70" t="s">
        <v>1267</v>
      </c>
      <c r="I632" s="7">
        <f t="shared" ca="1" si="3"/>
        <v>324</v>
      </c>
      <c r="J632" s="71" t="str">
        <f>LOOKUP(A632,'Base Clientes'!B:B,'Base Clientes'!D:D)</f>
        <v xml:space="preserve">luis_jc6@hotmail.com </v>
      </c>
      <c r="K632" s="7"/>
    </row>
    <row r="633" spans="1:11" ht="14.25" hidden="1" customHeight="1">
      <c r="A633" s="14" t="s">
        <v>126</v>
      </c>
      <c r="B633" s="78"/>
      <c r="C633" s="78"/>
      <c r="D633" s="92">
        <v>45476</v>
      </c>
      <c r="E633" s="14">
        <v>681</v>
      </c>
      <c r="F633" s="92">
        <v>45475</v>
      </c>
      <c r="G633" s="76">
        <v>62429</v>
      </c>
      <c r="H633" s="70" t="s">
        <v>1100</v>
      </c>
      <c r="I633" s="7">
        <f t="shared" ca="1" si="3"/>
        <v>0</v>
      </c>
      <c r="J633" s="86"/>
      <c r="K633" s="7"/>
    </row>
    <row r="634" spans="1:11" ht="14.25" hidden="1" customHeight="1">
      <c r="A634" s="14" t="s">
        <v>1266</v>
      </c>
      <c r="B634" s="78"/>
      <c r="C634" s="78"/>
      <c r="D634" s="92">
        <v>45476</v>
      </c>
      <c r="E634" s="14">
        <v>682</v>
      </c>
      <c r="F634" s="92">
        <v>45474</v>
      </c>
      <c r="G634" s="76">
        <v>267993</v>
      </c>
      <c r="H634" s="70" t="s">
        <v>1100</v>
      </c>
      <c r="I634" s="7">
        <f t="shared" ca="1" si="3"/>
        <v>0</v>
      </c>
      <c r="J634" s="86"/>
      <c r="K634" s="7"/>
    </row>
    <row r="635" spans="1:11" ht="14.25" hidden="1" customHeight="1">
      <c r="A635" s="14" t="s">
        <v>1203</v>
      </c>
      <c r="B635" s="78"/>
      <c r="C635" s="78"/>
      <c r="D635" s="92">
        <v>45520</v>
      </c>
      <c r="E635" s="14">
        <v>683</v>
      </c>
      <c r="F635" s="92"/>
      <c r="G635" s="76">
        <v>269773</v>
      </c>
      <c r="H635" s="70" t="s">
        <v>1100</v>
      </c>
      <c r="I635" s="7">
        <f t="shared" ca="1" si="3"/>
        <v>0</v>
      </c>
      <c r="J635" s="87"/>
      <c r="K635" s="7" t="s">
        <v>1275</v>
      </c>
    </row>
    <row r="636" spans="1:11" ht="14.25" hidden="1" customHeight="1">
      <c r="A636" s="14" t="s">
        <v>1276</v>
      </c>
      <c r="B636" s="78"/>
      <c r="C636" s="78"/>
      <c r="D636" s="92">
        <v>45478</v>
      </c>
      <c r="E636" s="14" t="s">
        <v>1221</v>
      </c>
      <c r="F636" s="92">
        <v>45548</v>
      </c>
      <c r="G636" s="76">
        <v>120000</v>
      </c>
      <c r="H636" s="70" t="s">
        <v>1100</v>
      </c>
      <c r="I636" s="7">
        <f ca="1">IF(OR(H636="Pagado",H636="Anulada"),0,IF(ISNUMBER(E636),TODAY()-D636,TODAY()-#REF!))</f>
        <v>0</v>
      </c>
      <c r="J636" s="92"/>
      <c r="K636" s="7" t="s">
        <v>1277</v>
      </c>
    </row>
    <row r="637" spans="1:11" ht="14.25" hidden="1" customHeight="1">
      <c r="A637" s="93" t="s">
        <v>1278</v>
      </c>
      <c r="B637" s="78"/>
      <c r="C637" s="78"/>
      <c r="D637" s="92">
        <v>45478</v>
      </c>
      <c r="E637" s="14">
        <v>684</v>
      </c>
      <c r="F637" s="92">
        <v>45478</v>
      </c>
      <c r="G637" s="93">
        <v>118135</v>
      </c>
      <c r="H637" s="70" t="s">
        <v>1100</v>
      </c>
      <c r="I637" s="7">
        <f t="shared" ref="I637:I675" ca="1" si="4">IF(OR(H637="Pagado",H637="Anulada"),0,IF(ISNUMBER(E637),TODAY()-D637,TODAY()-F637))</f>
        <v>0</v>
      </c>
      <c r="J637" s="86"/>
      <c r="K637" s="7"/>
    </row>
    <row r="638" spans="1:11" ht="14.25" hidden="1" customHeight="1">
      <c r="A638" s="76" t="s">
        <v>1279</v>
      </c>
      <c r="B638" s="78"/>
      <c r="C638" s="78"/>
      <c r="D638" s="92">
        <v>45478</v>
      </c>
      <c r="E638" s="14">
        <v>685</v>
      </c>
      <c r="F638" s="92">
        <v>45478</v>
      </c>
      <c r="G638" s="76">
        <v>55579</v>
      </c>
      <c r="H638" s="70" t="s">
        <v>1100</v>
      </c>
      <c r="I638" s="7">
        <f t="shared" ca="1" si="4"/>
        <v>0</v>
      </c>
      <c r="J638" s="86"/>
      <c r="K638" s="7"/>
    </row>
    <row r="639" spans="1:11" ht="14.25" hidden="1" customHeight="1">
      <c r="A639" s="76" t="s">
        <v>1280</v>
      </c>
      <c r="B639" s="78"/>
      <c r="C639" s="78"/>
      <c r="D639" s="92">
        <v>45481</v>
      </c>
      <c r="E639" s="14">
        <v>686</v>
      </c>
      <c r="F639" s="92">
        <v>45481</v>
      </c>
      <c r="G639" s="76">
        <v>184749</v>
      </c>
      <c r="H639" s="70" t="s">
        <v>1100</v>
      </c>
      <c r="I639" s="7">
        <f t="shared" ca="1" si="4"/>
        <v>0</v>
      </c>
      <c r="J639" s="86"/>
      <c r="K639" s="7"/>
    </row>
    <row r="640" spans="1:11" ht="14.25" customHeight="1">
      <c r="A640" s="14" t="s">
        <v>1199</v>
      </c>
      <c r="B640" s="78"/>
      <c r="C640" s="78"/>
      <c r="D640" s="92">
        <v>45481</v>
      </c>
      <c r="E640" s="14">
        <v>687</v>
      </c>
      <c r="F640" s="92">
        <v>45481</v>
      </c>
      <c r="G640" s="76">
        <v>92121</v>
      </c>
      <c r="H640" s="70" t="s">
        <v>1267</v>
      </c>
      <c r="I640" s="7">
        <f t="shared" ca="1" si="4"/>
        <v>318</v>
      </c>
      <c r="J640" s="71" t="str">
        <f>LOOKUP(A640,'Base Clientes'!B:B,'Base Clientes'!D:D)</f>
        <v xml:space="preserve">luis_jc6@hotmail.com </v>
      </c>
      <c r="K640" s="7"/>
    </row>
    <row r="641" spans="1:11" ht="14.25" hidden="1" customHeight="1">
      <c r="A641" s="14" t="s">
        <v>1281</v>
      </c>
      <c r="B641" s="78"/>
      <c r="C641" s="78"/>
      <c r="D641" s="92">
        <v>45482</v>
      </c>
      <c r="E641" s="14">
        <v>688</v>
      </c>
      <c r="F641" s="92">
        <v>45482</v>
      </c>
      <c r="G641" s="76">
        <v>133034</v>
      </c>
      <c r="H641" s="70" t="s">
        <v>1100</v>
      </c>
      <c r="I641" s="7">
        <f t="shared" ca="1" si="4"/>
        <v>0</v>
      </c>
      <c r="J641" s="86"/>
      <c r="K641" s="7"/>
    </row>
    <row r="642" spans="1:11" ht="14.25" hidden="1" customHeight="1">
      <c r="A642" s="14" t="s">
        <v>1068</v>
      </c>
      <c r="B642" s="78"/>
      <c r="C642" s="78"/>
      <c r="D642" s="92">
        <v>45482</v>
      </c>
      <c r="E642" s="14">
        <v>689</v>
      </c>
      <c r="F642" s="92">
        <v>45482</v>
      </c>
      <c r="G642" s="76">
        <v>421670</v>
      </c>
      <c r="H642" s="70" t="s">
        <v>1100</v>
      </c>
      <c r="I642" s="7">
        <f t="shared" ca="1" si="4"/>
        <v>0</v>
      </c>
      <c r="J642" s="85"/>
      <c r="K642" s="7" t="s">
        <v>1282</v>
      </c>
    </row>
    <row r="643" spans="1:11" ht="14.25" hidden="1" customHeight="1">
      <c r="A643" s="14" t="s">
        <v>547</v>
      </c>
      <c r="B643" s="78"/>
      <c r="C643" s="78"/>
      <c r="D643" s="92">
        <v>45484</v>
      </c>
      <c r="E643" s="14">
        <v>690</v>
      </c>
      <c r="F643" s="92">
        <v>45484</v>
      </c>
      <c r="G643" s="76">
        <v>103053</v>
      </c>
      <c r="H643" s="70" t="s">
        <v>1100</v>
      </c>
      <c r="I643" s="7">
        <f t="shared" ca="1" si="4"/>
        <v>0</v>
      </c>
      <c r="J643" s="86"/>
      <c r="K643" s="7"/>
    </row>
    <row r="644" spans="1:11" ht="14.25" hidden="1" customHeight="1">
      <c r="A644" s="57" t="s">
        <v>1283</v>
      </c>
      <c r="B644" s="78"/>
      <c r="C644" s="78"/>
      <c r="D644" s="92">
        <v>45484</v>
      </c>
      <c r="E644" s="14">
        <v>691</v>
      </c>
      <c r="F644" s="92">
        <v>45484</v>
      </c>
      <c r="G644" s="93">
        <v>188808</v>
      </c>
      <c r="H644" s="70" t="s">
        <v>1100</v>
      </c>
      <c r="I644" s="7">
        <f t="shared" ca="1" si="4"/>
        <v>0</v>
      </c>
      <c r="J644" s="86"/>
      <c r="K644" s="7"/>
    </row>
    <row r="645" spans="1:11" ht="14.25" hidden="1" customHeight="1">
      <c r="A645" s="57" t="s">
        <v>1284</v>
      </c>
      <c r="B645" s="78"/>
      <c r="C645" s="78"/>
      <c r="D645" s="92">
        <v>45485</v>
      </c>
      <c r="E645" s="14">
        <v>692</v>
      </c>
      <c r="F645" s="92">
        <v>45485</v>
      </c>
      <c r="G645" s="93">
        <v>175198</v>
      </c>
      <c r="H645" s="70" t="s">
        <v>1100</v>
      </c>
      <c r="I645" s="7">
        <f t="shared" ca="1" si="4"/>
        <v>0</v>
      </c>
      <c r="J645" s="86"/>
      <c r="K645" s="7"/>
    </row>
    <row r="646" spans="1:11" ht="14.25" hidden="1" customHeight="1">
      <c r="A646" s="14" t="s">
        <v>1120</v>
      </c>
      <c r="B646" s="78"/>
      <c r="C646" s="78"/>
      <c r="D646" s="92">
        <v>45488</v>
      </c>
      <c r="E646" s="14">
        <v>693</v>
      </c>
      <c r="F646" s="92">
        <v>45488</v>
      </c>
      <c r="G646" s="76">
        <v>127648</v>
      </c>
      <c r="H646" s="70" t="s">
        <v>1100</v>
      </c>
      <c r="I646" s="7">
        <f t="shared" ca="1" si="4"/>
        <v>0</v>
      </c>
      <c r="J646" s="86"/>
      <c r="K646" s="7"/>
    </row>
    <row r="647" spans="1:11" ht="14.25" hidden="1" customHeight="1">
      <c r="A647" s="14" t="s">
        <v>126</v>
      </c>
      <c r="B647" s="78"/>
      <c r="C647" s="78"/>
      <c r="D647" s="92">
        <v>45490</v>
      </c>
      <c r="E647" s="14">
        <v>694</v>
      </c>
      <c r="F647" s="92">
        <v>45490</v>
      </c>
      <c r="G647" s="76">
        <v>283290</v>
      </c>
      <c r="H647" s="70" t="s">
        <v>1100</v>
      </c>
      <c r="I647" s="7">
        <f t="shared" ca="1" si="4"/>
        <v>0</v>
      </c>
      <c r="J647" s="85"/>
      <c r="K647" s="7"/>
    </row>
    <row r="648" spans="1:11" ht="14.25" hidden="1" customHeight="1">
      <c r="A648" s="14" t="s">
        <v>126</v>
      </c>
      <c r="B648" s="78"/>
      <c r="C648" s="78"/>
      <c r="D648" s="92">
        <v>45490</v>
      </c>
      <c r="E648" s="14">
        <v>695</v>
      </c>
      <c r="F648" s="92">
        <v>45490</v>
      </c>
      <c r="G648" s="76">
        <v>31214</v>
      </c>
      <c r="H648" s="70" t="s">
        <v>1100</v>
      </c>
      <c r="I648" s="7">
        <f t="shared" ca="1" si="4"/>
        <v>0</v>
      </c>
      <c r="J648" s="86"/>
      <c r="K648" s="7"/>
    </row>
    <row r="649" spans="1:11" ht="14.25" hidden="1" customHeight="1">
      <c r="A649" s="14" t="s">
        <v>226</v>
      </c>
      <c r="B649" s="78"/>
      <c r="C649" s="78"/>
      <c r="D649" s="92">
        <v>45490</v>
      </c>
      <c r="E649" s="14">
        <v>696</v>
      </c>
      <c r="F649" s="92">
        <v>45490</v>
      </c>
      <c r="G649" s="76">
        <v>177327</v>
      </c>
      <c r="H649" s="70" t="s">
        <v>1100</v>
      </c>
      <c r="I649" s="7">
        <f t="shared" ca="1" si="4"/>
        <v>0</v>
      </c>
      <c r="J649" s="71"/>
      <c r="K649" s="7"/>
    </row>
    <row r="650" spans="1:11" ht="14.25" hidden="1" customHeight="1">
      <c r="A650" s="14" t="s">
        <v>1068</v>
      </c>
      <c r="B650" s="78"/>
      <c r="C650" s="78"/>
      <c r="D650" s="92">
        <v>45490</v>
      </c>
      <c r="E650" s="14">
        <v>697</v>
      </c>
      <c r="F650" s="92">
        <v>45490</v>
      </c>
      <c r="G650" s="76">
        <v>142123</v>
      </c>
      <c r="H650" s="70" t="s">
        <v>1100</v>
      </c>
      <c r="I650" s="7">
        <f t="shared" ca="1" si="4"/>
        <v>0</v>
      </c>
      <c r="J650" s="86"/>
      <c r="K650" s="7"/>
    </row>
    <row r="651" spans="1:11" ht="14.25" hidden="1" customHeight="1">
      <c r="A651" s="14" t="s">
        <v>1052</v>
      </c>
      <c r="B651" s="78"/>
      <c r="C651" s="78"/>
      <c r="D651" s="92">
        <v>45491</v>
      </c>
      <c r="E651" s="14">
        <v>698</v>
      </c>
      <c r="F651" s="92">
        <v>45491</v>
      </c>
      <c r="G651" s="76">
        <v>114635</v>
      </c>
      <c r="H651" s="70" t="s">
        <v>1100</v>
      </c>
      <c r="I651" s="7">
        <f t="shared" ca="1" si="4"/>
        <v>0</v>
      </c>
      <c r="J651" s="86"/>
      <c r="K651" s="7"/>
    </row>
    <row r="652" spans="1:11" ht="14.25" hidden="1" customHeight="1">
      <c r="A652" s="14" t="s">
        <v>1285</v>
      </c>
      <c r="B652" s="78"/>
      <c r="C652" s="78"/>
      <c r="D652" s="92">
        <v>45491</v>
      </c>
      <c r="E652" s="14">
        <v>699</v>
      </c>
      <c r="F652" s="92">
        <v>45491</v>
      </c>
      <c r="G652" s="76">
        <v>126253</v>
      </c>
      <c r="H652" s="70" t="s">
        <v>1100</v>
      </c>
      <c r="I652" s="7">
        <f t="shared" ca="1" si="4"/>
        <v>0</v>
      </c>
      <c r="J652" s="7"/>
      <c r="K652" s="7"/>
    </row>
    <row r="653" spans="1:11" ht="14.25" hidden="1" customHeight="1">
      <c r="A653" s="14" t="s">
        <v>652</v>
      </c>
      <c r="B653" s="78"/>
      <c r="C653" s="78"/>
      <c r="D653" s="92">
        <v>45492</v>
      </c>
      <c r="E653" s="14">
        <v>700</v>
      </c>
      <c r="F653" s="92">
        <v>45492</v>
      </c>
      <c r="G653" s="76">
        <v>154804</v>
      </c>
      <c r="H653" s="70" t="s">
        <v>1100</v>
      </c>
      <c r="I653" s="7">
        <f t="shared" ca="1" si="4"/>
        <v>0</v>
      </c>
      <c r="J653" s="86"/>
      <c r="K653" s="7"/>
    </row>
    <row r="654" spans="1:11" ht="14.25" hidden="1" customHeight="1">
      <c r="A654" s="14" t="s">
        <v>342</v>
      </c>
      <c r="B654" s="78"/>
      <c r="C654" s="78"/>
      <c r="D654" s="92">
        <v>45492</v>
      </c>
      <c r="E654" s="14">
        <v>702</v>
      </c>
      <c r="F654" s="92">
        <v>45492</v>
      </c>
      <c r="G654" s="76">
        <v>120492</v>
      </c>
      <c r="H654" s="70" t="s">
        <v>1100</v>
      </c>
      <c r="I654" s="7">
        <f t="shared" ca="1" si="4"/>
        <v>0</v>
      </c>
      <c r="J654" s="86"/>
      <c r="K654" s="7"/>
    </row>
    <row r="655" spans="1:11" ht="14.25" hidden="1" customHeight="1">
      <c r="A655" s="14" t="s">
        <v>126</v>
      </c>
      <c r="B655" s="78"/>
      <c r="C655" s="78"/>
      <c r="D655" s="92">
        <v>45496</v>
      </c>
      <c r="E655" s="14">
        <v>703</v>
      </c>
      <c r="F655" s="92">
        <v>45496</v>
      </c>
      <c r="G655" s="76">
        <v>243271</v>
      </c>
      <c r="H655" s="70" t="s">
        <v>1100</v>
      </c>
      <c r="I655" s="7">
        <f t="shared" ca="1" si="4"/>
        <v>0</v>
      </c>
      <c r="J655" s="85"/>
      <c r="K655" s="7"/>
    </row>
    <row r="656" spans="1:11" ht="14.25" hidden="1" customHeight="1">
      <c r="A656" s="14" t="s">
        <v>143</v>
      </c>
      <c r="B656" s="78"/>
      <c r="C656" s="78"/>
      <c r="D656" s="92">
        <v>45496</v>
      </c>
      <c r="E656" s="14">
        <v>704</v>
      </c>
      <c r="F656" s="92">
        <v>45496</v>
      </c>
      <c r="G656" s="76">
        <v>118015</v>
      </c>
      <c r="H656" s="70" t="s">
        <v>1100</v>
      </c>
      <c r="I656" s="7">
        <f t="shared" ca="1" si="4"/>
        <v>0</v>
      </c>
      <c r="J656" s="86"/>
      <c r="K656" s="7"/>
    </row>
    <row r="657" spans="1:11" ht="14.25" hidden="1" customHeight="1">
      <c r="A657" s="14" t="s">
        <v>646</v>
      </c>
      <c r="B657" s="78"/>
      <c r="C657" s="78"/>
      <c r="D657" s="92">
        <v>45496</v>
      </c>
      <c r="E657" s="14">
        <v>705</v>
      </c>
      <c r="F657" s="92">
        <v>45496</v>
      </c>
      <c r="G657" s="76">
        <v>181316</v>
      </c>
      <c r="H657" s="70" t="s">
        <v>1177</v>
      </c>
      <c r="I657" s="7">
        <f t="shared" ca="1" si="4"/>
        <v>0</v>
      </c>
      <c r="J657" s="7"/>
      <c r="K657" s="7" t="s">
        <v>1286</v>
      </c>
    </row>
    <row r="658" spans="1:11" ht="14.25" hidden="1" customHeight="1">
      <c r="A658" s="14" t="s">
        <v>1254</v>
      </c>
      <c r="B658" s="78"/>
      <c r="C658" s="78"/>
      <c r="D658" s="92">
        <v>45496</v>
      </c>
      <c r="E658" s="14">
        <v>706</v>
      </c>
      <c r="F658" s="92">
        <v>45496</v>
      </c>
      <c r="G658" s="76">
        <v>119404</v>
      </c>
      <c r="H658" s="70" t="s">
        <v>1100</v>
      </c>
      <c r="I658" s="7">
        <f t="shared" ca="1" si="4"/>
        <v>0</v>
      </c>
      <c r="J658" s="86"/>
      <c r="K658" s="7"/>
    </row>
    <row r="659" spans="1:11" ht="14.25" hidden="1" customHeight="1">
      <c r="A659" s="14" t="s">
        <v>816</v>
      </c>
      <c r="B659" s="78"/>
      <c r="C659" s="78"/>
      <c r="D659" s="92">
        <v>45497</v>
      </c>
      <c r="E659" s="14">
        <v>707</v>
      </c>
      <c r="F659" s="92">
        <v>45497</v>
      </c>
      <c r="G659" s="76">
        <v>118135</v>
      </c>
      <c r="H659" s="70" t="s">
        <v>1100</v>
      </c>
      <c r="I659" s="7">
        <f t="shared" ca="1" si="4"/>
        <v>0</v>
      </c>
      <c r="J659" s="86"/>
      <c r="K659" s="7"/>
    </row>
    <row r="660" spans="1:11" ht="14.25" hidden="1" customHeight="1">
      <c r="A660" s="14" t="s">
        <v>646</v>
      </c>
      <c r="B660" s="78"/>
      <c r="C660" s="78"/>
      <c r="D660" s="92">
        <v>45497</v>
      </c>
      <c r="E660" s="14">
        <v>708</v>
      </c>
      <c r="F660" s="92">
        <v>45497</v>
      </c>
      <c r="G660" s="76">
        <v>127648</v>
      </c>
      <c r="H660" s="70" t="s">
        <v>1100</v>
      </c>
      <c r="I660" s="7">
        <f t="shared" ca="1" si="4"/>
        <v>0</v>
      </c>
      <c r="J660" s="7"/>
      <c r="K660" s="7"/>
    </row>
    <row r="661" spans="1:11" ht="14.25" hidden="1" customHeight="1">
      <c r="A661" s="14" t="s">
        <v>1105</v>
      </c>
      <c r="B661" s="78"/>
      <c r="C661" s="78"/>
      <c r="D661" s="92">
        <v>45497</v>
      </c>
      <c r="E661" s="14">
        <v>709</v>
      </c>
      <c r="F661" s="92">
        <v>45497</v>
      </c>
      <c r="G661" s="76">
        <v>122194</v>
      </c>
      <c r="H661" s="70" t="s">
        <v>1100</v>
      </c>
      <c r="I661" s="7">
        <f t="shared" ca="1" si="4"/>
        <v>0</v>
      </c>
      <c r="J661" s="86"/>
      <c r="K661" s="7"/>
    </row>
    <row r="662" spans="1:11" ht="14.25" hidden="1" customHeight="1">
      <c r="A662" s="14" t="s">
        <v>1105</v>
      </c>
      <c r="B662" s="78"/>
      <c r="C662" s="78"/>
      <c r="D662" s="92">
        <v>45497</v>
      </c>
      <c r="E662" s="14">
        <v>710</v>
      </c>
      <c r="F662" s="92">
        <v>45497</v>
      </c>
      <c r="G662" s="76">
        <v>62429</v>
      </c>
      <c r="H662" s="70" t="s">
        <v>1100</v>
      </c>
      <c r="I662" s="7">
        <f t="shared" ca="1" si="4"/>
        <v>0</v>
      </c>
      <c r="J662" s="86"/>
      <c r="K662" s="7"/>
    </row>
    <row r="663" spans="1:11" ht="14.25" hidden="1" customHeight="1">
      <c r="A663" s="14" t="s">
        <v>1287</v>
      </c>
      <c r="B663" s="78"/>
      <c r="C663" s="78"/>
      <c r="D663" s="92">
        <v>45492</v>
      </c>
      <c r="E663" s="14" t="s">
        <v>1221</v>
      </c>
      <c r="F663" s="92">
        <v>45492</v>
      </c>
      <c r="G663" s="76">
        <v>300000</v>
      </c>
      <c r="H663" s="70" t="s">
        <v>1100</v>
      </c>
      <c r="I663" s="7">
        <f t="shared" ca="1" si="4"/>
        <v>0</v>
      </c>
      <c r="J663" s="7"/>
      <c r="K663" s="7"/>
    </row>
    <row r="664" spans="1:11" ht="14.25" hidden="1" customHeight="1">
      <c r="A664" s="57" t="s">
        <v>1288</v>
      </c>
      <c r="B664" s="78"/>
      <c r="C664" s="78"/>
      <c r="D664" s="92">
        <v>45499</v>
      </c>
      <c r="E664" s="14">
        <v>711</v>
      </c>
      <c r="F664" s="92">
        <v>45499</v>
      </c>
      <c r="G664" s="93">
        <v>150619</v>
      </c>
      <c r="H664" s="70" t="s">
        <v>1100</v>
      </c>
      <c r="I664" s="7">
        <f t="shared" ca="1" si="4"/>
        <v>0</v>
      </c>
      <c r="J664" s="86"/>
      <c r="K664" s="7" t="s">
        <v>1289</v>
      </c>
    </row>
    <row r="665" spans="1:11" ht="14.25" hidden="1" customHeight="1">
      <c r="A665" s="14" t="s">
        <v>1290</v>
      </c>
      <c r="B665" s="78"/>
      <c r="C665" s="78"/>
      <c r="D665" s="92">
        <v>45503</v>
      </c>
      <c r="E665" s="14">
        <v>712</v>
      </c>
      <c r="F665" s="92">
        <v>45503</v>
      </c>
      <c r="G665" s="76">
        <v>117214</v>
      </c>
      <c r="H665" s="70" t="s">
        <v>1100</v>
      </c>
      <c r="I665" s="7">
        <f t="shared" ca="1" si="4"/>
        <v>0</v>
      </c>
      <c r="J665" s="80"/>
      <c r="K665" s="7"/>
    </row>
    <row r="666" spans="1:11" ht="14.25" hidden="1" customHeight="1">
      <c r="A666" s="14" t="s">
        <v>1218</v>
      </c>
      <c r="B666" s="78"/>
      <c r="C666" s="78"/>
      <c r="D666" s="92">
        <v>45503</v>
      </c>
      <c r="E666" s="14">
        <v>713</v>
      </c>
      <c r="F666" s="92">
        <v>45503</v>
      </c>
      <c r="G666" s="76">
        <v>119530</v>
      </c>
      <c r="H666" s="70" t="s">
        <v>1100</v>
      </c>
      <c r="I666" s="7">
        <f t="shared" ca="1" si="4"/>
        <v>0</v>
      </c>
      <c r="J666" s="86"/>
      <c r="K666" s="7"/>
    </row>
    <row r="667" spans="1:11" ht="14.25" hidden="1" customHeight="1">
      <c r="A667" s="14" t="s">
        <v>1142</v>
      </c>
      <c r="B667" s="78"/>
      <c r="C667" s="78"/>
      <c r="D667" s="92">
        <v>45503</v>
      </c>
      <c r="E667" s="14">
        <v>714</v>
      </c>
      <c r="F667" s="92">
        <v>45503</v>
      </c>
      <c r="G667" s="76">
        <v>235026</v>
      </c>
      <c r="H667" s="70" t="s">
        <v>1100</v>
      </c>
      <c r="I667" s="7">
        <f t="shared" ca="1" si="4"/>
        <v>0</v>
      </c>
      <c r="J667" s="86"/>
      <c r="K667" s="7"/>
    </row>
    <row r="668" spans="1:11" ht="14.25" hidden="1" customHeight="1">
      <c r="A668" s="14" t="s">
        <v>126</v>
      </c>
      <c r="B668" s="78"/>
      <c r="C668" s="78"/>
      <c r="D668" s="92">
        <v>45503</v>
      </c>
      <c r="E668" s="14">
        <v>715</v>
      </c>
      <c r="F668" s="92">
        <v>45503</v>
      </c>
      <c r="G668" s="76">
        <v>90657</v>
      </c>
      <c r="H668" s="70" t="s">
        <v>1100</v>
      </c>
      <c r="I668" s="7">
        <f t="shared" ca="1" si="4"/>
        <v>0</v>
      </c>
      <c r="J668" s="86"/>
      <c r="K668" s="7"/>
    </row>
    <row r="669" spans="1:11" ht="14.25" customHeight="1">
      <c r="A669" s="57" t="s">
        <v>1291</v>
      </c>
      <c r="B669" s="78"/>
      <c r="C669" s="78"/>
      <c r="D669" s="92">
        <v>45504</v>
      </c>
      <c r="E669" s="14">
        <v>716</v>
      </c>
      <c r="F669" s="92">
        <v>45504</v>
      </c>
      <c r="G669" s="93">
        <v>183228</v>
      </c>
      <c r="H669" s="70" t="s">
        <v>1267</v>
      </c>
      <c r="I669" s="7">
        <f t="shared" ca="1" si="4"/>
        <v>295</v>
      </c>
      <c r="J669" s="71" t="str">
        <f>LOOKUP(A669,'Base Clientes'!B:B,'Base Clientes'!D:D)</f>
        <v xml:space="preserve"> contacto@bodegaurriola.cl</v>
      </c>
      <c r="K669" s="7"/>
    </row>
    <row r="670" spans="1:11" ht="14.25" hidden="1" customHeight="1">
      <c r="A670" s="14" t="s">
        <v>729</v>
      </c>
      <c r="B670" s="78"/>
      <c r="C670" s="78"/>
      <c r="D670" s="92">
        <v>45504</v>
      </c>
      <c r="E670" s="14">
        <v>717</v>
      </c>
      <c r="F670" s="92">
        <v>45504</v>
      </c>
      <c r="G670" s="76">
        <v>172067</v>
      </c>
      <c r="H670" s="70" t="s">
        <v>1100</v>
      </c>
      <c r="I670" s="7">
        <f t="shared" ca="1" si="4"/>
        <v>0</v>
      </c>
      <c r="J670" s="86"/>
      <c r="K670" s="7"/>
    </row>
    <row r="671" spans="1:11" ht="14.25" hidden="1" customHeight="1">
      <c r="A671" s="14" t="s">
        <v>1292</v>
      </c>
      <c r="B671" s="78"/>
      <c r="C671" s="78"/>
      <c r="D671" s="92">
        <v>45504</v>
      </c>
      <c r="E671" s="14" t="s">
        <v>1293</v>
      </c>
      <c r="F671" s="92">
        <v>45504</v>
      </c>
      <c r="G671" s="76">
        <v>178500</v>
      </c>
      <c r="H671" s="70" t="s">
        <v>1100</v>
      </c>
      <c r="I671" s="7">
        <f t="shared" ca="1" si="4"/>
        <v>0</v>
      </c>
      <c r="J671" s="7"/>
      <c r="K671" s="7" t="s">
        <v>1294</v>
      </c>
    </row>
    <row r="672" spans="1:11" ht="14.25" hidden="1" customHeight="1">
      <c r="A672" s="14" t="s">
        <v>1208</v>
      </c>
      <c r="B672" s="78"/>
      <c r="C672" s="78"/>
      <c r="D672" s="92">
        <v>45504</v>
      </c>
      <c r="E672" s="14">
        <v>718</v>
      </c>
      <c r="F672" s="92">
        <v>45504</v>
      </c>
      <c r="G672" s="76">
        <v>123589</v>
      </c>
      <c r="H672" s="70" t="s">
        <v>1100</v>
      </c>
      <c r="I672" s="7">
        <f t="shared" ca="1" si="4"/>
        <v>0</v>
      </c>
      <c r="J672" s="80"/>
      <c r="K672" s="7"/>
    </row>
    <row r="673" spans="1:11" ht="14.25" hidden="1" customHeight="1">
      <c r="A673" s="57" t="s">
        <v>883</v>
      </c>
      <c r="B673" s="78"/>
      <c r="C673" s="78"/>
      <c r="D673" s="92">
        <v>45505</v>
      </c>
      <c r="E673" s="14">
        <v>719</v>
      </c>
      <c r="F673" s="92">
        <v>45505</v>
      </c>
      <c r="H673" s="70" t="s">
        <v>1100</v>
      </c>
      <c r="I673" s="7">
        <f t="shared" ca="1" si="4"/>
        <v>0</v>
      </c>
      <c r="J673" s="86"/>
      <c r="K673" s="7"/>
    </row>
    <row r="674" spans="1:11" ht="14.25" hidden="1" customHeight="1">
      <c r="A674" s="14" t="s">
        <v>1219</v>
      </c>
      <c r="B674" s="78"/>
      <c r="C674" s="78"/>
      <c r="D674" s="92">
        <v>45505</v>
      </c>
      <c r="E674" s="14">
        <v>720</v>
      </c>
      <c r="F674" s="92">
        <v>45505</v>
      </c>
      <c r="G674" s="76">
        <v>176057</v>
      </c>
      <c r="H674" s="70" t="s">
        <v>1100</v>
      </c>
      <c r="I674" s="7">
        <f t="shared" ca="1" si="4"/>
        <v>0</v>
      </c>
      <c r="J674" s="86"/>
      <c r="K674" s="7"/>
    </row>
    <row r="675" spans="1:11" ht="14.25" hidden="1" customHeight="1">
      <c r="A675" s="57" t="s">
        <v>1261</v>
      </c>
      <c r="B675" s="78"/>
      <c r="C675" s="78"/>
      <c r="D675" s="92">
        <v>45509</v>
      </c>
      <c r="E675" s="14">
        <v>721</v>
      </c>
      <c r="F675" s="92">
        <v>45509</v>
      </c>
      <c r="G675" s="76">
        <v>171998</v>
      </c>
      <c r="H675" s="70" t="s">
        <v>1100</v>
      </c>
      <c r="I675" s="7">
        <f t="shared" ca="1" si="4"/>
        <v>0</v>
      </c>
      <c r="J675" s="86"/>
      <c r="K675" s="7"/>
    </row>
    <row r="676" spans="1:11" ht="14.25" hidden="1" customHeight="1">
      <c r="A676" s="14" t="s">
        <v>126</v>
      </c>
      <c r="B676" s="78"/>
      <c r="C676" s="78"/>
      <c r="D676" s="92">
        <v>45511</v>
      </c>
      <c r="E676" s="14">
        <v>722</v>
      </c>
      <c r="F676" s="92">
        <v>45511</v>
      </c>
      <c r="G676" s="93">
        <v>120477</v>
      </c>
      <c r="H676" s="70" t="s">
        <v>1258</v>
      </c>
      <c r="I676" s="7">
        <v>0</v>
      </c>
      <c r="K676" s="7"/>
    </row>
    <row r="677" spans="1:11" ht="14.25" hidden="1" customHeight="1">
      <c r="A677" s="57" t="s">
        <v>1272</v>
      </c>
      <c r="B677" s="78"/>
      <c r="C677" s="78"/>
      <c r="D677" s="92">
        <v>45512</v>
      </c>
      <c r="E677" s="14">
        <v>723</v>
      </c>
      <c r="F677" s="92">
        <v>45512</v>
      </c>
      <c r="G677" s="76">
        <v>243745</v>
      </c>
      <c r="H677" s="70" t="s">
        <v>1100</v>
      </c>
      <c r="I677" s="7">
        <f t="shared" ref="I677:I833" ca="1" si="5">IF(OR(H677="Pagado",H677="Anulada"),0,IF(ISNUMBER(E677),TODAY()-D677,TODAY()-F677))</f>
        <v>0</v>
      </c>
      <c r="J677" s="80"/>
      <c r="K677" s="7"/>
    </row>
    <row r="678" spans="1:11" ht="14.25" hidden="1" customHeight="1">
      <c r="A678" s="14" t="s">
        <v>675</v>
      </c>
      <c r="B678" s="78"/>
      <c r="C678" s="78"/>
      <c r="D678" s="92">
        <v>45512</v>
      </c>
      <c r="E678" s="14">
        <v>724</v>
      </c>
      <c r="F678" s="92">
        <v>45512</v>
      </c>
      <c r="G678" s="76">
        <v>187913</v>
      </c>
      <c r="H678" s="70" t="s">
        <v>1100</v>
      </c>
      <c r="I678" s="7">
        <f t="shared" ca="1" si="5"/>
        <v>0</v>
      </c>
      <c r="J678" s="94"/>
      <c r="K678" s="7"/>
    </row>
    <row r="679" spans="1:11" ht="14.25" hidden="1" customHeight="1">
      <c r="A679" s="14" t="s">
        <v>1235</v>
      </c>
      <c r="B679" s="78"/>
      <c r="C679" s="78"/>
      <c r="D679" s="92">
        <v>45516</v>
      </c>
      <c r="E679" s="14">
        <v>725</v>
      </c>
      <c r="F679" s="92">
        <v>45516</v>
      </c>
      <c r="G679" s="76">
        <v>115345</v>
      </c>
      <c r="H679" s="70" t="s">
        <v>1100</v>
      </c>
      <c r="I679" s="7">
        <f t="shared" ca="1" si="5"/>
        <v>0</v>
      </c>
      <c r="J679" s="86"/>
      <c r="K679" s="7"/>
    </row>
    <row r="680" spans="1:11" ht="14.25" hidden="1" customHeight="1">
      <c r="A680" s="14" t="s">
        <v>1164</v>
      </c>
      <c r="B680" s="78"/>
      <c r="C680" s="78"/>
      <c r="D680" s="92">
        <v>45517</v>
      </c>
      <c r="E680" s="14">
        <v>726</v>
      </c>
      <c r="F680" s="92">
        <v>45517</v>
      </c>
      <c r="G680" s="76">
        <v>111106</v>
      </c>
      <c r="H680" s="70" t="s">
        <v>1100</v>
      </c>
      <c r="I680" s="7">
        <f t="shared" ca="1" si="5"/>
        <v>0</v>
      </c>
      <c r="J680" s="86"/>
      <c r="K680" s="7"/>
    </row>
    <row r="681" spans="1:11" ht="14.25" hidden="1" customHeight="1">
      <c r="A681" s="14" t="s">
        <v>1218</v>
      </c>
      <c r="B681" s="78"/>
      <c r="C681" s="78"/>
      <c r="D681" s="92">
        <v>45517</v>
      </c>
      <c r="E681" s="14">
        <v>727</v>
      </c>
      <c r="F681" s="92">
        <v>45517</v>
      </c>
      <c r="G681" s="76">
        <v>117687</v>
      </c>
      <c r="H681" s="70" t="s">
        <v>1100</v>
      </c>
      <c r="I681" s="7">
        <f t="shared" ca="1" si="5"/>
        <v>0</v>
      </c>
      <c r="J681" s="80"/>
      <c r="K681" s="7"/>
    </row>
    <row r="682" spans="1:11" ht="14.25" hidden="1" customHeight="1">
      <c r="A682" s="14" t="s">
        <v>646</v>
      </c>
      <c r="B682" s="78"/>
      <c r="C682" s="78"/>
      <c r="D682" s="92">
        <v>45523</v>
      </c>
      <c r="E682" s="14">
        <v>728</v>
      </c>
      <c r="F682" s="92">
        <v>45523</v>
      </c>
      <c r="G682" s="76">
        <v>120477</v>
      </c>
      <c r="H682" s="70" t="s">
        <v>1100</v>
      </c>
      <c r="I682" s="7">
        <f t="shared" ca="1" si="5"/>
        <v>0</v>
      </c>
      <c r="J682" s="86"/>
      <c r="K682" s="7"/>
    </row>
    <row r="683" spans="1:11" ht="14.25" hidden="1" customHeight="1">
      <c r="A683" s="14" t="s">
        <v>729</v>
      </c>
      <c r="B683" s="78"/>
      <c r="C683" s="78"/>
      <c r="D683" s="92">
        <v>45523</v>
      </c>
      <c r="E683" s="14">
        <v>729</v>
      </c>
      <c r="F683" s="92">
        <v>45523</v>
      </c>
      <c r="G683" s="76">
        <v>136812</v>
      </c>
      <c r="H683" s="70" t="s">
        <v>1100</v>
      </c>
      <c r="I683" s="7">
        <f t="shared" ca="1" si="5"/>
        <v>0</v>
      </c>
      <c r="J683" s="80"/>
      <c r="K683" s="7"/>
    </row>
    <row r="684" spans="1:11" ht="14.25" hidden="1" customHeight="1">
      <c r="A684" s="14" t="s">
        <v>1295</v>
      </c>
      <c r="B684" s="78"/>
      <c r="C684" s="78"/>
      <c r="D684" s="92">
        <v>45523</v>
      </c>
      <c r="E684" s="14">
        <v>730</v>
      </c>
      <c r="F684" s="92">
        <v>45523</v>
      </c>
      <c r="G684" s="76">
        <v>176057</v>
      </c>
      <c r="H684" s="70" t="s">
        <v>1100</v>
      </c>
      <c r="I684" s="7">
        <f t="shared" ca="1" si="5"/>
        <v>0</v>
      </c>
      <c r="J684" s="80"/>
      <c r="K684" s="7"/>
    </row>
    <row r="685" spans="1:11" ht="14.25" hidden="1" customHeight="1">
      <c r="A685" s="14" t="s">
        <v>1238</v>
      </c>
      <c r="B685" s="78"/>
      <c r="C685" s="78"/>
      <c r="D685" s="92">
        <v>45524</v>
      </c>
      <c r="E685" s="14">
        <v>731</v>
      </c>
      <c r="F685" s="92">
        <v>45524</v>
      </c>
      <c r="G685" s="76">
        <v>120799</v>
      </c>
      <c r="H685" s="70" t="s">
        <v>1100</v>
      </c>
      <c r="I685" s="7">
        <f t="shared" ca="1" si="5"/>
        <v>0</v>
      </c>
      <c r="J685" s="86"/>
      <c r="K685" s="7"/>
    </row>
    <row r="686" spans="1:11" ht="14.25" hidden="1" customHeight="1">
      <c r="A686" s="76" t="s">
        <v>1279</v>
      </c>
      <c r="B686" s="78"/>
      <c r="C686" s="78"/>
      <c r="D686" s="92">
        <v>45524</v>
      </c>
      <c r="E686" s="14">
        <v>732</v>
      </c>
      <c r="F686" s="92">
        <v>45524</v>
      </c>
      <c r="G686" s="76">
        <v>117214</v>
      </c>
      <c r="H686" s="70" t="s">
        <v>1100</v>
      </c>
      <c r="I686" s="7">
        <f t="shared" ca="1" si="5"/>
        <v>0</v>
      </c>
      <c r="J686" s="86"/>
      <c r="K686" s="7"/>
    </row>
    <row r="687" spans="1:11" ht="14.25" hidden="1" customHeight="1">
      <c r="A687" s="14" t="s">
        <v>487</v>
      </c>
      <c r="B687" s="78"/>
      <c r="C687" s="78"/>
      <c r="D687" s="92">
        <v>45524</v>
      </c>
      <c r="E687" s="14">
        <v>733</v>
      </c>
      <c r="F687" s="92">
        <v>45524</v>
      </c>
      <c r="G687" s="76">
        <v>180716</v>
      </c>
      <c r="H687" s="70" t="s">
        <v>1100</v>
      </c>
      <c r="I687" s="7">
        <f t="shared" ca="1" si="5"/>
        <v>0</v>
      </c>
      <c r="J687" s="86"/>
      <c r="K687" s="7"/>
    </row>
    <row r="688" spans="1:11" ht="14.25" hidden="1" customHeight="1">
      <c r="A688" s="15" t="s">
        <v>1296</v>
      </c>
      <c r="B688" s="78"/>
      <c r="C688" s="78"/>
      <c r="D688" s="92">
        <v>45524</v>
      </c>
      <c r="E688" s="14">
        <v>734</v>
      </c>
      <c r="F688" s="92">
        <v>45524</v>
      </c>
      <c r="G688" s="76">
        <v>119000</v>
      </c>
      <c r="H688" s="70" t="s">
        <v>1100</v>
      </c>
      <c r="I688" s="7">
        <f t="shared" ca="1" si="5"/>
        <v>0</v>
      </c>
      <c r="J688" s="92"/>
      <c r="K688" s="7" t="s">
        <v>1297</v>
      </c>
    </row>
    <row r="689" spans="1:11" ht="14.25" hidden="1" customHeight="1">
      <c r="A689" s="14" t="s">
        <v>1229</v>
      </c>
      <c r="B689" s="78"/>
      <c r="C689" s="78"/>
      <c r="D689" s="92">
        <v>45525</v>
      </c>
      <c r="E689" s="14">
        <v>735</v>
      </c>
      <c r="F689" s="92">
        <v>45525</v>
      </c>
      <c r="G689" s="76">
        <v>147648</v>
      </c>
      <c r="H689" s="70" t="s">
        <v>1100</v>
      </c>
      <c r="I689" s="7">
        <f t="shared" ca="1" si="5"/>
        <v>0</v>
      </c>
      <c r="J689" s="7"/>
      <c r="K689" s="7"/>
    </row>
    <row r="690" spans="1:11" s="379" customFormat="1" ht="14.25" customHeight="1">
      <c r="A690" s="380" t="s">
        <v>1283</v>
      </c>
      <c r="B690" s="78"/>
      <c r="C690" s="78"/>
      <c r="D690" s="381">
        <v>45530</v>
      </c>
      <c r="E690" s="380">
        <v>736</v>
      </c>
      <c r="F690" s="381">
        <v>45530</v>
      </c>
      <c r="G690" s="382">
        <v>266840</v>
      </c>
      <c r="H690" s="376" t="s">
        <v>1267</v>
      </c>
      <c r="I690" s="377">
        <f t="shared" ca="1" si="5"/>
        <v>269</v>
      </c>
      <c r="J690" s="378"/>
      <c r="K690" s="377" t="s">
        <v>1298</v>
      </c>
    </row>
    <row r="691" spans="1:11" ht="14.25" hidden="1" customHeight="1">
      <c r="A691" s="14" t="s">
        <v>816</v>
      </c>
      <c r="B691" s="78"/>
      <c r="C691" s="78"/>
      <c r="D691" s="92">
        <v>45530</v>
      </c>
      <c r="E691" s="14">
        <v>737</v>
      </c>
      <c r="F691" s="92">
        <v>45530</v>
      </c>
      <c r="G691" s="76">
        <v>558372</v>
      </c>
      <c r="H691" s="70" t="s">
        <v>1100</v>
      </c>
      <c r="I691" s="7">
        <f t="shared" ca="1" si="5"/>
        <v>0</v>
      </c>
      <c r="J691" s="80"/>
      <c r="K691" s="7" t="s">
        <v>1299</v>
      </c>
    </row>
    <row r="692" spans="1:11" ht="14.25" hidden="1" customHeight="1">
      <c r="A692" s="14" t="s">
        <v>126</v>
      </c>
      <c r="B692" s="78"/>
      <c r="C692" s="78"/>
      <c r="D692" s="92">
        <v>45530</v>
      </c>
      <c r="E692" s="14">
        <v>739</v>
      </c>
      <c r="F692" s="92">
        <v>45530</v>
      </c>
      <c r="G692" s="76">
        <v>647630</v>
      </c>
      <c r="H692" s="70" t="s">
        <v>1177</v>
      </c>
      <c r="I692" s="7">
        <f t="shared" ca="1" si="5"/>
        <v>0</v>
      </c>
      <c r="J692" s="7"/>
      <c r="K692" s="7" t="s">
        <v>1300</v>
      </c>
    </row>
    <row r="693" spans="1:11" ht="14.25" hidden="1" customHeight="1">
      <c r="A693" s="14" t="s">
        <v>1263</v>
      </c>
      <c r="B693" s="78"/>
      <c r="C693" s="78"/>
      <c r="D693" s="92">
        <v>45530</v>
      </c>
      <c r="E693" s="14">
        <v>738</v>
      </c>
      <c r="F693" s="92">
        <v>45530</v>
      </c>
      <c r="G693" s="76">
        <v>65219</v>
      </c>
      <c r="H693" s="70" t="s">
        <v>1177</v>
      </c>
      <c r="I693" s="7">
        <f t="shared" ca="1" si="5"/>
        <v>0</v>
      </c>
      <c r="J693" s="7"/>
      <c r="K693" s="7" t="s">
        <v>1301</v>
      </c>
    </row>
    <row r="694" spans="1:11" ht="14.25" hidden="1" customHeight="1">
      <c r="A694" s="14" t="s">
        <v>1248</v>
      </c>
      <c r="B694" s="78"/>
      <c r="C694" s="78"/>
      <c r="D694" s="92">
        <v>45530</v>
      </c>
      <c r="E694" s="14">
        <v>740</v>
      </c>
      <c r="F694" s="92">
        <v>45530</v>
      </c>
      <c r="G694" s="76">
        <v>124287</v>
      </c>
      <c r="H694" s="70" t="s">
        <v>1100</v>
      </c>
      <c r="I694" s="7">
        <f t="shared" ca="1" si="5"/>
        <v>0</v>
      </c>
      <c r="J694" s="86"/>
      <c r="K694" s="7"/>
    </row>
    <row r="695" spans="1:11" ht="14.25" hidden="1" customHeight="1">
      <c r="A695" s="14" t="s">
        <v>470</v>
      </c>
      <c r="B695" s="78"/>
      <c r="C695" s="78"/>
      <c r="D695" s="92">
        <v>45530</v>
      </c>
      <c r="E695" s="14">
        <v>741</v>
      </c>
      <c r="F695" s="92">
        <v>45530</v>
      </c>
      <c r="G695" s="76">
        <v>147033</v>
      </c>
      <c r="H695" s="70" t="s">
        <v>1100</v>
      </c>
      <c r="I695" s="7">
        <f t="shared" ca="1" si="5"/>
        <v>0</v>
      </c>
      <c r="J695" s="94"/>
      <c r="K695" s="7"/>
    </row>
    <row r="696" spans="1:11" ht="14.25" hidden="1" customHeight="1">
      <c r="A696" s="14" t="s">
        <v>1280</v>
      </c>
      <c r="B696" s="78"/>
      <c r="C696" s="78"/>
      <c r="D696" s="92">
        <v>45531</v>
      </c>
      <c r="E696" s="14">
        <v>742</v>
      </c>
      <c r="F696" s="92">
        <v>45531</v>
      </c>
      <c r="G696" s="76">
        <v>119530</v>
      </c>
      <c r="H696" s="70" t="s">
        <v>1100</v>
      </c>
      <c r="I696" s="7">
        <f t="shared" ca="1" si="5"/>
        <v>0</v>
      </c>
      <c r="J696" s="80"/>
      <c r="K696" s="7"/>
    </row>
    <row r="697" spans="1:11" ht="14.25" hidden="1" customHeight="1">
      <c r="A697" s="14" t="s">
        <v>1120</v>
      </c>
      <c r="B697" s="78"/>
      <c r="C697" s="78"/>
      <c r="D697" s="92">
        <v>45531</v>
      </c>
      <c r="E697" s="14">
        <v>743</v>
      </c>
      <c r="F697" s="77"/>
      <c r="G697" s="76">
        <v>111166</v>
      </c>
      <c r="H697" s="70" t="s">
        <v>1100</v>
      </c>
      <c r="I697" s="7">
        <f t="shared" ca="1" si="5"/>
        <v>0</v>
      </c>
      <c r="J697" s="80"/>
      <c r="K697" s="7"/>
    </row>
    <row r="698" spans="1:11" ht="14.25" hidden="1" customHeight="1">
      <c r="A698" s="14" t="s">
        <v>1263</v>
      </c>
      <c r="B698" s="78"/>
      <c r="C698" s="78"/>
      <c r="D698" s="92">
        <v>45531</v>
      </c>
      <c r="E698" s="14">
        <v>744</v>
      </c>
      <c r="F698" s="92">
        <v>45531</v>
      </c>
      <c r="G698" s="76">
        <v>65219</v>
      </c>
      <c r="H698" s="70" t="s">
        <v>1100</v>
      </c>
      <c r="I698" s="7">
        <f t="shared" ca="1" si="5"/>
        <v>0</v>
      </c>
      <c r="J698" s="86"/>
      <c r="K698" s="7"/>
    </row>
    <row r="699" spans="1:11" ht="14.25" hidden="1" customHeight="1">
      <c r="A699" s="14" t="s">
        <v>226</v>
      </c>
      <c r="B699" s="78"/>
      <c r="C699" s="78"/>
      <c r="D699" s="92">
        <v>45531</v>
      </c>
      <c r="E699" s="14">
        <v>745</v>
      </c>
      <c r="F699" s="92">
        <v>45531</v>
      </c>
      <c r="G699" s="76">
        <v>177327</v>
      </c>
      <c r="H699" s="70" t="s">
        <v>1100</v>
      </c>
      <c r="I699" s="7">
        <f t="shared" ca="1" si="5"/>
        <v>0</v>
      </c>
      <c r="J699" s="71"/>
      <c r="K699" s="7"/>
    </row>
    <row r="700" spans="1:11" ht="14.25" hidden="1" customHeight="1">
      <c r="A700" s="14" t="s">
        <v>143</v>
      </c>
      <c r="B700" s="78"/>
      <c r="C700" s="78"/>
      <c r="D700" s="92">
        <v>45531</v>
      </c>
      <c r="E700" s="14">
        <v>746</v>
      </c>
      <c r="F700" s="92">
        <v>45531</v>
      </c>
      <c r="G700" s="76">
        <v>121272</v>
      </c>
      <c r="H700" s="70" t="s">
        <v>1100</v>
      </c>
      <c r="I700" s="7">
        <f t="shared" ca="1" si="5"/>
        <v>0</v>
      </c>
      <c r="J700" s="80"/>
      <c r="K700" s="7"/>
    </row>
    <row r="701" spans="1:11" ht="14.25" hidden="1" customHeight="1">
      <c r="A701" s="14" t="s">
        <v>675</v>
      </c>
      <c r="B701" s="78"/>
      <c r="C701" s="78"/>
      <c r="D701" s="92">
        <v>45531</v>
      </c>
      <c r="E701" s="14">
        <v>747</v>
      </c>
      <c r="F701" s="92">
        <v>45531</v>
      </c>
      <c r="G701" s="76">
        <v>309241</v>
      </c>
      <c r="H701" s="70" t="s">
        <v>1100</v>
      </c>
      <c r="I701" s="7">
        <f t="shared" ca="1" si="5"/>
        <v>0</v>
      </c>
      <c r="J701" s="80"/>
      <c r="K701" s="7"/>
    </row>
    <row r="702" spans="1:11" ht="14.25" hidden="1" customHeight="1">
      <c r="A702" s="14" t="s">
        <v>126</v>
      </c>
      <c r="B702" s="78"/>
      <c r="C702" s="78"/>
      <c r="D702" s="70" t="s">
        <v>1302</v>
      </c>
      <c r="E702" s="14">
        <v>748</v>
      </c>
      <c r="F702" s="92">
        <v>45531</v>
      </c>
      <c r="G702" s="76">
        <v>253792</v>
      </c>
      <c r="H702" s="70" t="s">
        <v>1100</v>
      </c>
      <c r="I702" s="7">
        <f t="shared" ca="1" si="5"/>
        <v>0</v>
      </c>
      <c r="J702" s="86"/>
      <c r="K702" s="7"/>
    </row>
    <row r="703" spans="1:11" ht="14.25" hidden="1" customHeight="1">
      <c r="A703" s="14" t="s">
        <v>1303</v>
      </c>
      <c r="B703" s="78"/>
      <c r="C703" s="78"/>
      <c r="D703" s="77">
        <v>45537</v>
      </c>
      <c r="E703" s="14">
        <v>749</v>
      </c>
      <c r="F703" s="77"/>
      <c r="G703" s="76">
        <v>116418</v>
      </c>
      <c r="H703" s="70" t="s">
        <v>1100</v>
      </c>
      <c r="I703" s="7">
        <f t="shared" ca="1" si="5"/>
        <v>0</v>
      </c>
      <c r="J703" s="80"/>
      <c r="K703" s="7"/>
    </row>
    <row r="704" spans="1:11" ht="14.25" hidden="1" customHeight="1">
      <c r="A704" s="14" t="s">
        <v>1088</v>
      </c>
      <c r="B704" s="78"/>
      <c r="C704" s="78"/>
      <c r="D704" s="77">
        <v>45537</v>
      </c>
      <c r="E704" s="14">
        <v>750</v>
      </c>
      <c r="F704" s="77">
        <v>45534</v>
      </c>
      <c r="G704" s="76">
        <v>181959</v>
      </c>
      <c r="H704" s="70" t="s">
        <v>1100</v>
      </c>
      <c r="I704" s="7">
        <f t="shared" ca="1" si="5"/>
        <v>0</v>
      </c>
      <c r="J704" s="94"/>
      <c r="K704" s="7"/>
    </row>
    <row r="705" spans="1:11" ht="14.25" hidden="1" customHeight="1">
      <c r="A705" s="14" t="s">
        <v>1270</v>
      </c>
      <c r="B705" s="78"/>
      <c r="C705" s="78"/>
      <c r="D705" s="77">
        <v>45538</v>
      </c>
      <c r="E705" s="14">
        <v>751</v>
      </c>
      <c r="F705" s="77"/>
      <c r="G705" s="76">
        <v>112567</v>
      </c>
      <c r="H705" s="70" t="s">
        <v>1100</v>
      </c>
      <c r="I705" s="7">
        <f t="shared" ca="1" si="5"/>
        <v>0</v>
      </c>
      <c r="J705" s="80"/>
      <c r="K705" s="7"/>
    </row>
    <row r="706" spans="1:11" ht="14.25" hidden="1" customHeight="1">
      <c r="A706" s="14" t="s">
        <v>126</v>
      </c>
      <c r="B706" s="78"/>
      <c r="C706" s="78"/>
      <c r="D706" s="77">
        <v>45539</v>
      </c>
      <c r="E706" s="14">
        <v>752</v>
      </c>
      <c r="F706" s="77">
        <v>45539</v>
      </c>
      <c r="G706" s="76">
        <v>195101</v>
      </c>
      <c r="H706" s="70" t="s">
        <v>1100</v>
      </c>
      <c r="I706" s="7">
        <f t="shared" ca="1" si="5"/>
        <v>0</v>
      </c>
      <c r="J706" s="80"/>
      <c r="K706" s="7"/>
    </row>
    <row r="707" spans="1:11" ht="14.25" hidden="1" customHeight="1">
      <c r="A707" s="14" t="s">
        <v>1285</v>
      </c>
      <c r="B707" s="78"/>
      <c r="C707" s="78"/>
      <c r="D707" s="77">
        <v>45539</v>
      </c>
      <c r="E707" s="14">
        <v>753</v>
      </c>
      <c r="F707" s="77"/>
      <c r="G707" s="76">
        <v>122033</v>
      </c>
      <c r="H707" s="70" t="s">
        <v>1100</v>
      </c>
      <c r="I707" s="7">
        <f t="shared" ca="1" si="5"/>
        <v>0</v>
      </c>
      <c r="J707" s="80"/>
      <c r="K707" s="7"/>
    </row>
    <row r="708" spans="1:11" ht="14.25" hidden="1" customHeight="1">
      <c r="A708" s="14" t="s">
        <v>1227</v>
      </c>
      <c r="B708" s="78"/>
      <c r="C708" s="78"/>
      <c r="D708" s="77">
        <v>45539</v>
      </c>
      <c r="E708" s="14">
        <v>754</v>
      </c>
      <c r="F708" s="77"/>
      <c r="G708" s="76">
        <v>113359</v>
      </c>
      <c r="H708" s="70" t="s">
        <v>1044</v>
      </c>
      <c r="I708" s="7">
        <f t="shared" ca="1" si="5"/>
        <v>0</v>
      </c>
      <c r="J708" s="80"/>
      <c r="K708" s="7"/>
    </row>
    <row r="709" spans="1:11" ht="14.25" hidden="1" customHeight="1">
      <c r="A709" s="14" t="s">
        <v>883</v>
      </c>
      <c r="B709" s="78"/>
      <c r="C709" s="78"/>
      <c r="D709" s="77">
        <v>45539</v>
      </c>
      <c r="E709" s="14">
        <v>755</v>
      </c>
      <c r="F709" s="77"/>
      <c r="G709" s="76">
        <v>126986</v>
      </c>
      <c r="H709" s="70" t="s">
        <v>1100</v>
      </c>
      <c r="I709" s="7">
        <f t="shared" ca="1" si="5"/>
        <v>0</v>
      </c>
      <c r="J709" s="86"/>
      <c r="K709" s="7"/>
    </row>
    <row r="710" spans="1:11" ht="14.25" hidden="1" customHeight="1">
      <c r="A710" s="14" t="s">
        <v>1159</v>
      </c>
      <c r="B710" s="78"/>
      <c r="C710" s="78"/>
      <c r="D710" s="77">
        <v>45545</v>
      </c>
      <c r="E710" s="14">
        <v>757</v>
      </c>
      <c r="F710" s="77"/>
      <c r="G710" s="76">
        <v>63824</v>
      </c>
      <c r="H710" s="70" t="s">
        <v>1100</v>
      </c>
      <c r="I710" s="7">
        <f t="shared" ca="1" si="5"/>
        <v>0</v>
      </c>
      <c r="J710" s="7"/>
      <c r="K710" s="7"/>
    </row>
    <row r="711" spans="1:11" ht="14.25" hidden="1" customHeight="1">
      <c r="A711" s="14" t="s">
        <v>1272</v>
      </c>
      <c r="B711" s="78"/>
      <c r="C711" s="78"/>
      <c r="D711" s="77">
        <v>45545</v>
      </c>
      <c r="E711" s="14">
        <v>758</v>
      </c>
      <c r="F711" s="77"/>
      <c r="G711" s="76">
        <v>143573</v>
      </c>
      <c r="H711" s="70" t="s">
        <v>1100</v>
      </c>
      <c r="I711" s="7">
        <f t="shared" ca="1" si="5"/>
        <v>0</v>
      </c>
      <c r="J711" s="80"/>
      <c r="K711" s="7"/>
    </row>
    <row r="712" spans="1:11" ht="14.25" hidden="1" customHeight="1">
      <c r="A712" s="14" t="s">
        <v>1147</v>
      </c>
      <c r="B712" s="78"/>
      <c r="C712" s="78"/>
      <c r="D712" s="77">
        <v>45545</v>
      </c>
      <c r="E712" s="14">
        <v>759</v>
      </c>
      <c r="F712" s="77"/>
      <c r="G712" s="76">
        <v>156199</v>
      </c>
      <c r="H712" s="70" t="s">
        <v>1100</v>
      </c>
      <c r="I712" s="7">
        <f t="shared" ca="1" si="5"/>
        <v>0</v>
      </c>
      <c r="J712" s="86"/>
      <c r="K712" s="7"/>
    </row>
    <row r="713" spans="1:11" ht="14.25" hidden="1" customHeight="1">
      <c r="A713" s="14" t="s">
        <v>1225</v>
      </c>
      <c r="B713" s="78"/>
      <c r="C713" s="78"/>
      <c r="D713" s="77">
        <v>45545</v>
      </c>
      <c r="E713" s="14">
        <v>760</v>
      </c>
      <c r="F713" s="77"/>
      <c r="G713" s="76">
        <v>170728</v>
      </c>
      <c r="H713" s="70" t="s">
        <v>1044</v>
      </c>
      <c r="I713" s="7">
        <f t="shared" ca="1" si="5"/>
        <v>0</v>
      </c>
      <c r="J713" s="7"/>
      <c r="K713" s="7"/>
    </row>
    <row r="714" spans="1:11" ht="14.25" hidden="1" customHeight="1">
      <c r="A714" s="14" t="s">
        <v>1242</v>
      </c>
      <c r="B714" s="78"/>
      <c r="C714" s="78"/>
      <c r="D714" s="77">
        <v>45545</v>
      </c>
      <c r="E714" s="14">
        <v>761</v>
      </c>
      <c r="F714" s="77"/>
      <c r="G714" s="76">
        <v>115247</v>
      </c>
      <c r="H714" s="70" t="s">
        <v>1100</v>
      </c>
      <c r="I714" s="7">
        <f t="shared" ca="1" si="5"/>
        <v>0</v>
      </c>
      <c r="J714" s="80"/>
      <c r="K714" s="7"/>
    </row>
    <row r="715" spans="1:11" ht="14.25" hidden="1" customHeight="1">
      <c r="A715" s="14" t="s">
        <v>126</v>
      </c>
      <c r="B715" s="78"/>
      <c r="C715" s="78"/>
      <c r="D715" s="77">
        <v>45545</v>
      </c>
      <c r="E715" s="14">
        <v>762</v>
      </c>
      <c r="F715" s="77"/>
      <c r="G715" s="76">
        <v>119681</v>
      </c>
      <c r="H715" s="70" t="s">
        <v>1177</v>
      </c>
      <c r="I715" s="7">
        <f t="shared" ca="1" si="5"/>
        <v>0</v>
      </c>
      <c r="J715" s="7"/>
      <c r="K715" s="7" t="s">
        <v>1304</v>
      </c>
    </row>
    <row r="716" spans="1:11" ht="14.25" hidden="1" customHeight="1">
      <c r="A716" s="14" t="s">
        <v>1305</v>
      </c>
      <c r="B716" s="78"/>
      <c r="C716" s="78"/>
      <c r="D716" s="77">
        <v>45545</v>
      </c>
      <c r="E716" s="14">
        <v>763</v>
      </c>
      <c r="F716" s="77"/>
      <c r="G716" s="76">
        <v>114388</v>
      </c>
      <c r="H716" s="70" t="s">
        <v>1100</v>
      </c>
      <c r="I716" s="7">
        <f t="shared" ca="1" si="5"/>
        <v>0</v>
      </c>
      <c r="J716" s="86"/>
      <c r="K716" s="7"/>
    </row>
    <row r="717" spans="1:11" ht="14.25" hidden="1" customHeight="1">
      <c r="A717" s="14" t="s">
        <v>565</v>
      </c>
      <c r="B717" s="78"/>
      <c r="C717" s="78"/>
      <c r="D717" s="92">
        <v>45546</v>
      </c>
      <c r="E717" s="14">
        <v>764</v>
      </c>
      <c r="F717" s="77"/>
      <c r="G717" s="76">
        <v>143573</v>
      </c>
      <c r="H717" s="70" t="s">
        <v>1100</v>
      </c>
      <c r="I717" s="7">
        <f t="shared" ca="1" si="5"/>
        <v>0</v>
      </c>
      <c r="J717" s="94"/>
      <c r="K717" s="7"/>
    </row>
    <row r="718" spans="1:11" ht="14.25" hidden="1" customHeight="1">
      <c r="A718" s="14" t="s">
        <v>1142</v>
      </c>
      <c r="B718" s="78"/>
      <c r="C718" s="78"/>
      <c r="D718" s="92">
        <v>45547</v>
      </c>
      <c r="E718" s="14">
        <v>765</v>
      </c>
      <c r="F718" s="77"/>
      <c r="G718" s="76">
        <v>370829</v>
      </c>
      <c r="H718" s="70" t="s">
        <v>1100</v>
      </c>
      <c r="I718" s="7">
        <f t="shared" ca="1" si="5"/>
        <v>0</v>
      </c>
      <c r="J718" s="86"/>
      <c r="K718" s="7"/>
    </row>
    <row r="719" spans="1:11" ht="14.25" hidden="1" customHeight="1">
      <c r="A719" s="14" t="s">
        <v>1268</v>
      </c>
      <c r="B719" s="78"/>
      <c r="C719" s="78"/>
      <c r="D719" s="92">
        <v>45552</v>
      </c>
      <c r="E719" s="14">
        <v>766</v>
      </c>
      <c r="F719" s="77"/>
      <c r="G719" s="76">
        <v>116426</v>
      </c>
      <c r="H719" s="70" t="s">
        <v>1100</v>
      </c>
      <c r="I719" s="7">
        <f t="shared" ca="1" si="5"/>
        <v>0</v>
      </c>
      <c r="J719" s="86"/>
      <c r="K719" s="7"/>
    </row>
    <row r="720" spans="1:11" ht="14.25" hidden="1" customHeight="1">
      <c r="A720" s="14" t="s">
        <v>1306</v>
      </c>
      <c r="B720" s="78"/>
      <c r="C720" s="78"/>
      <c r="D720" s="92">
        <v>45551</v>
      </c>
      <c r="E720" s="14" t="s">
        <v>1307</v>
      </c>
      <c r="F720" s="77"/>
      <c r="G720" s="76">
        <v>1000000</v>
      </c>
      <c r="H720" s="70" t="s">
        <v>1100</v>
      </c>
      <c r="I720" s="7">
        <f t="shared" ca="1" si="5"/>
        <v>0</v>
      </c>
      <c r="J720" s="92"/>
      <c r="K720" s="7" t="s">
        <v>1308</v>
      </c>
    </row>
    <row r="721" spans="1:11" ht="14.25" hidden="1" customHeight="1">
      <c r="A721" s="15" t="s">
        <v>1296</v>
      </c>
      <c r="B721" s="78"/>
      <c r="C721" s="78"/>
      <c r="D721" s="92">
        <v>45551</v>
      </c>
      <c r="E721" s="14">
        <v>734</v>
      </c>
      <c r="F721" s="77"/>
      <c r="G721" s="76">
        <v>119000</v>
      </c>
      <c r="H721" s="70" t="s">
        <v>1100</v>
      </c>
      <c r="I721" s="7">
        <f t="shared" ca="1" si="5"/>
        <v>0</v>
      </c>
      <c r="J721" s="92"/>
      <c r="K721" s="7" t="s">
        <v>1309</v>
      </c>
    </row>
    <row r="722" spans="1:11" ht="14.25" hidden="1" customHeight="1">
      <c r="A722" s="14" t="s">
        <v>1292</v>
      </c>
      <c r="B722" s="78"/>
      <c r="C722" s="78"/>
      <c r="D722" s="92">
        <v>45551</v>
      </c>
      <c r="E722" s="14" t="s">
        <v>1293</v>
      </c>
      <c r="F722" s="92"/>
      <c r="G722" s="76">
        <v>178500</v>
      </c>
      <c r="H722" s="70" t="s">
        <v>1100</v>
      </c>
      <c r="I722" s="7">
        <f t="shared" ca="1" si="5"/>
        <v>0</v>
      </c>
      <c r="J722" s="92"/>
      <c r="K722" s="7" t="s">
        <v>1309</v>
      </c>
    </row>
    <row r="723" spans="1:11" ht="14.25" hidden="1" customHeight="1">
      <c r="A723" s="14" t="s">
        <v>1292</v>
      </c>
      <c r="B723" s="78"/>
      <c r="C723" s="78"/>
      <c r="D723" s="92">
        <v>45551</v>
      </c>
      <c r="E723" s="14" t="s">
        <v>1221</v>
      </c>
      <c r="F723" s="77"/>
      <c r="G723" s="76">
        <v>80000</v>
      </c>
      <c r="H723" s="70" t="s">
        <v>1100</v>
      </c>
      <c r="I723" s="7">
        <f t="shared" ca="1" si="5"/>
        <v>0</v>
      </c>
      <c r="J723" s="92"/>
      <c r="K723" s="7" t="s">
        <v>1310</v>
      </c>
    </row>
    <row r="724" spans="1:11" ht="14.25" hidden="1" customHeight="1">
      <c r="A724" s="14" t="s">
        <v>1276</v>
      </c>
      <c r="B724" s="78"/>
      <c r="C724" s="78"/>
      <c r="D724" s="92">
        <v>45551</v>
      </c>
      <c r="E724" s="14" t="s">
        <v>1221</v>
      </c>
      <c r="F724" s="77"/>
      <c r="G724" s="76">
        <v>120000</v>
      </c>
      <c r="H724" s="70" t="s">
        <v>1100</v>
      </c>
      <c r="I724" s="7">
        <f t="shared" ca="1" si="5"/>
        <v>0</v>
      </c>
      <c r="J724" s="92"/>
      <c r="K724" s="7" t="s">
        <v>1309</v>
      </c>
    </row>
    <row r="725" spans="1:11" ht="14.25" hidden="1" customHeight="1">
      <c r="A725" s="14" t="s">
        <v>126</v>
      </c>
      <c r="B725" s="78"/>
      <c r="C725" s="78"/>
      <c r="D725" s="92">
        <v>45558</v>
      </c>
      <c r="E725" s="14">
        <v>767</v>
      </c>
      <c r="F725" s="92">
        <v>45530</v>
      </c>
      <c r="G725" s="76">
        <v>325455</v>
      </c>
      <c r="H725" s="70" t="s">
        <v>1100</v>
      </c>
      <c r="I725" s="7">
        <f t="shared" ca="1" si="5"/>
        <v>0</v>
      </c>
      <c r="J725" s="86"/>
      <c r="K725" s="7" t="s">
        <v>1311</v>
      </c>
    </row>
    <row r="726" spans="1:11" ht="14.25" hidden="1" customHeight="1">
      <c r="A726" s="14" t="s">
        <v>126</v>
      </c>
      <c r="B726" s="78"/>
      <c r="C726" s="78"/>
      <c r="D726" s="92">
        <v>45558</v>
      </c>
      <c r="E726" s="14">
        <v>768</v>
      </c>
      <c r="F726" s="77"/>
      <c r="G726" s="76">
        <v>177730</v>
      </c>
      <c r="H726" s="70" t="s">
        <v>1100</v>
      </c>
      <c r="I726" s="7">
        <f t="shared" ca="1" si="5"/>
        <v>0</v>
      </c>
      <c r="J726" s="94"/>
      <c r="K726" s="7"/>
    </row>
    <row r="727" spans="1:11" ht="14.25" hidden="1" customHeight="1">
      <c r="A727" s="14" t="s">
        <v>1159</v>
      </c>
      <c r="B727" s="78"/>
      <c r="C727" s="78"/>
      <c r="D727" s="92">
        <v>45558</v>
      </c>
      <c r="E727" s="14">
        <v>769</v>
      </c>
      <c r="F727" s="77"/>
      <c r="G727" s="76">
        <v>56849</v>
      </c>
      <c r="H727" s="70" t="s">
        <v>1100</v>
      </c>
      <c r="I727" s="7">
        <f t="shared" ca="1" si="5"/>
        <v>0</v>
      </c>
      <c r="J727" s="7"/>
      <c r="K727" s="7"/>
    </row>
    <row r="728" spans="1:11" ht="14.25" hidden="1" customHeight="1">
      <c r="A728" s="14" t="s">
        <v>675</v>
      </c>
      <c r="B728" s="78"/>
      <c r="C728" s="78"/>
      <c r="D728" s="92">
        <v>45558</v>
      </c>
      <c r="E728" s="14">
        <v>770</v>
      </c>
      <c r="F728" s="77">
        <v>45552</v>
      </c>
      <c r="G728" s="76">
        <v>184656</v>
      </c>
      <c r="H728" s="70" t="s">
        <v>1100</v>
      </c>
      <c r="I728" s="7">
        <f t="shared" ca="1" si="5"/>
        <v>0</v>
      </c>
      <c r="J728" s="94"/>
      <c r="K728" s="7"/>
    </row>
    <row r="729" spans="1:11" ht="14.25" hidden="1" customHeight="1">
      <c r="A729" s="14" t="s">
        <v>1312</v>
      </c>
      <c r="B729" s="78"/>
      <c r="C729" s="78"/>
      <c r="D729" s="92">
        <v>45549</v>
      </c>
      <c r="E729" s="14" t="s">
        <v>1293</v>
      </c>
      <c r="F729" s="77"/>
      <c r="G729" s="76">
        <v>147000</v>
      </c>
      <c r="H729" s="70" t="s">
        <v>1100</v>
      </c>
      <c r="I729" s="7">
        <f t="shared" ca="1" si="5"/>
        <v>0</v>
      </c>
      <c r="J729" s="80"/>
      <c r="K729" s="7" t="s">
        <v>1313</v>
      </c>
    </row>
    <row r="730" spans="1:11" ht="14.25" hidden="1" customHeight="1">
      <c r="A730" s="14" t="s">
        <v>1056</v>
      </c>
      <c r="B730" s="78"/>
      <c r="C730" s="78"/>
      <c r="D730" s="92">
        <v>45559</v>
      </c>
      <c r="E730" s="14" t="s">
        <v>1314</v>
      </c>
      <c r="F730" s="92">
        <v>45559</v>
      </c>
      <c r="G730" s="76">
        <v>100000</v>
      </c>
      <c r="H730" s="70" t="s">
        <v>1100</v>
      </c>
      <c r="I730" s="7">
        <f t="shared" ca="1" si="5"/>
        <v>0</v>
      </c>
      <c r="J730" s="94"/>
      <c r="K730" s="7"/>
    </row>
    <row r="731" spans="1:11" ht="14.25" hidden="1" customHeight="1">
      <c r="A731" s="14" t="s">
        <v>1288</v>
      </c>
      <c r="B731" s="78"/>
      <c r="C731" s="78"/>
      <c r="D731" s="92">
        <v>45566</v>
      </c>
      <c r="E731" s="14">
        <v>771</v>
      </c>
      <c r="F731" s="77"/>
      <c r="G731" s="76">
        <v>122194</v>
      </c>
      <c r="H731" s="70" t="s">
        <v>1100</v>
      </c>
      <c r="I731" s="7">
        <f t="shared" ca="1" si="5"/>
        <v>0</v>
      </c>
      <c r="J731" s="80"/>
      <c r="K731" s="7"/>
    </row>
    <row r="732" spans="1:11" ht="14.25" hidden="1" customHeight="1">
      <c r="A732" s="14" t="s">
        <v>1105</v>
      </c>
      <c r="B732" s="78"/>
      <c r="C732" s="78"/>
      <c r="D732" s="92">
        <v>45566</v>
      </c>
      <c r="E732" s="14">
        <v>772</v>
      </c>
      <c r="F732" s="77"/>
      <c r="G732" s="76">
        <v>145764</v>
      </c>
      <c r="H732" s="70" t="s">
        <v>1100</v>
      </c>
      <c r="I732" s="7">
        <f t="shared" ca="1" si="5"/>
        <v>0</v>
      </c>
      <c r="J732" s="80"/>
      <c r="K732" s="7"/>
    </row>
    <row r="733" spans="1:11" ht="14.25" hidden="1" customHeight="1">
      <c r="A733" s="14" t="s">
        <v>646</v>
      </c>
      <c r="B733" s="78"/>
      <c r="C733" s="78"/>
      <c r="D733" s="92">
        <v>45566</v>
      </c>
      <c r="E733" s="14">
        <v>773</v>
      </c>
      <c r="F733" s="77"/>
      <c r="G733" s="76">
        <v>116418</v>
      </c>
      <c r="H733" s="70" t="s">
        <v>1100</v>
      </c>
      <c r="I733" s="7">
        <f t="shared" ca="1" si="5"/>
        <v>0</v>
      </c>
      <c r="J733" s="80"/>
      <c r="K733" s="7"/>
    </row>
    <row r="734" spans="1:11" ht="14.25" hidden="1" customHeight="1">
      <c r="A734" s="14" t="s">
        <v>126</v>
      </c>
      <c r="B734" s="78"/>
      <c r="C734" s="78"/>
      <c r="D734" s="92">
        <v>45566</v>
      </c>
      <c r="E734" s="14">
        <v>774</v>
      </c>
      <c r="F734" s="77"/>
      <c r="G734" s="76">
        <v>108349</v>
      </c>
      <c r="H734" s="70" t="s">
        <v>1100</v>
      </c>
      <c r="I734" s="7">
        <f t="shared" ca="1" si="5"/>
        <v>0</v>
      </c>
      <c r="J734" s="80"/>
      <c r="K734" s="7"/>
    </row>
    <row r="735" spans="1:11" ht="14.25" hidden="1" customHeight="1">
      <c r="A735" s="14" t="s">
        <v>126</v>
      </c>
      <c r="B735" s="78"/>
      <c r="C735" s="78"/>
      <c r="D735" s="92">
        <v>45566</v>
      </c>
      <c r="E735" s="14">
        <v>775</v>
      </c>
      <c r="F735" s="77">
        <v>45560</v>
      </c>
      <c r="G735" s="76">
        <v>164232</v>
      </c>
      <c r="H735" s="70" t="s">
        <v>1100</v>
      </c>
      <c r="I735" s="7">
        <f t="shared" ca="1" si="5"/>
        <v>0</v>
      </c>
      <c r="J735" s="80"/>
      <c r="K735" s="7"/>
    </row>
    <row r="736" spans="1:11" ht="14.25" hidden="1" customHeight="1">
      <c r="A736" s="57" t="s">
        <v>1068</v>
      </c>
      <c r="B736" s="78"/>
      <c r="C736" s="78"/>
      <c r="D736" s="92">
        <v>45566</v>
      </c>
      <c r="E736" s="14">
        <v>776</v>
      </c>
      <c r="F736" s="77"/>
      <c r="G736" s="76">
        <v>935464</v>
      </c>
      <c r="H736" s="70" t="s">
        <v>1100</v>
      </c>
      <c r="I736" s="7">
        <f t="shared" ca="1" si="5"/>
        <v>0</v>
      </c>
      <c r="J736" s="87"/>
      <c r="K736" s="7"/>
    </row>
    <row r="737" spans="1:11" ht="14.25" hidden="1" customHeight="1">
      <c r="A737" s="14" t="s">
        <v>143</v>
      </c>
      <c r="B737" s="78"/>
      <c r="C737" s="78"/>
      <c r="D737" s="92">
        <v>45572</v>
      </c>
      <c r="E737" s="14">
        <v>777</v>
      </c>
      <c r="F737" s="77"/>
      <c r="G737" s="76">
        <v>89584</v>
      </c>
      <c r="H737" s="70" t="s">
        <v>1100</v>
      </c>
      <c r="I737" s="7">
        <f t="shared" ca="1" si="5"/>
        <v>0</v>
      </c>
      <c r="J737" s="87"/>
      <c r="K737" s="7"/>
    </row>
    <row r="738" spans="1:11" ht="14.25" hidden="1" customHeight="1">
      <c r="A738" s="95" t="s">
        <v>1315</v>
      </c>
      <c r="B738" s="78"/>
      <c r="C738" s="78"/>
      <c r="D738" s="92">
        <v>45572</v>
      </c>
      <c r="E738" s="14">
        <v>779</v>
      </c>
      <c r="F738" s="77"/>
      <c r="G738" s="76">
        <v>171057</v>
      </c>
      <c r="H738" s="70" t="s">
        <v>1100</v>
      </c>
      <c r="I738" s="7">
        <f t="shared" ca="1" si="5"/>
        <v>0</v>
      </c>
      <c r="J738" s="80"/>
      <c r="K738" s="7"/>
    </row>
    <row r="739" spans="1:11" ht="14.25" customHeight="1">
      <c r="A739" s="14" t="s">
        <v>470</v>
      </c>
      <c r="B739" s="78"/>
      <c r="C739" s="78"/>
      <c r="D739" s="92">
        <v>45572</v>
      </c>
      <c r="E739" s="14">
        <v>780</v>
      </c>
      <c r="F739" s="77"/>
      <c r="G739" s="76">
        <v>177774</v>
      </c>
      <c r="H739" s="70" t="s">
        <v>1267</v>
      </c>
      <c r="I739" s="7">
        <f t="shared" ca="1" si="5"/>
        <v>227</v>
      </c>
      <c r="J739" s="71" t="str">
        <f>LOOKUP(A739,'Base Clientes'!B:B,'Base Clientes'!D:D)</f>
        <v xml:space="preserve"> contacto@bodegaurriola.cl</v>
      </c>
      <c r="K739" s="7" t="s">
        <v>1316</v>
      </c>
    </row>
    <row r="740" spans="1:11" ht="14.25" hidden="1" customHeight="1">
      <c r="A740" s="14" t="s">
        <v>126</v>
      </c>
      <c r="B740" s="78"/>
      <c r="C740" s="78"/>
      <c r="D740" s="92">
        <v>45573</v>
      </c>
      <c r="E740" s="14">
        <v>782</v>
      </c>
      <c r="F740" s="77"/>
      <c r="G740" s="76">
        <v>239364</v>
      </c>
      <c r="H740" s="70" t="s">
        <v>1100</v>
      </c>
      <c r="I740" s="7">
        <f t="shared" ca="1" si="5"/>
        <v>0</v>
      </c>
      <c r="J740" s="87"/>
      <c r="K740" s="7"/>
    </row>
    <row r="741" spans="1:11" ht="14.25" hidden="1" customHeight="1">
      <c r="A741" s="14" t="s">
        <v>1317</v>
      </c>
      <c r="B741" s="78"/>
      <c r="C741" s="78"/>
      <c r="D741" s="92">
        <v>45573</v>
      </c>
      <c r="E741" s="14">
        <v>783</v>
      </c>
      <c r="F741" s="77"/>
      <c r="G741" s="76">
        <v>119466</v>
      </c>
      <c r="H741" s="70" t="s">
        <v>1100</v>
      </c>
      <c r="I741" s="7">
        <f t="shared" ca="1" si="5"/>
        <v>0</v>
      </c>
      <c r="J741" s="87"/>
      <c r="K741" s="7"/>
    </row>
    <row r="742" spans="1:11" ht="14.25" hidden="1" customHeight="1">
      <c r="A742" s="14" t="s">
        <v>226</v>
      </c>
      <c r="B742" s="78"/>
      <c r="C742" s="78"/>
      <c r="D742" s="92">
        <v>45573</v>
      </c>
      <c r="E742" s="14">
        <v>784</v>
      </c>
      <c r="F742" s="77"/>
      <c r="G742" s="76">
        <v>152014</v>
      </c>
      <c r="H742" s="70" t="s">
        <v>1100</v>
      </c>
      <c r="I742" s="7">
        <f t="shared" ca="1" si="5"/>
        <v>0</v>
      </c>
      <c r="J742" s="7"/>
      <c r="K742" s="7"/>
    </row>
    <row r="743" spans="1:11" ht="14.25" hidden="1" customHeight="1">
      <c r="A743" s="14" t="s">
        <v>883</v>
      </c>
      <c r="B743" s="78"/>
      <c r="C743" s="78"/>
      <c r="D743" s="92">
        <v>45574</v>
      </c>
      <c r="E743" s="14">
        <v>785</v>
      </c>
      <c r="F743" s="77"/>
      <c r="G743" s="76">
        <v>157468</v>
      </c>
      <c r="H743" s="70" t="s">
        <v>1100</v>
      </c>
      <c r="I743" s="7">
        <f t="shared" ca="1" si="5"/>
        <v>0</v>
      </c>
      <c r="J743" s="80"/>
      <c r="K743" s="7"/>
    </row>
    <row r="744" spans="1:11" ht="14.25" hidden="1" customHeight="1">
      <c r="A744" s="14" t="s">
        <v>1318</v>
      </c>
      <c r="B744" s="78"/>
      <c r="C744" s="78"/>
      <c r="D744" s="92">
        <v>45572</v>
      </c>
      <c r="E744" s="14" t="s">
        <v>1293</v>
      </c>
      <c r="F744" s="77"/>
      <c r="G744" s="76">
        <v>3883403</v>
      </c>
      <c r="H744" s="70" t="s">
        <v>1100</v>
      </c>
      <c r="I744" s="7">
        <f t="shared" ca="1" si="5"/>
        <v>0</v>
      </c>
      <c r="J744" s="80"/>
      <c r="K744" s="7"/>
    </row>
    <row r="745" spans="1:11" ht="14.25" hidden="1" customHeight="1">
      <c r="A745" s="14" t="s">
        <v>1208</v>
      </c>
      <c r="B745" s="78"/>
      <c r="C745" s="78"/>
      <c r="D745" s="92">
        <v>45579</v>
      </c>
      <c r="E745" s="14">
        <v>786</v>
      </c>
      <c r="F745" s="77"/>
      <c r="G745" s="76">
        <v>115127</v>
      </c>
      <c r="H745" s="70" t="s">
        <v>1100</v>
      </c>
      <c r="I745" s="7">
        <f t="shared" ca="1" si="5"/>
        <v>0</v>
      </c>
      <c r="J745" s="80"/>
      <c r="K745" s="7"/>
    </row>
    <row r="746" spans="1:11" ht="14.25" hidden="1" customHeight="1">
      <c r="A746" s="14" t="s">
        <v>1319</v>
      </c>
      <c r="B746" s="78"/>
      <c r="C746" s="78"/>
      <c r="D746" s="92">
        <v>45576</v>
      </c>
      <c r="E746" s="14" t="s">
        <v>1320</v>
      </c>
      <c r="F746" s="77"/>
      <c r="G746" s="76">
        <v>170000</v>
      </c>
      <c r="H746" s="70" t="s">
        <v>1100</v>
      </c>
      <c r="I746" s="7">
        <f t="shared" ca="1" si="5"/>
        <v>0</v>
      </c>
      <c r="J746" s="7"/>
      <c r="K746" s="7" t="s">
        <v>1321</v>
      </c>
    </row>
    <row r="747" spans="1:11" ht="14.25" hidden="1" customHeight="1">
      <c r="A747" s="14" t="s">
        <v>1235</v>
      </c>
      <c r="B747" s="78"/>
      <c r="C747" s="78"/>
      <c r="D747" s="92">
        <v>45579</v>
      </c>
      <c r="E747" s="14">
        <v>787</v>
      </c>
      <c r="F747" s="77"/>
      <c r="G747" s="76">
        <v>117437</v>
      </c>
      <c r="H747" s="70" t="s">
        <v>1100</v>
      </c>
      <c r="I747" s="7">
        <f t="shared" ca="1" si="5"/>
        <v>0</v>
      </c>
      <c r="J747" s="80"/>
      <c r="K747" s="7"/>
    </row>
    <row r="748" spans="1:11" ht="14.25" hidden="1" customHeight="1">
      <c r="A748" s="14" t="s">
        <v>143</v>
      </c>
      <c r="B748" s="78"/>
      <c r="C748" s="78"/>
      <c r="D748" s="92">
        <v>45580</v>
      </c>
      <c r="E748" s="14">
        <v>788</v>
      </c>
      <c r="F748" s="77"/>
      <c r="G748" s="76">
        <v>93643</v>
      </c>
      <c r="H748" s="70" t="s">
        <v>1100</v>
      </c>
      <c r="I748" s="7">
        <f t="shared" ca="1" si="5"/>
        <v>0</v>
      </c>
      <c r="J748" s="94"/>
      <c r="K748" s="7"/>
    </row>
    <row r="749" spans="1:11" ht="14.25" hidden="1" customHeight="1">
      <c r="A749" s="14" t="s">
        <v>1068</v>
      </c>
      <c r="B749" s="78"/>
      <c r="C749" s="78"/>
      <c r="D749" s="92">
        <v>45580</v>
      </c>
      <c r="E749" s="14">
        <v>789</v>
      </c>
      <c r="F749" s="77"/>
      <c r="G749" s="76">
        <v>282865</v>
      </c>
      <c r="H749" s="70" t="s">
        <v>1100</v>
      </c>
      <c r="I749" s="7">
        <f t="shared" ca="1" si="5"/>
        <v>0</v>
      </c>
      <c r="J749" s="94"/>
      <c r="K749" s="7"/>
    </row>
    <row r="750" spans="1:11" ht="14.25" hidden="1" customHeight="1">
      <c r="A750" s="14" t="s">
        <v>1306</v>
      </c>
      <c r="B750" s="78"/>
      <c r="C750" s="78"/>
      <c r="D750" s="92">
        <v>45581</v>
      </c>
      <c r="E750" s="14" t="s">
        <v>1307</v>
      </c>
      <c r="F750" s="77"/>
      <c r="G750" s="76">
        <v>886400</v>
      </c>
      <c r="H750" s="70" t="s">
        <v>1100</v>
      </c>
      <c r="I750" s="7">
        <f t="shared" ca="1" si="5"/>
        <v>0</v>
      </c>
      <c r="J750" s="7"/>
      <c r="K750" s="7"/>
    </row>
    <row r="751" spans="1:11" ht="14.25" hidden="1" customHeight="1">
      <c r="A751" s="14" t="s">
        <v>1322</v>
      </c>
      <c r="B751" s="78"/>
      <c r="C751" s="78"/>
      <c r="D751" s="92"/>
      <c r="E751" s="14" t="s">
        <v>1307</v>
      </c>
      <c r="F751" s="77"/>
      <c r="G751" s="76">
        <v>340000</v>
      </c>
      <c r="H751" s="70" t="s">
        <v>1100</v>
      </c>
      <c r="I751" s="7">
        <f t="shared" ca="1" si="5"/>
        <v>0</v>
      </c>
      <c r="J751" s="80"/>
      <c r="K751" s="7"/>
    </row>
    <row r="752" spans="1:11" ht="14.25" hidden="1" customHeight="1">
      <c r="A752" s="14" t="s">
        <v>1305</v>
      </c>
      <c r="B752" s="78"/>
      <c r="C752" s="78"/>
      <c r="D752" s="92">
        <v>45582</v>
      </c>
      <c r="E752" s="14">
        <v>790</v>
      </c>
      <c r="F752" s="77"/>
      <c r="G752" s="76">
        <v>60186</v>
      </c>
      <c r="H752" s="70" t="s">
        <v>1100</v>
      </c>
      <c r="I752" s="7">
        <f t="shared" ca="1" si="5"/>
        <v>0</v>
      </c>
      <c r="J752" s="80"/>
      <c r="K752" s="7"/>
    </row>
    <row r="753" spans="1:11" ht="14.25" hidden="1" customHeight="1">
      <c r="A753" s="14" t="s">
        <v>1271</v>
      </c>
      <c r="B753" s="78"/>
      <c r="C753" s="78"/>
      <c r="D753" s="92">
        <v>45582</v>
      </c>
      <c r="E753" s="14">
        <v>791</v>
      </c>
      <c r="F753" s="77"/>
      <c r="G753" s="76">
        <v>61731</v>
      </c>
      <c r="H753" s="70" t="s">
        <v>1177</v>
      </c>
      <c r="I753" s="7">
        <f t="shared" ca="1" si="5"/>
        <v>0</v>
      </c>
      <c r="J753" s="7"/>
      <c r="K753" s="7" t="s">
        <v>1323</v>
      </c>
    </row>
    <row r="754" spans="1:11" ht="14.25" hidden="1" customHeight="1">
      <c r="A754" s="14" t="s">
        <v>1254</v>
      </c>
      <c r="B754" s="78"/>
      <c r="C754" s="78"/>
      <c r="D754" s="92">
        <v>45582</v>
      </c>
      <c r="E754" s="14">
        <v>792</v>
      </c>
      <c r="F754" s="77"/>
      <c r="G754" s="76">
        <v>122068</v>
      </c>
      <c r="H754" s="70" t="s">
        <v>1100</v>
      </c>
      <c r="I754" s="7">
        <f t="shared" ca="1" si="5"/>
        <v>0</v>
      </c>
      <c r="J754" s="94"/>
      <c r="K754" s="7"/>
    </row>
    <row r="755" spans="1:11" ht="14.25" hidden="1" customHeight="1">
      <c r="A755" s="14" t="s">
        <v>1305</v>
      </c>
      <c r="B755" s="78"/>
      <c r="C755" s="78"/>
      <c r="D755" s="92">
        <v>45583</v>
      </c>
      <c r="E755" s="14">
        <v>793</v>
      </c>
      <c r="F755" s="77"/>
      <c r="G755" s="76">
        <v>60822</v>
      </c>
      <c r="H755" s="70" t="s">
        <v>1100</v>
      </c>
      <c r="I755" s="7">
        <f t="shared" ca="1" si="5"/>
        <v>0</v>
      </c>
      <c r="J755" s="80"/>
      <c r="K755" s="7"/>
    </row>
    <row r="756" spans="1:11" ht="14.25" hidden="1" customHeight="1">
      <c r="A756" s="14" t="s">
        <v>1324</v>
      </c>
      <c r="B756" s="78"/>
      <c r="C756" s="78"/>
      <c r="D756" s="92">
        <v>45587</v>
      </c>
      <c r="E756" s="14">
        <v>794</v>
      </c>
      <c r="F756" s="77"/>
      <c r="G756" s="76">
        <v>210383</v>
      </c>
      <c r="H756" s="70" t="s">
        <v>1177</v>
      </c>
      <c r="I756" s="7">
        <f t="shared" ca="1" si="5"/>
        <v>0</v>
      </c>
      <c r="J756" s="7"/>
      <c r="K756" s="96" t="s">
        <v>1325</v>
      </c>
    </row>
    <row r="757" spans="1:11" ht="14.25" hidden="1" customHeight="1">
      <c r="A757" s="14" t="s">
        <v>729</v>
      </c>
      <c r="B757" s="78"/>
      <c r="C757" s="78"/>
      <c r="D757" s="92">
        <v>45587</v>
      </c>
      <c r="E757" s="14">
        <v>795</v>
      </c>
      <c r="F757" s="77"/>
      <c r="G757" s="76">
        <v>192478</v>
      </c>
      <c r="H757" s="70" t="s">
        <v>1177</v>
      </c>
      <c r="I757" s="7">
        <f t="shared" ca="1" si="5"/>
        <v>0</v>
      </c>
      <c r="J757" s="7"/>
      <c r="K757" s="7" t="s">
        <v>1326</v>
      </c>
    </row>
    <row r="758" spans="1:11" ht="14.25" hidden="1" customHeight="1">
      <c r="A758" s="14" t="s">
        <v>126</v>
      </c>
      <c r="B758" s="78"/>
      <c r="C758" s="78"/>
      <c r="D758" s="92">
        <v>45587</v>
      </c>
      <c r="E758" s="14">
        <v>796</v>
      </c>
      <c r="F758" s="92">
        <v>45587</v>
      </c>
      <c r="G758" s="76">
        <v>129043</v>
      </c>
      <c r="H758" s="70" t="s">
        <v>1100</v>
      </c>
      <c r="I758" s="7">
        <f t="shared" ca="1" si="5"/>
        <v>0</v>
      </c>
      <c r="J758" s="80"/>
      <c r="K758" s="7"/>
    </row>
    <row r="759" spans="1:11" ht="14.25" hidden="1" customHeight="1">
      <c r="A759" s="14" t="s">
        <v>907</v>
      </c>
      <c r="B759" s="78"/>
      <c r="C759" s="78"/>
      <c r="D759" s="92">
        <v>45587</v>
      </c>
      <c r="E759" s="14">
        <v>798</v>
      </c>
      <c r="F759" s="92">
        <v>45587</v>
      </c>
      <c r="G759" s="76">
        <v>619686</v>
      </c>
      <c r="H759" s="70" t="s">
        <v>1100</v>
      </c>
      <c r="I759" s="7">
        <f t="shared" ca="1" si="5"/>
        <v>0</v>
      </c>
      <c r="J759" s="94"/>
      <c r="K759" s="7"/>
    </row>
    <row r="760" spans="1:11" ht="14.25" hidden="1" customHeight="1">
      <c r="A760" s="14" t="s">
        <v>1280</v>
      </c>
      <c r="B760" s="78"/>
      <c r="C760" s="78"/>
      <c r="D760" s="92">
        <v>45589</v>
      </c>
      <c r="E760" s="14">
        <v>799</v>
      </c>
      <c r="F760" s="77"/>
      <c r="G760" s="76">
        <v>130438</v>
      </c>
      <c r="H760" s="70" t="s">
        <v>1100</v>
      </c>
      <c r="I760" s="7">
        <f t="shared" ca="1" si="5"/>
        <v>0</v>
      </c>
      <c r="J760" s="80"/>
      <c r="K760" s="7"/>
    </row>
    <row r="761" spans="1:11" ht="14.25" hidden="1" customHeight="1">
      <c r="A761" s="14" t="s">
        <v>547</v>
      </c>
      <c r="B761" s="78"/>
      <c r="C761" s="78"/>
      <c r="D761" s="92">
        <v>45594</v>
      </c>
      <c r="E761" s="14">
        <v>800</v>
      </c>
      <c r="F761" s="77"/>
      <c r="G761" s="76">
        <v>112804</v>
      </c>
      <c r="H761" s="70" t="s">
        <v>1100</v>
      </c>
      <c r="I761" s="7">
        <f t="shared" ca="1" si="5"/>
        <v>0</v>
      </c>
      <c r="J761" s="80"/>
      <c r="K761" s="7"/>
    </row>
    <row r="762" spans="1:11" ht="14.25" hidden="1" customHeight="1">
      <c r="A762" s="14" t="s">
        <v>907</v>
      </c>
      <c r="B762" s="78"/>
      <c r="C762" s="78"/>
      <c r="D762" s="92">
        <v>45594</v>
      </c>
      <c r="E762" s="14">
        <v>801</v>
      </c>
      <c r="F762" s="77"/>
      <c r="G762" s="76">
        <v>330768</v>
      </c>
      <c r="H762" s="70" t="s">
        <v>1100</v>
      </c>
      <c r="I762" s="7">
        <f t="shared" ca="1" si="5"/>
        <v>0</v>
      </c>
      <c r="J762" s="94"/>
      <c r="K762" s="7"/>
    </row>
    <row r="763" spans="1:11" ht="14.25" hidden="1" customHeight="1">
      <c r="A763" s="14" t="s">
        <v>126</v>
      </c>
      <c r="B763" s="78"/>
      <c r="C763" s="78"/>
      <c r="D763" s="92">
        <v>45594</v>
      </c>
      <c r="E763" s="14">
        <v>802</v>
      </c>
      <c r="F763" s="77"/>
      <c r="G763" s="76">
        <v>140189</v>
      </c>
      <c r="H763" s="70" t="s">
        <v>1100</v>
      </c>
      <c r="I763" s="7">
        <f t="shared" ca="1" si="5"/>
        <v>0</v>
      </c>
      <c r="J763" s="80"/>
      <c r="K763" s="7"/>
    </row>
    <row r="764" spans="1:11" ht="14.25" hidden="1" customHeight="1">
      <c r="A764" s="14" t="s">
        <v>143</v>
      </c>
      <c r="B764" s="78"/>
      <c r="C764" s="78"/>
      <c r="D764" s="92">
        <v>45594</v>
      </c>
      <c r="E764" s="14">
        <v>803</v>
      </c>
      <c r="F764" s="77"/>
      <c r="G764" s="97">
        <v>119404</v>
      </c>
      <c r="H764" s="70" t="s">
        <v>1100</v>
      </c>
      <c r="I764" s="7">
        <f t="shared" ca="1" si="5"/>
        <v>0</v>
      </c>
      <c r="J764" s="80"/>
      <c r="K764" s="7"/>
    </row>
    <row r="765" spans="1:11" ht="14.25" hidden="1" customHeight="1">
      <c r="A765" s="14" t="s">
        <v>729</v>
      </c>
      <c r="B765" s="78"/>
      <c r="C765" s="78"/>
      <c r="D765" s="92">
        <v>45600</v>
      </c>
      <c r="E765" s="14">
        <v>804</v>
      </c>
      <c r="F765" s="77"/>
      <c r="G765" s="97">
        <v>244989</v>
      </c>
      <c r="H765" s="70" t="s">
        <v>1100</v>
      </c>
      <c r="I765" s="7">
        <f t="shared" ca="1" si="5"/>
        <v>0</v>
      </c>
      <c r="J765" s="86"/>
      <c r="K765" s="7"/>
    </row>
    <row r="766" spans="1:11" ht="14.25" hidden="1" customHeight="1">
      <c r="A766" s="14" t="s">
        <v>1120</v>
      </c>
      <c r="B766" s="78"/>
      <c r="C766" s="78"/>
      <c r="D766" s="92">
        <v>45602</v>
      </c>
      <c r="E766" s="14">
        <v>806</v>
      </c>
      <c r="F766" s="77"/>
      <c r="G766" s="97">
        <v>127648</v>
      </c>
      <c r="H766" s="70" t="s">
        <v>1100</v>
      </c>
      <c r="I766" s="7">
        <f t="shared" ca="1" si="5"/>
        <v>0</v>
      </c>
      <c r="J766" s="85"/>
      <c r="K766" s="7"/>
    </row>
    <row r="767" spans="1:11" ht="14.25" hidden="1" customHeight="1">
      <c r="A767" s="14" t="s">
        <v>1285</v>
      </c>
      <c r="B767" s="78"/>
      <c r="C767" s="78"/>
      <c r="D767" s="92">
        <v>45602</v>
      </c>
      <c r="E767" s="14">
        <v>807</v>
      </c>
      <c r="F767" s="77"/>
      <c r="G767" s="97">
        <v>123589</v>
      </c>
      <c r="H767" s="70" t="s">
        <v>1100</v>
      </c>
      <c r="I767" s="7">
        <f t="shared" ca="1" si="5"/>
        <v>0</v>
      </c>
      <c r="J767" s="94"/>
      <c r="K767" s="7"/>
    </row>
    <row r="768" spans="1:11" ht="14.25" hidden="1" customHeight="1">
      <c r="A768" s="14" t="s">
        <v>126</v>
      </c>
      <c r="B768" s="78"/>
      <c r="C768" s="78"/>
      <c r="D768" s="92">
        <v>45602</v>
      </c>
      <c r="E768" s="14">
        <v>808</v>
      </c>
      <c r="F768" s="92">
        <v>45602</v>
      </c>
      <c r="G768" s="97">
        <v>238290</v>
      </c>
      <c r="H768" s="70" t="s">
        <v>1100</v>
      </c>
      <c r="I768" s="7">
        <f t="shared" ca="1" si="5"/>
        <v>0</v>
      </c>
      <c r="J768" s="90"/>
      <c r="K768" s="7"/>
    </row>
    <row r="769" spans="1:11" ht="14.25" hidden="1" customHeight="1">
      <c r="A769" s="14" t="s">
        <v>126</v>
      </c>
      <c r="B769" s="78"/>
      <c r="C769" s="78"/>
      <c r="D769" s="92">
        <v>45603</v>
      </c>
      <c r="E769" s="14">
        <v>809</v>
      </c>
      <c r="F769" s="92">
        <v>45603</v>
      </c>
      <c r="G769" s="97">
        <v>126253</v>
      </c>
      <c r="H769" s="70" t="s">
        <v>1100</v>
      </c>
      <c r="I769" s="7">
        <f t="shared" ca="1" si="5"/>
        <v>0</v>
      </c>
      <c r="J769" s="94"/>
      <c r="K769" s="7" t="s">
        <v>1327</v>
      </c>
    </row>
    <row r="770" spans="1:11" ht="14.25" hidden="1" customHeight="1">
      <c r="A770" s="14" t="s">
        <v>1248</v>
      </c>
      <c r="B770" s="78"/>
      <c r="C770" s="78"/>
      <c r="D770" s="92">
        <v>45603</v>
      </c>
      <c r="E770" s="14"/>
      <c r="F770" s="77">
        <v>45536</v>
      </c>
      <c r="G770" s="97">
        <v>126950</v>
      </c>
      <c r="H770" s="70" t="s">
        <v>1100</v>
      </c>
      <c r="I770" s="7">
        <f t="shared" ca="1" si="5"/>
        <v>0</v>
      </c>
      <c r="J770" s="80"/>
      <c r="K770" s="7" t="s">
        <v>1328</v>
      </c>
    </row>
    <row r="771" spans="1:11" ht="14.25" hidden="1" customHeight="1">
      <c r="A771" s="14" t="s">
        <v>907</v>
      </c>
      <c r="B771" s="78"/>
      <c r="C771" s="78"/>
      <c r="D771" s="92" t="s">
        <v>1329</v>
      </c>
      <c r="E771" s="14">
        <v>812</v>
      </c>
      <c r="F771" s="77">
        <v>45600</v>
      </c>
      <c r="G771" s="97">
        <v>607131</v>
      </c>
      <c r="H771" s="70" t="s">
        <v>1100</v>
      </c>
      <c r="I771" s="7">
        <f t="shared" ca="1" si="5"/>
        <v>0</v>
      </c>
      <c r="J771" s="94"/>
      <c r="K771" s="7"/>
    </row>
    <row r="772" spans="1:11" ht="14.25" hidden="1" customHeight="1">
      <c r="A772" s="14" t="s">
        <v>226</v>
      </c>
      <c r="B772" s="78"/>
      <c r="C772" s="78"/>
      <c r="D772" s="92">
        <v>45608</v>
      </c>
      <c r="E772" s="14">
        <v>813</v>
      </c>
      <c r="F772" s="77">
        <v>45607</v>
      </c>
      <c r="G772" s="97">
        <v>147954</v>
      </c>
      <c r="H772" s="70" t="s">
        <v>1100</v>
      </c>
      <c r="I772" s="7">
        <f t="shared" ca="1" si="5"/>
        <v>0</v>
      </c>
      <c r="J772" s="87"/>
      <c r="K772" s="7"/>
    </row>
    <row r="773" spans="1:11" ht="14.25" hidden="1" customHeight="1">
      <c r="A773" s="14" t="s">
        <v>1142</v>
      </c>
      <c r="B773" s="78"/>
      <c r="C773" s="78"/>
      <c r="D773" s="92">
        <v>45608</v>
      </c>
      <c r="E773" s="14">
        <v>815</v>
      </c>
      <c r="F773" s="77"/>
      <c r="G773" s="97">
        <v>230688</v>
      </c>
      <c r="H773" s="70" t="s">
        <v>1100</v>
      </c>
      <c r="I773" s="7">
        <f t="shared" ca="1" si="5"/>
        <v>0</v>
      </c>
      <c r="J773" s="94"/>
      <c r="K773" s="7"/>
    </row>
    <row r="774" spans="1:11" ht="14.25" hidden="1" customHeight="1">
      <c r="A774" s="14" t="s">
        <v>1248</v>
      </c>
      <c r="B774" s="78"/>
      <c r="C774" s="78"/>
      <c r="D774" s="92">
        <v>45608</v>
      </c>
      <c r="E774" s="14">
        <v>816</v>
      </c>
      <c r="F774" s="77"/>
      <c r="G774" s="97">
        <v>103313</v>
      </c>
      <c r="H774" s="70" t="s">
        <v>1100</v>
      </c>
      <c r="I774" s="7">
        <f t="shared" ca="1" si="5"/>
        <v>0</v>
      </c>
      <c r="J774" s="94"/>
      <c r="K774" s="7"/>
    </row>
    <row r="775" spans="1:11" ht="14.25" hidden="1" customHeight="1">
      <c r="A775" s="14" t="s">
        <v>251</v>
      </c>
      <c r="B775" s="78"/>
      <c r="C775" s="78"/>
      <c r="D775" s="92">
        <v>45609</v>
      </c>
      <c r="E775" s="14">
        <v>817</v>
      </c>
      <c r="F775" s="77"/>
      <c r="G775" s="97">
        <v>169208</v>
      </c>
      <c r="H775" s="70" t="s">
        <v>1100</v>
      </c>
      <c r="I775" s="7">
        <f t="shared" ca="1" si="5"/>
        <v>0</v>
      </c>
      <c r="J775" s="94"/>
      <c r="K775" s="7"/>
    </row>
    <row r="776" spans="1:11" ht="14.25" hidden="1" customHeight="1">
      <c r="A776" s="14" t="s">
        <v>1317</v>
      </c>
      <c r="B776" s="78"/>
      <c r="C776" s="78"/>
      <c r="D776" s="92">
        <v>45609</v>
      </c>
      <c r="E776" s="14">
        <v>818</v>
      </c>
      <c r="F776" s="77"/>
      <c r="G776" s="97">
        <v>104322</v>
      </c>
      <c r="H776" s="70" t="s">
        <v>1100</v>
      </c>
      <c r="I776" s="7">
        <f t="shared" ca="1" si="5"/>
        <v>0</v>
      </c>
      <c r="J776" s="80"/>
      <c r="K776" s="7"/>
    </row>
    <row r="777" spans="1:11" ht="14.25" hidden="1" customHeight="1">
      <c r="A777" s="14" t="s">
        <v>1235</v>
      </c>
      <c r="B777" s="78"/>
      <c r="C777" s="78"/>
      <c r="D777" s="92">
        <v>45610</v>
      </c>
      <c r="E777" s="14">
        <v>819</v>
      </c>
      <c r="F777" s="77"/>
      <c r="G777" s="97">
        <v>146559</v>
      </c>
      <c r="H777" s="70" t="s">
        <v>1100</v>
      </c>
      <c r="I777" s="7">
        <f t="shared" ca="1" si="5"/>
        <v>0</v>
      </c>
      <c r="J777" s="94"/>
      <c r="K777" s="7"/>
    </row>
    <row r="778" spans="1:11" ht="14.25" hidden="1" customHeight="1">
      <c r="A778" s="14" t="s">
        <v>907</v>
      </c>
      <c r="B778" s="78"/>
      <c r="C778" s="78"/>
      <c r="D778" s="92">
        <v>45612</v>
      </c>
      <c r="E778" s="14">
        <v>820</v>
      </c>
      <c r="F778" s="77">
        <v>45611</v>
      </c>
      <c r="G778" s="97">
        <v>330768</v>
      </c>
      <c r="H778" s="70" t="s">
        <v>1100</v>
      </c>
      <c r="I778" s="7">
        <f t="shared" ca="1" si="5"/>
        <v>0</v>
      </c>
      <c r="J778" s="94"/>
      <c r="K778" s="7"/>
    </row>
    <row r="779" spans="1:11" ht="14.25" hidden="1" customHeight="1">
      <c r="A779" s="14" t="s">
        <v>1056</v>
      </c>
      <c r="B779" s="78"/>
      <c r="C779" s="78"/>
      <c r="D779" s="92">
        <v>45612</v>
      </c>
      <c r="E779" s="14" t="s">
        <v>1221</v>
      </c>
      <c r="F779" s="92">
        <v>45612</v>
      </c>
      <c r="G779" s="97">
        <v>150000</v>
      </c>
      <c r="H779" s="70" t="s">
        <v>1100</v>
      </c>
      <c r="I779" s="7">
        <f t="shared" ca="1" si="5"/>
        <v>0</v>
      </c>
      <c r="J779" s="94"/>
      <c r="K779" s="7"/>
    </row>
    <row r="780" spans="1:11" ht="14.25" hidden="1" customHeight="1">
      <c r="A780" s="14" t="s">
        <v>126</v>
      </c>
      <c r="B780" s="78"/>
      <c r="C780" s="78"/>
      <c r="D780" s="92">
        <v>45604</v>
      </c>
      <c r="E780" s="14" t="s">
        <v>1221</v>
      </c>
      <c r="F780" s="92">
        <v>45604</v>
      </c>
      <c r="G780" s="97">
        <v>1215650</v>
      </c>
      <c r="H780" s="70" t="s">
        <v>1100</v>
      </c>
      <c r="I780" s="7">
        <f t="shared" ca="1" si="5"/>
        <v>0</v>
      </c>
      <c r="J780" s="94"/>
      <c r="K780" s="7" t="s">
        <v>1330</v>
      </c>
    </row>
    <row r="781" spans="1:11" ht="14.25" hidden="1" customHeight="1">
      <c r="A781" s="14" t="s">
        <v>1331</v>
      </c>
      <c r="B781" s="78"/>
      <c r="C781" s="78"/>
      <c r="D781" s="92">
        <v>45615</v>
      </c>
      <c r="E781" s="15" t="s">
        <v>1293</v>
      </c>
      <c r="F781" s="77"/>
      <c r="G781" s="97">
        <v>2900000</v>
      </c>
      <c r="H781" s="70" t="s">
        <v>1044</v>
      </c>
      <c r="I781" s="7">
        <f t="shared" ca="1" si="5"/>
        <v>0</v>
      </c>
      <c r="J781" s="7"/>
      <c r="K781" s="7" t="s">
        <v>1332</v>
      </c>
    </row>
    <row r="782" spans="1:11" ht="14.25" hidden="1" customHeight="1">
      <c r="A782" s="14" t="s">
        <v>913</v>
      </c>
      <c r="B782" s="78"/>
      <c r="C782" s="78"/>
      <c r="D782" s="92">
        <v>45615</v>
      </c>
      <c r="E782" s="14">
        <v>821</v>
      </c>
      <c r="F782" s="77"/>
      <c r="G782" s="97">
        <v>107094</v>
      </c>
      <c r="H782" s="70" t="s">
        <v>1100</v>
      </c>
      <c r="I782" s="7">
        <f t="shared" ca="1" si="5"/>
        <v>0</v>
      </c>
      <c r="J782" s="87"/>
      <c r="K782" s="7"/>
    </row>
    <row r="783" spans="1:11" ht="14.25" hidden="1" customHeight="1">
      <c r="A783" s="14" t="s">
        <v>1268</v>
      </c>
      <c r="B783" s="78"/>
      <c r="C783" s="78"/>
      <c r="D783" s="92">
        <v>45615</v>
      </c>
      <c r="E783" s="14">
        <v>822</v>
      </c>
      <c r="F783" s="77"/>
      <c r="G783" s="97">
        <v>111759</v>
      </c>
      <c r="H783" s="70" t="s">
        <v>1100</v>
      </c>
      <c r="I783" s="7">
        <f t="shared" ca="1" si="5"/>
        <v>0</v>
      </c>
      <c r="J783" s="94"/>
      <c r="K783" s="7"/>
    </row>
    <row r="784" spans="1:11" ht="14.25" hidden="1" customHeight="1">
      <c r="A784" s="14" t="s">
        <v>1305</v>
      </c>
      <c r="B784" s="78"/>
      <c r="C784" s="78"/>
      <c r="D784" s="92">
        <v>45615</v>
      </c>
      <c r="E784" s="14">
        <v>823</v>
      </c>
      <c r="F784" s="77"/>
      <c r="G784" s="97">
        <v>115345</v>
      </c>
      <c r="H784" s="70" t="s">
        <v>1177</v>
      </c>
      <c r="I784" s="7">
        <f t="shared" ca="1" si="5"/>
        <v>0</v>
      </c>
      <c r="J784" s="7"/>
      <c r="K784" s="7" t="s">
        <v>1333</v>
      </c>
    </row>
    <row r="785" spans="1:11" ht="14.25" hidden="1" customHeight="1">
      <c r="A785" s="14" t="s">
        <v>126</v>
      </c>
      <c r="B785" s="78"/>
      <c r="C785" s="78"/>
      <c r="D785" s="92">
        <v>45615</v>
      </c>
      <c r="E785" s="14">
        <v>824</v>
      </c>
      <c r="F785" s="77"/>
      <c r="G785" s="97">
        <v>320084</v>
      </c>
      <c r="H785" s="70" t="s">
        <v>1100</v>
      </c>
      <c r="I785" s="7">
        <f t="shared" ca="1" si="5"/>
        <v>0</v>
      </c>
      <c r="J785" s="94"/>
      <c r="K785" s="7"/>
    </row>
    <row r="786" spans="1:11" ht="14.25" hidden="1" customHeight="1">
      <c r="A786" s="14" t="s">
        <v>143</v>
      </c>
      <c r="B786" s="78"/>
      <c r="C786" s="78"/>
      <c r="D786" s="92">
        <v>45615</v>
      </c>
      <c r="E786" s="14">
        <v>825</v>
      </c>
      <c r="F786" s="77"/>
      <c r="G786" s="97">
        <v>83335</v>
      </c>
      <c r="H786" s="70" t="s">
        <v>1100</v>
      </c>
      <c r="I786" s="7">
        <f t="shared" ca="1" si="5"/>
        <v>0</v>
      </c>
      <c r="J786" s="94"/>
      <c r="K786" s="7"/>
    </row>
    <row r="787" spans="1:11" ht="14.25" hidden="1" customHeight="1">
      <c r="A787" s="14" t="s">
        <v>907</v>
      </c>
      <c r="B787" s="78"/>
      <c r="C787" s="78"/>
      <c r="D787" s="92">
        <v>45615</v>
      </c>
      <c r="E787" s="14">
        <v>826</v>
      </c>
      <c r="F787" s="77"/>
      <c r="G787" s="97">
        <v>220512</v>
      </c>
      <c r="H787" s="70" t="s">
        <v>1100</v>
      </c>
      <c r="I787" s="7">
        <f t="shared" ca="1" si="5"/>
        <v>0</v>
      </c>
      <c r="J787" s="94"/>
      <c r="K787" s="7"/>
    </row>
    <row r="788" spans="1:11" ht="14.25" hidden="1" customHeight="1">
      <c r="A788" s="14" t="s">
        <v>1296</v>
      </c>
      <c r="B788" s="78"/>
      <c r="C788" s="78"/>
      <c r="D788" s="92">
        <v>45617</v>
      </c>
      <c r="E788" s="14">
        <v>827</v>
      </c>
      <c r="F788" s="92"/>
      <c r="G788" s="97">
        <v>285600</v>
      </c>
      <c r="H788" s="70" t="s">
        <v>1100</v>
      </c>
      <c r="I788" s="7">
        <f t="shared" ca="1" si="5"/>
        <v>0</v>
      </c>
      <c r="J788" s="94"/>
      <c r="K788" s="7" t="s">
        <v>1334</v>
      </c>
    </row>
    <row r="789" spans="1:11" ht="14.25" hidden="1" customHeight="1">
      <c r="A789" s="14" t="s">
        <v>1280</v>
      </c>
      <c r="B789" s="78"/>
      <c r="C789" s="78"/>
      <c r="D789" s="92">
        <v>45622</v>
      </c>
      <c r="E789" s="14">
        <v>828</v>
      </c>
      <c r="F789" s="92">
        <v>45623</v>
      </c>
      <c r="G789" s="97">
        <v>170407</v>
      </c>
      <c r="H789" s="70" t="s">
        <v>1100</v>
      </c>
      <c r="I789" s="7">
        <f t="shared" ca="1" si="5"/>
        <v>0</v>
      </c>
      <c r="J789" s="86"/>
      <c r="K789" s="7"/>
    </row>
    <row r="790" spans="1:11" ht="14.25" hidden="1" customHeight="1">
      <c r="A790" s="14" t="s">
        <v>547</v>
      </c>
      <c r="B790" s="78"/>
      <c r="C790" s="78"/>
      <c r="D790" s="92">
        <v>45622</v>
      </c>
      <c r="E790" s="14">
        <v>829</v>
      </c>
      <c r="F790" s="92">
        <v>45623</v>
      </c>
      <c r="G790" s="97">
        <v>113628</v>
      </c>
      <c r="H790" s="70" t="s">
        <v>1100</v>
      </c>
      <c r="I790" s="7">
        <f t="shared" ca="1" si="5"/>
        <v>0</v>
      </c>
      <c r="J790" s="87"/>
      <c r="K790" s="7"/>
    </row>
    <row r="791" spans="1:11" ht="14.25" hidden="1" customHeight="1">
      <c r="A791" s="14" t="s">
        <v>907</v>
      </c>
      <c r="B791" s="78"/>
      <c r="C791" s="78"/>
      <c r="D791" s="92">
        <v>45622</v>
      </c>
      <c r="E791" s="14">
        <v>830</v>
      </c>
      <c r="F791" s="92">
        <v>45622</v>
      </c>
      <c r="G791" s="97">
        <v>607131</v>
      </c>
      <c r="H791" s="70" t="s">
        <v>1100</v>
      </c>
      <c r="I791" s="7">
        <f t="shared" ca="1" si="5"/>
        <v>0</v>
      </c>
      <c r="J791" s="94"/>
      <c r="K791" s="7"/>
    </row>
    <row r="792" spans="1:11" ht="14.25" customHeight="1">
      <c r="A792" s="14" t="s">
        <v>1335</v>
      </c>
      <c r="B792" s="78"/>
      <c r="C792" s="78"/>
      <c r="D792" s="92">
        <v>45622</v>
      </c>
      <c r="E792" s="14" t="s">
        <v>1043</v>
      </c>
      <c r="F792" s="77"/>
      <c r="G792" s="97">
        <f>400000+168000</f>
        <v>568000</v>
      </c>
      <c r="H792" s="70" t="s">
        <v>1267</v>
      </c>
      <c r="I792" s="7">
        <f t="shared" ca="1" si="5"/>
        <v>45799</v>
      </c>
      <c r="J792" s="71" t="str">
        <f>LOOKUP(A792,'Base Clientes'!B:B,'Base Clientes'!D:D)</f>
        <v xml:space="preserve">luis_jc6@hotmail.com </v>
      </c>
      <c r="K792" s="7" t="s">
        <v>1336</v>
      </c>
    </row>
    <row r="793" spans="1:11" ht="14.25" hidden="1" customHeight="1">
      <c r="A793" s="14" t="s">
        <v>1337</v>
      </c>
      <c r="B793" s="78"/>
      <c r="C793" s="78"/>
      <c r="D793" s="92">
        <v>45622</v>
      </c>
      <c r="E793" s="14" t="s">
        <v>1043</v>
      </c>
      <c r="F793" s="77"/>
      <c r="G793" s="97">
        <v>275000</v>
      </c>
      <c r="H793" s="70" t="s">
        <v>1100</v>
      </c>
      <c r="I793" s="7">
        <f t="shared" ca="1" si="5"/>
        <v>0</v>
      </c>
      <c r="J793" s="7"/>
      <c r="K793" s="7" t="s">
        <v>1338</v>
      </c>
    </row>
    <row r="794" spans="1:11" ht="14.25" hidden="1" customHeight="1">
      <c r="A794" s="14" t="s">
        <v>126</v>
      </c>
      <c r="B794" s="78"/>
      <c r="C794" s="78"/>
      <c r="D794" s="92">
        <v>45623</v>
      </c>
      <c r="E794" s="14">
        <v>831</v>
      </c>
      <c r="F794" s="92">
        <v>45625</v>
      </c>
      <c r="G794" s="97">
        <v>213929</v>
      </c>
      <c r="H794" s="70" t="s">
        <v>1100</v>
      </c>
      <c r="I794" s="7">
        <f t="shared" ca="1" si="5"/>
        <v>0</v>
      </c>
      <c r="J794" s="94"/>
      <c r="K794" s="7"/>
    </row>
    <row r="795" spans="1:11" ht="14.25" hidden="1" customHeight="1">
      <c r="A795" s="14" t="s">
        <v>1271</v>
      </c>
      <c r="B795" s="78"/>
      <c r="C795" s="78"/>
      <c r="D795" s="92">
        <v>45582</v>
      </c>
      <c r="E795" s="14">
        <v>832</v>
      </c>
      <c r="F795" s="77">
        <v>45590</v>
      </c>
      <c r="G795" s="97">
        <v>61731</v>
      </c>
      <c r="H795" s="70" t="s">
        <v>1100</v>
      </c>
      <c r="I795" s="7">
        <f t="shared" ca="1" si="5"/>
        <v>0</v>
      </c>
      <c r="J795" s="94"/>
      <c r="K795" s="7" t="s">
        <v>1339</v>
      </c>
    </row>
    <row r="796" spans="1:11" ht="14.25" hidden="1" customHeight="1">
      <c r="A796" s="14" t="s">
        <v>1227</v>
      </c>
      <c r="B796" s="78"/>
      <c r="C796" s="78"/>
      <c r="D796" s="92">
        <v>45623</v>
      </c>
      <c r="E796" s="14">
        <v>833</v>
      </c>
      <c r="F796" s="92">
        <v>45628</v>
      </c>
      <c r="G796" s="97">
        <v>273350</v>
      </c>
      <c r="H796" s="70" t="s">
        <v>1100</v>
      </c>
      <c r="I796" s="7">
        <f t="shared" ca="1" si="5"/>
        <v>0</v>
      </c>
      <c r="J796" s="85"/>
      <c r="K796" s="7"/>
    </row>
    <row r="797" spans="1:11" ht="14.25" hidden="1" customHeight="1">
      <c r="A797" s="14" t="s">
        <v>1208</v>
      </c>
      <c r="B797" s="78"/>
      <c r="C797" s="78"/>
      <c r="D797" s="92">
        <v>45623</v>
      </c>
      <c r="E797" s="14">
        <v>834</v>
      </c>
      <c r="F797" s="92">
        <v>45628</v>
      </c>
      <c r="G797" s="97">
        <v>125619</v>
      </c>
      <c r="H797" s="70" t="s">
        <v>1100</v>
      </c>
      <c r="I797" s="7">
        <f t="shared" ca="1" si="5"/>
        <v>0</v>
      </c>
      <c r="J797" s="87"/>
      <c r="K797" s="7"/>
    </row>
    <row r="798" spans="1:11" ht="14.25" customHeight="1">
      <c r="A798" s="14" t="s">
        <v>919</v>
      </c>
      <c r="B798" s="78"/>
      <c r="C798" s="78"/>
      <c r="D798" s="92">
        <v>45623</v>
      </c>
      <c r="E798" s="14">
        <v>835</v>
      </c>
      <c r="F798" s="92">
        <v>45628</v>
      </c>
      <c r="G798" s="97">
        <v>201637</v>
      </c>
      <c r="H798" s="70" t="s">
        <v>1267</v>
      </c>
      <c r="I798" s="7">
        <f t="shared" ca="1" si="5"/>
        <v>176</v>
      </c>
      <c r="J798" s="71" t="str">
        <f>LOOKUP(A798,'Base Clientes'!B:B,'Base Clientes'!D:D)</f>
        <v xml:space="preserve">luis_jc6@hotmail.com </v>
      </c>
      <c r="K798" s="7"/>
    </row>
    <row r="799" spans="1:11" ht="14.25" hidden="1" customHeight="1">
      <c r="A799" s="14" t="s">
        <v>1227</v>
      </c>
      <c r="B799" s="78"/>
      <c r="C799" s="78"/>
      <c r="D799" s="92">
        <v>45624</v>
      </c>
      <c r="E799" s="14">
        <v>836</v>
      </c>
      <c r="F799" s="92">
        <v>45628</v>
      </c>
      <c r="G799" s="76">
        <v>14212</v>
      </c>
      <c r="H799" s="70" t="s">
        <v>1100</v>
      </c>
      <c r="I799" s="7">
        <f t="shared" ca="1" si="5"/>
        <v>0</v>
      </c>
      <c r="J799" s="85"/>
      <c r="K799" s="7"/>
    </row>
    <row r="800" spans="1:11" ht="14.25" hidden="1" customHeight="1">
      <c r="A800" s="14" t="s">
        <v>1225</v>
      </c>
      <c r="B800" s="78"/>
      <c r="C800" s="78"/>
      <c r="D800" s="92">
        <v>45628</v>
      </c>
      <c r="E800" s="14">
        <v>837</v>
      </c>
      <c r="F800" s="77"/>
      <c r="G800" s="76">
        <v>156073</v>
      </c>
      <c r="H800" s="70" t="s">
        <v>1100</v>
      </c>
      <c r="I800" s="7">
        <f t="shared" ca="1" si="5"/>
        <v>0</v>
      </c>
      <c r="J800" s="80"/>
      <c r="K800" s="7"/>
    </row>
    <row r="801" spans="1:11" ht="14.25" hidden="1" customHeight="1">
      <c r="A801" s="14" t="s">
        <v>1340</v>
      </c>
      <c r="B801" s="78"/>
      <c r="C801" s="78"/>
      <c r="D801" s="92">
        <v>45640</v>
      </c>
      <c r="E801" s="14" t="s">
        <v>1320</v>
      </c>
      <c r="F801" s="92">
        <v>45640</v>
      </c>
      <c r="G801" s="76">
        <v>100000</v>
      </c>
      <c r="H801" s="70" t="s">
        <v>1100</v>
      </c>
      <c r="I801" s="7">
        <f t="shared" ca="1" si="5"/>
        <v>0</v>
      </c>
      <c r="J801" s="87"/>
      <c r="K801" s="98">
        <v>0.5</v>
      </c>
    </row>
    <row r="802" spans="1:11" ht="14.25" hidden="1" customHeight="1">
      <c r="A802" s="14" t="s">
        <v>1341</v>
      </c>
      <c r="B802" s="78"/>
      <c r="C802" s="78"/>
      <c r="D802" s="92">
        <v>45633</v>
      </c>
      <c r="E802" s="14" t="s">
        <v>1320</v>
      </c>
      <c r="F802" s="92">
        <v>45633</v>
      </c>
      <c r="G802" s="76">
        <v>140000</v>
      </c>
      <c r="H802" s="70" t="s">
        <v>1100</v>
      </c>
      <c r="I802" s="7">
        <f t="shared" ca="1" si="5"/>
        <v>0</v>
      </c>
      <c r="J802" s="87"/>
      <c r="K802" s="98">
        <v>0.5</v>
      </c>
    </row>
    <row r="803" spans="1:11" ht="14.25" hidden="1" customHeight="1">
      <c r="A803" s="14" t="s">
        <v>907</v>
      </c>
      <c r="B803" s="78"/>
      <c r="C803" s="78"/>
      <c r="D803" s="92">
        <v>45630</v>
      </c>
      <c r="E803" s="14">
        <v>840</v>
      </c>
      <c r="F803" s="77"/>
      <c r="G803" s="76">
        <v>220512</v>
      </c>
      <c r="H803" s="70" t="s">
        <v>1100</v>
      </c>
      <c r="I803" s="7">
        <f t="shared" ca="1" si="5"/>
        <v>0</v>
      </c>
      <c r="J803" s="87"/>
      <c r="K803" s="7"/>
    </row>
    <row r="804" spans="1:11" ht="14.25" hidden="1" customHeight="1">
      <c r="A804" s="14" t="s">
        <v>1268</v>
      </c>
      <c r="B804" s="78"/>
      <c r="C804" s="78"/>
      <c r="D804" s="92">
        <v>45629</v>
      </c>
      <c r="E804" s="14">
        <v>839</v>
      </c>
      <c r="F804" s="77">
        <v>45630</v>
      </c>
      <c r="G804" s="76">
        <v>92248</v>
      </c>
      <c r="H804" s="70" t="s">
        <v>1100</v>
      </c>
      <c r="I804" s="7">
        <f t="shared" ca="1" si="5"/>
        <v>0</v>
      </c>
      <c r="J804" s="87"/>
      <c r="K804" s="7"/>
    </row>
    <row r="805" spans="1:11" ht="14.25" hidden="1" customHeight="1">
      <c r="A805" s="14" t="s">
        <v>1052</v>
      </c>
      <c r="B805" s="78"/>
      <c r="C805" s="78"/>
      <c r="D805" s="92">
        <v>45630</v>
      </c>
      <c r="E805" s="14">
        <v>841</v>
      </c>
      <c r="F805" s="77">
        <v>45630</v>
      </c>
      <c r="G805" s="76">
        <v>123463</v>
      </c>
      <c r="H805" s="70" t="s">
        <v>1100</v>
      </c>
      <c r="I805" s="7">
        <f t="shared" ca="1" si="5"/>
        <v>0</v>
      </c>
      <c r="J805" s="87"/>
      <c r="K805" s="7"/>
    </row>
    <row r="806" spans="1:11" ht="14.25" hidden="1" customHeight="1">
      <c r="A806" s="14" t="s">
        <v>646</v>
      </c>
      <c r="B806" s="78"/>
      <c r="C806" s="78"/>
      <c r="D806" s="92">
        <v>45630</v>
      </c>
      <c r="E806" s="14">
        <v>842</v>
      </c>
      <c r="F806" s="77">
        <v>45297</v>
      </c>
      <c r="G806" s="76">
        <v>117387</v>
      </c>
      <c r="H806" s="70" t="s">
        <v>1100</v>
      </c>
      <c r="I806" s="7">
        <f t="shared" ca="1" si="5"/>
        <v>0</v>
      </c>
      <c r="J806" s="80"/>
      <c r="K806" s="7"/>
    </row>
    <row r="807" spans="1:11" ht="14.25" hidden="1" customHeight="1">
      <c r="A807" s="14" t="s">
        <v>126</v>
      </c>
      <c r="B807" s="78"/>
      <c r="C807" s="78"/>
      <c r="D807" s="92">
        <v>45630</v>
      </c>
      <c r="E807" s="14">
        <v>843</v>
      </c>
      <c r="F807" s="92">
        <v>45642</v>
      </c>
      <c r="G807" s="76">
        <v>339383</v>
      </c>
      <c r="H807" s="70" t="s">
        <v>1100</v>
      </c>
      <c r="I807" s="7">
        <f t="shared" ca="1" si="5"/>
        <v>0</v>
      </c>
      <c r="J807" s="80"/>
      <c r="K807" s="7"/>
    </row>
    <row r="808" spans="1:11" ht="14.25" hidden="1" customHeight="1">
      <c r="A808" s="14" t="s">
        <v>1342</v>
      </c>
      <c r="B808" s="78"/>
      <c r="C808" s="78"/>
      <c r="D808" s="92">
        <v>45631</v>
      </c>
      <c r="E808" s="14">
        <v>844</v>
      </c>
      <c r="F808" s="77"/>
      <c r="G808" s="76">
        <v>156073</v>
      </c>
      <c r="H808" s="70" t="s">
        <v>1177</v>
      </c>
      <c r="I808" s="7">
        <f t="shared" ca="1" si="5"/>
        <v>0</v>
      </c>
      <c r="J808" s="7"/>
      <c r="K808" s="7" t="s">
        <v>1343</v>
      </c>
    </row>
    <row r="809" spans="1:11" ht="14.25" hidden="1" customHeight="1">
      <c r="A809" s="14" t="s">
        <v>1248</v>
      </c>
      <c r="B809" s="78"/>
      <c r="C809" s="78"/>
      <c r="D809" s="92">
        <v>45631</v>
      </c>
      <c r="E809" s="14">
        <v>845</v>
      </c>
      <c r="F809" s="77">
        <v>45633</v>
      </c>
      <c r="G809" s="76">
        <v>118448</v>
      </c>
      <c r="H809" s="70" t="s">
        <v>1100</v>
      </c>
      <c r="I809" s="7">
        <f t="shared" ca="1" si="5"/>
        <v>0</v>
      </c>
      <c r="J809" s="86"/>
      <c r="K809" s="7"/>
    </row>
    <row r="810" spans="1:11" ht="14.25" hidden="1" customHeight="1">
      <c r="A810" s="14" t="s">
        <v>913</v>
      </c>
      <c r="B810" s="78"/>
      <c r="C810" s="78"/>
      <c r="D810" s="92">
        <v>45631</v>
      </c>
      <c r="E810" s="14">
        <v>846</v>
      </c>
      <c r="F810" s="77">
        <v>45633</v>
      </c>
      <c r="G810" s="76">
        <v>88663</v>
      </c>
      <c r="H810" s="70" t="s">
        <v>1100</v>
      </c>
      <c r="I810" s="7">
        <f t="shared" ca="1" si="5"/>
        <v>0</v>
      </c>
      <c r="J810" s="86"/>
      <c r="K810" s="7"/>
    </row>
    <row r="811" spans="1:11" ht="14.25" hidden="1" customHeight="1">
      <c r="A811" s="14" t="s">
        <v>1341</v>
      </c>
      <c r="B811" s="78"/>
      <c r="C811" s="78"/>
      <c r="D811" s="92">
        <v>45633</v>
      </c>
      <c r="E811" s="14" t="s">
        <v>1320</v>
      </c>
      <c r="F811" s="77"/>
      <c r="G811" s="76">
        <v>140000</v>
      </c>
      <c r="H811" s="70" t="s">
        <v>1100</v>
      </c>
      <c r="I811" s="7">
        <f t="shared" ca="1" si="5"/>
        <v>0</v>
      </c>
      <c r="J811" s="87"/>
      <c r="K811" s="7"/>
    </row>
    <row r="812" spans="1:11" ht="14.25" hidden="1" customHeight="1">
      <c r="A812" s="14" t="s">
        <v>907</v>
      </c>
      <c r="B812" s="78"/>
      <c r="C812" s="78"/>
      <c r="D812" s="92">
        <v>45635</v>
      </c>
      <c r="E812" s="14">
        <v>847</v>
      </c>
      <c r="F812" s="92">
        <v>45635</v>
      </c>
      <c r="G812" s="76">
        <v>330768</v>
      </c>
      <c r="H812" s="70" t="s">
        <v>1100</v>
      </c>
      <c r="I812" s="7">
        <f t="shared" ca="1" si="5"/>
        <v>0</v>
      </c>
      <c r="J812" s="87"/>
      <c r="K812" s="7"/>
    </row>
    <row r="813" spans="1:11" ht="14.25" hidden="1" customHeight="1">
      <c r="A813" s="14" t="s">
        <v>1340</v>
      </c>
      <c r="B813" s="78"/>
      <c r="C813" s="78"/>
      <c r="D813" s="92">
        <v>45640</v>
      </c>
      <c r="E813" s="14" t="s">
        <v>1320</v>
      </c>
      <c r="F813" s="77"/>
      <c r="G813" s="76">
        <v>100000</v>
      </c>
      <c r="H813" s="70" t="s">
        <v>1100</v>
      </c>
      <c r="I813" s="7">
        <f t="shared" ca="1" si="5"/>
        <v>0</v>
      </c>
      <c r="J813" s="94"/>
      <c r="K813" s="98">
        <v>0.5</v>
      </c>
    </row>
    <row r="814" spans="1:11" ht="14.25" hidden="1" customHeight="1">
      <c r="A814" s="14" t="s">
        <v>907</v>
      </c>
      <c r="B814" s="78"/>
      <c r="C814" s="78"/>
      <c r="D814" s="92">
        <v>45643</v>
      </c>
      <c r="E814" s="14">
        <v>857</v>
      </c>
      <c r="F814" s="92">
        <v>45640</v>
      </c>
      <c r="G814" s="76">
        <v>276363</v>
      </c>
      <c r="H814" s="70" t="s">
        <v>1100</v>
      </c>
      <c r="I814" s="7">
        <f t="shared" ca="1" si="5"/>
        <v>0</v>
      </c>
      <c r="J814" s="87"/>
      <c r="K814" s="7"/>
    </row>
    <row r="815" spans="1:11" ht="14.25" hidden="1" customHeight="1">
      <c r="A815" s="14" t="s">
        <v>1344</v>
      </c>
      <c r="B815" s="78"/>
      <c r="C815" s="78"/>
      <c r="D815" s="92">
        <v>45642</v>
      </c>
      <c r="E815" s="14" t="s">
        <v>1293</v>
      </c>
      <c r="F815" s="77"/>
      <c r="G815" s="76">
        <f>1512000+150000</f>
        <v>1662000</v>
      </c>
      <c r="H815" s="70" t="s">
        <v>1100</v>
      </c>
      <c r="I815" s="7">
        <f t="shared" ca="1" si="5"/>
        <v>0</v>
      </c>
      <c r="J815" s="7"/>
      <c r="K815" s="7"/>
    </row>
    <row r="816" spans="1:11" ht="14.25" hidden="1" customHeight="1">
      <c r="A816" s="14" t="s">
        <v>226</v>
      </c>
      <c r="B816" s="78"/>
      <c r="C816" s="78"/>
      <c r="D816" s="92">
        <v>45642</v>
      </c>
      <c r="E816" s="14">
        <v>848</v>
      </c>
      <c r="F816" s="92"/>
      <c r="G816" s="76">
        <v>171398</v>
      </c>
      <c r="H816" s="70" t="s">
        <v>1100</v>
      </c>
      <c r="I816" s="7">
        <f t="shared" ca="1" si="5"/>
        <v>0</v>
      </c>
      <c r="J816" s="87"/>
      <c r="K816" s="7"/>
    </row>
    <row r="817" spans="1:11" ht="14.25" hidden="1" customHeight="1">
      <c r="A817" s="14" t="s">
        <v>126</v>
      </c>
      <c r="B817" s="78"/>
      <c r="C817" s="78"/>
      <c r="D817" s="92">
        <v>45642</v>
      </c>
      <c r="E817" s="14">
        <v>849</v>
      </c>
      <c r="F817" s="92">
        <v>45642</v>
      </c>
      <c r="G817" s="76">
        <v>148706</v>
      </c>
      <c r="H817" s="70" t="s">
        <v>1100</v>
      </c>
      <c r="I817" s="7">
        <f t="shared" ca="1" si="5"/>
        <v>0</v>
      </c>
      <c r="J817" s="7"/>
      <c r="K817" s="7"/>
    </row>
    <row r="818" spans="1:11" ht="14.25" hidden="1" customHeight="1">
      <c r="A818" s="14" t="s">
        <v>1052</v>
      </c>
      <c r="B818" s="78"/>
      <c r="C818" s="78"/>
      <c r="D818" s="92">
        <v>45642</v>
      </c>
      <c r="E818" s="14">
        <v>850</v>
      </c>
      <c r="F818" s="92">
        <v>45642</v>
      </c>
      <c r="G818" s="76">
        <v>15373</v>
      </c>
      <c r="H818" s="70" t="s">
        <v>1100</v>
      </c>
      <c r="I818" s="7">
        <f t="shared" ca="1" si="5"/>
        <v>0</v>
      </c>
      <c r="J818" s="87"/>
      <c r="K818" s="7"/>
    </row>
    <row r="819" spans="1:11" ht="14.25" hidden="1" customHeight="1">
      <c r="A819" s="14" t="s">
        <v>143</v>
      </c>
      <c r="B819" s="78"/>
      <c r="C819" s="78"/>
      <c r="D819" s="92">
        <v>45642</v>
      </c>
      <c r="E819" s="14">
        <v>851</v>
      </c>
      <c r="F819" s="77">
        <v>45639</v>
      </c>
      <c r="G819" s="76">
        <v>90853</v>
      </c>
      <c r="H819" s="70" t="s">
        <v>1100</v>
      </c>
      <c r="I819" s="7">
        <f t="shared" ca="1" si="5"/>
        <v>0</v>
      </c>
      <c r="J819" s="80"/>
      <c r="K819" s="7"/>
    </row>
    <row r="820" spans="1:11" ht="14.25" hidden="1" customHeight="1">
      <c r="A820" s="14" t="s">
        <v>143</v>
      </c>
      <c r="B820" s="78"/>
      <c r="C820" s="78"/>
      <c r="D820" s="92">
        <v>45642</v>
      </c>
      <c r="E820" s="14">
        <v>852</v>
      </c>
      <c r="F820" s="77">
        <v>45639</v>
      </c>
      <c r="G820" s="76">
        <v>65219</v>
      </c>
      <c r="H820" s="70" t="s">
        <v>1100</v>
      </c>
      <c r="I820" s="7">
        <f t="shared" ca="1" si="5"/>
        <v>0</v>
      </c>
      <c r="J820" s="80"/>
      <c r="K820" s="7"/>
    </row>
    <row r="821" spans="1:11" ht="14.25" hidden="1" customHeight="1">
      <c r="A821" s="14" t="s">
        <v>487</v>
      </c>
      <c r="B821" s="78"/>
      <c r="C821" s="78"/>
      <c r="D821" s="92">
        <v>45642</v>
      </c>
      <c r="E821" s="14">
        <v>853</v>
      </c>
      <c r="F821" s="77">
        <v>45644</v>
      </c>
      <c r="G821" s="76">
        <v>234427</v>
      </c>
      <c r="H821" s="70" t="s">
        <v>1100</v>
      </c>
      <c r="I821" s="7">
        <f t="shared" ca="1" si="5"/>
        <v>0</v>
      </c>
      <c r="J821" s="86"/>
      <c r="K821" s="7"/>
    </row>
    <row r="822" spans="1:11" ht="14.25" hidden="1" customHeight="1">
      <c r="A822" s="14" t="s">
        <v>1235</v>
      </c>
      <c r="B822" s="78"/>
      <c r="C822" s="78"/>
      <c r="D822" s="92">
        <v>45642</v>
      </c>
      <c r="E822" s="14">
        <v>854</v>
      </c>
      <c r="F822" s="77">
        <v>45644</v>
      </c>
      <c r="G822" s="76">
        <v>113950</v>
      </c>
      <c r="H822" s="70" t="s">
        <v>1100</v>
      </c>
      <c r="I822" s="7">
        <f t="shared" ca="1" si="5"/>
        <v>0</v>
      </c>
      <c r="J822" s="87"/>
      <c r="K822" s="7"/>
    </row>
    <row r="823" spans="1:11" ht="14.25" hidden="1" customHeight="1">
      <c r="A823" s="14" t="s">
        <v>787</v>
      </c>
      <c r="B823" s="78"/>
      <c r="C823" s="78"/>
      <c r="D823" s="92">
        <v>45642</v>
      </c>
      <c r="E823" s="14">
        <v>855</v>
      </c>
      <c r="F823" s="77">
        <v>45645</v>
      </c>
      <c r="G823" s="76">
        <v>117687</v>
      </c>
      <c r="H823" s="70" t="s">
        <v>1100</v>
      </c>
      <c r="I823" s="7">
        <f t="shared" ca="1" si="5"/>
        <v>0</v>
      </c>
      <c r="J823" s="94"/>
      <c r="K823" s="7"/>
    </row>
    <row r="824" spans="1:11" ht="14.25" hidden="1" customHeight="1">
      <c r="A824" s="14" t="s">
        <v>1345</v>
      </c>
      <c r="B824" s="78"/>
      <c r="C824" s="78"/>
      <c r="D824" s="92">
        <v>45642</v>
      </c>
      <c r="E824" s="14">
        <v>856</v>
      </c>
      <c r="F824" s="77">
        <v>45644</v>
      </c>
      <c r="G824" s="76">
        <v>152488</v>
      </c>
      <c r="H824" s="70" t="s">
        <v>1100</v>
      </c>
      <c r="I824" s="7">
        <f t="shared" ca="1" si="5"/>
        <v>0</v>
      </c>
      <c r="J824" s="94"/>
      <c r="K824" s="7"/>
    </row>
    <row r="825" spans="1:11" ht="14.25" hidden="1" customHeight="1">
      <c r="A825" s="14" t="s">
        <v>907</v>
      </c>
      <c r="B825" s="78"/>
      <c r="C825" s="78"/>
      <c r="D825" s="92">
        <v>45643</v>
      </c>
      <c r="E825" s="14">
        <v>857</v>
      </c>
      <c r="F825" s="92">
        <v>45643</v>
      </c>
      <c r="G825" s="76">
        <v>533145</v>
      </c>
      <c r="H825" s="70" t="s">
        <v>1100</v>
      </c>
      <c r="I825" s="7">
        <f t="shared" ca="1" si="5"/>
        <v>0</v>
      </c>
      <c r="J825" s="87"/>
      <c r="K825" s="7"/>
    </row>
    <row r="826" spans="1:11" ht="14.25" hidden="1" customHeight="1">
      <c r="A826" s="14" t="s">
        <v>126</v>
      </c>
      <c r="B826" s="78"/>
      <c r="C826" s="78"/>
      <c r="D826" s="92">
        <v>45643</v>
      </c>
      <c r="E826" s="14">
        <v>859</v>
      </c>
      <c r="F826" s="92">
        <v>45642</v>
      </c>
      <c r="G826" s="76">
        <v>290241</v>
      </c>
      <c r="H826" s="70" t="s">
        <v>1100</v>
      </c>
      <c r="I826" s="7">
        <f t="shared" ca="1" si="5"/>
        <v>0</v>
      </c>
      <c r="J826" s="87"/>
      <c r="K826" s="7"/>
    </row>
    <row r="827" spans="1:11" ht="14.25" hidden="1" customHeight="1">
      <c r="A827" s="14" t="s">
        <v>126</v>
      </c>
      <c r="B827" s="78"/>
      <c r="C827" s="78"/>
      <c r="D827" s="92">
        <v>45649</v>
      </c>
      <c r="E827" s="14">
        <v>861</v>
      </c>
      <c r="F827" s="77">
        <v>45649</v>
      </c>
      <c r="G827" s="76">
        <v>320558</v>
      </c>
      <c r="H827" s="70" t="s">
        <v>1100</v>
      </c>
      <c r="I827" s="7">
        <f t="shared" ca="1" si="5"/>
        <v>0</v>
      </c>
      <c r="J827" s="87"/>
      <c r="K827" s="7"/>
    </row>
    <row r="828" spans="1:11" ht="14.25" hidden="1" customHeight="1">
      <c r="A828" s="14" t="s">
        <v>1342</v>
      </c>
      <c r="B828" s="78"/>
      <c r="C828" s="78"/>
      <c r="D828" s="92">
        <v>45643</v>
      </c>
      <c r="E828" s="14">
        <v>860</v>
      </c>
      <c r="F828" s="77"/>
      <c r="G828" s="76">
        <v>93643</v>
      </c>
      <c r="H828" s="70" t="s">
        <v>1100</v>
      </c>
      <c r="I828" s="7">
        <f t="shared" ca="1" si="5"/>
        <v>0</v>
      </c>
      <c r="J828" s="87"/>
      <c r="K828" s="7"/>
    </row>
    <row r="829" spans="1:11" ht="14.25" hidden="1" customHeight="1">
      <c r="A829" s="14" t="s">
        <v>907</v>
      </c>
      <c r="B829" s="78"/>
      <c r="C829" s="78"/>
      <c r="D829" s="92">
        <v>45649</v>
      </c>
      <c r="E829" s="14">
        <v>862</v>
      </c>
      <c r="F829" s="92">
        <v>45649</v>
      </c>
      <c r="G829" s="76">
        <v>496875</v>
      </c>
      <c r="H829" s="70" t="s">
        <v>1100</v>
      </c>
      <c r="I829" s="7">
        <f t="shared" ca="1" si="5"/>
        <v>0</v>
      </c>
      <c r="J829" s="90"/>
      <c r="K829" s="7"/>
    </row>
    <row r="830" spans="1:11" ht="14.25" hidden="1" customHeight="1">
      <c r="A830" s="68" t="s">
        <v>883</v>
      </c>
      <c r="B830" s="68"/>
      <c r="C830" s="68"/>
      <c r="D830" s="69">
        <v>45650</v>
      </c>
      <c r="E830" s="68">
        <v>863</v>
      </c>
      <c r="F830" s="69">
        <v>45652</v>
      </c>
      <c r="G830" s="76">
        <v>119404</v>
      </c>
      <c r="H830" s="70" t="s">
        <v>1100</v>
      </c>
      <c r="I830" s="7">
        <f t="shared" ca="1" si="5"/>
        <v>0</v>
      </c>
      <c r="J830" s="71"/>
      <c r="K830" s="7"/>
    </row>
    <row r="831" spans="1:11" ht="14.25" hidden="1" customHeight="1">
      <c r="A831" s="68" t="s">
        <v>1346</v>
      </c>
      <c r="B831" s="68"/>
      <c r="C831" s="68"/>
      <c r="D831" s="69">
        <v>45650</v>
      </c>
      <c r="E831" s="68">
        <v>864</v>
      </c>
      <c r="F831" s="69">
        <v>45652</v>
      </c>
      <c r="G831" s="76">
        <v>110805</v>
      </c>
      <c r="H831" s="70" t="s">
        <v>1100</v>
      </c>
      <c r="I831" s="7">
        <f t="shared" ca="1" si="5"/>
        <v>0</v>
      </c>
      <c r="J831" s="71"/>
      <c r="K831" s="7"/>
    </row>
    <row r="832" spans="1:11" ht="14.25" hidden="1" customHeight="1">
      <c r="A832" s="68" t="s">
        <v>1347</v>
      </c>
      <c r="B832" s="68"/>
      <c r="C832" s="68"/>
      <c r="D832" s="69">
        <v>45654</v>
      </c>
      <c r="E832" s="68" t="s">
        <v>1320</v>
      </c>
      <c r="F832" s="69">
        <v>45656</v>
      </c>
      <c r="G832" s="76">
        <v>250000</v>
      </c>
      <c r="H832" s="70" t="s">
        <v>1100</v>
      </c>
      <c r="I832" s="7">
        <f t="shared" ca="1" si="5"/>
        <v>0</v>
      </c>
      <c r="J832" s="71"/>
      <c r="K832" s="7"/>
    </row>
    <row r="833" spans="1:11" ht="14.25" hidden="1" customHeight="1">
      <c r="A833" s="68" t="s">
        <v>547</v>
      </c>
      <c r="B833" s="68"/>
      <c r="C833" s="68"/>
      <c r="D833" s="69">
        <v>45652</v>
      </c>
      <c r="E833" s="68">
        <v>865</v>
      </c>
      <c r="F833" s="69">
        <v>45655</v>
      </c>
      <c r="G833" s="58">
        <v>118071</v>
      </c>
      <c r="H833" s="70" t="s">
        <v>1100</v>
      </c>
      <c r="I833" s="7">
        <f t="shared" ca="1" si="5"/>
        <v>0</v>
      </c>
      <c r="J833" s="71"/>
      <c r="K833" s="7"/>
    </row>
    <row r="834" spans="1:11" ht="14.25" hidden="1" customHeight="1">
      <c r="A834" s="68" t="s">
        <v>1348</v>
      </c>
      <c r="B834" s="68"/>
      <c r="C834" s="68"/>
      <c r="D834" s="69">
        <v>45651</v>
      </c>
      <c r="E834" s="68" t="s">
        <v>1195</v>
      </c>
      <c r="F834" s="58"/>
      <c r="G834" s="58">
        <v>2761866</v>
      </c>
      <c r="H834" s="70" t="s">
        <v>1349</v>
      </c>
      <c r="I834" s="7"/>
      <c r="J834" s="69"/>
      <c r="K834" s="7" t="s">
        <v>1350</v>
      </c>
    </row>
    <row r="835" spans="1:11" ht="14.25" hidden="1" customHeight="1">
      <c r="A835" s="68" t="s">
        <v>1351</v>
      </c>
      <c r="B835" s="68"/>
      <c r="C835" s="68"/>
      <c r="D835" s="69">
        <v>45651</v>
      </c>
      <c r="E835" s="68" t="s">
        <v>1195</v>
      </c>
      <c r="F835" s="58"/>
      <c r="G835" s="58">
        <v>138094</v>
      </c>
      <c r="H835" s="70" t="s">
        <v>1349</v>
      </c>
      <c r="I835" s="7"/>
      <c r="J835" s="69"/>
      <c r="K835" s="7" t="s">
        <v>1352</v>
      </c>
    </row>
    <row r="836" spans="1:11" ht="14.25" hidden="1" customHeight="1">
      <c r="A836" s="68" t="s">
        <v>1353</v>
      </c>
      <c r="B836" s="68"/>
      <c r="C836" s="68"/>
      <c r="D836" s="69">
        <v>45305</v>
      </c>
      <c r="E836" s="68" t="s">
        <v>1195</v>
      </c>
      <c r="F836" s="58"/>
      <c r="G836" s="58">
        <v>111906</v>
      </c>
      <c r="H836" s="70" t="s">
        <v>1349</v>
      </c>
      <c r="I836" s="7"/>
      <c r="J836" s="69"/>
      <c r="K836" s="7" t="s">
        <v>1354</v>
      </c>
    </row>
    <row r="837" spans="1:11" ht="14.25" hidden="1" customHeight="1">
      <c r="A837" s="68" t="s">
        <v>1355</v>
      </c>
      <c r="B837" s="68"/>
      <c r="C837" s="68"/>
      <c r="D837" s="69">
        <v>45305</v>
      </c>
      <c r="E837" s="68" t="s">
        <v>1195</v>
      </c>
      <c r="F837" s="69"/>
      <c r="G837" s="58">
        <v>2238134</v>
      </c>
      <c r="H837" s="70" t="s">
        <v>1349</v>
      </c>
      <c r="I837" s="7"/>
      <c r="J837" s="69"/>
      <c r="K837" s="7" t="s">
        <v>1356</v>
      </c>
    </row>
    <row r="838" spans="1:11" ht="14.25" hidden="1" customHeight="1">
      <c r="A838" s="14" t="s">
        <v>907</v>
      </c>
      <c r="B838" s="68"/>
      <c r="C838" s="68"/>
      <c r="D838" s="69">
        <v>45653</v>
      </c>
      <c r="E838" s="68">
        <v>866</v>
      </c>
      <c r="F838" s="69">
        <v>45653</v>
      </c>
      <c r="G838" s="58">
        <v>110256</v>
      </c>
      <c r="H838" s="70" t="s">
        <v>1100</v>
      </c>
      <c r="I838" s="7">
        <f ca="1">IF(OR(H838="Pagado",H838="Anulada"),0,IF(ISNUMBER(E838),TODAY()-F838,TODAY()-#REF!))</f>
        <v>0</v>
      </c>
      <c r="J838" s="71"/>
      <c r="K838" s="7"/>
    </row>
    <row r="839" spans="1:11" ht="14.25" hidden="1" customHeight="1">
      <c r="A839" s="68" t="s">
        <v>1285</v>
      </c>
      <c r="B839" s="68"/>
      <c r="C839" s="68"/>
      <c r="D839" s="69">
        <v>45656</v>
      </c>
      <c r="E839" s="68">
        <v>869</v>
      </c>
      <c r="F839" s="69">
        <v>45656</v>
      </c>
      <c r="G839" s="58">
        <v>121272</v>
      </c>
      <c r="H839" s="70" t="s">
        <v>1100</v>
      </c>
      <c r="I839" s="7">
        <f t="shared" ref="I839:I857" ca="1" si="6">IF(OR(H839="Pagado",H839="Anulada"),0,IF(ISNUMBER(E839),TODAY()-D839,TODAY()-F839))</f>
        <v>0</v>
      </c>
      <c r="J839" s="71"/>
      <c r="K839" s="7"/>
    </row>
    <row r="840" spans="1:11" ht="14.25" hidden="1" customHeight="1">
      <c r="A840" s="68" t="s">
        <v>1357</v>
      </c>
      <c r="B840" s="68"/>
      <c r="C840" s="68"/>
      <c r="D840" s="69">
        <v>45656</v>
      </c>
      <c r="E840" s="68">
        <v>867</v>
      </c>
      <c r="F840" s="99">
        <v>45657</v>
      </c>
      <c r="G840" s="58">
        <v>320425</v>
      </c>
      <c r="H840" s="70" t="s">
        <v>1100</v>
      </c>
      <c r="I840" s="7">
        <f t="shared" ca="1" si="6"/>
        <v>0</v>
      </c>
      <c r="J840" s="86"/>
      <c r="K840" s="7"/>
    </row>
    <row r="841" spans="1:11" ht="14.25" hidden="1" customHeight="1">
      <c r="A841" s="68" t="s">
        <v>143</v>
      </c>
      <c r="B841" s="68"/>
      <c r="C841" s="68"/>
      <c r="D841" s="69">
        <v>45656</v>
      </c>
      <c r="E841" s="68">
        <v>870</v>
      </c>
      <c r="F841" s="69">
        <v>45656</v>
      </c>
      <c r="G841" s="58">
        <v>88189</v>
      </c>
      <c r="H841" s="70" t="s">
        <v>1100</v>
      </c>
      <c r="I841" s="7">
        <f t="shared" ca="1" si="6"/>
        <v>0</v>
      </c>
      <c r="J841" s="71"/>
      <c r="K841" s="7"/>
    </row>
    <row r="842" spans="1:11" ht="14.25" customHeight="1">
      <c r="A842" s="68" t="s">
        <v>1358</v>
      </c>
      <c r="B842" s="68"/>
      <c r="C842" s="68"/>
      <c r="D842" s="69">
        <v>45656</v>
      </c>
      <c r="E842" s="68">
        <v>871</v>
      </c>
      <c r="F842" s="69">
        <v>45656</v>
      </c>
      <c r="G842" s="58">
        <v>150619</v>
      </c>
      <c r="H842" s="70" t="s">
        <v>1267</v>
      </c>
      <c r="I842" s="7">
        <f t="shared" ca="1" si="6"/>
        <v>143</v>
      </c>
      <c r="J842" s="71" t="str">
        <f>LOOKUP(A842,'Base Clientes'!B:B,'Base Clientes'!D:D)</f>
        <v xml:space="preserve">Fsmorande@gmail.com
</v>
      </c>
      <c r="K842" s="7"/>
    </row>
    <row r="843" spans="1:11" ht="14.25" hidden="1" customHeight="1">
      <c r="A843" s="68" t="s">
        <v>925</v>
      </c>
      <c r="B843" s="68"/>
      <c r="C843" s="68"/>
      <c r="D843" s="69">
        <v>45656</v>
      </c>
      <c r="E843" s="68">
        <v>872</v>
      </c>
      <c r="F843" s="69">
        <v>45656</v>
      </c>
      <c r="G843" s="58">
        <v>101231</v>
      </c>
      <c r="H843" s="70" t="s">
        <v>1100</v>
      </c>
      <c r="I843" s="7">
        <f t="shared" ca="1" si="6"/>
        <v>0</v>
      </c>
      <c r="J843" s="71"/>
      <c r="K843" s="7"/>
    </row>
    <row r="844" spans="1:11" ht="14.25" hidden="1" customHeight="1">
      <c r="A844" s="68" t="s">
        <v>126</v>
      </c>
      <c r="B844" s="68"/>
      <c r="C844" s="68"/>
      <c r="D844" s="69">
        <v>45657</v>
      </c>
      <c r="E844" s="68">
        <v>873</v>
      </c>
      <c r="F844" s="69">
        <v>45657</v>
      </c>
      <c r="G844" s="58">
        <v>311785</v>
      </c>
      <c r="H844" s="70" t="s">
        <v>1100</v>
      </c>
      <c r="I844" s="7">
        <f t="shared" ca="1" si="6"/>
        <v>0</v>
      </c>
      <c r="J844" s="71"/>
      <c r="K844" s="7"/>
    </row>
    <row r="845" spans="1:11" ht="14.25" hidden="1" customHeight="1">
      <c r="A845" s="68" t="s">
        <v>440</v>
      </c>
      <c r="B845" s="68"/>
      <c r="C845" s="68"/>
      <c r="D845" s="69">
        <v>45657</v>
      </c>
      <c r="E845" s="68">
        <v>874</v>
      </c>
      <c r="F845" s="100">
        <v>45661</v>
      </c>
      <c r="G845" s="58">
        <v>111942</v>
      </c>
      <c r="H845" s="70" t="s">
        <v>1100</v>
      </c>
      <c r="I845" s="7">
        <f t="shared" ca="1" si="6"/>
        <v>0</v>
      </c>
      <c r="J845" s="71"/>
      <c r="K845" s="7"/>
    </row>
    <row r="846" spans="1:11" ht="14.25" hidden="1" customHeight="1">
      <c r="A846" s="68" t="s">
        <v>1359</v>
      </c>
      <c r="B846" s="68"/>
      <c r="C846" s="68"/>
      <c r="D846" s="69">
        <v>45657</v>
      </c>
      <c r="E846" s="68" t="s">
        <v>1293</v>
      </c>
      <c r="F846" s="58"/>
      <c r="G846" s="58">
        <v>237606</v>
      </c>
      <c r="H846" s="70" t="s">
        <v>1100</v>
      </c>
      <c r="I846" s="7">
        <f t="shared" ca="1" si="6"/>
        <v>0</v>
      </c>
      <c r="J846" s="71"/>
      <c r="K846" s="7"/>
    </row>
    <row r="847" spans="1:11" ht="14.25" hidden="1" customHeight="1">
      <c r="A847" s="68" t="s">
        <v>1360</v>
      </c>
      <c r="B847" s="68"/>
      <c r="C847" s="68"/>
      <c r="D847" s="69">
        <v>45659</v>
      </c>
      <c r="E847" s="68">
        <v>875</v>
      </c>
      <c r="F847" s="69"/>
      <c r="G847" s="58">
        <v>345100</v>
      </c>
      <c r="H847" s="70" t="s">
        <v>1100</v>
      </c>
      <c r="I847" s="7">
        <f t="shared" ca="1" si="6"/>
        <v>0</v>
      </c>
      <c r="J847" s="71"/>
      <c r="K847" s="7"/>
    </row>
    <row r="848" spans="1:11" ht="14.25" hidden="1" customHeight="1">
      <c r="A848" s="68" t="s">
        <v>907</v>
      </c>
      <c r="B848" s="68"/>
      <c r="C848" s="68"/>
      <c r="D848" s="69">
        <v>45659</v>
      </c>
      <c r="E848" s="68">
        <v>876</v>
      </c>
      <c r="F848" s="69">
        <v>45659</v>
      </c>
      <c r="G848" s="58">
        <v>312633</v>
      </c>
      <c r="H848" s="70" t="s">
        <v>1100</v>
      </c>
      <c r="I848" s="7">
        <f t="shared" ca="1" si="6"/>
        <v>0</v>
      </c>
      <c r="J848" s="71"/>
      <c r="K848" s="7"/>
    </row>
    <row r="849" spans="1:11" ht="14.25" hidden="1" customHeight="1">
      <c r="A849" s="68" t="s">
        <v>440</v>
      </c>
      <c r="B849" s="68"/>
      <c r="C849" s="68"/>
      <c r="D849" s="69">
        <v>45663</v>
      </c>
      <c r="E849" s="68">
        <v>877</v>
      </c>
      <c r="F849" s="58"/>
      <c r="G849" s="58">
        <v>20958</v>
      </c>
      <c r="H849" s="70" t="s">
        <v>1177</v>
      </c>
      <c r="I849" s="7">
        <f t="shared" ca="1" si="6"/>
        <v>0</v>
      </c>
      <c r="J849" s="71"/>
      <c r="K849" s="7" t="s">
        <v>1361</v>
      </c>
    </row>
    <row r="850" spans="1:11" ht="14.25" hidden="1" customHeight="1">
      <c r="A850" s="68" t="s">
        <v>1248</v>
      </c>
      <c r="B850" s="68"/>
      <c r="C850" s="68"/>
      <c r="D850" s="69">
        <v>45663</v>
      </c>
      <c r="E850" s="68">
        <v>878</v>
      </c>
      <c r="F850" s="69">
        <v>45666</v>
      </c>
      <c r="G850" s="58">
        <v>124858</v>
      </c>
      <c r="H850" s="70" t="s">
        <v>1044</v>
      </c>
      <c r="I850" s="7">
        <f t="shared" ca="1" si="6"/>
        <v>0</v>
      </c>
      <c r="J850" s="71"/>
      <c r="K850" s="7"/>
    </row>
    <row r="851" spans="1:11" ht="14.25" hidden="1" customHeight="1">
      <c r="A851" s="68" t="s">
        <v>126</v>
      </c>
      <c r="B851" s="68"/>
      <c r="C851" s="68"/>
      <c r="D851" s="69">
        <v>45664</v>
      </c>
      <c r="E851" s="68">
        <v>879</v>
      </c>
      <c r="F851" s="69">
        <v>45664</v>
      </c>
      <c r="G851" s="58">
        <v>92427</v>
      </c>
      <c r="H851" s="70" t="s">
        <v>1100</v>
      </c>
      <c r="I851" s="7">
        <f t="shared" ca="1" si="6"/>
        <v>0</v>
      </c>
      <c r="J851" s="71"/>
      <c r="K851" s="7"/>
    </row>
    <row r="852" spans="1:11" ht="14.25" hidden="1" customHeight="1">
      <c r="A852" s="14" t="s">
        <v>440</v>
      </c>
      <c r="B852" s="68"/>
      <c r="C852" s="68"/>
      <c r="D852" s="69">
        <v>45664</v>
      </c>
      <c r="E852" s="68">
        <v>880</v>
      </c>
      <c r="F852" s="100">
        <v>45661</v>
      </c>
      <c r="G852" s="58">
        <v>17612</v>
      </c>
      <c r="H852" s="70" t="s">
        <v>1100</v>
      </c>
      <c r="I852" s="7">
        <f t="shared" ca="1" si="6"/>
        <v>0</v>
      </c>
      <c r="J852" s="71"/>
      <c r="K852" s="7"/>
    </row>
    <row r="853" spans="1:11" ht="14.25" hidden="1" customHeight="1">
      <c r="A853" s="68" t="s">
        <v>907</v>
      </c>
      <c r="B853" s="68"/>
      <c r="C853" s="68"/>
      <c r="D853" s="69">
        <v>45664</v>
      </c>
      <c r="E853" s="68">
        <v>881</v>
      </c>
      <c r="F853" s="69">
        <v>45664</v>
      </c>
      <c r="G853" s="58">
        <v>633636</v>
      </c>
      <c r="H853" s="70" t="s">
        <v>1100</v>
      </c>
      <c r="I853" s="7">
        <f t="shared" ca="1" si="6"/>
        <v>0</v>
      </c>
      <c r="J853" s="71"/>
      <c r="K853" s="7"/>
    </row>
    <row r="854" spans="1:11" ht="14.25" hidden="1" customHeight="1">
      <c r="A854" s="68" t="s">
        <v>1280</v>
      </c>
      <c r="B854" s="68"/>
      <c r="C854" s="68"/>
      <c r="D854" s="69">
        <v>45664</v>
      </c>
      <c r="E854" s="68">
        <v>882</v>
      </c>
      <c r="F854" s="58"/>
      <c r="G854" s="58">
        <v>157734</v>
      </c>
      <c r="H854" s="70" t="s">
        <v>1100</v>
      </c>
      <c r="I854" s="7">
        <f t="shared" ca="1" si="6"/>
        <v>0</v>
      </c>
      <c r="J854" s="71"/>
      <c r="K854" s="7"/>
    </row>
    <row r="855" spans="1:11" ht="14.25" hidden="1" customHeight="1">
      <c r="A855" s="14" t="s">
        <v>925</v>
      </c>
      <c r="B855" s="68"/>
      <c r="C855" s="68"/>
      <c r="D855" s="69">
        <v>45666</v>
      </c>
      <c r="E855" s="68">
        <v>883</v>
      </c>
      <c r="F855" s="69">
        <v>45665</v>
      </c>
      <c r="G855" s="58">
        <v>213867</v>
      </c>
      <c r="H855" s="70" t="s">
        <v>1100</v>
      </c>
      <c r="I855" s="7">
        <f t="shared" ca="1" si="6"/>
        <v>0</v>
      </c>
      <c r="J855" s="71"/>
      <c r="K855" s="7"/>
    </row>
    <row r="856" spans="1:11" ht="14.25" hidden="1" customHeight="1">
      <c r="A856" s="68" t="s">
        <v>1362</v>
      </c>
      <c r="B856" s="68"/>
      <c r="C856" s="68"/>
      <c r="D856" s="69">
        <v>45303</v>
      </c>
      <c r="E856" s="68" t="s">
        <v>1293</v>
      </c>
      <c r="F856" s="69">
        <v>45671</v>
      </c>
      <c r="G856" s="58">
        <v>214000</v>
      </c>
      <c r="H856" s="70" t="s">
        <v>1100</v>
      </c>
      <c r="I856" s="7">
        <f t="shared" ca="1" si="6"/>
        <v>0</v>
      </c>
      <c r="J856" s="69"/>
      <c r="K856" s="7"/>
    </row>
    <row r="857" spans="1:11" ht="14.25" customHeight="1">
      <c r="A857" s="68" t="s">
        <v>1363</v>
      </c>
      <c r="B857" s="68"/>
      <c r="C857" s="68"/>
      <c r="D857" s="69">
        <v>45671</v>
      </c>
      <c r="E857" s="68">
        <v>884</v>
      </c>
      <c r="F857" s="58"/>
      <c r="G857" s="58">
        <v>126694</v>
      </c>
      <c r="H857" s="70" t="s">
        <v>1267</v>
      </c>
      <c r="I857" s="7">
        <f t="shared" ca="1" si="6"/>
        <v>128</v>
      </c>
      <c r="J857" s="71" t="str">
        <f>LOOKUP(A857,'Base Clientes'!B:B,'Base Clientes'!D:D)</f>
        <v xml:space="preserve">Fsmorande@gmail.com
</v>
      </c>
      <c r="K857" s="7"/>
    </row>
    <row r="858" spans="1:11" ht="14.25" hidden="1" customHeight="1">
      <c r="A858" s="68" t="s">
        <v>937</v>
      </c>
      <c r="B858" s="68"/>
      <c r="C858" s="68"/>
      <c r="D858" s="69">
        <v>45671</v>
      </c>
      <c r="E858" s="68">
        <v>885</v>
      </c>
      <c r="G858" s="58">
        <v>292897</v>
      </c>
      <c r="H858" s="70" t="s">
        <v>1177</v>
      </c>
      <c r="I858" s="7">
        <f ca="1">IF(OR(H858="Pagado",H858="Anulada"),0,IF(ISNUMBER(E858),TODAY()-D858,TODAY()-F867))</f>
        <v>0</v>
      </c>
      <c r="J858" s="71"/>
      <c r="K858" s="7"/>
    </row>
    <row r="859" spans="1:11" ht="14.25" hidden="1" customHeight="1">
      <c r="A859" s="68" t="s">
        <v>1364</v>
      </c>
      <c r="B859" s="68"/>
      <c r="C859" s="68"/>
      <c r="D859" s="69">
        <v>45671</v>
      </c>
      <c r="E859" s="68">
        <v>886</v>
      </c>
      <c r="F859" s="69">
        <v>45674</v>
      </c>
      <c r="G859" s="58">
        <v>123842</v>
      </c>
      <c r="H859" s="70" t="s">
        <v>1100</v>
      </c>
      <c r="I859" s="7">
        <f t="shared" ref="I859:I866" ca="1" si="7">IF(OR(H859="Pagado",H859="Anulada"),0,IF(ISNUMBER(E859),TODAY()-D859,TODAY()-F859))</f>
        <v>0</v>
      </c>
      <c r="J859" s="71"/>
      <c r="K859" s="7"/>
    </row>
    <row r="860" spans="1:11" ht="14.25" hidden="1" customHeight="1">
      <c r="A860" s="68" t="s">
        <v>1219</v>
      </c>
      <c r="B860" s="68"/>
      <c r="C860" s="68"/>
      <c r="D860" s="69">
        <v>45671</v>
      </c>
      <c r="E860" s="68">
        <v>887</v>
      </c>
      <c r="F860" s="69">
        <v>45674</v>
      </c>
      <c r="G860" s="58">
        <v>309704</v>
      </c>
      <c r="H860" s="70" t="s">
        <v>1100</v>
      </c>
      <c r="I860" s="7">
        <f t="shared" ca="1" si="7"/>
        <v>0</v>
      </c>
      <c r="J860" s="71"/>
      <c r="K860" s="7"/>
    </row>
    <row r="861" spans="1:11" ht="14.25" hidden="1" customHeight="1">
      <c r="A861" s="68" t="s">
        <v>925</v>
      </c>
      <c r="B861" s="68"/>
      <c r="C861" s="68"/>
      <c r="D861" s="69">
        <v>45673</v>
      </c>
      <c r="E861" s="68">
        <v>889</v>
      </c>
      <c r="F861" s="69">
        <v>45672</v>
      </c>
      <c r="G861" s="58">
        <v>213867</v>
      </c>
      <c r="H861" s="70" t="s">
        <v>1100</v>
      </c>
      <c r="I861" s="7">
        <f t="shared" ca="1" si="7"/>
        <v>0</v>
      </c>
      <c r="J861" s="71"/>
      <c r="K861" s="7"/>
    </row>
    <row r="862" spans="1:11" ht="14.25" hidden="1" customHeight="1">
      <c r="A862" s="68" t="s">
        <v>907</v>
      </c>
      <c r="B862" s="68"/>
      <c r="C862" s="68"/>
      <c r="D862" s="69">
        <v>45673</v>
      </c>
      <c r="E862" s="68">
        <v>888</v>
      </c>
      <c r="F862" s="69">
        <v>45672</v>
      </c>
      <c r="G862" s="58">
        <v>559080</v>
      </c>
      <c r="H862" s="70" t="s">
        <v>1100</v>
      </c>
      <c r="I862" s="7">
        <f t="shared" ca="1" si="7"/>
        <v>0</v>
      </c>
      <c r="J862" s="71"/>
      <c r="K862" s="7"/>
    </row>
    <row r="863" spans="1:11" ht="14.25" hidden="1" customHeight="1">
      <c r="A863" s="68" t="s">
        <v>126</v>
      </c>
      <c r="B863" s="68"/>
      <c r="C863" s="68"/>
      <c r="D863" s="69">
        <v>45673</v>
      </c>
      <c r="E863" s="68">
        <v>890</v>
      </c>
      <c r="F863" s="69">
        <v>45673</v>
      </c>
      <c r="G863" s="58">
        <v>156339</v>
      </c>
      <c r="H863" s="70" t="s">
        <v>1100</v>
      </c>
      <c r="I863" s="7">
        <f t="shared" ca="1" si="7"/>
        <v>0</v>
      </c>
      <c r="J863" s="71"/>
      <c r="K863" s="7"/>
    </row>
    <row r="864" spans="1:11" ht="14.25" customHeight="1">
      <c r="A864" s="68" t="s">
        <v>143</v>
      </c>
      <c r="B864" s="68"/>
      <c r="C864" s="68"/>
      <c r="D864" s="69">
        <v>45673</v>
      </c>
      <c r="E864" s="68">
        <v>891</v>
      </c>
      <c r="F864" s="69">
        <v>45673</v>
      </c>
      <c r="G864" s="58">
        <v>63414</v>
      </c>
      <c r="H864" s="70" t="s">
        <v>1267</v>
      </c>
      <c r="I864" s="7">
        <f t="shared" ca="1" si="7"/>
        <v>126</v>
      </c>
      <c r="J864" s="71" t="str">
        <f>LOOKUP(A864,'Base Clientes'!B:B,'Base Clientes'!D:D)</f>
        <v>inversionesgypspa@gmail.com</v>
      </c>
      <c r="K864" s="7"/>
    </row>
    <row r="865" spans="1:11" ht="14.25" hidden="1" customHeight="1">
      <c r="A865" s="68" t="s">
        <v>360</v>
      </c>
      <c r="B865" s="68"/>
      <c r="C865" s="68"/>
      <c r="D865" s="69">
        <v>45675</v>
      </c>
      <c r="E865" s="68">
        <v>892</v>
      </c>
      <c r="F865" s="69">
        <v>45674</v>
      </c>
      <c r="G865" s="58">
        <v>221950</v>
      </c>
      <c r="H865" s="70" t="s">
        <v>1100</v>
      </c>
      <c r="I865" s="7">
        <f t="shared" ca="1" si="7"/>
        <v>0</v>
      </c>
      <c r="J865" s="71"/>
      <c r="K865" s="7"/>
    </row>
    <row r="866" spans="1:11" ht="14.25" hidden="1" customHeight="1">
      <c r="A866" s="68" t="s">
        <v>925</v>
      </c>
      <c r="B866" s="68"/>
      <c r="C866" s="68"/>
      <c r="D866" s="69">
        <v>45675</v>
      </c>
      <c r="E866" s="68">
        <v>893</v>
      </c>
      <c r="F866" s="69">
        <v>45676</v>
      </c>
      <c r="G866" s="58">
        <v>213867</v>
      </c>
      <c r="H866" s="70" t="s">
        <v>1100</v>
      </c>
      <c r="I866" s="7">
        <f t="shared" ca="1" si="7"/>
        <v>0</v>
      </c>
      <c r="J866" s="71"/>
      <c r="K866" s="7"/>
    </row>
    <row r="867" spans="1:11" ht="14.25" hidden="1" customHeight="1">
      <c r="A867" s="68" t="s">
        <v>937</v>
      </c>
      <c r="B867" s="68"/>
      <c r="C867" s="68"/>
      <c r="D867" s="69">
        <v>45679</v>
      </c>
      <c r="E867" s="68">
        <v>894</v>
      </c>
      <c r="F867" s="69">
        <v>45675</v>
      </c>
      <c r="G867" s="58">
        <v>221950</v>
      </c>
      <c r="H867" s="70" t="s">
        <v>1177</v>
      </c>
      <c r="I867" s="7">
        <f ca="1">IF(OR(H867="Pagado",H867="Anulada"),0,IF(ISNUMBER(E867),TODAY()-D867,TODAY()-#REF!))</f>
        <v>0</v>
      </c>
      <c r="J867" s="71"/>
      <c r="K867" s="7"/>
    </row>
    <row r="868" spans="1:11" ht="14.25" hidden="1" customHeight="1">
      <c r="A868" s="14" t="s">
        <v>944</v>
      </c>
      <c r="B868" s="68"/>
      <c r="C868" s="68"/>
      <c r="D868" s="69">
        <v>45679</v>
      </c>
      <c r="E868" s="68">
        <v>895</v>
      </c>
      <c r="F868" s="69">
        <v>45679</v>
      </c>
      <c r="G868" s="58">
        <v>187453</v>
      </c>
      <c r="H868" s="70" t="s">
        <v>1100</v>
      </c>
      <c r="I868" s="7">
        <f t="shared" ref="I868:I888" ca="1" si="8">IF(OR(H868="Pagado",H868="Anulada"),0,IF(ISNUMBER(E868),TODAY()-D868,TODAY()-F868))</f>
        <v>0</v>
      </c>
      <c r="J868" s="71"/>
      <c r="K868" s="7"/>
    </row>
    <row r="869" spans="1:11" ht="14.25" customHeight="1">
      <c r="A869" s="14" t="s">
        <v>1270</v>
      </c>
      <c r="B869" s="68"/>
      <c r="C869" s="68"/>
      <c r="D869" s="69">
        <v>45680</v>
      </c>
      <c r="E869" s="68">
        <v>896</v>
      </c>
      <c r="F869" s="69">
        <v>45682</v>
      </c>
      <c r="G869" s="58">
        <v>131013</v>
      </c>
      <c r="H869" s="70" t="s">
        <v>1267</v>
      </c>
      <c r="I869" s="7">
        <f t="shared" ca="1" si="8"/>
        <v>119</v>
      </c>
      <c r="J869" s="71" t="str">
        <f>LOOKUP(A869,'Base Clientes'!B:B,'Base Clientes'!D:D)</f>
        <v xml:space="preserve">Fsmorande@gmail.com
</v>
      </c>
      <c r="K869" s="7"/>
    </row>
    <row r="870" spans="1:11" ht="14.25" hidden="1" customHeight="1">
      <c r="A870" s="68" t="s">
        <v>226</v>
      </c>
      <c r="B870" s="68"/>
      <c r="C870" s="68"/>
      <c r="D870" s="69">
        <v>45684</v>
      </c>
      <c r="E870" s="68">
        <v>897</v>
      </c>
      <c r="F870" s="69">
        <v>45680</v>
      </c>
      <c r="G870" s="58">
        <v>193033</v>
      </c>
      <c r="H870" s="70" t="s">
        <v>1100</v>
      </c>
      <c r="I870" s="7">
        <f t="shared" ca="1" si="8"/>
        <v>0</v>
      </c>
      <c r="J870" s="71"/>
      <c r="K870" s="7"/>
    </row>
    <row r="871" spans="1:11" ht="14.25" hidden="1" customHeight="1">
      <c r="A871" s="68" t="s">
        <v>1052</v>
      </c>
      <c r="D871" s="69">
        <v>45685</v>
      </c>
      <c r="E871" s="68">
        <v>900</v>
      </c>
      <c r="F871" s="69"/>
      <c r="G871" s="58">
        <v>123388</v>
      </c>
      <c r="H871" s="70" t="s">
        <v>1100</v>
      </c>
      <c r="I871" s="7">
        <f t="shared" ca="1" si="8"/>
        <v>0</v>
      </c>
      <c r="J871" s="71"/>
      <c r="K871" s="7">
        <f>4.5*48</f>
        <v>216</v>
      </c>
    </row>
    <row r="872" spans="1:11" ht="14.25" hidden="1" customHeight="1">
      <c r="A872" s="68" t="s">
        <v>1285</v>
      </c>
      <c r="B872" s="68"/>
      <c r="C872" s="68"/>
      <c r="D872" s="69">
        <v>45685</v>
      </c>
      <c r="E872" s="68">
        <v>898</v>
      </c>
      <c r="F872" s="58"/>
      <c r="G872" s="58">
        <v>125520</v>
      </c>
      <c r="H872" s="70" t="s">
        <v>1100</v>
      </c>
      <c r="I872" s="7">
        <f t="shared" ca="1" si="8"/>
        <v>0</v>
      </c>
      <c r="J872" s="71"/>
      <c r="K872" s="7"/>
    </row>
    <row r="873" spans="1:11" ht="14.25" customHeight="1">
      <c r="A873" s="68" t="s">
        <v>470</v>
      </c>
      <c r="B873" s="68"/>
      <c r="C873" s="68"/>
      <c r="D873" s="69">
        <v>45685</v>
      </c>
      <c r="E873" s="68">
        <v>899</v>
      </c>
      <c r="F873" s="69"/>
      <c r="G873" s="58">
        <v>125433</v>
      </c>
      <c r="H873" s="70" t="s">
        <v>1267</v>
      </c>
      <c r="I873" s="7">
        <f t="shared" ca="1" si="8"/>
        <v>114</v>
      </c>
      <c r="J873" s="71" t="str">
        <f>LOOKUP(A873,'Base Clientes'!B:B,'Base Clientes'!D:D)</f>
        <v xml:space="preserve"> contacto@bodegaurriola.cl</v>
      </c>
      <c r="K873" s="7"/>
    </row>
    <row r="874" spans="1:11" ht="14.25" hidden="1" customHeight="1">
      <c r="A874" s="68" t="s">
        <v>1056</v>
      </c>
      <c r="B874" s="68"/>
      <c r="C874" s="68"/>
      <c r="D874" s="69">
        <v>45681</v>
      </c>
      <c r="E874" s="68" t="s">
        <v>1221</v>
      </c>
      <c r="F874" s="69">
        <v>45681</v>
      </c>
      <c r="G874" s="58">
        <v>175000</v>
      </c>
      <c r="H874" s="70" t="s">
        <v>1100</v>
      </c>
      <c r="I874" s="7">
        <f t="shared" ca="1" si="8"/>
        <v>0</v>
      </c>
      <c r="J874" s="71"/>
      <c r="K874" s="7"/>
    </row>
    <row r="875" spans="1:11" ht="14.25" hidden="1" customHeight="1">
      <c r="A875" s="68" t="s">
        <v>1272</v>
      </c>
      <c r="B875" s="68"/>
      <c r="C875" s="68"/>
      <c r="D875" s="69">
        <v>45686</v>
      </c>
      <c r="E875" s="68">
        <v>901</v>
      </c>
      <c r="F875" s="69"/>
      <c r="G875" s="58">
        <v>211501</v>
      </c>
      <c r="H875" s="70" t="s">
        <v>1100</v>
      </c>
      <c r="I875" s="7">
        <f t="shared" ca="1" si="8"/>
        <v>0</v>
      </c>
      <c r="J875" s="71"/>
      <c r="K875" s="7" t="s">
        <v>1365</v>
      </c>
    </row>
    <row r="876" spans="1:11" ht="14.25" hidden="1" customHeight="1">
      <c r="A876" s="68" t="s">
        <v>1235</v>
      </c>
      <c r="B876" s="68"/>
      <c r="C876" s="68"/>
      <c r="D876" s="69">
        <v>45687</v>
      </c>
      <c r="E876" s="68">
        <v>902</v>
      </c>
      <c r="F876" s="69">
        <v>45685</v>
      </c>
      <c r="G876" s="58">
        <v>154351</v>
      </c>
      <c r="H876" s="70" t="s">
        <v>1100</v>
      </c>
      <c r="I876" s="7">
        <f t="shared" ca="1" si="8"/>
        <v>0</v>
      </c>
      <c r="J876" s="71"/>
      <c r="K876" s="7"/>
    </row>
    <row r="877" spans="1:11" ht="14.25" hidden="1" customHeight="1">
      <c r="A877" s="15" t="s">
        <v>925</v>
      </c>
      <c r="B877" s="68"/>
      <c r="C877" s="68"/>
      <c r="D877" s="69">
        <v>45687</v>
      </c>
      <c r="E877" s="68">
        <v>903</v>
      </c>
      <c r="F877" s="69">
        <v>45685</v>
      </c>
      <c r="G877" s="58">
        <v>213867</v>
      </c>
      <c r="H877" s="70" t="s">
        <v>1100</v>
      </c>
      <c r="I877" s="7">
        <f t="shared" ca="1" si="8"/>
        <v>0</v>
      </c>
      <c r="J877" s="71"/>
      <c r="K877" s="7"/>
    </row>
    <row r="878" spans="1:11" ht="14.25" hidden="1" customHeight="1">
      <c r="A878" s="68" t="s">
        <v>907</v>
      </c>
      <c r="B878" s="68"/>
      <c r="C878" s="68"/>
      <c r="D878" s="69">
        <v>45687</v>
      </c>
      <c r="E878" s="68">
        <v>904</v>
      </c>
      <c r="F878" s="69">
        <v>45686</v>
      </c>
      <c r="G878" s="58">
        <v>441684</v>
      </c>
      <c r="H878" s="70" t="s">
        <v>1100</v>
      </c>
      <c r="I878" s="7">
        <f t="shared" ca="1" si="8"/>
        <v>0</v>
      </c>
      <c r="J878" s="71"/>
      <c r="K878" s="7"/>
    </row>
    <row r="879" spans="1:11" ht="14.25" hidden="1" customHeight="1">
      <c r="A879" s="68" t="s">
        <v>634</v>
      </c>
      <c r="B879" s="68"/>
      <c r="C879" s="68"/>
      <c r="D879" s="69">
        <v>45691</v>
      </c>
      <c r="E879" s="68">
        <v>905</v>
      </c>
      <c r="F879" s="58"/>
      <c r="G879" s="58">
        <v>128223</v>
      </c>
      <c r="H879" s="70" t="s">
        <v>1100</v>
      </c>
      <c r="I879" s="7">
        <f t="shared" ca="1" si="8"/>
        <v>0</v>
      </c>
      <c r="J879" s="71"/>
      <c r="K879" s="7"/>
    </row>
    <row r="880" spans="1:11" ht="14.25" customHeight="1">
      <c r="A880" s="68" t="s">
        <v>1120</v>
      </c>
      <c r="B880" s="68"/>
      <c r="C880" s="68"/>
      <c r="D880" s="69">
        <v>45691</v>
      </c>
      <c r="E880" s="68">
        <v>906</v>
      </c>
      <c r="F880" s="58"/>
      <c r="G880" s="58">
        <v>125930</v>
      </c>
      <c r="H880" s="70" t="s">
        <v>1267</v>
      </c>
      <c r="I880" s="7">
        <f t="shared" ca="1" si="8"/>
        <v>108</v>
      </c>
      <c r="J880" s="71" t="str">
        <f>LOOKUP(A880,'Base Clientes'!B:B,'Base Clientes'!D:D)</f>
        <v>Isidora.rebolledop@gmail.com</v>
      </c>
      <c r="K880" s="7"/>
    </row>
    <row r="881" spans="1:11" ht="14.25" hidden="1" customHeight="1">
      <c r="A881" s="68" t="s">
        <v>126</v>
      </c>
      <c r="B881" s="68"/>
      <c r="C881" s="68"/>
      <c r="D881" s="69">
        <v>45691</v>
      </c>
      <c r="E881" s="68">
        <v>907</v>
      </c>
      <c r="F881" s="58"/>
      <c r="G881" s="58">
        <v>399447</v>
      </c>
      <c r="H881" s="70" t="s">
        <v>1100</v>
      </c>
      <c r="I881" s="7">
        <f t="shared" ca="1" si="8"/>
        <v>0</v>
      </c>
      <c r="J881" s="71"/>
      <c r="K881" s="7"/>
    </row>
    <row r="882" spans="1:11" ht="14.25" customHeight="1">
      <c r="A882" s="68" t="s">
        <v>1088</v>
      </c>
      <c r="B882" s="68"/>
      <c r="C882" s="68"/>
      <c r="D882" s="69">
        <v>45691</v>
      </c>
      <c r="E882" s="68">
        <v>908</v>
      </c>
      <c r="F882" s="69">
        <v>45691</v>
      </c>
      <c r="G882" s="58">
        <v>226135</v>
      </c>
      <c r="H882" s="70" t="s">
        <v>1267</v>
      </c>
      <c r="I882" s="7">
        <f t="shared" ca="1" si="8"/>
        <v>108</v>
      </c>
      <c r="J882" s="71" t="str">
        <f>LOOKUP(A882,'Base Clientes'!B:B,'Base Clientes'!D:D)</f>
        <v xml:space="preserve">luis_jc6@hotmail.com </v>
      </c>
      <c r="K882" s="7"/>
    </row>
    <row r="883" spans="1:11" ht="14.25" customHeight="1">
      <c r="A883" s="14" t="s">
        <v>143</v>
      </c>
      <c r="B883" s="68"/>
      <c r="C883" s="68"/>
      <c r="D883" s="69">
        <v>45691</v>
      </c>
      <c r="E883" s="68">
        <v>909</v>
      </c>
      <c r="F883" s="69"/>
      <c r="G883" s="58">
        <v>99306</v>
      </c>
      <c r="H883" s="70" t="s">
        <v>1267</v>
      </c>
      <c r="I883" s="7">
        <f t="shared" ca="1" si="8"/>
        <v>108</v>
      </c>
      <c r="J883" s="71" t="str">
        <f>LOOKUP(A883,'Base Clientes'!B:B,'Base Clientes'!D:D)</f>
        <v>inversionesgypspa@gmail.com</v>
      </c>
      <c r="K883" s="7"/>
    </row>
    <row r="884" spans="1:11" ht="14.25" hidden="1" customHeight="1">
      <c r="A884" s="14" t="s">
        <v>1345</v>
      </c>
      <c r="B884" s="68"/>
      <c r="C884" s="68"/>
      <c r="D884" s="69">
        <v>45692</v>
      </c>
      <c r="E884" s="68">
        <v>910</v>
      </c>
      <c r="F884" s="58"/>
      <c r="G884" s="58">
        <v>186555</v>
      </c>
      <c r="H884" s="70" t="s">
        <v>1100</v>
      </c>
      <c r="I884" s="7">
        <f t="shared" ca="1" si="8"/>
        <v>0</v>
      </c>
      <c r="J884" s="71"/>
      <c r="K884" s="7"/>
    </row>
    <row r="885" spans="1:11" ht="14.25" customHeight="1">
      <c r="A885" s="68" t="s">
        <v>883</v>
      </c>
      <c r="B885" s="68"/>
      <c r="C885" s="68"/>
      <c r="D885" s="69">
        <v>45692</v>
      </c>
      <c r="E885" s="68">
        <v>911</v>
      </c>
      <c r="F885" s="58"/>
      <c r="G885" s="58">
        <v>145786</v>
      </c>
      <c r="H885" s="70" t="s">
        <v>1267</v>
      </c>
      <c r="I885" s="7">
        <f t="shared" ca="1" si="8"/>
        <v>107</v>
      </c>
      <c r="J885" s="71" t="str">
        <f>LOOKUP(A885,'Base Clientes'!B:B,'Base Clientes'!D:D)</f>
        <v xml:space="preserve">Fsmorande@gmail.com
</v>
      </c>
      <c r="K885" s="7"/>
    </row>
    <row r="886" spans="1:11" ht="14.25" customHeight="1">
      <c r="A886" s="68" t="s">
        <v>251</v>
      </c>
      <c r="B886" s="68"/>
      <c r="C886" s="68"/>
      <c r="D886" s="69">
        <v>45692</v>
      </c>
      <c r="E886" s="68">
        <v>912</v>
      </c>
      <c r="F886" s="58"/>
      <c r="G886" s="58">
        <v>263021</v>
      </c>
      <c r="H886" s="70" t="s">
        <v>1267</v>
      </c>
      <c r="I886" s="7">
        <f t="shared" ca="1" si="8"/>
        <v>107</v>
      </c>
      <c r="J886" s="71" t="str">
        <f>LOOKUP(A886,'Base Clientes'!B:B,'Base Clientes'!D:D)</f>
        <v xml:space="preserve"> contacto@bodegaurriola.cl</v>
      </c>
      <c r="K886" s="7"/>
    </row>
    <row r="887" spans="1:11" ht="14.25" hidden="1" customHeight="1">
      <c r="A887" s="14" t="s">
        <v>1315</v>
      </c>
      <c r="B887" s="68"/>
      <c r="C887" s="68"/>
      <c r="D887" s="69">
        <v>45692</v>
      </c>
      <c r="E887" s="68">
        <v>913</v>
      </c>
      <c r="F887" s="58"/>
      <c r="G887" s="58">
        <v>130315</v>
      </c>
      <c r="H887" s="70" t="s">
        <v>1100</v>
      </c>
      <c r="I887" s="7">
        <f t="shared" ca="1" si="8"/>
        <v>0</v>
      </c>
      <c r="J887" s="71"/>
      <c r="K887" s="7"/>
    </row>
    <row r="888" spans="1:11" ht="14.25" hidden="1" customHeight="1">
      <c r="A888" s="14" t="s">
        <v>925</v>
      </c>
      <c r="B888" s="68"/>
      <c r="C888" s="68"/>
      <c r="D888" s="69">
        <v>45693</v>
      </c>
      <c r="E888" s="68">
        <v>914</v>
      </c>
      <c r="F888" s="69">
        <v>45662</v>
      </c>
      <c r="G888" s="58">
        <v>96471</v>
      </c>
      <c r="H888" s="70" t="s">
        <v>1100</v>
      </c>
      <c r="I888" s="7">
        <f t="shared" ca="1" si="8"/>
        <v>0</v>
      </c>
      <c r="J888" s="71"/>
      <c r="K888" s="7"/>
    </row>
    <row r="889" spans="1:11" ht="14.25" customHeight="1">
      <c r="A889" s="14" t="s">
        <v>1366</v>
      </c>
      <c r="B889" s="68"/>
      <c r="C889" s="68"/>
      <c r="D889" s="69">
        <v>45691</v>
      </c>
      <c r="E889" s="68" t="s">
        <v>1221</v>
      </c>
      <c r="F889" s="69"/>
      <c r="G889" s="58">
        <v>68000</v>
      </c>
      <c r="H889" s="70" t="s">
        <v>1267</v>
      </c>
      <c r="I889" s="7"/>
      <c r="J889" s="71" t="str">
        <f>LOOKUP(A889,'Base Clientes'!B:B,'Base Clientes'!D:D)</f>
        <v xml:space="preserve"> contacto@bodegaurriola.cl</v>
      </c>
      <c r="K889" s="7"/>
    </row>
    <row r="890" spans="1:11" ht="14.25" hidden="1" customHeight="1">
      <c r="A890" s="14" t="s">
        <v>547</v>
      </c>
      <c r="B890" s="68"/>
      <c r="C890" s="68"/>
      <c r="D890" s="69">
        <v>45694</v>
      </c>
      <c r="E890" s="68">
        <v>916</v>
      </c>
      <c r="F890" s="58"/>
      <c r="G890" s="58">
        <v>118955</v>
      </c>
      <c r="H890" s="70" t="s">
        <v>1044</v>
      </c>
      <c r="I890" s="7">
        <f t="shared" ref="I890:I938" ca="1" si="9">IF(OR(H890="Pagado",H890="Anulada"),0,IF(ISNUMBER(E890),TODAY()-D890,TODAY()-F890))</f>
        <v>0</v>
      </c>
      <c r="J890" s="71"/>
      <c r="K890" s="7"/>
    </row>
    <row r="891" spans="1:11" ht="14.25" hidden="1" customHeight="1">
      <c r="A891" s="68" t="s">
        <v>1367</v>
      </c>
      <c r="B891" s="68"/>
      <c r="C891" s="68"/>
      <c r="D891" s="69">
        <v>45694</v>
      </c>
      <c r="E891" s="68" t="s">
        <v>1221</v>
      </c>
      <c r="F891" s="58"/>
      <c r="G891" s="58">
        <v>200000</v>
      </c>
      <c r="H891" s="70" t="s">
        <v>1100</v>
      </c>
      <c r="I891" s="7">
        <f t="shared" ca="1" si="9"/>
        <v>0</v>
      </c>
      <c r="J891" s="71"/>
      <c r="K891" s="7" t="s">
        <v>1368</v>
      </c>
    </row>
    <row r="892" spans="1:11" ht="14.25" customHeight="1">
      <c r="A892" s="68" t="s">
        <v>937</v>
      </c>
      <c r="B892" s="68"/>
      <c r="C892" s="68"/>
      <c r="D892" s="69">
        <v>45695</v>
      </c>
      <c r="E892" s="68">
        <v>917</v>
      </c>
      <c r="F892" s="69">
        <v>45675</v>
      </c>
      <c r="G892" s="58">
        <v>193033</v>
      </c>
      <c r="H892" s="70" t="s">
        <v>1267</v>
      </c>
      <c r="I892" s="7">
        <f t="shared" ca="1" si="9"/>
        <v>104</v>
      </c>
      <c r="J892" s="71" t="str">
        <f>LOOKUP(A892,'Base Clientes'!B:B,'Base Clientes'!D:D)</f>
        <v xml:space="preserve">barbudogrowler@gmail.com </v>
      </c>
      <c r="K892" s="7"/>
    </row>
    <row r="893" spans="1:11" ht="14.25" hidden="1" customHeight="1">
      <c r="A893" s="14" t="s">
        <v>1369</v>
      </c>
      <c r="B893" s="68"/>
      <c r="C893" s="68"/>
      <c r="D893" s="69">
        <v>45695</v>
      </c>
      <c r="E893" s="68">
        <v>918</v>
      </c>
      <c r="F893" s="69"/>
      <c r="G893" s="58">
        <v>124535</v>
      </c>
      <c r="H893" s="70" t="s">
        <v>1100</v>
      </c>
      <c r="I893" s="7">
        <f t="shared" ca="1" si="9"/>
        <v>0</v>
      </c>
      <c r="J893" s="71"/>
      <c r="K893" s="7"/>
    </row>
    <row r="894" spans="1:11" ht="14.25" hidden="1" customHeight="1">
      <c r="A894" s="14" t="s">
        <v>907</v>
      </c>
      <c r="B894" s="68"/>
      <c r="C894" s="68"/>
      <c r="D894" s="69">
        <v>45696</v>
      </c>
      <c r="E894" s="68">
        <v>919</v>
      </c>
      <c r="F894" s="69">
        <v>45696</v>
      </c>
      <c r="G894" s="58">
        <v>559080</v>
      </c>
      <c r="H894" s="70" t="s">
        <v>1100</v>
      </c>
      <c r="I894" s="7">
        <f t="shared" ca="1" si="9"/>
        <v>0</v>
      </c>
      <c r="J894" s="71"/>
      <c r="K894" s="7"/>
    </row>
    <row r="895" spans="1:11" ht="14.25" hidden="1" customHeight="1">
      <c r="A895" s="14" t="s">
        <v>1068</v>
      </c>
      <c r="B895" s="68"/>
      <c r="C895" s="68"/>
      <c r="D895" s="69">
        <v>45698</v>
      </c>
      <c r="E895" s="68">
        <v>920</v>
      </c>
      <c r="F895" s="58"/>
      <c r="G895" s="58">
        <v>849625</v>
      </c>
      <c r="H895" s="70" t="s">
        <v>1100</v>
      </c>
      <c r="I895" s="7">
        <f t="shared" ca="1" si="9"/>
        <v>0</v>
      </c>
      <c r="J895" s="71"/>
      <c r="K895" s="7"/>
    </row>
    <row r="896" spans="1:11" ht="14.25" customHeight="1">
      <c r="A896" s="68" t="s">
        <v>1370</v>
      </c>
      <c r="B896" s="68"/>
      <c r="C896" s="68"/>
      <c r="D896" s="69">
        <v>45699</v>
      </c>
      <c r="E896" s="68">
        <v>921</v>
      </c>
      <c r="F896" s="69"/>
      <c r="G896" s="58">
        <v>155896</v>
      </c>
      <c r="H896" s="70" t="s">
        <v>1267</v>
      </c>
      <c r="I896" s="7">
        <f t="shared" ca="1" si="9"/>
        <v>100</v>
      </c>
      <c r="J896" s="71" t="str">
        <f>LOOKUP(A896,'Base Clientes'!B:B,'Base Clientes'!D:D)</f>
        <v>Isidora.rebolledop@gmail.com</v>
      </c>
      <c r="K896" s="7"/>
    </row>
    <row r="897" spans="1:15" ht="14.25" customHeight="1">
      <c r="A897" s="68" t="s">
        <v>919</v>
      </c>
      <c r="B897" s="68"/>
      <c r="C897" s="68"/>
      <c r="D897" s="69">
        <v>45705</v>
      </c>
      <c r="E897" s="68">
        <v>922</v>
      </c>
      <c r="F897" s="69"/>
      <c r="G897" s="58">
        <v>252759</v>
      </c>
      <c r="H897" s="70" t="s">
        <v>1267</v>
      </c>
      <c r="I897" s="7">
        <f t="shared" ca="1" si="9"/>
        <v>94</v>
      </c>
      <c r="J897" s="71" t="str">
        <f>LOOKUP(A897,'Base Clientes'!B:B,'Base Clientes'!D:D)</f>
        <v xml:space="preserve">luis_jc6@hotmail.com </v>
      </c>
      <c r="K897" s="7"/>
    </row>
    <row r="898" spans="1:15" ht="14.25" customHeight="1">
      <c r="A898" s="68" t="s">
        <v>126</v>
      </c>
      <c r="B898" s="68"/>
      <c r="C898" s="68"/>
      <c r="D898" s="69">
        <v>45705</v>
      </c>
      <c r="E898" s="68">
        <v>923</v>
      </c>
      <c r="F898" s="58"/>
      <c r="G898" s="58">
        <v>215664</v>
      </c>
      <c r="H898" s="70" t="s">
        <v>1267</v>
      </c>
      <c r="I898" s="7">
        <f t="shared" ca="1" si="9"/>
        <v>94</v>
      </c>
      <c r="J898" s="71" t="str">
        <f>LOOKUP(A898,'Base Clientes'!B:B,'Base Clientes'!D:D)</f>
        <v xml:space="preserve"> contacto@bodegaurriola.cl</v>
      </c>
      <c r="K898" s="7"/>
    </row>
    <row r="899" spans="1:15" ht="14.25" customHeight="1">
      <c r="A899" s="68" t="s">
        <v>1225</v>
      </c>
      <c r="B899" s="68"/>
      <c r="C899" s="68"/>
      <c r="D899" s="69">
        <v>45705</v>
      </c>
      <c r="E899" s="68">
        <v>924</v>
      </c>
      <c r="F899" s="58"/>
      <c r="G899" s="58">
        <v>186555</v>
      </c>
      <c r="H899" s="70" t="s">
        <v>1267</v>
      </c>
      <c r="I899" s="7">
        <f t="shared" ca="1" si="9"/>
        <v>94</v>
      </c>
      <c r="J899" s="71" t="str">
        <f>LOOKUP(A899,'Base Clientes'!B:B,'Base Clientes'!D:D)</f>
        <v>Isidora.rebolledop@gmail.com</v>
      </c>
      <c r="K899" s="7"/>
    </row>
    <row r="900" spans="1:15" ht="14.25" customHeight="1">
      <c r="A900" s="68" t="s">
        <v>1357</v>
      </c>
      <c r="B900" s="68"/>
      <c r="C900" s="68"/>
      <c r="D900" s="69">
        <v>45705</v>
      </c>
      <c r="E900" s="68">
        <v>925</v>
      </c>
      <c r="F900" s="58"/>
      <c r="G900" s="58">
        <v>310192</v>
      </c>
      <c r="H900" s="70" t="s">
        <v>1267</v>
      </c>
      <c r="I900" s="7">
        <f t="shared" ca="1" si="9"/>
        <v>94</v>
      </c>
      <c r="J900" s="71" t="str">
        <f>LOOKUP(A900,'Base Clientes'!B:B,'Base Clientes'!D:D)</f>
        <v>algranoalmacen@gmail.com</v>
      </c>
      <c r="K900" s="7"/>
    </row>
    <row r="901" spans="1:15" ht="14.25" hidden="1" customHeight="1">
      <c r="A901" s="68" t="s">
        <v>126</v>
      </c>
      <c r="B901" s="68"/>
      <c r="C901" s="68"/>
      <c r="D901" s="69">
        <v>45705</v>
      </c>
      <c r="E901" s="68">
        <v>926</v>
      </c>
      <c r="F901" s="58"/>
      <c r="G901" s="58">
        <v>220412</v>
      </c>
      <c r="H901" s="70" t="s">
        <v>1100</v>
      </c>
      <c r="I901" s="7">
        <f t="shared" ca="1" si="9"/>
        <v>0</v>
      </c>
      <c r="J901" s="71"/>
      <c r="K901" s="7"/>
    </row>
    <row r="902" spans="1:15" ht="14.25" hidden="1" customHeight="1">
      <c r="A902" s="68" t="s">
        <v>907</v>
      </c>
      <c r="B902" s="68"/>
      <c r="C902" s="68"/>
      <c r="D902" s="69">
        <v>45705</v>
      </c>
      <c r="E902" s="68">
        <v>927</v>
      </c>
      <c r="F902" s="100">
        <v>45702</v>
      </c>
      <c r="G902" s="58">
        <v>324288</v>
      </c>
      <c r="H902" s="70" t="s">
        <v>1177</v>
      </c>
      <c r="I902" s="7">
        <f t="shared" ca="1" si="9"/>
        <v>0</v>
      </c>
      <c r="J902" s="71"/>
      <c r="K902" s="7"/>
    </row>
    <row r="903" spans="1:15" ht="14.25" hidden="1" customHeight="1">
      <c r="A903" s="68" t="s">
        <v>925</v>
      </c>
      <c r="B903" s="68"/>
      <c r="C903" s="68"/>
      <c r="D903" s="69">
        <v>45705</v>
      </c>
      <c r="E903" s="68">
        <v>928</v>
      </c>
      <c r="F903" s="100">
        <v>45702</v>
      </c>
      <c r="G903" s="58">
        <v>117396</v>
      </c>
      <c r="H903" s="70" t="s">
        <v>1100</v>
      </c>
      <c r="I903" s="7">
        <f t="shared" ca="1" si="9"/>
        <v>0</v>
      </c>
      <c r="J903" s="71"/>
      <c r="K903" s="7"/>
    </row>
    <row r="904" spans="1:15" ht="14.25" hidden="1" customHeight="1">
      <c r="A904" s="68" t="s">
        <v>1305</v>
      </c>
      <c r="B904" s="68"/>
      <c r="C904" s="68"/>
      <c r="D904" s="69">
        <v>45707</v>
      </c>
      <c r="E904" s="68">
        <v>929</v>
      </c>
      <c r="F904" s="58"/>
      <c r="G904" s="58">
        <v>128022</v>
      </c>
      <c r="H904" s="70" t="s">
        <v>1100</v>
      </c>
      <c r="I904" s="7">
        <f t="shared" ca="1" si="9"/>
        <v>0</v>
      </c>
      <c r="J904" s="71"/>
      <c r="K904" s="7"/>
    </row>
    <row r="905" spans="1:15" ht="14.25" hidden="1" customHeight="1">
      <c r="A905" s="68" t="s">
        <v>907</v>
      </c>
      <c r="B905" s="68"/>
      <c r="C905" s="68"/>
      <c r="D905" s="69">
        <v>45707</v>
      </c>
      <c r="E905" s="68">
        <v>930</v>
      </c>
      <c r="F905" s="99">
        <v>45979</v>
      </c>
      <c r="G905" s="58">
        <v>220842</v>
      </c>
      <c r="H905" s="70" t="s">
        <v>1100</v>
      </c>
      <c r="I905" s="7">
        <f t="shared" ca="1" si="9"/>
        <v>0</v>
      </c>
      <c r="J905" s="71"/>
      <c r="K905" s="7"/>
    </row>
    <row r="906" spans="1:15" ht="14.25" hidden="1" customHeight="1">
      <c r="A906" s="68" t="s">
        <v>226</v>
      </c>
      <c r="B906" s="68"/>
      <c r="C906" s="68"/>
      <c r="D906" s="69">
        <v>45708</v>
      </c>
      <c r="E906" s="68">
        <v>931</v>
      </c>
      <c r="F906" s="58"/>
      <c r="G906" s="58">
        <v>249071</v>
      </c>
      <c r="H906" s="70" t="s">
        <v>1100</v>
      </c>
      <c r="I906" s="7">
        <f t="shared" ca="1" si="9"/>
        <v>0</v>
      </c>
      <c r="J906" s="71"/>
      <c r="K906" s="7" t="s">
        <v>1371</v>
      </c>
    </row>
    <row r="907" spans="1:15" ht="14.25" hidden="1" customHeight="1">
      <c r="A907" s="68" t="s">
        <v>1183</v>
      </c>
      <c r="B907" s="68"/>
      <c r="C907" s="68"/>
      <c r="D907" s="69">
        <v>45708</v>
      </c>
      <c r="E907" s="68">
        <v>932</v>
      </c>
      <c r="F907" s="58"/>
      <c r="G907" s="58">
        <v>256447</v>
      </c>
      <c r="H907" s="70" t="s">
        <v>1177</v>
      </c>
      <c r="I907" s="7">
        <f t="shared" ca="1" si="9"/>
        <v>0</v>
      </c>
      <c r="J907" s="71"/>
      <c r="K907" s="7" t="s">
        <v>1372</v>
      </c>
      <c r="O907" s="91">
        <f>4890*0.7</f>
        <v>3423</v>
      </c>
    </row>
    <row r="908" spans="1:15" ht="14.25" customHeight="1">
      <c r="A908" s="68" t="s">
        <v>565</v>
      </c>
      <c r="B908" s="68"/>
      <c r="C908" s="68"/>
      <c r="D908" s="69">
        <v>45708</v>
      </c>
      <c r="E908" s="68">
        <v>933</v>
      </c>
      <c r="F908" s="58"/>
      <c r="G908" s="58">
        <v>227530</v>
      </c>
      <c r="H908" s="70" t="s">
        <v>1267</v>
      </c>
      <c r="I908" s="7">
        <f t="shared" ca="1" si="9"/>
        <v>91</v>
      </c>
      <c r="J908" s="71" t="str">
        <f>LOOKUP(A908,'Base Clientes'!B:B,'Base Clientes'!D:D)</f>
        <v>algranoalmacen@gmail.com</v>
      </c>
      <c r="K908" s="7"/>
    </row>
    <row r="909" spans="1:15" ht="14.25" hidden="1" customHeight="1">
      <c r="A909" s="68" t="s">
        <v>907</v>
      </c>
      <c r="B909" s="68"/>
      <c r="C909" s="68"/>
      <c r="D909" s="69">
        <v>45708</v>
      </c>
      <c r="E909" s="68">
        <v>934</v>
      </c>
      <c r="F909" s="58"/>
      <c r="G909" s="58">
        <v>338238</v>
      </c>
      <c r="H909" s="70" t="s">
        <v>1100</v>
      </c>
      <c r="I909" s="7">
        <f t="shared" ca="1" si="9"/>
        <v>0</v>
      </c>
      <c r="J909" s="71"/>
      <c r="K909" s="7"/>
    </row>
    <row r="910" spans="1:15" ht="14.25" hidden="1" customHeight="1">
      <c r="A910" s="68" t="s">
        <v>925</v>
      </c>
      <c r="B910" s="68"/>
      <c r="C910" s="68"/>
      <c r="D910" s="69">
        <v>45708</v>
      </c>
      <c r="E910" s="68">
        <v>935</v>
      </c>
      <c r="F910" s="58"/>
      <c r="G910" s="58">
        <v>220842</v>
      </c>
      <c r="H910" s="70" t="s">
        <v>1100</v>
      </c>
      <c r="I910" s="7">
        <f t="shared" ca="1" si="9"/>
        <v>0</v>
      </c>
      <c r="J910" s="71"/>
      <c r="K910" s="7"/>
    </row>
    <row r="911" spans="1:15" ht="14.25" hidden="1" customHeight="1">
      <c r="A911" s="68" t="s">
        <v>440</v>
      </c>
      <c r="B911" s="68"/>
      <c r="C911" s="68"/>
      <c r="D911" s="69">
        <v>45709</v>
      </c>
      <c r="E911" s="68">
        <v>936</v>
      </c>
      <c r="F911" s="58"/>
      <c r="G911" s="58">
        <v>310192</v>
      </c>
      <c r="H911" s="70" t="s">
        <v>1177</v>
      </c>
      <c r="I911" s="7">
        <f t="shared" ca="1" si="9"/>
        <v>0</v>
      </c>
      <c r="J911" s="71"/>
      <c r="K911" s="7"/>
    </row>
    <row r="912" spans="1:15" ht="14.25" customHeight="1">
      <c r="A912" s="68" t="s">
        <v>440</v>
      </c>
      <c r="B912" s="68"/>
      <c r="C912" s="68"/>
      <c r="D912" s="69">
        <v>45712</v>
      </c>
      <c r="E912" s="68">
        <v>937</v>
      </c>
      <c r="F912" s="58"/>
      <c r="G912" s="58">
        <v>189345</v>
      </c>
      <c r="H912" s="70" t="s">
        <v>1267</v>
      </c>
      <c r="I912" s="7">
        <f t="shared" ca="1" si="9"/>
        <v>87</v>
      </c>
      <c r="J912" s="71" t="str">
        <f>LOOKUP(A912,'Base Clientes'!B:B,'Base Clientes'!D:D)</f>
        <v xml:space="preserve">Fsmorande@gmail.com
</v>
      </c>
      <c r="K912" s="7"/>
    </row>
    <row r="913" spans="1:11" ht="14.25" customHeight="1">
      <c r="A913" s="68" t="s">
        <v>1280</v>
      </c>
      <c r="B913" s="68"/>
      <c r="C913" s="68"/>
      <c r="D913" s="69">
        <v>45713</v>
      </c>
      <c r="E913" s="68">
        <v>938</v>
      </c>
      <c r="F913" s="58"/>
      <c r="G913" s="58">
        <v>125032</v>
      </c>
      <c r="H913" s="70" t="s">
        <v>1267</v>
      </c>
      <c r="I913" s="7">
        <f t="shared" ca="1" si="9"/>
        <v>86</v>
      </c>
      <c r="J913" s="71" t="str">
        <f>LOOKUP(A913,'Base Clientes'!B:B,'Base Clientes'!D:D)</f>
        <v>algranoalmacen@gmail.com</v>
      </c>
      <c r="K913" s="7"/>
    </row>
    <row r="914" spans="1:11" ht="14.25" hidden="1" customHeight="1">
      <c r="A914" s="68" t="s">
        <v>937</v>
      </c>
      <c r="B914" s="68"/>
      <c r="C914" s="68"/>
      <c r="D914" s="92">
        <v>45679</v>
      </c>
      <c r="E914" s="70">
        <v>939</v>
      </c>
      <c r="F914" s="92">
        <v>45675</v>
      </c>
      <c r="G914" s="58">
        <v>199754</v>
      </c>
      <c r="H914" s="70" t="s">
        <v>1177</v>
      </c>
      <c r="I914" s="7">
        <f t="shared" ca="1" si="9"/>
        <v>0</v>
      </c>
      <c r="J914" s="71"/>
      <c r="K914" s="7"/>
    </row>
    <row r="915" spans="1:11" ht="14.25" hidden="1" customHeight="1">
      <c r="A915" s="68" t="s">
        <v>907</v>
      </c>
      <c r="B915" s="68"/>
      <c r="C915" s="68"/>
      <c r="D915" s="69">
        <v>45713</v>
      </c>
      <c r="E915" s="68">
        <v>940</v>
      </c>
      <c r="F915" s="69">
        <v>45713</v>
      </c>
      <c r="G915" s="58">
        <v>234792</v>
      </c>
      <c r="H915" s="70" t="s">
        <v>1100</v>
      </c>
      <c r="I915" s="7">
        <f t="shared" ca="1" si="9"/>
        <v>0</v>
      </c>
      <c r="J915" s="71"/>
      <c r="K915" s="7"/>
    </row>
    <row r="916" spans="1:11" ht="14.25" customHeight="1">
      <c r="A916" s="68" t="s">
        <v>1342</v>
      </c>
      <c r="B916" s="68"/>
      <c r="C916" s="68"/>
      <c r="D916" s="69">
        <v>45715</v>
      </c>
      <c r="E916" s="68">
        <v>941</v>
      </c>
      <c r="F916" s="58"/>
      <c r="G916" s="58">
        <v>153950</v>
      </c>
      <c r="H916" s="70" t="s">
        <v>1267</v>
      </c>
      <c r="I916" s="7">
        <f t="shared" ca="1" si="9"/>
        <v>84</v>
      </c>
      <c r="J916" s="71" t="str">
        <f>LOOKUP(A916,'Base Clientes'!B:B,'Base Clientes'!D:D)</f>
        <v xml:space="preserve">Fsmorande@gmail.com
</v>
      </c>
      <c r="K916" s="7"/>
    </row>
    <row r="917" spans="1:11" ht="14.25" hidden="1" customHeight="1">
      <c r="A917" s="68" t="s">
        <v>1344</v>
      </c>
      <c r="B917" s="68"/>
      <c r="C917" s="68"/>
      <c r="D917" s="69">
        <v>45720</v>
      </c>
      <c r="E917" s="68" t="s">
        <v>1293</v>
      </c>
      <c r="F917" s="58"/>
      <c r="G917" s="58">
        <v>1722550</v>
      </c>
      <c r="H917" s="70" t="s">
        <v>1100</v>
      </c>
      <c r="I917" s="7">
        <f t="shared" ca="1" si="9"/>
        <v>0</v>
      </c>
      <c r="J917" s="71"/>
      <c r="K917" s="7" t="s">
        <v>1373</v>
      </c>
    </row>
    <row r="918" spans="1:11" ht="14.25" hidden="1" customHeight="1">
      <c r="A918" s="68" t="s">
        <v>1344</v>
      </c>
      <c r="B918" s="68"/>
      <c r="C918" s="68"/>
      <c r="D918" s="69">
        <v>45720</v>
      </c>
      <c r="E918" s="68" t="s">
        <v>1320</v>
      </c>
      <c r="F918" s="58"/>
      <c r="G918" s="58">
        <v>98000</v>
      </c>
      <c r="H918" s="70" t="s">
        <v>1100</v>
      </c>
      <c r="I918" s="7">
        <f t="shared" ca="1" si="9"/>
        <v>0</v>
      </c>
      <c r="J918" s="71"/>
      <c r="K918" s="7" t="s">
        <v>1374</v>
      </c>
    </row>
    <row r="919" spans="1:11" ht="14.25" hidden="1" customHeight="1">
      <c r="A919" s="68" t="s">
        <v>1077</v>
      </c>
      <c r="B919" s="68"/>
      <c r="C919" s="68"/>
      <c r="D919" s="69">
        <v>45720</v>
      </c>
      <c r="E919" s="68">
        <v>942</v>
      </c>
      <c r="F919" s="69">
        <v>45716</v>
      </c>
      <c r="G919" s="58">
        <v>234792</v>
      </c>
      <c r="H919" s="70" t="s">
        <v>1177</v>
      </c>
      <c r="I919" s="7">
        <f t="shared" ca="1" si="9"/>
        <v>0</v>
      </c>
      <c r="J919" s="71"/>
      <c r="K919" s="7" t="s">
        <v>1375</v>
      </c>
    </row>
    <row r="920" spans="1:11" ht="14.25" customHeight="1">
      <c r="A920" s="68" t="s">
        <v>126</v>
      </c>
      <c r="B920" s="68"/>
      <c r="C920" s="68"/>
      <c r="D920" s="69">
        <v>45720</v>
      </c>
      <c r="E920" s="68">
        <v>943</v>
      </c>
      <c r="F920" s="69">
        <v>45720</v>
      </c>
      <c r="G920" s="58">
        <v>285460</v>
      </c>
      <c r="H920" s="70" t="s">
        <v>1267</v>
      </c>
      <c r="I920" s="7">
        <f t="shared" ca="1" si="9"/>
        <v>79</v>
      </c>
      <c r="J920" s="71" t="str">
        <f>LOOKUP(A920,'Base Clientes'!B:B,'Base Clientes'!D:D)</f>
        <v xml:space="preserve"> contacto@bodegaurriola.cl</v>
      </c>
      <c r="K920" s="7"/>
    </row>
    <row r="921" spans="1:11" ht="14.25" customHeight="1">
      <c r="A921" s="68" t="s">
        <v>126</v>
      </c>
      <c r="B921" s="68"/>
      <c r="C921" s="68"/>
      <c r="D921" s="69">
        <v>45720</v>
      </c>
      <c r="E921" s="68">
        <v>944</v>
      </c>
      <c r="F921" s="69">
        <v>45720</v>
      </c>
      <c r="G921" s="58">
        <v>135198</v>
      </c>
      <c r="H921" s="70" t="s">
        <v>1267</v>
      </c>
      <c r="I921" s="7">
        <f t="shared" ca="1" si="9"/>
        <v>79</v>
      </c>
      <c r="J921" s="71" t="str">
        <f>LOOKUP(A921,'Base Clientes'!B:B,'Base Clientes'!D:D)</f>
        <v xml:space="preserve"> contacto@bodegaurriola.cl</v>
      </c>
      <c r="K921" s="7"/>
    </row>
    <row r="922" spans="1:11" ht="14.25" customHeight="1">
      <c r="A922" s="68" t="s">
        <v>1225</v>
      </c>
      <c r="B922" s="68"/>
      <c r="C922" s="68"/>
      <c r="D922" s="69">
        <v>45720</v>
      </c>
      <c r="E922" s="68">
        <v>945</v>
      </c>
      <c r="F922" s="58"/>
      <c r="G922" s="58">
        <v>524765</v>
      </c>
      <c r="H922" s="70" t="s">
        <v>1267</v>
      </c>
      <c r="I922" s="7">
        <f t="shared" ca="1" si="9"/>
        <v>79</v>
      </c>
      <c r="J922" s="71" t="str">
        <f>LOOKUP(A922,'Base Clientes'!B:B,'Base Clientes'!D:D)</f>
        <v>Isidora.rebolledop@gmail.com</v>
      </c>
      <c r="K922" s="7"/>
    </row>
    <row r="923" spans="1:11" ht="14.25" customHeight="1">
      <c r="A923" s="68" t="s">
        <v>1268</v>
      </c>
      <c r="B923" s="68"/>
      <c r="C923" s="68"/>
      <c r="D923" s="69">
        <v>45720</v>
      </c>
      <c r="E923" s="68">
        <v>946</v>
      </c>
      <c r="F923" s="58"/>
      <c r="G923" s="58">
        <v>131510</v>
      </c>
      <c r="H923" s="70" t="s">
        <v>1267</v>
      </c>
      <c r="I923" s="7">
        <f t="shared" ca="1" si="9"/>
        <v>79</v>
      </c>
      <c r="J923" s="71" t="str">
        <f>LOOKUP(A923,'Base Clientes'!B:B,'Base Clientes'!D:D)</f>
        <v xml:space="preserve">luis_jc6@hotmail.com </v>
      </c>
      <c r="K923" s="7"/>
    </row>
    <row r="924" spans="1:11" ht="14.25" hidden="1" customHeight="1">
      <c r="A924" s="68" t="s">
        <v>937</v>
      </c>
      <c r="B924" s="68"/>
      <c r="C924" s="68"/>
      <c r="D924" s="92">
        <v>45679</v>
      </c>
      <c r="E924" s="68">
        <v>948</v>
      </c>
      <c r="F924" s="92">
        <v>45675</v>
      </c>
      <c r="G924" s="58">
        <v>173729</v>
      </c>
      <c r="H924" s="70" t="s">
        <v>1100</v>
      </c>
      <c r="I924" s="7">
        <f t="shared" ca="1" si="9"/>
        <v>0</v>
      </c>
      <c r="J924" s="71"/>
      <c r="K924" s="7" t="s">
        <v>1376</v>
      </c>
    </row>
    <row r="925" spans="1:11" ht="14.25" hidden="1" customHeight="1">
      <c r="A925" s="101" t="s">
        <v>937</v>
      </c>
      <c r="B925" s="68"/>
      <c r="C925" s="68"/>
      <c r="D925" s="69">
        <v>45721</v>
      </c>
      <c r="E925" s="68">
        <v>949</v>
      </c>
      <c r="F925" s="58"/>
      <c r="G925" s="58">
        <v>127325</v>
      </c>
      <c r="H925" s="70" t="s">
        <v>1100</v>
      </c>
      <c r="I925" s="7">
        <f t="shared" ca="1" si="9"/>
        <v>0</v>
      </c>
      <c r="J925" s="71"/>
      <c r="K925" s="7"/>
    </row>
    <row r="926" spans="1:11" s="379" customFormat="1" ht="14.25" customHeight="1">
      <c r="A926" s="373" t="s">
        <v>907</v>
      </c>
      <c r="B926" s="68"/>
      <c r="C926" s="68"/>
      <c r="D926" s="374">
        <v>45722</v>
      </c>
      <c r="E926" s="373">
        <v>950</v>
      </c>
      <c r="F926" s="374">
        <v>45722</v>
      </c>
      <c r="G926" s="375">
        <v>676476</v>
      </c>
      <c r="H926" s="376" t="s">
        <v>1267</v>
      </c>
      <c r="I926" s="377">
        <f t="shared" ca="1" si="9"/>
        <v>77</v>
      </c>
      <c r="J926" s="378"/>
      <c r="K926" s="377"/>
    </row>
    <row r="927" spans="1:11" ht="14.25" customHeight="1">
      <c r="A927" s="101" t="s">
        <v>1270</v>
      </c>
      <c r="B927" s="68"/>
      <c r="C927" s="68"/>
      <c r="D927" s="69">
        <v>45726</v>
      </c>
      <c r="E927" s="68">
        <v>951</v>
      </c>
      <c r="F927" s="58"/>
      <c r="G927" s="58">
        <v>125193</v>
      </c>
      <c r="H927" s="70" t="s">
        <v>1267</v>
      </c>
      <c r="I927" s="7">
        <f t="shared" ca="1" si="9"/>
        <v>73</v>
      </c>
      <c r="J927" s="71" t="str">
        <f>LOOKUP(A927,'Base Clientes'!B:B,'Base Clientes'!D:D)</f>
        <v xml:space="preserve">Fsmorande@gmail.com
</v>
      </c>
      <c r="K927" s="7"/>
    </row>
    <row r="928" spans="1:11" s="379" customFormat="1" ht="14.25" customHeight="1">
      <c r="A928" s="373" t="s">
        <v>1208</v>
      </c>
      <c r="B928" s="68"/>
      <c r="C928" s="68"/>
      <c r="D928" s="374">
        <v>45726</v>
      </c>
      <c r="E928" s="373">
        <v>952</v>
      </c>
      <c r="F928" s="375"/>
      <c r="G928" s="375">
        <v>122364</v>
      </c>
      <c r="H928" s="376" t="s">
        <v>1267</v>
      </c>
      <c r="I928" s="377">
        <f t="shared" ca="1" si="9"/>
        <v>73</v>
      </c>
      <c r="J928" s="378"/>
      <c r="K928" s="377"/>
    </row>
    <row r="929" spans="1:11" ht="14.25" hidden="1" customHeight="1">
      <c r="A929" s="68" t="s">
        <v>1377</v>
      </c>
      <c r="B929" s="68"/>
      <c r="C929" s="68"/>
      <c r="D929" s="69">
        <v>45722</v>
      </c>
      <c r="E929" s="68" t="s">
        <v>1195</v>
      </c>
      <c r="F929" s="69">
        <v>45724</v>
      </c>
      <c r="G929" s="58">
        <v>170000</v>
      </c>
      <c r="H929" s="70" t="s">
        <v>1100</v>
      </c>
      <c r="I929" s="7">
        <f t="shared" ca="1" si="9"/>
        <v>0</v>
      </c>
      <c r="J929" s="71"/>
      <c r="K929" s="7" t="s">
        <v>1378</v>
      </c>
    </row>
    <row r="930" spans="1:11" ht="14.25" customHeight="1">
      <c r="A930" s="68" t="s">
        <v>925</v>
      </c>
      <c r="B930" s="68"/>
      <c r="C930" s="68"/>
      <c r="D930" s="69">
        <v>45728</v>
      </c>
      <c r="E930" s="68">
        <v>956</v>
      </c>
      <c r="F930" s="69">
        <v>45727</v>
      </c>
      <c r="G930" s="58">
        <v>117396</v>
      </c>
      <c r="H930" s="70" t="s">
        <v>1267</v>
      </c>
      <c r="I930" s="7">
        <f t="shared" ca="1" si="9"/>
        <v>71</v>
      </c>
      <c r="J930" s="71" t="str">
        <f>LOOKUP(A930,'Base Clientes'!B:B,'Base Clientes'!D:D)</f>
        <v xml:space="preserve">luis_jc6@hotmail.com </v>
      </c>
      <c r="K930" s="7"/>
    </row>
    <row r="931" spans="1:11" ht="14.25" customHeight="1">
      <c r="A931" s="68" t="s">
        <v>1088</v>
      </c>
      <c r="B931" s="68"/>
      <c r="C931" s="68"/>
      <c r="D931" s="69">
        <v>45736</v>
      </c>
      <c r="E931" s="68">
        <v>964</v>
      </c>
      <c r="F931" s="58"/>
      <c r="G931" s="58">
        <v>126828</v>
      </c>
      <c r="H931" s="70" t="s">
        <v>1267</v>
      </c>
      <c r="I931" s="7">
        <f t="shared" ca="1" si="9"/>
        <v>63</v>
      </c>
      <c r="J931" s="71" t="str">
        <f>LOOKUP(A931,'Base Clientes'!B:B,'Base Clientes'!D:D)</f>
        <v xml:space="preserve">luis_jc6@hotmail.com </v>
      </c>
      <c r="K931" s="7"/>
    </row>
    <row r="932" spans="1:11" ht="14.25" customHeight="1">
      <c r="A932" s="68" t="s">
        <v>1379</v>
      </c>
      <c r="B932" s="68"/>
      <c r="C932" s="68"/>
      <c r="D932" s="69">
        <v>45726</v>
      </c>
      <c r="E932" s="68">
        <v>953</v>
      </c>
      <c r="F932" s="58"/>
      <c r="G932" s="58">
        <v>173617</v>
      </c>
      <c r="H932" s="70" t="s">
        <v>1267</v>
      </c>
      <c r="I932" s="7">
        <f t="shared" ca="1" si="9"/>
        <v>73</v>
      </c>
      <c r="J932" s="71" t="str">
        <f>LOOKUP(A932,'Base Clientes'!B:B,'Base Clientes'!D:D)</f>
        <v xml:space="preserve">barbudogrowler@gmail.com </v>
      </c>
      <c r="K932" s="7"/>
    </row>
    <row r="933" spans="1:11" s="379" customFormat="1" ht="14.25" customHeight="1">
      <c r="A933" s="373" t="s">
        <v>1272</v>
      </c>
      <c r="B933" s="68"/>
      <c r="C933" s="68"/>
      <c r="D933" s="374">
        <v>45727</v>
      </c>
      <c r="E933" s="373">
        <v>954</v>
      </c>
      <c r="F933" s="375"/>
      <c r="G933" s="375">
        <v>256447</v>
      </c>
      <c r="H933" s="376" t="s">
        <v>1267</v>
      </c>
      <c r="I933" s="377">
        <f t="shared" ca="1" si="9"/>
        <v>72</v>
      </c>
      <c r="J933" s="378"/>
      <c r="K933" s="377"/>
    </row>
    <row r="934" spans="1:11" ht="14.25" hidden="1" customHeight="1">
      <c r="A934" s="68" t="s">
        <v>1056</v>
      </c>
      <c r="B934" s="68"/>
      <c r="C934" s="68"/>
      <c r="D934" s="69">
        <v>45724</v>
      </c>
      <c r="E934" s="68" t="s">
        <v>1195</v>
      </c>
      <c r="F934" s="69">
        <v>45724</v>
      </c>
      <c r="G934" s="58">
        <v>150000</v>
      </c>
      <c r="H934" s="70" t="s">
        <v>1100</v>
      </c>
      <c r="I934" s="7">
        <f t="shared" ca="1" si="9"/>
        <v>0</v>
      </c>
      <c r="J934" s="71"/>
      <c r="K934" s="7"/>
    </row>
    <row r="935" spans="1:11" s="379" customFormat="1" ht="14.25" customHeight="1">
      <c r="A935" s="373" t="s">
        <v>907</v>
      </c>
      <c r="B935" s="68"/>
      <c r="C935" s="68"/>
      <c r="D935" s="374">
        <v>45727</v>
      </c>
      <c r="E935" s="373">
        <v>955</v>
      </c>
      <c r="F935" s="374">
        <v>45727</v>
      </c>
      <c r="G935" s="375">
        <v>220842</v>
      </c>
      <c r="H935" s="376" t="s">
        <v>1267</v>
      </c>
      <c r="I935" s="377">
        <f t="shared" ca="1" si="9"/>
        <v>72</v>
      </c>
      <c r="J935" s="378"/>
      <c r="K935" s="377"/>
    </row>
    <row r="936" spans="1:11" s="379" customFormat="1" ht="14.25" customHeight="1">
      <c r="A936" s="373" t="s">
        <v>226</v>
      </c>
      <c r="B936" s="68"/>
      <c r="C936" s="68"/>
      <c r="D936" s="374">
        <v>45733</v>
      </c>
      <c r="E936" s="373">
        <v>957</v>
      </c>
      <c r="F936" s="374">
        <v>45733</v>
      </c>
      <c r="G936" s="375">
        <v>256447</v>
      </c>
      <c r="H936" s="376" t="s">
        <v>1267</v>
      </c>
      <c r="I936" s="377">
        <f t="shared" ca="1" si="9"/>
        <v>66</v>
      </c>
      <c r="J936" s="378"/>
      <c r="K936" s="377"/>
    </row>
    <row r="937" spans="1:11" ht="14.25" customHeight="1">
      <c r="A937" s="68" t="s">
        <v>126</v>
      </c>
      <c r="B937" s="68"/>
      <c r="C937" s="68"/>
      <c r="D937" s="69">
        <v>45733</v>
      </c>
      <c r="E937" s="68">
        <v>958</v>
      </c>
      <c r="F937" s="69">
        <v>45733</v>
      </c>
      <c r="G937" s="58">
        <v>103491</v>
      </c>
      <c r="H937" s="70" t="s">
        <v>1267</v>
      </c>
      <c r="I937" s="7">
        <f t="shared" ca="1" si="9"/>
        <v>66</v>
      </c>
      <c r="J937" s="71" t="str">
        <f>LOOKUP(A937,'Base Clientes'!B:B,'Base Clientes'!D:D)</f>
        <v xml:space="preserve"> contacto@bodegaurriola.cl</v>
      </c>
      <c r="K937" s="7"/>
    </row>
    <row r="938" spans="1:11" ht="14.25" hidden="1" customHeight="1">
      <c r="A938" s="68" t="s">
        <v>646</v>
      </c>
      <c r="B938" s="68"/>
      <c r="C938" s="68"/>
      <c r="D938" s="69">
        <v>45733</v>
      </c>
      <c r="E938" s="68">
        <v>959</v>
      </c>
      <c r="F938" s="58"/>
      <c r="G938" s="58">
        <v>79844</v>
      </c>
      <c r="H938" s="70" t="s">
        <v>1177</v>
      </c>
      <c r="I938" s="7">
        <f t="shared" ca="1" si="9"/>
        <v>0</v>
      </c>
      <c r="J938" s="71"/>
      <c r="K938" s="7" t="s">
        <v>1380</v>
      </c>
    </row>
    <row r="939" spans="1:11" ht="14.25" customHeight="1">
      <c r="A939" s="68" t="s">
        <v>1056</v>
      </c>
      <c r="B939" s="68"/>
      <c r="C939" s="68"/>
      <c r="D939" s="69">
        <v>45733</v>
      </c>
      <c r="E939" s="68" t="s">
        <v>1195</v>
      </c>
      <c r="F939" s="58"/>
      <c r="G939" s="58"/>
      <c r="H939" s="70" t="s">
        <v>1267</v>
      </c>
      <c r="I939" s="7"/>
      <c r="J939" s="71" t="str">
        <f>LOOKUP(A939,'Base Clientes'!B:B,'Base Clientes'!D:D)</f>
        <v xml:space="preserve"> contacto@bodegaurriola.cl</v>
      </c>
      <c r="K939" s="7"/>
    </row>
    <row r="940" spans="1:11" s="379" customFormat="1" ht="14.25" customHeight="1">
      <c r="A940" s="373" t="s">
        <v>907</v>
      </c>
      <c r="B940" s="68"/>
      <c r="C940" s="68"/>
      <c r="D940" s="374">
        <v>45734</v>
      </c>
      <c r="E940" s="373">
        <v>960</v>
      </c>
      <c r="F940" s="374">
        <v>45734</v>
      </c>
      <c r="G940" s="375">
        <v>455634</v>
      </c>
      <c r="H940" s="376" t="s">
        <v>1267</v>
      </c>
      <c r="I940" s="377">
        <f t="shared" ref="I940:I951" ca="1" si="10">IF(OR(H940="Pagado",H940="Anulada"),0,IF(ISNUMBER(E940),TODAY()-D940,TODAY()-F940))</f>
        <v>65</v>
      </c>
      <c r="J940" s="378"/>
      <c r="K940" s="377"/>
    </row>
    <row r="941" spans="1:11" ht="14.25" hidden="1" customHeight="1">
      <c r="A941" s="68" t="s">
        <v>1367</v>
      </c>
      <c r="B941" s="68"/>
      <c r="C941" s="68"/>
      <c r="D941" s="69">
        <v>45734</v>
      </c>
      <c r="E941" s="68" t="s">
        <v>1221</v>
      </c>
      <c r="F941" s="69">
        <v>45734</v>
      </c>
      <c r="G941" s="58">
        <v>200000</v>
      </c>
      <c r="H941" s="70" t="s">
        <v>1100</v>
      </c>
      <c r="I941" s="7">
        <f t="shared" ca="1" si="10"/>
        <v>0</v>
      </c>
      <c r="J941" s="69"/>
      <c r="K941" s="7" t="s">
        <v>1368</v>
      </c>
    </row>
    <row r="942" spans="1:11" ht="14.25" customHeight="1">
      <c r="A942" s="68" t="s">
        <v>646</v>
      </c>
      <c r="B942" s="68"/>
      <c r="C942" s="68"/>
      <c r="D942" s="69">
        <v>45734</v>
      </c>
      <c r="E942" s="68">
        <v>961</v>
      </c>
      <c r="F942" s="69">
        <v>45734</v>
      </c>
      <c r="G942" s="58">
        <v>70443</v>
      </c>
      <c r="H942" s="70" t="s">
        <v>1267</v>
      </c>
      <c r="I942" s="7">
        <f t="shared" ca="1" si="10"/>
        <v>65</v>
      </c>
      <c r="J942" s="71" t="str">
        <f>LOOKUP(A942,'Base Clientes'!B:B,'Base Clientes'!D:D)</f>
        <v xml:space="preserve">luis_jc6@hotmail.com </v>
      </c>
      <c r="K942" s="7"/>
    </row>
    <row r="943" spans="1:11" ht="14.25" customHeight="1">
      <c r="A943" s="68" t="s">
        <v>1381</v>
      </c>
      <c r="B943" s="68"/>
      <c r="C943" s="68"/>
      <c r="D943" s="69">
        <v>45735</v>
      </c>
      <c r="E943" s="68">
        <v>962</v>
      </c>
      <c r="F943" s="58"/>
      <c r="G943" s="58">
        <v>124535</v>
      </c>
      <c r="H943" s="70" t="s">
        <v>1267</v>
      </c>
      <c r="I943" s="7">
        <f t="shared" ca="1" si="10"/>
        <v>64</v>
      </c>
      <c r="J943" s="71" t="str">
        <f>LOOKUP(A943,'Base Clientes'!B:B,'Base Clientes'!D:D)</f>
        <v>Isidora.rebolledop@gmail.com</v>
      </c>
      <c r="K943" s="7"/>
    </row>
    <row r="944" spans="1:11" s="379" customFormat="1" ht="14.25" customHeight="1">
      <c r="A944" s="373" t="s">
        <v>1382</v>
      </c>
      <c r="B944" s="68"/>
      <c r="C944" s="68"/>
      <c r="D944" s="374">
        <v>45736</v>
      </c>
      <c r="E944" s="373">
        <v>963</v>
      </c>
      <c r="F944" s="375"/>
      <c r="G944" s="375">
        <v>162915</v>
      </c>
      <c r="H944" s="376" t="s">
        <v>1267</v>
      </c>
      <c r="I944" s="377">
        <f t="shared" ca="1" si="10"/>
        <v>63</v>
      </c>
      <c r="J944" s="378"/>
      <c r="K944" s="377"/>
    </row>
    <row r="945" spans="1:11" ht="14.25" hidden="1" customHeight="1">
      <c r="A945" s="68" t="s">
        <v>1077</v>
      </c>
      <c r="B945" s="68"/>
      <c r="C945" s="68"/>
      <c r="D945" s="69">
        <v>45737</v>
      </c>
      <c r="E945" s="68">
        <v>964</v>
      </c>
      <c r="F945" s="69">
        <v>45734</v>
      </c>
      <c r="G945" s="58">
        <v>206892</v>
      </c>
      <c r="H945" s="70" t="s">
        <v>1100</v>
      </c>
      <c r="I945" s="7">
        <f t="shared" ca="1" si="10"/>
        <v>0</v>
      </c>
      <c r="J945" s="71"/>
      <c r="K945" s="7"/>
    </row>
    <row r="946" spans="1:11" ht="14.25" customHeight="1">
      <c r="A946" s="68" t="s">
        <v>1383</v>
      </c>
      <c r="B946" s="68"/>
      <c r="C946" s="68"/>
      <c r="D946" s="69">
        <v>45737</v>
      </c>
      <c r="E946" s="68">
        <v>966</v>
      </c>
      <c r="F946" s="58"/>
      <c r="G946" s="58">
        <v>115405</v>
      </c>
      <c r="H946" s="70" t="s">
        <v>1267</v>
      </c>
      <c r="I946" s="7">
        <f t="shared" ca="1" si="10"/>
        <v>62</v>
      </c>
      <c r="J946" s="71" t="str">
        <f>LOOKUP(A946,'Base Clientes'!B:B,'Base Clientes'!D:D)</f>
        <v>algranoalmacen@gmail.com</v>
      </c>
      <c r="K946" s="7"/>
    </row>
    <row r="947" spans="1:11" ht="14.25" customHeight="1">
      <c r="A947" s="68" t="s">
        <v>1369</v>
      </c>
      <c r="B947" s="68"/>
      <c r="C947" s="68"/>
      <c r="D947" s="69">
        <v>45740</v>
      </c>
      <c r="E947" s="68">
        <v>967</v>
      </c>
      <c r="F947" s="69">
        <v>45740</v>
      </c>
      <c r="G947" s="58">
        <v>131013</v>
      </c>
      <c r="H947" s="70" t="s">
        <v>1267</v>
      </c>
      <c r="I947" s="7">
        <f t="shared" ca="1" si="10"/>
        <v>59</v>
      </c>
      <c r="J947" s="71" t="str">
        <f>LOOKUP(A947,'Base Clientes'!B:B,'Base Clientes'!D:D)</f>
        <v xml:space="preserve"> contacto@bodegaurriola.cl</v>
      </c>
      <c r="K947" s="7"/>
    </row>
    <row r="948" spans="1:11" ht="14.25" hidden="1" customHeight="1">
      <c r="A948" s="68" t="s">
        <v>547</v>
      </c>
      <c r="B948" s="68"/>
      <c r="C948" s="68"/>
      <c r="D948" s="69">
        <v>45740</v>
      </c>
      <c r="E948" s="68">
        <v>968</v>
      </c>
      <c r="F948" s="69">
        <v>45740</v>
      </c>
      <c r="G948" s="58">
        <v>122643</v>
      </c>
      <c r="H948" s="70" t="s">
        <v>1100</v>
      </c>
      <c r="I948" s="7">
        <f t="shared" ca="1" si="10"/>
        <v>0</v>
      </c>
      <c r="J948" s="71"/>
      <c r="K948" s="7"/>
    </row>
    <row r="949" spans="1:11" ht="14.25" customHeight="1">
      <c r="A949" s="68" t="s">
        <v>1384</v>
      </c>
      <c r="B949" s="68"/>
      <c r="C949" s="68"/>
      <c r="D949" s="69">
        <v>45741</v>
      </c>
      <c r="E949" s="68">
        <v>969</v>
      </c>
      <c r="F949" s="58"/>
      <c r="G949" s="58">
        <v>137988</v>
      </c>
      <c r="H949" s="70" t="s">
        <v>1267</v>
      </c>
      <c r="I949" s="7">
        <f t="shared" ca="1" si="10"/>
        <v>58</v>
      </c>
      <c r="J949" s="71" t="str">
        <f>LOOKUP(A949,'Base Clientes'!B:B,'Base Clientes'!D:D)</f>
        <v xml:space="preserve">luis_jc6@hotmail.com </v>
      </c>
      <c r="K949" s="7"/>
    </row>
    <row r="950" spans="1:11" ht="14.25" customHeight="1">
      <c r="A950" s="68" t="s">
        <v>126</v>
      </c>
      <c r="B950" s="68"/>
      <c r="C950" s="68"/>
      <c r="D950" s="69">
        <v>45742</v>
      </c>
      <c r="E950" s="68">
        <v>970</v>
      </c>
      <c r="F950" s="58"/>
      <c r="G950" s="58">
        <v>297518</v>
      </c>
      <c r="H950" s="70" t="s">
        <v>1267</v>
      </c>
      <c r="I950" s="7">
        <f t="shared" ca="1" si="10"/>
        <v>57</v>
      </c>
      <c r="J950" s="71" t="str">
        <f>LOOKUP(A950,'Base Clientes'!B:B,'Base Clientes'!D:D)</f>
        <v xml:space="preserve"> contacto@bodegaurriola.cl</v>
      </c>
      <c r="K950" s="7"/>
    </row>
    <row r="951" spans="1:11" ht="14.25" customHeight="1">
      <c r="A951" s="68" t="s">
        <v>883</v>
      </c>
      <c r="B951" s="68"/>
      <c r="C951" s="68"/>
      <c r="D951" s="69">
        <v>45742</v>
      </c>
      <c r="E951" s="68">
        <v>971</v>
      </c>
      <c r="F951" s="58"/>
      <c r="G951" s="58">
        <v>123637</v>
      </c>
      <c r="H951" s="70" t="s">
        <v>1267</v>
      </c>
      <c r="I951" s="7">
        <f t="shared" ca="1" si="10"/>
        <v>57</v>
      </c>
      <c r="J951" s="71" t="str">
        <f>LOOKUP(A951,'Base Clientes'!B:B,'Base Clientes'!D:D)</f>
        <v xml:space="preserve">Fsmorande@gmail.com
</v>
      </c>
      <c r="K951" s="7"/>
    </row>
    <row r="952" spans="1:11" ht="14.25" customHeight="1">
      <c r="A952" s="68" t="s">
        <v>1183</v>
      </c>
      <c r="B952" s="68"/>
      <c r="C952" s="68"/>
      <c r="D952" s="69">
        <v>45742</v>
      </c>
      <c r="E952" s="68">
        <v>972</v>
      </c>
      <c r="F952" s="69">
        <v>45708</v>
      </c>
      <c r="G952" s="58">
        <v>256447</v>
      </c>
      <c r="H952" s="70" t="s">
        <v>1267</v>
      </c>
      <c r="I952" s="7">
        <v>35</v>
      </c>
      <c r="J952" s="71" t="str">
        <f>LOOKUP(A952,'Base Clientes'!B:B,'Base Clientes'!D:D)</f>
        <v>algranoalmacen@gmail.com</v>
      </c>
      <c r="K952" s="7" t="s">
        <v>1385</v>
      </c>
    </row>
    <row r="953" spans="1:11" s="379" customFormat="1" ht="14.25" customHeight="1">
      <c r="A953" s="373" t="s">
        <v>907</v>
      </c>
      <c r="B953" s="68"/>
      <c r="C953" s="68"/>
      <c r="D953" s="374">
        <v>45745</v>
      </c>
      <c r="E953" s="373">
        <v>973</v>
      </c>
      <c r="F953" s="374">
        <v>45745</v>
      </c>
      <c r="G953" s="375">
        <v>324288</v>
      </c>
      <c r="H953" s="376" t="s">
        <v>1267</v>
      </c>
      <c r="I953" s="377">
        <f ca="1">IF(OR(H953="Pagado",H953="Anulada"),0,IF(ISNUMBER(E953),TODAY()-D953,TODAY()-F953))</f>
        <v>54</v>
      </c>
      <c r="J953" s="378"/>
      <c r="K953" s="377"/>
    </row>
    <row r="954" spans="1:11" ht="14.25" customHeight="1">
      <c r="A954" s="68" t="s">
        <v>1357</v>
      </c>
      <c r="B954" s="68"/>
      <c r="C954" s="68"/>
      <c r="D954" s="69">
        <v>45745</v>
      </c>
      <c r="E954" s="68">
        <v>974</v>
      </c>
      <c r="F954" s="69">
        <v>45744</v>
      </c>
      <c r="G954" s="58">
        <v>306504</v>
      </c>
      <c r="H954" s="70" t="s">
        <v>1267</v>
      </c>
      <c r="I954" s="7"/>
      <c r="J954" s="71" t="str">
        <f>LOOKUP(A954,'Base Clientes'!B:B,'Base Clientes'!D:D)</f>
        <v>algranoalmacen@gmail.com</v>
      </c>
      <c r="K954" s="7"/>
    </row>
    <row r="955" spans="1:11" ht="14.25" hidden="1" customHeight="1">
      <c r="A955" s="68"/>
      <c r="B955" s="68"/>
      <c r="C955" s="68"/>
      <c r="D955" s="69"/>
      <c r="E955" s="68"/>
      <c r="F955" s="58"/>
      <c r="G955" s="58"/>
      <c r="H955" s="70"/>
      <c r="I955" s="7"/>
      <c r="J955" s="71"/>
      <c r="K955" s="7"/>
    </row>
    <row r="956" spans="1:11" ht="14.25" hidden="1" customHeight="1">
      <c r="A956" s="68"/>
      <c r="B956" s="68"/>
      <c r="C956" s="68"/>
      <c r="D956" s="69"/>
      <c r="E956" s="68"/>
      <c r="F956" s="58"/>
      <c r="G956" s="58"/>
      <c r="H956" s="70"/>
      <c r="I956" s="7"/>
      <c r="J956" s="71"/>
      <c r="K956" s="7"/>
    </row>
    <row r="957" spans="1:11" ht="14.25" hidden="1" customHeight="1">
      <c r="A957" s="68"/>
      <c r="B957" s="68"/>
      <c r="C957" s="68"/>
      <c r="D957" s="69"/>
      <c r="E957" s="68"/>
      <c r="F957" s="58"/>
      <c r="G957" s="58"/>
      <c r="H957" s="70"/>
      <c r="I957" s="7"/>
      <c r="J957" s="71"/>
      <c r="K957" s="7"/>
    </row>
    <row r="958" spans="1:11" ht="14.25" hidden="1" customHeight="1">
      <c r="A958" s="68"/>
      <c r="B958" s="68"/>
      <c r="C958" s="68"/>
      <c r="D958" s="69"/>
      <c r="E958" s="68"/>
      <c r="F958" s="58"/>
      <c r="G958" s="58"/>
      <c r="H958" s="70"/>
      <c r="I958" s="7"/>
      <c r="J958" s="71"/>
      <c r="K958" s="7"/>
    </row>
    <row r="959" spans="1:11" ht="14.25" hidden="1" customHeight="1">
      <c r="A959" s="68"/>
      <c r="B959" s="68"/>
      <c r="C959" s="68"/>
      <c r="D959" s="69"/>
      <c r="E959" s="68"/>
      <c r="F959" s="58"/>
      <c r="G959" s="58"/>
      <c r="H959" s="70"/>
      <c r="I959" s="7"/>
      <c r="J959" s="71"/>
      <c r="K959" s="7"/>
    </row>
    <row r="960" spans="1:11" ht="14.25" hidden="1" customHeight="1">
      <c r="A960" s="68"/>
      <c r="B960" s="68"/>
      <c r="C960" s="68"/>
      <c r="D960" s="69"/>
      <c r="E960" s="68"/>
      <c r="F960" s="58"/>
      <c r="G960" s="58"/>
      <c r="H960" s="70"/>
      <c r="I960" s="7"/>
      <c r="J960" s="71"/>
      <c r="K960" s="7"/>
    </row>
    <row r="961" spans="1:11" ht="14.25" hidden="1" customHeight="1">
      <c r="A961" s="68"/>
      <c r="B961" s="68"/>
      <c r="C961" s="68"/>
      <c r="D961" s="69"/>
      <c r="E961" s="68"/>
      <c r="F961" s="58"/>
      <c r="G961" s="58"/>
      <c r="H961" s="70"/>
      <c r="I961" s="7"/>
      <c r="J961" s="71"/>
      <c r="K961" s="7"/>
    </row>
    <row r="962" spans="1:11" ht="14.25" hidden="1" customHeight="1">
      <c r="A962" s="68"/>
      <c r="B962" s="68"/>
      <c r="C962" s="68"/>
      <c r="D962" s="69"/>
      <c r="E962" s="68"/>
      <c r="F962" s="58"/>
      <c r="G962" s="58"/>
      <c r="H962" s="70"/>
      <c r="I962" s="7"/>
      <c r="J962" s="71"/>
      <c r="K962" s="7"/>
    </row>
    <row r="963" spans="1:11" ht="14.25" hidden="1" customHeight="1">
      <c r="A963" s="68"/>
      <c r="B963" s="68"/>
      <c r="C963" s="68"/>
      <c r="D963" s="69"/>
      <c r="E963" s="68"/>
      <c r="F963" s="58"/>
      <c r="G963" s="58"/>
      <c r="H963" s="70"/>
      <c r="I963" s="7"/>
      <c r="J963" s="71"/>
      <c r="K963" s="7"/>
    </row>
    <row r="964" spans="1:11" ht="14.25" hidden="1" customHeight="1">
      <c r="A964" s="68"/>
      <c r="B964" s="68"/>
      <c r="C964" s="68"/>
      <c r="D964" s="69"/>
      <c r="E964" s="68"/>
      <c r="F964" s="58"/>
      <c r="G964" s="58"/>
      <c r="H964" s="70"/>
      <c r="I964" s="7"/>
      <c r="J964" s="71"/>
      <c r="K964" s="7"/>
    </row>
    <row r="965" spans="1:11" ht="14.25" hidden="1" customHeight="1">
      <c r="A965" s="68"/>
      <c r="B965" s="68"/>
      <c r="C965" s="68"/>
      <c r="D965" s="69"/>
      <c r="E965" s="68"/>
      <c r="F965" s="58"/>
      <c r="G965" s="58"/>
      <c r="H965" s="70"/>
      <c r="I965" s="7"/>
      <c r="J965" s="71"/>
      <c r="K965" s="7"/>
    </row>
    <row r="966" spans="1:11" ht="14.25" hidden="1" customHeight="1">
      <c r="A966" s="68"/>
      <c r="B966" s="68"/>
      <c r="C966" s="68"/>
      <c r="D966" s="69"/>
      <c r="E966" s="68"/>
      <c r="F966" s="58"/>
      <c r="G966" s="58"/>
      <c r="H966" s="70"/>
      <c r="I966" s="7"/>
      <c r="J966" s="71"/>
      <c r="K966" s="7"/>
    </row>
    <row r="967" spans="1:11" ht="14.25" hidden="1" customHeight="1">
      <c r="A967" s="68"/>
      <c r="B967" s="68"/>
      <c r="C967" s="68"/>
      <c r="D967" s="69"/>
      <c r="E967" s="68"/>
      <c r="F967" s="58"/>
      <c r="G967" s="58"/>
      <c r="H967" s="70"/>
      <c r="I967" s="7"/>
      <c r="J967" s="71"/>
      <c r="K967" s="7"/>
    </row>
    <row r="968" spans="1:11" ht="14.25" hidden="1" customHeight="1">
      <c r="A968" s="68"/>
      <c r="B968" s="68"/>
      <c r="C968" s="68"/>
      <c r="D968" s="69"/>
      <c r="E968" s="68"/>
      <c r="F968" s="58"/>
      <c r="G968" s="58"/>
      <c r="H968" s="70"/>
      <c r="I968" s="7"/>
      <c r="J968" s="71"/>
      <c r="K968" s="7"/>
    </row>
    <row r="969" spans="1:11" ht="14.25" hidden="1" customHeight="1">
      <c r="A969" s="68"/>
      <c r="B969" s="68"/>
      <c r="C969" s="68"/>
      <c r="D969" s="69"/>
      <c r="E969" s="68"/>
      <c r="F969" s="58"/>
      <c r="G969" s="58"/>
      <c r="H969" s="70"/>
      <c r="I969" s="7"/>
      <c r="J969" s="71"/>
      <c r="K969" s="7"/>
    </row>
    <row r="970" spans="1:11" ht="14.25" hidden="1" customHeight="1">
      <c r="A970" s="68"/>
      <c r="B970" s="68"/>
      <c r="C970" s="68"/>
      <c r="D970" s="69"/>
      <c r="E970" s="68"/>
      <c r="F970" s="58"/>
      <c r="G970" s="58"/>
      <c r="H970" s="70"/>
      <c r="I970" s="7"/>
      <c r="J970" s="71"/>
      <c r="K970" s="7"/>
    </row>
    <row r="971" spans="1:11" ht="14.25" hidden="1" customHeight="1">
      <c r="A971" s="68"/>
      <c r="B971" s="68"/>
      <c r="C971" s="68"/>
      <c r="D971" s="69"/>
      <c r="E971" s="68"/>
      <c r="F971" s="58"/>
      <c r="G971" s="58"/>
      <c r="H971" s="70"/>
      <c r="I971" s="7"/>
      <c r="J971" s="71"/>
      <c r="K971" s="7"/>
    </row>
    <row r="972" spans="1:11" ht="14.25" hidden="1" customHeight="1">
      <c r="A972" s="68"/>
      <c r="B972" s="68"/>
      <c r="C972" s="68"/>
      <c r="D972" s="69"/>
      <c r="E972" s="68"/>
      <c r="F972" s="58"/>
      <c r="G972" s="58"/>
      <c r="H972" s="70"/>
      <c r="I972" s="7"/>
      <c r="J972" s="71"/>
      <c r="K972" s="7"/>
    </row>
    <row r="973" spans="1:11" ht="14.25" hidden="1" customHeight="1">
      <c r="A973" s="68"/>
      <c r="B973" s="68"/>
      <c r="C973" s="68"/>
      <c r="D973" s="69"/>
      <c r="E973" s="68"/>
      <c r="F973" s="58"/>
      <c r="G973" s="58"/>
      <c r="H973" s="70"/>
      <c r="I973" s="7"/>
      <c r="J973" s="71"/>
      <c r="K973" s="7"/>
    </row>
    <row r="974" spans="1:11" ht="14.25" hidden="1" customHeight="1">
      <c r="A974" s="68"/>
      <c r="B974" s="68"/>
      <c r="C974" s="68"/>
      <c r="D974" s="69"/>
      <c r="E974" s="68"/>
      <c r="F974" s="58"/>
      <c r="G974" s="58"/>
      <c r="H974" s="70"/>
      <c r="I974" s="7"/>
      <c r="J974" s="71"/>
      <c r="K974" s="7"/>
    </row>
    <row r="975" spans="1:11" ht="14.25" hidden="1" customHeight="1">
      <c r="A975" s="68"/>
      <c r="B975" s="68"/>
      <c r="C975" s="68"/>
      <c r="D975" s="69"/>
      <c r="E975" s="68"/>
      <c r="F975" s="58"/>
      <c r="G975" s="58"/>
      <c r="H975" s="70"/>
      <c r="I975" s="7"/>
      <c r="J975" s="71"/>
      <c r="K975" s="7"/>
    </row>
    <row r="976" spans="1:11" ht="14.25" hidden="1" customHeight="1">
      <c r="A976" s="68"/>
      <c r="B976" s="68"/>
      <c r="C976" s="68"/>
      <c r="D976" s="69"/>
      <c r="E976" s="68"/>
      <c r="F976" s="58"/>
      <c r="G976" s="58"/>
      <c r="H976" s="70"/>
      <c r="I976" s="7"/>
      <c r="J976" s="71"/>
      <c r="K976" s="7"/>
    </row>
    <row r="977" spans="1:11" ht="14.25" hidden="1" customHeight="1">
      <c r="A977" s="68"/>
      <c r="B977" s="68"/>
      <c r="C977" s="68"/>
      <c r="D977" s="69"/>
      <c r="E977" s="68"/>
      <c r="F977" s="58"/>
      <c r="G977" s="58"/>
      <c r="H977" s="70"/>
      <c r="I977" s="7"/>
      <c r="J977" s="71"/>
      <c r="K977" s="7"/>
    </row>
    <row r="978" spans="1:11" ht="14.25" hidden="1" customHeight="1">
      <c r="A978" s="68"/>
      <c r="B978" s="68"/>
      <c r="C978" s="68"/>
      <c r="D978" s="69"/>
      <c r="E978" s="68"/>
      <c r="F978" s="58"/>
      <c r="G978" s="58"/>
      <c r="H978" s="70"/>
      <c r="I978" s="7"/>
      <c r="J978" s="71"/>
      <c r="K978" s="7"/>
    </row>
    <row r="979" spans="1:11" ht="14.25" hidden="1" customHeight="1">
      <c r="A979" s="68"/>
      <c r="B979" s="68"/>
      <c r="C979" s="68"/>
      <c r="D979" s="69"/>
      <c r="E979" s="68"/>
      <c r="F979" s="58"/>
      <c r="G979" s="58"/>
      <c r="H979" s="70"/>
      <c r="I979" s="7"/>
      <c r="J979" s="71"/>
      <c r="K979" s="7"/>
    </row>
    <row r="980" spans="1:11" ht="14.25" hidden="1" customHeight="1">
      <c r="A980" s="68"/>
      <c r="B980" s="68"/>
      <c r="C980" s="68"/>
      <c r="D980" s="69"/>
      <c r="E980" s="68"/>
      <c r="F980" s="58"/>
      <c r="G980" s="58"/>
      <c r="H980" s="70"/>
      <c r="I980" s="7"/>
      <c r="J980" s="71"/>
      <c r="K980" s="7"/>
    </row>
    <row r="981" spans="1:11" ht="14.25" hidden="1" customHeight="1">
      <c r="A981" s="68"/>
      <c r="B981" s="68"/>
      <c r="C981" s="68"/>
      <c r="D981" s="69"/>
      <c r="E981" s="68"/>
      <c r="F981" s="58"/>
      <c r="G981" s="58"/>
      <c r="H981" s="70"/>
      <c r="I981" s="7"/>
      <c r="J981" s="71"/>
      <c r="K981" s="7"/>
    </row>
    <row r="982" spans="1:11" ht="14.25" hidden="1" customHeight="1">
      <c r="A982" s="68"/>
      <c r="B982" s="68"/>
      <c r="C982" s="68"/>
      <c r="D982" s="69"/>
      <c r="E982" s="68"/>
      <c r="F982" s="58"/>
      <c r="G982" s="58"/>
      <c r="H982" s="70"/>
      <c r="I982" s="7"/>
      <c r="J982" s="71"/>
      <c r="K982" s="7"/>
    </row>
    <row r="983" spans="1:11" ht="14.25" hidden="1" customHeight="1">
      <c r="A983" s="68"/>
      <c r="B983" s="68"/>
      <c r="C983" s="68"/>
      <c r="D983" s="69"/>
      <c r="E983" s="68"/>
      <c r="F983" s="58"/>
      <c r="G983" s="58"/>
      <c r="H983" s="70"/>
      <c r="I983" s="7"/>
      <c r="J983" s="71"/>
      <c r="K983" s="7"/>
    </row>
    <row r="984" spans="1:11" ht="14.25" hidden="1" customHeight="1">
      <c r="A984" s="68"/>
      <c r="B984" s="68"/>
      <c r="C984" s="68"/>
      <c r="D984" s="69"/>
      <c r="E984" s="68"/>
      <c r="F984" s="58"/>
      <c r="G984" s="58"/>
      <c r="H984" s="70"/>
      <c r="I984" s="7"/>
      <c r="J984" s="71"/>
      <c r="K984" s="7"/>
    </row>
    <row r="985" spans="1:11" ht="14.25" hidden="1" customHeight="1">
      <c r="A985" s="68"/>
      <c r="B985" s="68"/>
      <c r="C985" s="68"/>
      <c r="D985" s="69"/>
      <c r="E985" s="68"/>
      <c r="F985" s="58"/>
      <c r="G985" s="58"/>
      <c r="H985" s="70"/>
      <c r="I985" s="7"/>
      <c r="J985" s="71"/>
      <c r="K985" s="7"/>
    </row>
    <row r="986" spans="1:11" ht="14.25" hidden="1" customHeight="1">
      <c r="A986" s="68"/>
      <c r="B986" s="68"/>
      <c r="C986" s="68"/>
      <c r="D986" s="69"/>
      <c r="E986" s="68"/>
      <c r="F986" s="58"/>
      <c r="G986" s="58"/>
      <c r="H986" s="70"/>
      <c r="I986" s="7"/>
      <c r="J986" s="71"/>
      <c r="K986" s="7"/>
    </row>
    <row r="987" spans="1:11" ht="14.25" hidden="1" customHeight="1">
      <c r="A987" s="68"/>
      <c r="B987" s="68"/>
      <c r="C987" s="68"/>
      <c r="D987" s="69"/>
      <c r="E987" s="68"/>
      <c r="F987" s="58"/>
      <c r="G987" s="58"/>
      <c r="H987" s="70"/>
      <c r="I987" s="7"/>
      <c r="J987" s="71"/>
      <c r="K987" s="7"/>
    </row>
    <row r="988" spans="1:11" ht="14.25" hidden="1" customHeight="1">
      <c r="A988" s="68"/>
      <c r="B988" s="68"/>
      <c r="C988" s="68"/>
      <c r="D988" s="69"/>
      <c r="E988" s="68"/>
      <c r="F988" s="58"/>
      <c r="G988" s="58"/>
      <c r="H988" s="70"/>
      <c r="I988" s="7"/>
      <c r="J988" s="71"/>
      <c r="K988" s="7"/>
    </row>
    <row r="989" spans="1:11" ht="14.25" hidden="1" customHeight="1">
      <c r="A989" s="68"/>
      <c r="B989" s="68"/>
      <c r="C989" s="68"/>
      <c r="D989" s="69"/>
      <c r="E989" s="68"/>
      <c r="F989" s="58"/>
      <c r="G989" s="58"/>
      <c r="H989" s="70"/>
      <c r="I989" s="7"/>
      <c r="J989" s="71"/>
      <c r="K989" s="7"/>
    </row>
    <row r="990" spans="1:11" ht="14.25" hidden="1" customHeight="1">
      <c r="A990" s="68"/>
      <c r="B990" s="68"/>
      <c r="C990" s="68"/>
      <c r="D990" s="69"/>
      <c r="E990" s="68"/>
      <c r="F990" s="58"/>
      <c r="G990" s="58"/>
      <c r="H990" s="70"/>
      <c r="I990" s="7"/>
      <c r="J990" s="71"/>
      <c r="K990" s="7"/>
    </row>
    <row r="991" spans="1:11" ht="14.25" hidden="1" customHeight="1">
      <c r="A991" s="68"/>
      <c r="B991" s="68"/>
      <c r="C991" s="68"/>
      <c r="D991" s="69"/>
      <c r="E991" s="68"/>
      <c r="F991" s="58"/>
      <c r="G991" s="58"/>
      <c r="H991" s="70"/>
      <c r="I991" s="7"/>
      <c r="J991" s="71"/>
      <c r="K991" s="7"/>
    </row>
    <row r="992" spans="1:11" ht="14.25" hidden="1" customHeight="1">
      <c r="A992" s="68"/>
      <c r="B992" s="68"/>
      <c r="C992" s="68"/>
      <c r="D992" s="69"/>
      <c r="E992" s="68"/>
      <c r="F992" s="58"/>
      <c r="G992" s="58"/>
      <c r="H992" s="70"/>
      <c r="I992" s="7"/>
      <c r="J992" s="71"/>
      <c r="K992" s="7"/>
    </row>
    <row r="993" spans="1:11" ht="14.25" hidden="1" customHeight="1">
      <c r="A993" s="68"/>
      <c r="B993" s="68"/>
      <c r="C993" s="68"/>
      <c r="D993" s="69"/>
      <c r="E993" s="68"/>
      <c r="F993" s="58"/>
      <c r="G993" s="58"/>
      <c r="H993" s="70"/>
      <c r="I993" s="7"/>
      <c r="J993" s="71"/>
      <c r="K993" s="7"/>
    </row>
    <row r="994" spans="1:11" ht="14.25" hidden="1" customHeight="1">
      <c r="A994" s="68"/>
      <c r="B994" s="68"/>
      <c r="C994" s="68"/>
      <c r="D994" s="69"/>
      <c r="E994" s="68"/>
      <c r="F994" s="58"/>
      <c r="G994" s="58"/>
      <c r="H994" s="70"/>
      <c r="I994" s="7"/>
      <c r="J994" s="71"/>
      <c r="K994" s="7"/>
    </row>
    <row r="995" spans="1:11" ht="14.25" hidden="1" customHeight="1">
      <c r="A995" s="68"/>
      <c r="B995" s="68"/>
      <c r="C995" s="68"/>
      <c r="D995" s="69"/>
      <c r="E995" s="68"/>
      <c r="F995" s="58"/>
      <c r="G995" s="58"/>
      <c r="H995" s="70"/>
      <c r="I995" s="7"/>
      <c r="J995" s="71"/>
      <c r="K995" s="7"/>
    </row>
    <row r="996" spans="1:11" ht="14.25" hidden="1" customHeight="1">
      <c r="A996" s="68"/>
      <c r="B996" s="68"/>
      <c r="C996" s="68"/>
      <c r="D996" s="69"/>
      <c r="E996" s="68"/>
      <c r="F996" s="58"/>
      <c r="G996" s="58"/>
      <c r="H996" s="70"/>
      <c r="I996" s="7"/>
      <c r="J996" s="71"/>
      <c r="K996" s="7"/>
    </row>
    <row r="997" spans="1:11" ht="14.25" hidden="1" customHeight="1">
      <c r="A997" s="68"/>
      <c r="B997" s="68"/>
      <c r="C997" s="68"/>
      <c r="D997" s="69"/>
      <c r="E997" s="68"/>
      <c r="F997" s="58"/>
      <c r="G997" s="58"/>
      <c r="H997" s="70"/>
      <c r="I997" s="7"/>
      <c r="J997" s="71"/>
      <c r="K997" s="7"/>
    </row>
    <row r="998" spans="1:11" ht="14.25" hidden="1" customHeight="1">
      <c r="A998" s="68"/>
      <c r="B998" s="68"/>
      <c r="C998" s="68"/>
      <c r="D998" s="69"/>
      <c r="E998" s="68"/>
      <c r="F998" s="58"/>
      <c r="G998" s="58"/>
      <c r="H998" s="70"/>
      <c r="I998" s="7"/>
      <c r="J998" s="71"/>
      <c r="K998" s="7"/>
    </row>
    <row r="999" spans="1:11" ht="14.25" hidden="1" customHeight="1">
      <c r="A999" s="68"/>
      <c r="B999" s="68"/>
      <c r="C999" s="68"/>
      <c r="D999" s="69"/>
      <c r="E999" s="68"/>
      <c r="F999" s="58"/>
      <c r="G999" s="58"/>
      <c r="H999" s="70"/>
      <c r="I999" s="7"/>
      <c r="J999" s="71"/>
      <c r="K999" s="7"/>
    </row>
    <row r="1000" spans="1:11" ht="14.25" hidden="1" customHeight="1">
      <c r="A1000" s="68"/>
      <c r="B1000" s="68"/>
      <c r="C1000" s="68"/>
      <c r="D1000" s="69"/>
      <c r="E1000" s="68"/>
      <c r="F1000" s="58"/>
      <c r="G1000" s="58"/>
      <c r="H1000" s="70"/>
      <c r="I1000" s="7"/>
      <c r="J1000" s="71"/>
      <c r="K1000" s="7"/>
    </row>
    <row r="1001" spans="1:11" ht="14.25" hidden="1" customHeight="1"/>
    <row r="1002" spans="1:11" ht="14.25" hidden="1" customHeight="1">
      <c r="A1002" s="15"/>
      <c r="D1002" s="102"/>
      <c r="F1002" s="15"/>
      <c r="G1002" s="15"/>
      <c r="H1002" s="103"/>
      <c r="I1002" s="91"/>
    </row>
    <row r="1003" spans="1:11" ht="14.25" hidden="1" customHeight="1">
      <c r="A1003" s="15"/>
      <c r="D1003" s="102"/>
      <c r="F1003" s="15"/>
      <c r="G1003" s="15"/>
      <c r="H1003" s="103"/>
      <c r="I1003" s="91"/>
    </row>
    <row r="1004" spans="1:11" ht="14.25" hidden="1" customHeight="1">
      <c r="A1004" s="15"/>
      <c r="D1004" s="102"/>
      <c r="F1004" s="15"/>
      <c r="G1004" s="15"/>
      <c r="H1004" s="103"/>
      <c r="I1004" s="91"/>
    </row>
    <row r="1005" spans="1:11" ht="14.25" hidden="1" customHeight="1">
      <c r="A1005" s="15"/>
      <c r="D1005" s="102"/>
      <c r="F1005" s="15"/>
      <c r="G1005" s="15"/>
      <c r="H1005" s="103"/>
      <c r="I1005" s="91"/>
    </row>
    <row r="1006" spans="1:11" ht="14.25" hidden="1" customHeight="1">
      <c r="A1006" s="15"/>
      <c r="D1006" s="102"/>
      <c r="F1006" s="15"/>
      <c r="G1006" s="15"/>
      <c r="H1006" s="103"/>
      <c r="I1006" s="91"/>
    </row>
    <row r="1007" spans="1:11" ht="14.25" hidden="1" customHeight="1">
      <c r="A1007" s="15"/>
      <c r="D1007" s="102"/>
      <c r="F1007" s="15"/>
      <c r="G1007" s="15"/>
      <c r="H1007" s="103"/>
      <c r="I1007" s="91"/>
    </row>
    <row r="1008" spans="1:11" ht="14.25" hidden="1" customHeight="1">
      <c r="A1008" s="15"/>
      <c r="D1008" s="102"/>
      <c r="F1008" s="15"/>
      <c r="G1008" s="15"/>
      <c r="H1008" s="103"/>
      <c r="I1008" s="91"/>
    </row>
    <row r="1009" spans="1:9" ht="14.25" hidden="1" customHeight="1">
      <c r="A1009" s="15"/>
      <c r="D1009" s="102"/>
      <c r="F1009" s="15"/>
      <c r="G1009" s="15"/>
      <c r="H1009" s="103"/>
      <c r="I1009" s="91"/>
    </row>
    <row r="1010" spans="1:9" ht="14.25" hidden="1" customHeight="1">
      <c r="A1010" s="15"/>
      <c r="D1010" s="102"/>
      <c r="F1010" s="15"/>
      <c r="G1010" s="15"/>
      <c r="H1010" s="103"/>
      <c r="I1010" s="91"/>
    </row>
    <row r="1011" spans="1:9" ht="14.25" hidden="1" customHeight="1">
      <c r="A1011" s="15"/>
      <c r="D1011" s="102"/>
      <c r="F1011" s="15"/>
      <c r="G1011" s="15"/>
      <c r="H1011" s="103"/>
      <c r="I1011" s="91"/>
    </row>
    <row r="1012" spans="1:9" ht="14.25" hidden="1" customHeight="1">
      <c r="A1012" s="15"/>
      <c r="D1012" s="102"/>
      <c r="F1012" s="15"/>
      <c r="G1012" s="15"/>
      <c r="H1012" s="103"/>
      <c r="I1012" s="91"/>
    </row>
    <row r="1013" spans="1:9" ht="14.25" hidden="1" customHeight="1">
      <c r="A1013" s="15"/>
      <c r="D1013" s="102"/>
      <c r="F1013" s="15"/>
      <c r="G1013" s="15"/>
      <c r="H1013" s="103"/>
      <c r="I1013" s="91"/>
    </row>
    <row r="1014" spans="1:9" ht="14.25" hidden="1" customHeight="1">
      <c r="A1014" s="15"/>
      <c r="D1014" s="102"/>
      <c r="F1014" s="15"/>
      <c r="G1014" s="15"/>
      <c r="H1014" s="103"/>
      <c r="I1014" s="91"/>
    </row>
    <row r="1015" spans="1:9" ht="14.25" hidden="1" customHeight="1">
      <c r="A1015" s="15"/>
      <c r="D1015" s="102"/>
      <c r="F1015" s="15"/>
      <c r="G1015" s="15"/>
      <c r="H1015" s="103"/>
      <c r="I1015" s="91"/>
    </row>
    <row r="1016" spans="1:9" ht="14.25" hidden="1" customHeight="1">
      <c r="A1016" s="15"/>
      <c r="D1016" s="102"/>
      <c r="F1016" s="15"/>
      <c r="G1016" s="15"/>
      <c r="H1016" s="103"/>
      <c r="I1016" s="91"/>
    </row>
    <row r="1017" spans="1:9" ht="14.25" hidden="1" customHeight="1">
      <c r="A1017" s="15"/>
      <c r="D1017" s="102"/>
      <c r="F1017" s="15"/>
      <c r="G1017" s="15"/>
      <c r="H1017" s="103"/>
      <c r="I1017" s="91"/>
    </row>
    <row r="1018" spans="1:9" ht="14.25" hidden="1" customHeight="1">
      <c r="A1018" s="15"/>
      <c r="D1018" s="102"/>
      <c r="F1018" s="15"/>
      <c r="G1018" s="15"/>
      <c r="H1018" s="103"/>
      <c r="I1018" s="91"/>
    </row>
    <row r="1019" spans="1:9" ht="14.25" hidden="1" customHeight="1">
      <c r="A1019" s="15"/>
      <c r="D1019" s="102"/>
      <c r="F1019" s="15"/>
      <c r="G1019" s="15"/>
      <c r="H1019" s="103"/>
      <c r="I1019" s="91"/>
    </row>
    <row r="1020" spans="1:9" ht="14.25" hidden="1" customHeight="1">
      <c r="A1020" s="15"/>
      <c r="D1020" s="102"/>
      <c r="F1020" s="15"/>
      <c r="G1020" s="15"/>
      <c r="H1020" s="103"/>
      <c r="I1020" s="91"/>
    </row>
    <row r="1021" spans="1:9" ht="14.25" hidden="1" customHeight="1">
      <c r="A1021" s="15"/>
      <c r="D1021" s="102"/>
      <c r="F1021" s="15"/>
      <c r="G1021" s="15"/>
      <c r="H1021" s="103"/>
      <c r="I1021" s="91"/>
    </row>
    <row r="1022" spans="1:9" ht="14.25" hidden="1" customHeight="1">
      <c r="A1022" s="15"/>
      <c r="D1022" s="102"/>
      <c r="F1022" s="15"/>
      <c r="G1022" s="15"/>
      <c r="H1022" s="103"/>
      <c r="I1022" s="91"/>
    </row>
    <row r="1023" spans="1:9" ht="14.25" hidden="1" customHeight="1">
      <c r="A1023" s="15"/>
      <c r="D1023" s="102"/>
      <c r="F1023" s="15"/>
      <c r="G1023" s="15"/>
      <c r="H1023" s="103"/>
      <c r="I1023" s="91"/>
    </row>
    <row r="1024" spans="1:9" ht="14.25" hidden="1" customHeight="1">
      <c r="A1024" s="15"/>
      <c r="D1024" s="102"/>
      <c r="F1024" s="15"/>
      <c r="G1024" s="15"/>
      <c r="H1024" s="103"/>
      <c r="I1024" s="91"/>
    </row>
    <row r="1025" spans="1:9" ht="14.25" hidden="1" customHeight="1">
      <c r="A1025" s="15"/>
      <c r="D1025" s="102"/>
      <c r="F1025" s="15"/>
      <c r="G1025" s="15"/>
      <c r="H1025" s="103"/>
      <c r="I1025" s="91"/>
    </row>
    <row r="1026" spans="1:9" ht="14.25" hidden="1" customHeight="1">
      <c r="A1026" s="15"/>
      <c r="D1026" s="102"/>
      <c r="F1026" s="15"/>
      <c r="G1026" s="15"/>
      <c r="H1026" s="103"/>
      <c r="I1026" s="91"/>
    </row>
    <row r="1027" spans="1:9" ht="14.25" hidden="1" customHeight="1">
      <c r="A1027" s="15"/>
      <c r="D1027" s="102"/>
      <c r="F1027" s="15"/>
      <c r="G1027" s="15"/>
      <c r="H1027" s="103"/>
      <c r="I1027" s="91"/>
    </row>
    <row r="1028" spans="1:9" ht="14.25" hidden="1" customHeight="1">
      <c r="A1028" s="15"/>
      <c r="D1028" s="102"/>
      <c r="F1028" s="15"/>
      <c r="G1028" s="15"/>
      <c r="H1028" s="103"/>
      <c r="I1028" s="91"/>
    </row>
    <row r="1029" spans="1:9" ht="14.25" hidden="1" customHeight="1">
      <c r="A1029" s="15"/>
      <c r="D1029" s="102"/>
      <c r="F1029" s="15"/>
      <c r="G1029" s="15"/>
      <c r="H1029" s="103"/>
      <c r="I1029" s="91"/>
    </row>
    <row r="1030" spans="1:9" ht="14.25" hidden="1" customHeight="1">
      <c r="A1030" s="15"/>
      <c r="D1030" s="102"/>
      <c r="F1030" s="15"/>
      <c r="G1030" s="15"/>
      <c r="H1030" s="103"/>
      <c r="I1030" s="91"/>
    </row>
    <row r="1031" spans="1:9" ht="14.25" hidden="1" customHeight="1">
      <c r="A1031" s="15"/>
      <c r="D1031" s="102"/>
      <c r="F1031" s="15"/>
      <c r="G1031" s="15"/>
      <c r="H1031" s="103"/>
      <c r="I1031" s="91"/>
    </row>
    <row r="1032" spans="1:9" ht="14.25" hidden="1" customHeight="1">
      <c r="A1032" s="15"/>
      <c r="D1032" s="102"/>
      <c r="F1032" s="15"/>
      <c r="G1032" s="15"/>
      <c r="H1032" s="103"/>
      <c r="I1032" s="91"/>
    </row>
    <row r="1033" spans="1:9" ht="14.25" hidden="1" customHeight="1">
      <c r="A1033" s="15"/>
      <c r="D1033" s="102"/>
      <c r="F1033" s="15"/>
      <c r="G1033" s="15"/>
      <c r="H1033" s="103"/>
      <c r="I1033" s="91"/>
    </row>
    <row r="1034" spans="1:9" ht="14.25" hidden="1" customHeight="1">
      <c r="A1034" s="15"/>
      <c r="D1034" s="102"/>
      <c r="F1034" s="15"/>
      <c r="G1034" s="15"/>
      <c r="H1034" s="103"/>
      <c r="I1034" s="91"/>
    </row>
    <row r="1035" spans="1:9" ht="14.25" hidden="1" customHeight="1">
      <c r="A1035" s="15"/>
      <c r="D1035" s="102"/>
      <c r="F1035" s="15"/>
      <c r="G1035" s="15"/>
      <c r="H1035" s="103"/>
      <c r="I1035" s="91"/>
    </row>
    <row r="1036" spans="1:9" ht="14.25" hidden="1" customHeight="1">
      <c r="A1036" s="15"/>
      <c r="D1036" s="102"/>
      <c r="F1036" s="15"/>
      <c r="G1036" s="15"/>
      <c r="H1036" s="103"/>
      <c r="I1036" s="91"/>
    </row>
    <row r="1037" spans="1:9" ht="14.25" hidden="1" customHeight="1">
      <c r="A1037" s="15"/>
      <c r="D1037" s="102"/>
      <c r="F1037" s="15"/>
      <c r="G1037" s="15"/>
      <c r="H1037" s="103"/>
      <c r="I1037" s="91"/>
    </row>
    <row r="1038" spans="1:9" ht="14.25" hidden="1" customHeight="1">
      <c r="A1038" s="15"/>
      <c r="D1038" s="102"/>
      <c r="F1038" s="15"/>
      <c r="G1038" s="15"/>
      <c r="H1038" s="103"/>
      <c r="I1038" s="91"/>
    </row>
    <row r="1039" spans="1:9" ht="14.25" hidden="1" customHeight="1">
      <c r="A1039" s="15"/>
      <c r="D1039" s="102"/>
      <c r="F1039" s="15"/>
      <c r="G1039" s="15"/>
      <c r="H1039" s="103"/>
      <c r="I1039" s="91"/>
    </row>
    <row r="1040" spans="1:9" ht="14.25" hidden="1" customHeight="1">
      <c r="A1040" s="15"/>
      <c r="D1040" s="102"/>
      <c r="F1040" s="15"/>
      <c r="G1040" s="15"/>
      <c r="H1040" s="103"/>
      <c r="I1040" s="91"/>
    </row>
    <row r="1041" spans="1:9" ht="14.25" hidden="1" customHeight="1">
      <c r="A1041" s="15"/>
      <c r="D1041" s="102"/>
      <c r="F1041" s="15"/>
      <c r="G1041" s="15"/>
      <c r="H1041" s="103"/>
      <c r="I1041" s="91"/>
    </row>
    <row r="1042" spans="1:9" ht="14.25" hidden="1" customHeight="1">
      <c r="A1042" s="15"/>
      <c r="D1042" s="102"/>
      <c r="F1042" s="15"/>
      <c r="G1042" s="15"/>
      <c r="H1042" s="103"/>
      <c r="I1042" s="91"/>
    </row>
    <row r="1043" spans="1:9" ht="14.25" hidden="1" customHeight="1">
      <c r="A1043" s="15"/>
      <c r="D1043" s="102"/>
      <c r="F1043" s="15"/>
      <c r="G1043" s="15"/>
      <c r="H1043" s="103"/>
      <c r="I1043" s="91"/>
    </row>
    <row r="1044" spans="1:9" ht="14.25" hidden="1" customHeight="1">
      <c r="A1044" s="15"/>
      <c r="D1044" s="102"/>
      <c r="F1044" s="15"/>
      <c r="G1044" s="15"/>
      <c r="H1044" s="103"/>
      <c r="I1044" s="91"/>
    </row>
    <row r="1045" spans="1:9" ht="14.25" hidden="1" customHeight="1">
      <c r="A1045" s="15"/>
      <c r="D1045" s="102"/>
      <c r="F1045" s="15"/>
      <c r="G1045" s="15"/>
      <c r="H1045" s="103"/>
      <c r="I1045" s="91"/>
    </row>
    <row r="1046" spans="1:9" ht="14.25" hidden="1" customHeight="1">
      <c r="A1046" s="15"/>
      <c r="D1046" s="102"/>
      <c r="F1046" s="15"/>
      <c r="G1046" s="15"/>
      <c r="H1046" s="103"/>
      <c r="I1046" s="91"/>
    </row>
    <row r="1047" spans="1:9" ht="14.25" hidden="1" customHeight="1">
      <c r="A1047" s="15"/>
      <c r="D1047" s="102"/>
      <c r="F1047" s="15"/>
      <c r="G1047" s="15"/>
      <c r="H1047" s="103"/>
      <c r="I1047" s="91"/>
    </row>
    <row r="1048" spans="1:9" ht="14.25" hidden="1" customHeight="1">
      <c r="A1048" s="15"/>
      <c r="D1048" s="102"/>
      <c r="F1048" s="15"/>
      <c r="G1048" s="15"/>
      <c r="H1048" s="103"/>
      <c r="I1048" s="91"/>
    </row>
    <row r="1049" spans="1:9" ht="14.25" hidden="1" customHeight="1">
      <c r="A1049" s="15"/>
      <c r="D1049" s="102"/>
      <c r="F1049" s="15"/>
      <c r="G1049" s="15"/>
      <c r="H1049" s="103"/>
      <c r="I1049" s="91"/>
    </row>
    <row r="1050" spans="1:9" ht="14.25" hidden="1" customHeight="1">
      <c r="A1050" s="15"/>
      <c r="D1050" s="102"/>
      <c r="F1050" s="15"/>
      <c r="G1050" s="15"/>
      <c r="H1050" s="103"/>
      <c r="I1050" s="91"/>
    </row>
    <row r="1051" spans="1:9" ht="14.25" hidden="1" customHeight="1">
      <c r="A1051" s="15"/>
      <c r="D1051" s="102"/>
      <c r="F1051" s="15"/>
      <c r="G1051" s="15"/>
      <c r="H1051" s="103"/>
      <c r="I1051" s="91"/>
    </row>
    <row r="1052" spans="1:9" ht="14.25" hidden="1" customHeight="1">
      <c r="A1052" s="15"/>
      <c r="D1052" s="102"/>
      <c r="F1052" s="15"/>
      <c r="G1052" s="15"/>
      <c r="H1052" s="103"/>
      <c r="I1052" s="91"/>
    </row>
    <row r="1053" spans="1:9" ht="14.25" hidden="1" customHeight="1">
      <c r="A1053" s="15"/>
      <c r="D1053" s="102"/>
      <c r="F1053" s="15"/>
      <c r="G1053" s="15"/>
      <c r="H1053" s="103"/>
      <c r="I1053" s="91"/>
    </row>
    <row r="1054" spans="1:9" ht="14.25" hidden="1" customHeight="1">
      <c r="A1054" s="15"/>
      <c r="D1054" s="102"/>
      <c r="F1054" s="15"/>
      <c r="G1054" s="15"/>
      <c r="H1054" s="103"/>
      <c r="I1054" s="91"/>
    </row>
    <row r="1055" spans="1:9" ht="14.25" hidden="1" customHeight="1">
      <c r="A1055" s="15"/>
      <c r="D1055" s="102"/>
      <c r="F1055" s="15"/>
      <c r="G1055" s="15"/>
      <c r="H1055" s="103"/>
      <c r="I1055" s="91"/>
    </row>
    <row r="1056" spans="1:9" ht="14.25" hidden="1" customHeight="1">
      <c r="A1056" s="15"/>
      <c r="D1056" s="102"/>
      <c r="F1056" s="15"/>
      <c r="G1056" s="15"/>
      <c r="H1056" s="103"/>
      <c r="I1056" s="91"/>
    </row>
    <row r="1057" spans="1:9" ht="14.25" hidden="1" customHeight="1">
      <c r="A1057" s="15"/>
      <c r="D1057" s="102"/>
      <c r="F1057" s="15"/>
      <c r="G1057" s="15"/>
      <c r="H1057" s="103"/>
      <c r="I1057" s="91"/>
    </row>
    <row r="1058" spans="1:9" ht="14.25" hidden="1" customHeight="1">
      <c r="A1058" s="15"/>
      <c r="D1058" s="102"/>
      <c r="F1058" s="15"/>
      <c r="G1058" s="15"/>
      <c r="H1058" s="103"/>
      <c r="I1058" s="91"/>
    </row>
    <row r="1059" spans="1:9" ht="14.25" hidden="1" customHeight="1">
      <c r="A1059" s="15"/>
      <c r="D1059" s="102"/>
      <c r="F1059" s="15"/>
      <c r="G1059" s="15"/>
      <c r="H1059" s="103"/>
      <c r="I1059" s="91"/>
    </row>
    <row r="1060" spans="1:9" ht="14.25" hidden="1" customHeight="1">
      <c r="A1060" s="15"/>
      <c r="D1060" s="102"/>
      <c r="F1060" s="15"/>
      <c r="G1060" s="15"/>
      <c r="H1060" s="103"/>
      <c r="I1060" s="91"/>
    </row>
    <row r="1061" spans="1:9" ht="14.25" hidden="1" customHeight="1">
      <c r="A1061" s="15"/>
      <c r="D1061" s="102"/>
      <c r="F1061" s="15"/>
      <c r="G1061" s="15"/>
      <c r="H1061" s="103"/>
      <c r="I1061" s="91"/>
    </row>
    <row r="1062" spans="1:9" ht="14.25" hidden="1" customHeight="1">
      <c r="A1062" s="15"/>
      <c r="D1062" s="102"/>
      <c r="F1062" s="15"/>
      <c r="G1062" s="15"/>
      <c r="H1062" s="103"/>
      <c r="I1062" s="91"/>
    </row>
    <row r="1063" spans="1:9" ht="14.25" hidden="1" customHeight="1">
      <c r="A1063" s="15"/>
      <c r="D1063" s="102"/>
      <c r="F1063" s="15"/>
      <c r="G1063" s="15"/>
      <c r="H1063" s="103"/>
      <c r="I1063" s="91"/>
    </row>
    <row r="1064" spans="1:9" ht="14.25" hidden="1" customHeight="1">
      <c r="A1064" s="15"/>
      <c r="D1064" s="102"/>
      <c r="F1064" s="15"/>
      <c r="G1064" s="15"/>
      <c r="H1064" s="103"/>
      <c r="I1064" s="91"/>
    </row>
    <row r="1065" spans="1:9" ht="14.25" hidden="1" customHeight="1">
      <c r="A1065" s="15"/>
      <c r="D1065" s="102"/>
      <c r="F1065" s="15"/>
      <c r="G1065" s="15"/>
      <c r="H1065" s="103"/>
      <c r="I1065" s="91"/>
    </row>
    <row r="1066" spans="1:9" ht="14.25" hidden="1" customHeight="1">
      <c r="A1066" s="15"/>
      <c r="D1066" s="102"/>
      <c r="F1066" s="15"/>
      <c r="G1066" s="15"/>
      <c r="H1066" s="103"/>
      <c r="I1066" s="91"/>
    </row>
    <row r="1067" spans="1:9" ht="14.25" hidden="1" customHeight="1">
      <c r="A1067" s="15"/>
      <c r="D1067" s="102"/>
      <c r="F1067" s="15"/>
      <c r="G1067" s="15"/>
      <c r="H1067" s="103"/>
      <c r="I1067" s="91"/>
    </row>
    <row r="1068" spans="1:9" ht="14.25" hidden="1" customHeight="1">
      <c r="A1068" s="15"/>
      <c r="D1068" s="102"/>
      <c r="F1068" s="15"/>
      <c r="G1068" s="15"/>
      <c r="H1068" s="103"/>
      <c r="I1068" s="91"/>
    </row>
    <row r="1069" spans="1:9" ht="14.25" hidden="1" customHeight="1">
      <c r="A1069" s="15"/>
      <c r="D1069" s="102"/>
      <c r="F1069" s="15"/>
      <c r="G1069" s="15"/>
      <c r="H1069" s="103"/>
      <c r="I1069" s="91"/>
    </row>
    <row r="1070" spans="1:9" ht="14.25" hidden="1" customHeight="1">
      <c r="A1070" s="15"/>
      <c r="D1070" s="102"/>
      <c r="F1070" s="15"/>
      <c r="G1070" s="15"/>
      <c r="H1070" s="103"/>
      <c r="I1070" s="91"/>
    </row>
    <row r="1071" spans="1:9" ht="14.25" hidden="1" customHeight="1">
      <c r="A1071" s="15"/>
      <c r="D1071" s="102"/>
      <c r="F1071" s="15"/>
      <c r="G1071" s="15"/>
      <c r="H1071" s="103"/>
      <c r="I1071" s="91"/>
    </row>
    <row r="1072" spans="1:9" ht="14.25" hidden="1" customHeight="1">
      <c r="A1072" s="15"/>
      <c r="D1072" s="102"/>
      <c r="F1072" s="15"/>
      <c r="G1072" s="15"/>
      <c r="H1072" s="103"/>
      <c r="I1072" s="91"/>
    </row>
    <row r="1073" spans="1:9" ht="14.25" hidden="1" customHeight="1">
      <c r="A1073" s="15"/>
      <c r="D1073" s="102"/>
      <c r="F1073" s="15"/>
      <c r="G1073" s="15"/>
      <c r="H1073" s="103"/>
      <c r="I1073" s="91"/>
    </row>
    <row r="1074" spans="1:9" ht="14.25" hidden="1" customHeight="1">
      <c r="A1074" s="15"/>
      <c r="D1074" s="102"/>
      <c r="F1074" s="15"/>
      <c r="G1074" s="15"/>
      <c r="H1074" s="103"/>
      <c r="I1074" s="91"/>
    </row>
    <row r="1075" spans="1:9" ht="14.25" hidden="1" customHeight="1">
      <c r="A1075" s="15"/>
      <c r="D1075" s="102"/>
      <c r="F1075" s="15"/>
      <c r="G1075" s="15"/>
      <c r="H1075" s="103"/>
      <c r="I1075" s="91"/>
    </row>
    <row r="1076" spans="1:9" ht="14.25" hidden="1" customHeight="1">
      <c r="A1076" s="15"/>
      <c r="D1076" s="102"/>
      <c r="F1076" s="15"/>
      <c r="G1076" s="15"/>
      <c r="H1076" s="103"/>
      <c r="I1076" s="91"/>
    </row>
    <row r="1077" spans="1:9" ht="14.25" hidden="1" customHeight="1">
      <c r="A1077" s="15"/>
      <c r="D1077" s="102"/>
      <c r="F1077" s="15"/>
      <c r="G1077" s="15"/>
      <c r="H1077" s="103"/>
      <c r="I1077" s="91"/>
    </row>
    <row r="1078" spans="1:9" ht="14.25" hidden="1" customHeight="1">
      <c r="A1078" s="15"/>
      <c r="D1078" s="102"/>
      <c r="F1078" s="15"/>
      <c r="G1078" s="15"/>
      <c r="H1078" s="103"/>
      <c r="I1078" s="91"/>
    </row>
    <row r="1079" spans="1:9" ht="14.25" hidden="1" customHeight="1">
      <c r="A1079" s="15"/>
      <c r="D1079" s="102"/>
      <c r="F1079" s="15"/>
      <c r="G1079" s="15"/>
      <c r="H1079" s="103"/>
      <c r="I1079" s="91"/>
    </row>
    <row r="1080" spans="1:9" ht="14.25" hidden="1" customHeight="1">
      <c r="A1080" s="15"/>
      <c r="D1080" s="102"/>
      <c r="F1080" s="15"/>
      <c r="G1080" s="15"/>
      <c r="H1080" s="103"/>
      <c r="I1080" s="91"/>
    </row>
    <row r="1081" spans="1:9" ht="14.25" hidden="1" customHeight="1">
      <c r="A1081" s="15"/>
      <c r="D1081" s="102"/>
      <c r="F1081" s="15"/>
      <c r="G1081" s="15"/>
      <c r="H1081" s="103"/>
      <c r="I1081" s="91"/>
    </row>
    <row r="1082" spans="1:9" ht="14.25" hidden="1" customHeight="1">
      <c r="A1082" s="15"/>
      <c r="D1082" s="102"/>
      <c r="F1082" s="15"/>
      <c r="G1082" s="15"/>
      <c r="H1082" s="103"/>
      <c r="I1082" s="91"/>
    </row>
    <row r="1083" spans="1:9" ht="14.25" hidden="1" customHeight="1">
      <c r="A1083" s="15"/>
      <c r="D1083" s="102"/>
      <c r="F1083" s="15"/>
      <c r="G1083" s="15"/>
      <c r="H1083" s="103"/>
      <c r="I1083" s="91"/>
    </row>
    <row r="1084" spans="1:9" ht="14.25" hidden="1" customHeight="1">
      <c r="A1084" s="15"/>
      <c r="D1084" s="102"/>
      <c r="F1084" s="15"/>
      <c r="G1084" s="15"/>
      <c r="H1084" s="103"/>
      <c r="I1084" s="91"/>
    </row>
    <row r="1085" spans="1:9" ht="14.25" hidden="1" customHeight="1">
      <c r="A1085" s="15"/>
      <c r="D1085" s="102"/>
      <c r="F1085" s="15"/>
      <c r="G1085" s="15"/>
      <c r="H1085" s="103"/>
      <c r="I1085" s="91"/>
    </row>
    <row r="1086" spans="1:9" ht="14.25" hidden="1" customHeight="1">
      <c r="A1086" s="15"/>
      <c r="D1086" s="102"/>
      <c r="F1086" s="15"/>
      <c r="G1086" s="15"/>
      <c r="H1086" s="103"/>
      <c r="I1086" s="91"/>
    </row>
    <row r="1087" spans="1:9" ht="14.25" hidden="1" customHeight="1">
      <c r="A1087" s="15"/>
      <c r="D1087" s="102"/>
      <c r="F1087" s="15"/>
      <c r="G1087" s="15"/>
      <c r="H1087" s="103"/>
      <c r="I1087" s="91"/>
    </row>
    <row r="1088" spans="1:9" ht="14.25" hidden="1" customHeight="1">
      <c r="A1088" s="15"/>
      <c r="D1088" s="102"/>
      <c r="F1088" s="15"/>
      <c r="G1088" s="15"/>
      <c r="H1088" s="103"/>
      <c r="I1088" s="91"/>
    </row>
    <row r="1089" spans="1:9" ht="14.25" hidden="1" customHeight="1">
      <c r="A1089" s="15"/>
      <c r="D1089" s="102"/>
      <c r="F1089" s="15"/>
      <c r="G1089" s="15"/>
      <c r="H1089" s="103"/>
      <c r="I1089" s="91"/>
    </row>
    <row r="1090" spans="1:9" ht="14.25" hidden="1" customHeight="1">
      <c r="A1090" s="15"/>
      <c r="D1090" s="102"/>
      <c r="F1090" s="15"/>
      <c r="G1090" s="15"/>
      <c r="H1090" s="103"/>
      <c r="I1090" s="91"/>
    </row>
    <row r="1091" spans="1:9" ht="14.25" hidden="1" customHeight="1">
      <c r="A1091" s="15"/>
      <c r="D1091" s="102"/>
      <c r="F1091" s="15"/>
      <c r="G1091" s="15"/>
      <c r="H1091" s="103"/>
      <c r="I1091" s="91"/>
    </row>
    <row r="1092" spans="1:9" ht="14.25" hidden="1" customHeight="1">
      <c r="A1092" s="15"/>
      <c r="D1092" s="102"/>
      <c r="F1092" s="15"/>
      <c r="G1092" s="15"/>
      <c r="H1092" s="103"/>
      <c r="I1092" s="91"/>
    </row>
    <row r="1093" spans="1:9" ht="14.25" hidden="1" customHeight="1">
      <c r="A1093" s="15"/>
      <c r="D1093" s="102"/>
      <c r="F1093" s="15"/>
      <c r="G1093" s="15"/>
      <c r="H1093" s="103"/>
      <c r="I1093" s="91"/>
    </row>
    <row r="1094" spans="1:9" ht="14.25" hidden="1" customHeight="1">
      <c r="A1094" s="15"/>
      <c r="D1094" s="102"/>
      <c r="F1094" s="15"/>
      <c r="G1094" s="15"/>
      <c r="H1094" s="103"/>
      <c r="I1094" s="91"/>
    </row>
    <row r="1095" spans="1:9" ht="14.25" hidden="1" customHeight="1">
      <c r="A1095" s="15"/>
      <c r="D1095" s="102"/>
      <c r="F1095" s="15"/>
      <c r="G1095" s="15"/>
      <c r="H1095" s="103"/>
      <c r="I1095" s="91"/>
    </row>
    <row r="1096" spans="1:9" ht="14.25" hidden="1" customHeight="1">
      <c r="A1096" s="15"/>
      <c r="D1096" s="102"/>
      <c r="F1096" s="15"/>
      <c r="G1096" s="15"/>
      <c r="H1096" s="103"/>
      <c r="I1096" s="91"/>
    </row>
    <row r="1097" spans="1:9" ht="14.25" hidden="1" customHeight="1">
      <c r="A1097" s="15"/>
      <c r="D1097" s="102"/>
      <c r="F1097" s="15"/>
      <c r="G1097" s="15"/>
      <c r="H1097" s="103"/>
      <c r="I1097" s="91"/>
    </row>
    <row r="1098" spans="1:9" ht="14.25" hidden="1" customHeight="1">
      <c r="A1098" s="15"/>
      <c r="D1098" s="102"/>
      <c r="F1098" s="15"/>
      <c r="G1098" s="15"/>
      <c r="H1098" s="103"/>
      <c r="I1098" s="91"/>
    </row>
    <row r="1099" spans="1:9" ht="14.25" hidden="1" customHeight="1">
      <c r="A1099" s="15"/>
      <c r="D1099" s="102"/>
      <c r="F1099" s="15"/>
      <c r="G1099" s="15"/>
      <c r="H1099" s="103"/>
      <c r="I1099" s="91"/>
    </row>
    <row r="1100" spans="1:9" ht="14.25" hidden="1" customHeight="1">
      <c r="A1100" s="15"/>
      <c r="D1100" s="102"/>
      <c r="F1100" s="15"/>
      <c r="G1100" s="15"/>
      <c r="H1100" s="103"/>
      <c r="I1100" s="91"/>
    </row>
    <row r="1101" spans="1:9" ht="14.25" hidden="1" customHeight="1">
      <c r="A1101" s="15"/>
      <c r="D1101" s="102"/>
      <c r="F1101" s="15"/>
      <c r="G1101" s="15"/>
      <c r="H1101" s="103"/>
      <c r="I1101" s="91"/>
    </row>
    <row r="1102" spans="1:9" ht="14.25" hidden="1" customHeight="1">
      <c r="A1102" s="15"/>
      <c r="D1102" s="102"/>
      <c r="F1102" s="15"/>
      <c r="G1102" s="15"/>
      <c r="H1102" s="103"/>
      <c r="I1102" s="91"/>
    </row>
    <row r="1103" spans="1:9" ht="14.25" hidden="1" customHeight="1">
      <c r="A1103" s="15"/>
      <c r="D1103" s="102"/>
      <c r="F1103" s="15"/>
      <c r="G1103" s="15"/>
      <c r="H1103" s="103"/>
      <c r="I1103" s="91"/>
    </row>
    <row r="1104" spans="1:9" ht="14.25" hidden="1" customHeight="1">
      <c r="A1104" s="15"/>
      <c r="D1104" s="102"/>
      <c r="F1104" s="15"/>
      <c r="G1104" s="15"/>
      <c r="H1104" s="103"/>
      <c r="I1104" s="91"/>
    </row>
    <row r="1105" spans="1:9" ht="14.25" hidden="1" customHeight="1">
      <c r="A1105" s="15"/>
      <c r="D1105" s="102"/>
      <c r="F1105" s="15"/>
      <c r="G1105" s="15"/>
      <c r="H1105" s="103"/>
      <c r="I1105" s="91"/>
    </row>
    <row r="1106" spans="1:9" ht="14.25" hidden="1" customHeight="1">
      <c r="A1106" s="15"/>
      <c r="D1106" s="102"/>
      <c r="F1106" s="15"/>
      <c r="G1106" s="15"/>
      <c r="H1106" s="103"/>
      <c r="I1106" s="91"/>
    </row>
    <row r="1107" spans="1:9" ht="14.25" hidden="1" customHeight="1">
      <c r="A1107" s="15"/>
      <c r="D1107" s="102"/>
      <c r="F1107" s="15"/>
      <c r="G1107" s="15"/>
      <c r="H1107" s="103"/>
      <c r="I1107" s="91"/>
    </row>
    <row r="1108" spans="1:9" ht="14.25" hidden="1" customHeight="1">
      <c r="A1108" s="15"/>
      <c r="D1108" s="102"/>
      <c r="F1108" s="15"/>
      <c r="G1108" s="15"/>
      <c r="H1108" s="103"/>
      <c r="I1108" s="91"/>
    </row>
    <row r="1109" spans="1:9" ht="14.25" hidden="1" customHeight="1">
      <c r="A1109" s="15"/>
      <c r="D1109" s="102"/>
      <c r="F1109" s="15"/>
      <c r="G1109" s="15"/>
      <c r="H1109" s="103"/>
      <c r="I1109" s="91"/>
    </row>
    <row r="1110" spans="1:9" ht="14.25" hidden="1" customHeight="1">
      <c r="A1110" s="15"/>
      <c r="D1110" s="102"/>
      <c r="F1110" s="15"/>
      <c r="G1110" s="15"/>
      <c r="H1110" s="103"/>
      <c r="I1110" s="91"/>
    </row>
    <row r="1111" spans="1:9" ht="14.25" hidden="1" customHeight="1">
      <c r="A1111" s="15"/>
      <c r="D1111" s="102"/>
      <c r="F1111" s="15"/>
      <c r="G1111" s="15"/>
      <c r="H1111" s="103"/>
      <c r="I1111" s="91"/>
    </row>
    <row r="1112" spans="1:9" ht="14.25" hidden="1" customHeight="1">
      <c r="A1112" s="15"/>
      <c r="D1112" s="102"/>
      <c r="F1112" s="15"/>
      <c r="G1112" s="15"/>
      <c r="H1112" s="103"/>
      <c r="I1112" s="91"/>
    </row>
    <row r="1113" spans="1:9" ht="14.25" hidden="1" customHeight="1">
      <c r="A1113" s="15"/>
      <c r="D1113" s="102"/>
      <c r="F1113" s="15"/>
      <c r="G1113" s="15"/>
      <c r="H1113" s="103"/>
      <c r="I1113" s="91"/>
    </row>
    <row r="1114" spans="1:9" ht="14.25" hidden="1" customHeight="1">
      <c r="A1114" s="15"/>
      <c r="D1114" s="102"/>
      <c r="F1114" s="15"/>
      <c r="G1114" s="15"/>
      <c r="H1114" s="103"/>
      <c r="I1114" s="91"/>
    </row>
    <row r="1115" spans="1:9" ht="14.25" hidden="1" customHeight="1">
      <c r="A1115" s="15"/>
      <c r="D1115" s="102"/>
      <c r="F1115" s="15"/>
      <c r="G1115" s="15"/>
      <c r="H1115" s="103"/>
      <c r="I1115" s="91"/>
    </row>
    <row r="1116" spans="1:9" ht="14.25" hidden="1" customHeight="1">
      <c r="A1116" s="15"/>
      <c r="D1116" s="102"/>
      <c r="F1116" s="15"/>
      <c r="G1116" s="15"/>
      <c r="H1116" s="103"/>
      <c r="I1116" s="91"/>
    </row>
    <row r="1117" spans="1:9" ht="14.25" hidden="1" customHeight="1">
      <c r="A1117" s="15"/>
      <c r="D1117" s="102"/>
      <c r="F1117" s="15"/>
      <c r="G1117" s="15"/>
      <c r="H1117" s="103"/>
      <c r="I1117" s="91"/>
    </row>
    <row r="1118" spans="1:9" ht="14.25" hidden="1" customHeight="1">
      <c r="A1118" s="15"/>
      <c r="D1118" s="102"/>
      <c r="F1118" s="15"/>
      <c r="G1118" s="15"/>
      <c r="H1118" s="103"/>
      <c r="I1118" s="91"/>
    </row>
    <row r="1119" spans="1:9" ht="14.25" hidden="1" customHeight="1">
      <c r="A1119" s="15"/>
      <c r="D1119" s="102"/>
      <c r="F1119" s="15"/>
      <c r="G1119" s="15"/>
      <c r="H1119" s="103"/>
      <c r="I1119" s="91"/>
    </row>
    <row r="1120" spans="1:9" ht="14.25" hidden="1" customHeight="1">
      <c r="A1120" s="15"/>
      <c r="D1120" s="102"/>
      <c r="F1120" s="15"/>
      <c r="G1120" s="15"/>
      <c r="H1120" s="103"/>
      <c r="I1120" s="91"/>
    </row>
    <row r="1121" spans="1:9" ht="14.25" hidden="1" customHeight="1">
      <c r="A1121" s="15"/>
      <c r="D1121" s="102"/>
      <c r="F1121" s="15"/>
      <c r="G1121" s="15"/>
      <c r="H1121" s="103"/>
      <c r="I1121" s="91"/>
    </row>
    <row r="1122" spans="1:9" ht="14.25" hidden="1" customHeight="1">
      <c r="A1122" s="15"/>
      <c r="D1122" s="102"/>
      <c r="F1122" s="15"/>
      <c r="G1122" s="15"/>
      <c r="H1122" s="103"/>
      <c r="I1122" s="91"/>
    </row>
    <row r="1123" spans="1:9" ht="14.25" hidden="1" customHeight="1">
      <c r="A1123" s="15"/>
      <c r="D1123" s="102"/>
      <c r="F1123" s="15"/>
      <c r="G1123" s="15"/>
      <c r="H1123" s="103"/>
      <c r="I1123" s="91"/>
    </row>
    <row r="1124" spans="1:9" ht="14.25" hidden="1" customHeight="1">
      <c r="A1124" s="15"/>
      <c r="D1124" s="102"/>
      <c r="F1124" s="15"/>
      <c r="G1124" s="15"/>
      <c r="H1124" s="103"/>
      <c r="I1124" s="91"/>
    </row>
    <row r="1125" spans="1:9" ht="14.25" hidden="1" customHeight="1">
      <c r="A1125" s="15"/>
      <c r="D1125" s="102"/>
      <c r="F1125" s="15"/>
      <c r="G1125" s="15"/>
      <c r="H1125" s="103"/>
      <c r="I1125" s="91"/>
    </row>
    <row r="1126" spans="1:9" ht="14.25" hidden="1" customHeight="1">
      <c r="A1126" s="15"/>
      <c r="D1126" s="102"/>
      <c r="F1126" s="15"/>
      <c r="G1126" s="15"/>
      <c r="H1126" s="103"/>
      <c r="I1126" s="91"/>
    </row>
    <row r="1127" spans="1:9" ht="14.25" hidden="1" customHeight="1">
      <c r="A1127" s="15"/>
      <c r="D1127" s="102"/>
      <c r="F1127" s="15"/>
      <c r="G1127" s="15"/>
      <c r="H1127" s="103"/>
      <c r="I1127" s="91"/>
    </row>
    <row r="1128" spans="1:9" ht="14.25" hidden="1" customHeight="1">
      <c r="A1128" s="15"/>
      <c r="D1128" s="102"/>
      <c r="F1128" s="15"/>
      <c r="G1128" s="15"/>
      <c r="H1128" s="103"/>
      <c r="I1128" s="91"/>
    </row>
    <row r="1129" spans="1:9" ht="14.25" hidden="1" customHeight="1">
      <c r="A1129" s="15"/>
      <c r="D1129" s="102"/>
      <c r="F1129" s="15"/>
      <c r="G1129" s="15"/>
      <c r="H1129" s="103"/>
      <c r="I1129" s="91"/>
    </row>
    <row r="1130" spans="1:9" ht="14.25" hidden="1" customHeight="1">
      <c r="A1130" s="15"/>
      <c r="D1130" s="102"/>
      <c r="F1130" s="15"/>
      <c r="G1130" s="15"/>
      <c r="H1130" s="103"/>
      <c r="I1130" s="91"/>
    </row>
    <row r="1131" spans="1:9" ht="14.25" hidden="1" customHeight="1">
      <c r="A1131" s="15"/>
      <c r="D1131" s="102"/>
      <c r="F1131" s="15"/>
      <c r="G1131" s="15"/>
      <c r="H1131" s="103"/>
      <c r="I1131" s="91"/>
    </row>
    <row r="1132" spans="1:9" ht="14.25" hidden="1" customHeight="1">
      <c r="A1132" s="15"/>
      <c r="D1132" s="102"/>
      <c r="F1132" s="15"/>
      <c r="G1132" s="15"/>
      <c r="H1132" s="103"/>
      <c r="I1132" s="91"/>
    </row>
    <row r="1133" spans="1:9" ht="14.25" hidden="1" customHeight="1">
      <c r="A1133" s="15"/>
      <c r="D1133" s="102"/>
      <c r="F1133" s="15"/>
      <c r="G1133" s="15"/>
      <c r="H1133" s="103"/>
      <c r="I1133" s="91"/>
    </row>
    <row r="1134" spans="1:9" ht="14.25" hidden="1" customHeight="1">
      <c r="A1134" s="15"/>
      <c r="D1134" s="102"/>
      <c r="F1134" s="15"/>
      <c r="G1134" s="15"/>
      <c r="H1134" s="103"/>
      <c r="I1134" s="91"/>
    </row>
    <row r="1135" spans="1:9" ht="14.25" hidden="1" customHeight="1">
      <c r="A1135" s="15"/>
      <c r="D1135" s="102"/>
      <c r="F1135" s="15"/>
      <c r="G1135" s="15"/>
      <c r="H1135" s="103"/>
      <c r="I1135" s="91"/>
    </row>
    <row r="1136" spans="1:9" ht="14.25" hidden="1" customHeight="1">
      <c r="A1136" s="15"/>
      <c r="D1136" s="102"/>
      <c r="F1136" s="15"/>
      <c r="G1136" s="15"/>
      <c r="H1136" s="103"/>
      <c r="I1136" s="91"/>
    </row>
    <row r="1137" spans="1:9" ht="14.25" hidden="1" customHeight="1">
      <c r="A1137" s="15"/>
      <c r="D1137" s="102"/>
      <c r="F1137" s="15"/>
      <c r="G1137" s="15"/>
      <c r="H1137" s="103"/>
      <c r="I1137" s="91"/>
    </row>
    <row r="1138" spans="1:9" ht="14.25" hidden="1" customHeight="1">
      <c r="A1138" s="15"/>
      <c r="D1138" s="102"/>
      <c r="F1138" s="15"/>
      <c r="G1138" s="15"/>
      <c r="H1138" s="103"/>
      <c r="I1138" s="91"/>
    </row>
    <row r="1139" spans="1:9" ht="14.25" hidden="1" customHeight="1">
      <c r="A1139" s="15"/>
      <c r="D1139" s="102"/>
      <c r="F1139" s="15"/>
      <c r="G1139" s="15"/>
      <c r="H1139" s="103"/>
      <c r="I1139" s="91"/>
    </row>
    <row r="1140" spans="1:9" ht="14.25" hidden="1" customHeight="1">
      <c r="A1140" s="15"/>
      <c r="D1140" s="102"/>
      <c r="F1140" s="15"/>
      <c r="G1140" s="15"/>
      <c r="H1140" s="103"/>
      <c r="I1140" s="91"/>
    </row>
    <row r="1141" spans="1:9" ht="14.25" hidden="1" customHeight="1">
      <c r="A1141" s="15"/>
      <c r="D1141" s="102"/>
      <c r="F1141" s="15"/>
      <c r="G1141" s="15"/>
      <c r="H1141" s="103"/>
      <c r="I1141" s="91"/>
    </row>
    <row r="1142" spans="1:9" ht="14.25" hidden="1" customHeight="1">
      <c r="A1142" s="15"/>
      <c r="D1142" s="102"/>
      <c r="F1142" s="15"/>
      <c r="G1142" s="15"/>
      <c r="H1142" s="103"/>
      <c r="I1142" s="91"/>
    </row>
    <row r="1143" spans="1:9" ht="14.25" hidden="1" customHeight="1">
      <c r="A1143" s="15"/>
      <c r="D1143" s="102"/>
      <c r="F1143" s="15"/>
      <c r="G1143" s="15"/>
      <c r="H1143" s="103"/>
      <c r="I1143" s="91"/>
    </row>
    <row r="1144" spans="1:9" ht="14.25" hidden="1" customHeight="1">
      <c r="A1144" s="15"/>
      <c r="D1144" s="102"/>
      <c r="F1144" s="15"/>
      <c r="G1144" s="15"/>
      <c r="H1144" s="103"/>
      <c r="I1144" s="91"/>
    </row>
    <row r="1145" spans="1:9" ht="14.25" hidden="1" customHeight="1">
      <c r="A1145" s="15"/>
      <c r="D1145" s="102"/>
      <c r="F1145" s="15"/>
      <c r="G1145" s="15"/>
      <c r="H1145" s="103"/>
      <c r="I1145" s="91"/>
    </row>
    <row r="1146" spans="1:9" ht="14.25" hidden="1" customHeight="1">
      <c r="A1146" s="15"/>
      <c r="D1146" s="102"/>
      <c r="F1146" s="15"/>
      <c r="G1146" s="15"/>
      <c r="H1146" s="103"/>
      <c r="I1146" s="91"/>
    </row>
    <row r="1147" spans="1:9" ht="14.25" hidden="1" customHeight="1">
      <c r="A1147" s="15"/>
      <c r="D1147" s="102"/>
      <c r="F1147" s="15"/>
      <c r="G1147" s="15"/>
      <c r="H1147" s="103"/>
      <c r="I1147" s="91"/>
    </row>
    <row r="1148" spans="1:9" ht="14.25" hidden="1" customHeight="1">
      <c r="A1148" s="15"/>
      <c r="D1148" s="102"/>
      <c r="F1148" s="15"/>
      <c r="G1148" s="15"/>
      <c r="H1148" s="103"/>
      <c r="I1148" s="91"/>
    </row>
    <row r="1149" spans="1:9" ht="14.25" hidden="1" customHeight="1">
      <c r="A1149" s="15"/>
      <c r="D1149" s="102"/>
      <c r="F1149" s="15"/>
      <c r="G1149" s="15"/>
      <c r="H1149" s="103"/>
      <c r="I1149" s="91"/>
    </row>
    <row r="1150" spans="1:9" ht="14.25" hidden="1" customHeight="1">
      <c r="A1150" s="15"/>
      <c r="D1150" s="102"/>
      <c r="F1150" s="15"/>
      <c r="G1150" s="15"/>
      <c r="H1150" s="103"/>
      <c r="I1150" s="91"/>
    </row>
    <row r="1151" spans="1:9" ht="14.25" hidden="1" customHeight="1">
      <c r="A1151" s="15"/>
      <c r="D1151" s="102"/>
      <c r="F1151" s="15"/>
      <c r="G1151" s="15"/>
      <c r="H1151" s="103"/>
      <c r="I1151" s="91"/>
    </row>
    <row r="1152" spans="1:9" ht="14.25" hidden="1" customHeight="1">
      <c r="A1152" s="15"/>
      <c r="D1152" s="102"/>
      <c r="F1152" s="15"/>
      <c r="G1152" s="15"/>
      <c r="H1152" s="103"/>
      <c r="I1152" s="91"/>
    </row>
    <row r="1153" spans="1:9" ht="14.25" hidden="1" customHeight="1">
      <c r="A1153" s="15"/>
      <c r="D1153" s="102"/>
      <c r="F1153" s="15"/>
      <c r="G1153" s="15"/>
      <c r="H1153" s="103"/>
      <c r="I1153" s="91"/>
    </row>
    <row r="1154" spans="1:9" ht="14.25" hidden="1" customHeight="1">
      <c r="A1154" s="15"/>
      <c r="D1154" s="102"/>
      <c r="F1154" s="15"/>
      <c r="G1154" s="15"/>
      <c r="H1154" s="103"/>
      <c r="I1154" s="91"/>
    </row>
    <row r="1155" spans="1:9" ht="14.25" hidden="1" customHeight="1">
      <c r="A1155" s="15"/>
      <c r="D1155" s="102"/>
      <c r="F1155" s="15"/>
      <c r="G1155" s="15"/>
      <c r="H1155" s="103"/>
      <c r="I1155" s="91"/>
    </row>
    <row r="1156" spans="1:9" ht="14.25" hidden="1" customHeight="1">
      <c r="A1156" s="15"/>
      <c r="D1156" s="102"/>
      <c r="F1156" s="15"/>
      <c r="G1156" s="15"/>
      <c r="H1156" s="103"/>
      <c r="I1156" s="91"/>
    </row>
    <row r="1157" spans="1:9" ht="14.25" hidden="1" customHeight="1">
      <c r="A1157" s="15"/>
      <c r="D1157" s="102"/>
      <c r="F1157" s="15"/>
      <c r="G1157" s="15"/>
      <c r="H1157" s="103"/>
      <c r="I1157" s="91"/>
    </row>
    <row r="1158" spans="1:9" ht="14.25" hidden="1" customHeight="1">
      <c r="A1158" s="15"/>
      <c r="D1158" s="102"/>
      <c r="F1158" s="15"/>
      <c r="G1158" s="15"/>
      <c r="H1158" s="103"/>
      <c r="I1158" s="91"/>
    </row>
    <row r="1159" spans="1:9" ht="14.25" hidden="1" customHeight="1">
      <c r="A1159" s="15"/>
      <c r="D1159" s="102"/>
      <c r="F1159" s="15"/>
      <c r="G1159" s="15"/>
      <c r="H1159" s="103"/>
      <c r="I1159" s="91"/>
    </row>
    <row r="1160" spans="1:9" ht="14.25" hidden="1" customHeight="1">
      <c r="A1160" s="15"/>
      <c r="D1160" s="102"/>
      <c r="F1160" s="15"/>
      <c r="G1160" s="15"/>
      <c r="H1160" s="103"/>
      <c r="I1160" s="91"/>
    </row>
    <row r="1161" spans="1:9" ht="14.25" hidden="1" customHeight="1">
      <c r="A1161" s="15"/>
      <c r="D1161" s="102"/>
      <c r="F1161" s="15"/>
      <c r="G1161" s="15"/>
      <c r="H1161" s="103"/>
      <c r="I1161" s="91"/>
    </row>
    <row r="1162" spans="1:9" ht="14.25" hidden="1" customHeight="1">
      <c r="A1162" s="15"/>
      <c r="D1162" s="102"/>
      <c r="F1162" s="15"/>
      <c r="G1162" s="15"/>
      <c r="H1162" s="103"/>
      <c r="I1162" s="91"/>
    </row>
    <row r="1163" spans="1:9" ht="14.25" hidden="1" customHeight="1">
      <c r="A1163" s="15"/>
      <c r="D1163" s="102"/>
      <c r="F1163" s="15"/>
      <c r="G1163" s="15"/>
      <c r="H1163" s="103"/>
      <c r="I1163" s="91"/>
    </row>
    <row r="1164" spans="1:9" ht="14.25" hidden="1" customHeight="1">
      <c r="A1164" s="15"/>
      <c r="D1164" s="102"/>
      <c r="F1164" s="15"/>
      <c r="G1164" s="15"/>
      <c r="H1164" s="103"/>
      <c r="I1164" s="91"/>
    </row>
    <row r="1165" spans="1:9" ht="14.25" hidden="1" customHeight="1">
      <c r="A1165" s="15"/>
      <c r="D1165" s="102"/>
      <c r="F1165" s="15"/>
      <c r="G1165" s="15"/>
      <c r="H1165" s="103"/>
      <c r="I1165" s="91"/>
    </row>
    <row r="1166" spans="1:9" ht="14.25" hidden="1" customHeight="1">
      <c r="A1166" s="15"/>
      <c r="D1166" s="102"/>
      <c r="F1166" s="15"/>
      <c r="G1166" s="15"/>
      <c r="H1166" s="103"/>
      <c r="I1166" s="91"/>
    </row>
    <row r="1167" spans="1:9" ht="14.25" hidden="1" customHeight="1">
      <c r="A1167" s="15"/>
      <c r="D1167" s="102"/>
      <c r="F1167" s="15"/>
      <c r="G1167" s="15"/>
      <c r="H1167" s="103"/>
      <c r="I1167" s="91"/>
    </row>
    <row r="1168" spans="1:9" ht="14.25" hidden="1" customHeight="1">
      <c r="A1168" s="15"/>
      <c r="D1168" s="102"/>
      <c r="F1168" s="15"/>
      <c r="G1168" s="15"/>
      <c r="H1168" s="103"/>
      <c r="I1168" s="91"/>
    </row>
    <row r="1169" spans="1:9" ht="14.25" hidden="1" customHeight="1">
      <c r="A1169" s="15"/>
      <c r="D1169" s="102"/>
      <c r="F1169" s="15"/>
      <c r="G1169" s="15"/>
      <c r="H1169" s="103"/>
      <c r="I1169" s="91"/>
    </row>
    <row r="1170" spans="1:9" ht="14.25" hidden="1" customHeight="1">
      <c r="A1170" s="15"/>
      <c r="D1170" s="102"/>
      <c r="F1170" s="15"/>
      <c r="G1170" s="15"/>
      <c r="H1170" s="103"/>
      <c r="I1170" s="91"/>
    </row>
    <row r="1171" spans="1:9" ht="14.25" hidden="1" customHeight="1">
      <c r="A1171" s="15"/>
      <c r="D1171" s="102"/>
      <c r="F1171" s="15"/>
      <c r="G1171" s="15"/>
      <c r="H1171" s="103"/>
      <c r="I1171" s="91"/>
    </row>
    <row r="1172" spans="1:9" ht="14.25" hidden="1" customHeight="1">
      <c r="A1172" s="15"/>
      <c r="D1172" s="102"/>
      <c r="F1172" s="15"/>
      <c r="G1172" s="15"/>
      <c r="H1172" s="103"/>
      <c r="I1172" s="91"/>
    </row>
    <row r="1173" spans="1:9" ht="14.25" hidden="1" customHeight="1">
      <c r="A1173" s="15"/>
      <c r="D1173" s="102"/>
      <c r="F1173" s="15"/>
      <c r="G1173" s="15"/>
      <c r="H1173" s="103"/>
      <c r="I1173" s="91"/>
    </row>
    <row r="1174" spans="1:9" ht="14.25" hidden="1" customHeight="1">
      <c r="A1174" s="15"/>
      <c r="D1174" s="102"/>
      <c r="F1174" s="15"/>
      <c r="G1174" s="15"/>
      <c r="H1174" s="103"/>
      <c r="I1174" s="91"/>
    </row>
    <row r="1175" spans="1:9" ht="14.25" hidden="1" customHeight="1">
      <c r="A1175" s="15"/>
      <c r="D1175" s="102"/>
      <c r="F1175" s="15"/>
      <c r="G1175" s="15"/>
      <c r="H1175" s="103"/>
      <c r="I1175" s="91"/>
    </row>
    <row r="1176" spans="1:9" ht="14.25" hidden="1" customHeight="1">
      <c r="A1176" s="15"/>
      <c r="D1176" s="102"/>
      <c r="F1176" s="15"/>
      <c r="G1176" s="15"/>
      <c r="H1176" s="103"/>
      <c r="I1176" s="91"/>
    </row>
    <row r="1177" spans="1:9" ht="14.25" hidden="1" customHeight="1">
      <c r="A1177" s="15"/>
      <c r="D1177" s="102"/>
      <c r="F1177" s="15"/>
      <c r="G1177" s="15"/>
      <c r="H1177" s="103"/>
      <c r="I1177" s="91"/>
    </row>
    <row r="1178" spans="1:9" ht="14.25" hidden="1" customHeight="1">
      <c r="A1178" s="15"/>
      <c r="D1178" s="102"/>
      <c r="F1178" s="15"/>
      <c r="G1178" s="15"/>
      <c r="H1178" s="103"/>
      <c r="I1178" s="91"/>
    </row>
    <row r="1179" spans="1:9" ht="14.25" hidden="1" customHeight="1">
      <c r="A1179" s="15"/>
      <c r="D1179" s="102"/>
      <c r="F1179" s="15"/>
      <c r="G1179" s="15"/>
      <c r="H1179" s="103"/>
      <c r="I1179" s="91"/>
    </row>
    <row r="1180" spans="1:9" ht="14.25" hidden="1" customHeight="1">
      <c r="A1180" s="15"/>
      <c r="D1180" s="102"/>
      <c r="F1180" s="15"/>
      <c r="G1180" s="15"/>
      <c r="H1180" s="103"/>
      <c r="I1180" s="91"/>
    </row>
    <row r="1181" spans="1:9" ht="14.25" hidden="1" customHeight="1">
      <c r="A1181" s="15"/>
      <c r="D1181" s="102"/>
      <c r="F1181" s="15"/>
      <c r="G1181" s="15"/>
      <c r="H1181" s="103"/>
      <c r="I1181" s="91"/>
    </row>
    <row r="1182" spans="1:9" ht="14.25" hidden="1" customHeight="1">
      <c r="A1182" s="15"/>
      <c r="D1182" s="102"/>
      <c r="F1182" s="15"/>
      <c r="G1182" s="15"/>
      <c r="H1182" s="103"/>
      <c r="I1182" s="91"/>
    </row>
    <row r="1183" spans="1:9" ht="14.25" hidden="1" customHeight="1">
      <c r="A1183" s="15"/>
      <c r="D1183" s="102"/>
      <c r="F1183" s="15"/>
      <c r="G1183" s="15"/>
      <c r="H1183" s="103"/>
      <c r="I1183" s="91"/>
    </row>
    <row r="1184" spans="1:9" ht="14.25" hidden="1" customHeight="1">
      <c r="A1184" s="15"/>
      <c r="D1184" s="102"/>
      <c r="F1184" s="15"/>
      <c r="G1184" s="15"/>
      <c r="H1184" s="103"/>
      <c r="I1184" s="91"/>
    </row>
    <row r="1185" spans="1:9" ht="14.25" hidden="1" customHeight="1">
      <c r="A1185" s="15"/>
      <c r="D1185" s="102"/>
      <c r="F1185" s="15"/>
      <c r="G1185" s="15"/>
      <c r="H1185" s="103"/>
      <c r="I1185" s="91"/>
    </row>
    <row r="1186" spans="1:9" ht="14.25" hidden="1" customHeight="1">
      <c r="A1186" s="15"/>
      <c r="D1186" s="102"/>
      <c r="F1186" s="15"/>
      <c r="G1186" s="15"/>
      <c r="H1186" s="103"/>
      <c r="I1186" s="91"/>
    </row>
    <row r="1187" spans="1:9" ht="14.25" hidden="1" customHeight="1">
      <c r="A1187" s="15"/>
      <c r="D1187" s="102"/>
      <c r="F1187" s="15"/>
      <c r="G1187" s="15"/>
      <c r="H1187" s="103"/>
      <c r="I1187" s="91"/>
    </row>
    <row r="1188" spans="1:9" ht="14.25" hidden="1" customHeight="1">
      <c r="A1188" s="15"/>
      <c r="D1188" s="102"/>
      <c r="F1188" s="15"/>
      <c r="G1188" s="15"/>
      <c r="H1188" s="103"/>
      <c r="I1188" s="91"/>
    </row>
    <row r="1189" spans="1:9" ht="14.25" hidden="1" customHeight="1">
      <c r="A1189" s="15"/>
      <c r="D1189" s="102"/>
      <c r="F1189" s="15"/>
      <c r="G1189" s="15"/>
      <c r="H1189" s="103"/>
      <c r="I1189" s="91"/>
    </row>
    <row r="1190" spans="1:9" ht="14.25" hidden="1" customHeight="1">
      <c r="A1190" s="15"/>
      <c r="D1190" s="102"/>
      <c r="F1190" s="15"/>
      <c r="G1190" s="15"/>
      <c r="H1190" s="103"/>
      <c r="I1190" s="91"/>
    </row>
    <row r="1191" spans="1:9" ht="14.25" hidden="1" customHeight="1">
      <c r="A1191" s="15"/>
      <c r="D1191" s="102"/>
      <c r="F1191" s="15"/>
      <c r="G1191" s="15"/>
      <c r="H1191" s="103"/>
      <c r="I1191" s="91"/>
    </row>
    <row r="1192" spans="1:9" ht="14.25" hidden="1" customHeight="1">
      <c r="A1192" s="15"/>
      <c r="D1192" s="102"/>
      <c r="F1192" s="15"/>
      <c r="G1192" s="15"/>
      <c r="H1192" s="103"/>
      <c r="I1192" s="91"/>
    </row>
    <row r="1193" spans="1:9" ht="14.25" hidden="1" customHeight="1">
      <c r="A1193" s="15"/>
      <c r="D1193" s="102"/>
      <c r="F1193" s="15"/>
      <c r="G1193" s="15"/>
      <c r="H1193" s="103"/>
      <c r="I1193" s="91"/>
    </row>
    <row r="1194" spans="1:9" ht="14.25" hidden="1" customHeight="1">
      <c r="A1194" s="15"/>
      <c r="D1194" s="102"/>
      <c r="F1194" s="15"/>
      <c r="G1194" s="15"/>
      <c r="H1194" s="103"/>
      <c r="I1194" s="91"/>
    </row>
    <row r="1195" spans="1:9" ht="14.25" hidden="1" customHeight="1">
      <c r="A1195" s="15"/>
      <c r="D1195" s="102"/>
      <c r="F1195" s="15"/>
      <c r="G1195" s="15"/>
      <c r="H1195" s="103"/>
      <c r="I1195" s="91"/>
    </row>
    <row r="1196" spans="1:9" ht="14.25" hidden="1" customHeight="1">
      <c r="A1196" s="15"/>
      <c r="D1196" s="102"/>
      <c r="F1196" s="15"/>
      <c r="G1196" s="15"/>
      <c r="H1196" s="103"/>
      <c r="I1196" s="91"/>
    </row>
    <row r="1197" spans="1:9" ht="14.25" hidden="1" customHeight="1">
      <c r="A1197" s="15"/>
      <c r="D1197" s="102"/>
      <c r="F1197" s="15"/>
      <c r="G1197" s="15"/>
      <c r="H1197" s="103"/>
      <c r="I1197" s="91"/>
    </row>
    <row r="1198" spans="1:9" ht="14.25" hidden="1" customHeight="1">
      <c r="A1198" s="15"/>
      <c r="D1198" s="102"/>
      <c r="F1198" s="15"/>
      <c r="G1198" s="15"/>
      <c r="H1198" s="103"/>
      <c r="I1198" s="91"/>
    </row>
    <row r="1199" spans="1:9" ht="14.25" hidden="1" customHeight="1">
      <c r="A1199" s="15"/>
      <c r="D1199" s="102"/>
      <c r="F1199" s="15"/>
      <c r="G1199" s="15"/>
      <c r="H1199" s="103"/>
      <c r="I1199" s="91"/>
    </row>
    <row r="1200" spans="1:9" ht="14.25" hidden="1" customHeight="1">
      <c r="A1200" s="15"/>
      <c r="D1200" s="102"/>
      <c r="F1200" s="15"/>
      <c r="G1200" s="15"/>
      <c r="H1200" s="103"/>
      <c r="I1200" s="91"/>
    </row>
    <row r="1201" spans="1:9" ht="14.25" hidden="1" customHeight="1">
      <c r="A1201" s="15"/>
      <c r="D1201" s="102"/>
      <c r="F1201" s="15"/>
      <c r="G1201" s="15"/>
      <c r="H1201" s="103"/>
      <c r="I1201" s="91"/>
    </row>
    <row r="1202" spans="1:9" ht="14.25" hidden="1" customHeight="1">
      <c r="A1202" s="15"/>
      <c r="D1202" s="102"/>
      <c r="F1202" s="15"/>
      <c r="G1202" s="15"/>
      <c r="H1202" s="103"/>
      <c r="I1202" s="91"/>
    </row>
    <row r="1203" spans="1:9" ht="14.25" hidden="1" customHeight="1">
      <c r="A1203" s="15"/>
      <c r="D1203" s="102"/>
      <c r="F1203" s="15"/>
      <c r="G1203" s="15"/>
      <c r="H1203" s="103"/>
      <c r="I1203" s="91"/>
    </row>
    <row r="1204" spans="1:9" ht="14.25" hidden="1" customHeight="1">
      <c r="A1204" s="15"/>
      <c r="D1204" s="102"/>
      <c r="F1204" s="15"/>
      <c r="G1204" s="15"/>
      <c r="H1204" s="103"/>
      <c r="I1204" s="91"/>
    </row>
    <row r="1205" spans="1:9" ht="14.25" hidden="1" customHeight="1">
      <c r="A1205" s="15"/>
      <c r="D1205" s="102"/>
      <c r="F1205" s="15"/>
      <c r="G1205" s="15"/>
      <c r="H1205" s="103"/>
      <c r="I1205" s="91"/>
    </row>
    <row r="1206" spans="1:9" ht="14.25" hidden="1" customHeight="1">
      <c r="A1206" s="15"/>
      <c r="D1206" s="102"/>
      <c r="F1206" s="15"/>
      <c r="G1206" s="15"/>
      <c r="H1206" s="103"/>
      <c r="I1206" s="91"/>
    </row>
    <row r="1207" spans="1:9" ht="14.25" hidden="1" customHeight="1">
      <c r="A1207" s="15"/>
      <c r="D1207" s="102"/>
      <c r="F1207" s="15"/>
      <c r="G1207" s="15"/>
      <c r="H1207" s="103"/>
      <c r="I1207" s="91"/>
    </row>
    <row r="1208" spans="1:9" ht="14.25" hidden="1" customHeight="1">
      <c r="A1208" s="15"/>
      <c r="D1208" s="102"/>
      <c r="F1208" s="15"/>
      <c r="G1208" s="15"/>
      <c r="H1208" s="103"/>
      <c r="I1208" s="91"/>
    </row>
    <row r="1209" spans="1:9" ht="14.25" hidden="1" customHeight="1">
      <c r="A1209" s="15"/>
      <c r="D1209" s="102"/>
      <c r="F1209" s="15"/>
      <c r="G1209" s="15"/>
      <c r="H1209" s="103"/>
      <c r="I1209" s="91"/>
    </row>
    <row r="1210" spans="1:9" ht="14.25" hidden="1" customHeight="1">
      <c r="A1210" s="15"/>
      <c r="D1210" s="102"/>
      <c r="F1210" s="15"/>
      <c r="G1210" s="15"/>
      <c r="H1210" s="103"/>
      <c r="I1210" s="91"/>
    </row>
    <row r="1211" spans="1:9" ht="14.25" hidden="1" customHeight="1">
      <c r="A1211" s="15"/>
      <c r="D1211" s="102"/>
      <c r="F1211" s="15"/>
      <c r="G1211" s="15"/>
      <c r="H1211" s="103"/>
      <c r="I1211" s="91"/>
    </row>
    <row r="1212" spans="1:9" ht="14.25" hidden="1" customHeight="1">
      <c r="A1212" s="15"/>
      <c r="D1212" s="102"/>
      <c r="F1212" s="15"/>
      <c r="G1212" s="15"/>
      <c r="H1212" s="103"/>
      <c r="I1212" s="91"/>
    </row>
    <row r="1213" spans="1:9" ht="14.25" hidden="1" customHeight="1">
      <c r="A1213" s="15"/>
      <c r="D1213" s="102"/>
      <c r="F1213" s="15"/>
      <c r="G1213" s="15"/>
      <c r="H1213" s="103"/>
      <c r="I1213" s="91"/>
    </row>
    <row r="1214" spans="1:9" ht="14.25" hidden="1" customHeight="1">
      <c r="A1214" s="15"/>
      <c r="D1214" s="102"/>
      <c r="F1214" s="15"/>
      <c r="G1214" s="15"/>
      <c r="H1214" s="103"/>
      <c r="I1214" s="91"/>
    </row>
    <row r="1215" spans="1:9" ht="14.25" hidden="1" customHeight="1">
      <c r="A1215" s="15"/>
      <c r="D1215" s="102"/>
      <c r="F1215" s="15"/>
      <c r="G1215" s="15"/>
      <c r="H1215" s="103"/>
      <c r="I1215" s="91"/>
    </row>
    <row r="1216" spans="1:9" ht="14.25" hidden="1" customHeight="1">
      <c r="A1216" s="15"/>
      <c r="D1216" s="102"/>
      <c r="F1216" s="15"/>
      <c r="G1216" s="15"/>
      <c r="H1216" s="103"/>
      <c r="I1216" s="91"/>
    </row>
    <row r="1217" spans="1:9" ht="14.25" hidden="1" customHeight="1">
      <c r="A1217" s="15"/>
      <c r="D1217" s="102"/>
      <c r="F1217" s="15"/>
      <c r="G1217" s="15"/>
      <c r="H1217" s="103"/>
      <c r="I1217" s="91"/>
    </row>
    <row r="1218" spans="1:9" ht="14.25" hidden="1" customHeight="1">
      <c r="A1218" s="15"/>
      <c r="D1218" s="102"/>
      <c r="F1218" s="15"/>
      <c r="G1218" s="15"/>
      <c r="H1218" s="103"/>
      <c r="I1218" s="91"/>
    </row>
    <row r="1219" spans="1:9" ht="14.25" hidden="1" customHeight="1">
      <c r="A1219" s="15"/>
      <c r="D1219" s="102"/>
      <c r="F1219" s="15"/>
      <c r="G1219" s="15"/>
      <c r="H1219" s="103"/>
      <c r="I1219" s="91"/>
    </row>
    <row r="1220" spans="1:9" ht="14.25" hidden="1" customHeight="1">
      <c r="A1220" s="15"/>
      <c r="D1220" s="102"/>
      <c r="F1220" s="15"/>
      <c r="G1220" s="15"/>
      <c r="H1220" s="103"/>
      <c r="I1220" s="91"/>
    </row>
    <row r="1221" spans="1:9" ht="14.25" hidden="1" customHeight="1">
      <c r="A1221" s="15"/>
      <c r="D1221" s="102"/>
      <c r="F1221" s="15"/>
      <c r="G1221" s="15"/>
      <c r="H1221" s="103"/>
      <c r="I1221" s="91"/>
    </row>
    <row r="1222" spans="1:9" ht="14.25" hidden="1" customHeight="1">
      <c r="A1222" s="15"/>
      <c r="D1222" s="102"/>
      <c r="F1222" s="15"/>
      <c r="G1222" s="15"/>
      <c r="H1222" s="103"/>
      <c r="I1222" s="91"/>
    </row>
    <row r="1223" spans="1:9" ht="14.25" hidden="1" customHeight="1">
      <c r="A1223" s="15"/>
      <c r="D1223" s="102"/>
      <c r="F1223" s="15"/>
      <c r="G1223" s="15"/>
      <c r="H1223" s="103"/>
      <c r="I1223" s="91"/>
    </row>
    <row r="1224" spans="1:9" ht="14.25" hidden="1" customHeight="1">
      <c r="A1224" s="15"/>
      <c r="D1224" s="102"/>
      <c r="F1224" s="15"/>
      <c r="G1224" s="15"/>
      <c r="H1224" s="103"/>
      <c r="I1224" s="91"/>
    </row>
    <row r="1225" spans="1:9" ht="14.25" hidden="1" customHeight="1">
      <c r="A1225" s="15"/>
      <c r="D1225" s="102"/>
      <c r="F1225" s="15"/>
      <c r="G1225" s="15"/>
      <c r="H1225" s="103"/>
      <c r="I1225" s="91"/>
    </row>
    <row r="1226" spans="1:9" ht="14.25" hidden="1" customHeight="1">
      <c r="A1226" s="15"/>
      <c r="D1226" s="102"/>
      <c r="F1226" s="15"/>
      <c r="G1226" s="15"/>
      <c r="H1226" s="103"/>
      <c r="I1226" s="91"/>
    </row>
    <row r="1227" spans="1:9" ht="14.25" hidden="1" customHeight="1">
      <c r="A1227" s="15"/>
      <c r="D1227" s="102"/>
      <c r="F1227" s="15"/>
      <c r="G1227" s="15"/>
      <c r="H1227" s="103"/>
      <c r="I1227" s="91"/>
    </row>
    <row r="1228" spans="1:9" ht="14.25" hidden="1" customHeight="1">
      <c r="A1228" s="15"/>
      <c r="D1228" s="102"/>
      <c r="F1228" s="15"/>
      <c r="G1228" s="15"/>
      <c r="H1228" s="103"/>
      <c r="I1228" s="91"/>
    </row>
    <row r="1229" spans="1:9" ht="14.25" hidden="1" customHeight="1">
      <c r="A1229" s="15"/>
      <c r="D1229" s="102"/>
      <c r="F1229" s="15"/>
      <c r="G1229" s="15"/>
      <c r="H1229" s="103"/>
      <c r="I1229" s="91"/>
    </row>
    <row r="1230" spans="1:9" ht="14.25" hidden="1" customHeight="1">
      <c r="A1230" s="15"/>
      <c r="D1230" s="102"/>
      <c r="F1230" s="15"/>
      <c r="G1230" s="15"/>
      <c r="H1230" s="103"/>
      <c r="I1230" s="91"/>
    </row>
    <row r="1231" spans="1:9" ht="14.25" hidden="1" customHeight="1">
      <c r="A1231" s="15"/>
      <c r="D1231" s="102"/>
      <c r="F1231" s="15"/>
      <c r="G1231" s="15"/>
      <c r="H1231" s="103"/>
      <c r="I1231" s="91"/>
    </row>
    <row r="1232" spans="1:9" ht="14.25" hidden="1" customHeight="1">
      <c r="A1232" s="15"/>
      <c r="D1232" s="102"/>
      <c r="F1232" s="15"/>
      <c r="G1232" s="15"/>
      <c r="H1232" s="103"/>
      <c r="I1232" s="91"/>
    </row>
    <row r="1233" spans="1:9" ht="14.25" hidden="1" customHeight="1">
      <c r="A1233" s="15"/>
      <c r="D1233" s="102"/>
      <c r="F1233" s="15"/>
      <c r="G1233" s="15"/>
      <c r="H1233" s="103"/>
      <c r="I1233" s="91"/>
    </row>
    <row r="1234" spans="1:9" ht="14.25" hidden="1" customHeight="1">
      <c r="A1234" s="15"/>
      <c r="D1234" s="102"/>
      <c r="F1234" s="15"/>
      <c r="G1234" s="15"/>
      <c r="H1234" s="103"/>
      <c r="I1234" s="91"/>
    </row>
    <row r="1235" spans="1:9" ht="14.25" hidden="1" customHeight="1">
      <c r="A1235" s="15"/>
      <c r="D1235" s="102"/>
      <c r="F1235" s="15"/>
      <c r="G1235" s="15"/>
      <c r="H1235" s="103"/>
      <c r="I1235" s="91"/>
    </row>
    <row r="1236" spans="1:9" ht="14.25" hidden="1" customHeight="1">
      <c r="A1236" s="15"/>
      <c r="D1236" s="102"/>
      <c r="F1236" s="15"/>
      <c r="G1236" s="15"/>
      <c r="H1236" s="103"/>
      <c r="I1236" s="91"/>
    </row>
    <row r="1237" spans="1:9" ht="14.25" hidden="1" customHeight="1">
      <c r="A1237" s="15"/>
      <c r="D1237" s="102"/>
      <c r="F1237" s="15"/>
      <c r="G1237" s="15"/>
      <c r="H1237" s="103"/>
      <c r="I1237" s="91"/>
    </row>
    <row r="1238" spans="1:9" ht="14.25" hidden="1" customHeight="1">
      <c r="A1238" s="15"/>
      <c r="D1238" s="102"/>
      <c r="F1238" s="15"/>
      <c r="G1238" s="15"/>
      <c r="H1238" s="103"/>
      <c r="I1238" s="91"/>
    </row>
    <row r="1239" spans="1:9" ht="14.25" hidden="1" customHeight="1">
      <c r="A1239" s="15"/>
      <c r="D1239" s="102"/>
      <c r="F1239" s="15"/>
      <c r="G1239" s="15"/>
      <c r="H1239" s="103"/>
      <c r="I1239" s="91"/>
    </row>
    <row r="1240" spans="1:9" ht="14.25" hidden="1" customHeight="1">
      <c r="A1240" s="15"/>
      <c r="D1240" s="102"/>
      <c r="F1240" s="15"/>
      <c r="G1240" s="15"/>
      <c r="H1240" s="103"/>
      <c r="I1240" s="91"/>
    </row>
    <row r="1241" spans="1:9" ht="14.25" hidden="1" customHeight="1">
      <c r="A1241" s="15"/>
      <c r="D1241" s="102"/>
      <c r="F1241" s="15"/>
      <c r="G1241" s="15"/>
      <c r="H1241" s="103"/>
      <c r="I1241" s="91"/>
    </row>
    <row r="1242" spans="1:9" ht="14.25" hidden="1" customHeight="1">
      <c r="A1242" s="15"/>
      <c r="D1242" s="102"/>
      <c r="F1242" s="15"/>
      <c r="G1242" s="15"/>
      <c r="H1242" s="103"/>
      <c r="I1242" s="91"/>
    </row>
    <row r="1243" spans="1:9" ht="14.25" hidden="1" customHeight="1">
      <c r="A1243" s="15"/>
      <c r="D1243" s="102"/>
      <c r="F1243" s="15"/>
      <c r="G1243" s="15"/>
      <c r="H1243" s="103"/>
      <c r="I1243" s="91"/>
    </row>
    <row r="1244" spans="1:9" ht="14.25" hidden="1" customHeight="1">
      <c r="A1244" s="15"/>
      <c r="D1244" s="102"/>
      <c r="F1244" s="15"/>
      <c r="G1244" s="15"/>
      <c r="H1244" s="103"/>
      <c r="I1244" s="91"/>
    </row>
    <row r="1245" spans="1:9" ht="14.25" hidden="1" customHeight="1">
      <c r="A1245" s="15"/>
      <c r="D1245" s="102"/>
      <c r="F1245" s="15"/>
      <c r="G1245" s="15"/>
      <c r="H1245" s="103"/>
      <c r="I1245" s="91"/>
    </row>
    <row r="1246" spans="1:9" ht="14.25" hidden="1" customHeight="1">
      <c r="A1246" s="15"/>
      <c r="D1246" s="102"/>
      <c r="F1246" s="15"/>
      <c r="G1246" s="15"/>
      <c r="H1246" s="103"/>
      <c r="I1246" s="91"/>
    </row>
    <row r="1247" spans="1:9" ht="14.25" hidden="1" customHeight="1">
      <c r="A1247" s="15"/>
      <c r="D1247" s="102"/>
      <c r="F1247" s="15"/>
      <c r="G1247" s="15"/>
      <c r="H1247" s="103"/>
      <c r="I1247" s="91"/>
    </row>
    <row r="1248" spans="1:9" ht="14.25" hidden="1" customHeight="1">
      <c r="A1248" s="15"/>
      <c r="D1248" s="102"/>
      <c r="F1248" s="15"/>
      <c r="G1248" s="15"/>
      <c r="H1248" s="103"/>
      <c r="I1248" s="91"/>
    </row>
    <row r="1249" spans="1:9" ht="14.25" hidden="1" customHeight="1">
      <c r="A1249" s="15"/>
      <c r="D1249" s="102"/>
      <c r="F1249" s="15"/>
      <c r="G1249" s="15"/>
      <c r="H1249" s="103"/>
      <c r="I1249" s="91"/>
    </row>
    <row r="1250" spans="1:9" ht="14.25" hidden="1" customHeight="1">
      <c r="A1250" s="15"/>
      <c r="D1250" s="102"/>
      <c r="F1250" s="15"/>
      <c r="G1250" s="15"/>
      <c r="H1250" s="103"/>
      <c r="I1250" s="91"/>
    </row>
    <row r="1251" spans="1:9" ht="14.25" hidden="1" customHeight="1">
      <c r="A1251" s="15"/>
      <c r="D1251" s="102"/>
      <c r="F1251" s="15"/>
      <c r="G1251" s="15"/>
      <c r="H1251" s="103"/>
      <c r="I1251" s="91"/>
    </row>
    <row r="1252" spans="1:9" ht="14.25" hidden="1" customHeight="1">
      <c r="A1252" s="15"/>
      <c r="D1252" s="102"/>
      <c r="F1252" s="15"/>
      <c r="G1252" s="15"/>
      <c r="H1252" s="103"/>
      <c r="I1252" s="91"/>
    </row>
    <row r="1253" spans="1:9" ht="14.25" hidden="1" customHeight="1">
      <c r="A1253" s="15"/>
      <c r="D1253" s="102"/>
      <c r="F1253" s="15"/>
      <c r="G1253" s="15"/>
      <c r="H1253" s="103"/>
      <c r="I1253" s="91"/>
    </row>
    <row r="1254" spans="1:9" ht="14.25" hidden="1" customHeight="1">
      <c r="A1254" s="15"/>
      <c r="D1254" s="102"/>
      <c r="F1254" s="15"/>
      <c r="G1254" s="15"/>
      <c r="H1254" s="103"/>
      <c r="I1254" s="91"/>
    </row>
    <row r="1255" spans="1:9" ht="14.25" hidden="1" customHeight="1">
      <c r="A1255" s="15"/>
      <c r="D1255" s="102"/>
      <c r="F1255" s="15"/>
      <c r="G1255" s="15"/>
      <c r="H1255" s="103"/>
      <c r="I1255" s="91"/>
    </row>
    <row r="1256" spans="1:9" ht="14.25" hidden="1" customHeight="1">
      <c r="A1256" s="15"/>
      <c r="D1256" s="102"/>
      <c r="F1256" s="15"/>
      <c r="G1256" s="15"/>
      <c r="H1256" s="103"/>
      <c r="I1256" s="91"/>
    </row>
    <row r="1257" spans="1:9" ht="14.25" hidden="1" customHeight="1">
      <c r="A1257" s="15"/>
      <c r="D1257" s="102"/>
      <c r="F1257" s="15"/>
      <c r="G1257" s="15"/>
      <c r="H1257" s="103"/>
      <c r="I1257" s="91"/>
    </row>
    <row r="1258" spans="1:9" ht="14.25" hidden="1" customHeight="1">
      <c r="A1258" s="15"/>
      <c r="D1258" s="102"/>
      <c r="F1258" s="15"/>
      <c r="G1258" s="15"/>
      <c r="H1258" s="103"/>
      <c r="I1258" s="91"/>
    </row>
    <row r="1259" spans="1:9" ht="14.25" hidden="1" customHeight="1">
      <c r="A1259" s="15"/>
      <c r="D1259" s="102"/>
      <c r="F1259" s="15"/>
      <c r="G1259" s="15"/>
      <c r="H1259" s="103"/>
      <c r="I1259" s="91"/>
    </row>
    <row r="1260" spans="1:9" ht="14.25" hidden="1" customHeight="1">
      <c r="A1260" s="15"/>
      <c r="D1260" s="102"/>
      <c r="F1260" s="15"/>
      <c r="G1260" s="15"/>
      <c r="H1260" s="103"/>
      <c r="I1260" s="91"/>
    </row>
    <row r="1261" spans="1:9" ht="14.25" hidden="1" customHeight="1">
      <c r="A1261" s="15"/>
      <c r="D1261" s="102"/>
      <c r="F1261" s="15"/>
      <c r="G1261" s="15"/>
      <c r="H1261" s="103"/>
      <c r="I1261" s="91"/>
    </row>
    <row r="1262" spans="1:9" ht="14.25" hidden="1" customHeight="1">
      <c r="A1262" s="15"/>
      <c r="D1262" s="102"/>
      <c r="F1262" s="15"/>
      <c r="G1262" s="15"/>
      <c r="H1262" s="103"/>
      <c r="I1262" s="91"/>
    </row>
    <row r="1263" spans="1:9" ht="14.25" hidden="1" customHeight="1">
      <c r="A1263" s="15"/>
      <c r="D1263" s="102"/>
      <c r="F1263" s="15"/>
      <c r="G1263" s="15"/>
      <c r="H1263" s="103"/>
      <c r="I1263" s="91"/>
    </row>
    <row r="1264" spans="1:9" ht="14.25" hidden="1" customHeight="1">
      <c r="A1264" s="15"/>
      <c r="D1264" s="102"/>
      <c r="F1264" s="15"/>
      <c r="G1264" s="15"/>
      <c r="H1264" s="103"/>
      <c r="I1264" s="91"/>
    </row>
    <row r="1265" spans="1:9" ht="14.25" hidden="1" customHeight="1">
      <c r="A1265" s="15"/>
      <c r="D1265" s="102"/>
      <c r="F1265" s="15"/>
      <c r="G1265" s="15"/>
      <c r="H1265" s="103"/>
      <c r="I1265" s="91"/>
    </row>
    <row r="1266" spans="1:9" ht="14.25" hidden="1" customHeight="1">
      <c r="A1266" s="15"/>
      <c r="D1266" s="102"/>
      <c r="F1266" s="15"/>
      <c r="G1266" s="15"/>
      <c r="H1266" s="103"/>
      <c r="I1266" s="91"/>
    </row>
    <row r="1267" spans="1:9" ht="14.25" hidden="1" customHeight="1">
      <c r="A1267" s="15"/>
      <c r="D1267" s="102"/>
      <c r="F1267" s="15"/>
      <c r="G1267" s="15"/>
      <c r="H1267" s="103"/>
      <c r="I1267" s="91"/>
    </row>
    <row r="1268" spans="1:9" ht="14.25" hidden="1" customHeight="1">
      <c r="A1268" s="15"/>
      <c r="D1268" s="102"/>
      <c r="F1268" s="15"/>
      <c r="G1268" s="15"/>
      <c r="H1268" s="103"/>
      <c r="I1268" s="91"/>
    </row>
    <row r="1269" spans="1:9" ht="14.25" hidden="1" customHeight="1">
      <c r="A1269" s="15"/>
      <c r="D1269" s="102"/>
      <c r="F1269" s="15"/>
      <c r="G1269" s="15"/>
      <c r="H1269" s="103"/>
      <c r="I1269" s="91"/>
    </row>
    <row r="1270" spans="1:9" ht="14.25" hidden="1" customHeight="1">
      <c r="A1270" s="15"/>
      <c r="D1270" s="102"/>
      <c r="F1270" s="15"/>
      <c r="G1270" s="15"/>
      <c r="H1270" s="103"/>
      <c r="I1270" s="91"/>
    </row>
    <row r="1271" spans="1:9" ht="14.25" hidden="1" customHeight="1">
      <c r="A1271" s="15"/>
      <c r="D1271" s="102"/>
      <c r="F1271" s="15"/>
      <c r="G1271" s="15"/>
      <c r="H1271" s="103"/>
      <c r="I1271" s="91"/>
    </row>
    <row r="1272" spans="1:9" ht="14.25" hidden="1" customHeight="1">
      <c r="A1272" s="15"/>
      <c r="D1272" s="102"/>
      <c r="F1272" s="15"/>
      <c r="G1272" s="15"/>
      <c r="H1272" s="103"/>
      <c r="I1272" s="91"/>
    </row>
    <row r="1273" spans="1:9" ht="14.25" hidden="1" customHeight="1">
      <c r="A1273" s="15"/>
      <c r="D1273" s="102"/>
      <c r="F1273" s="15"/>
      <c r="G1273" s="15"/>
      <c r="H1273" s="103"/>
      <c r="I1273" s="91"/>
    </row>
    <row r="1274" spans="1:9" ht="14.25" hidden="1" customHeight="1">
      <c r="A1274" s="15"/>
      <c r="D1274" s="102"/>
      <c r="F1274" s="15"/>
      <c r="G1274" s="15"/>
      <c r="H1274" s="103"/>
      <c r="I1274" s="91"/>
    </row>
    <row r="1275" spans="1:9" ht="14.25" hidden="1" customHeight="1">
      <c r="A1275" s="15"/>
      <c r="D1275" s="102"/>
      <c r="F1275" s="15"/>
      <c r="G1275" s="15"/>
      <c r="H1275" s="103"/>
      <c r="I1275" s="91"/>
    </row>
    <row r="1276" spans="1:9" ht="14.25" hidden="1" customHeight="1">
      <c r="A1276" s="15"/>
      <c r="D1276" s="102"/>
      <c r="F1276" s="15"/>
      <c r="G1276" s="15"/>
      <c r="H1276" s="103"/>
      <c r="I1276" s="91"/>
    </row>
    <row r="1277" spans="1:9" ht="14.25" hidden="1" customHeight="1">
      <c r="A1277" s="15"/>
      <c r="D1277" s="102"/>
      <c r="F1277" s="15"/>
      <c r="G1277" s="15"/>
      <c r="H1277" s="103"/>
      <c r="I1277" s="91"/>
    </row>
    <row r="1278" spans="1:9" ht="14.25" hidden="1" customHeight="1">
      <c r="A1278" s="15"/>
      <c r="D1278" s="102"/>
      <c r="F1278" s="15"/>
      <c r="G1278" s="15"/>
      <c r="H1278" s="103"/>
      <c r="I1278" s="91"/>
    </row>
    <row r="1279" spans="1:9" ht="14.25" hidden="1" customHeight="1">
      <c r="A1279" s="15"/>
      <c r="D1279" s="102"/>
      <c r="F1279" s="15"/>
      <c r="G1279" s="15"/>
      <c r="H1279" s="103"/>
      <c r="I1279" s="91"/>
    </row>
    <row r="1280" spans="1:9" ht="14.25" hidden="1" customHeight="1">
      <c r="A1280" s="15"/>
      <c r="D1280" s="102"/>
      <c r="F1280" s="15"/>
      <c r="G1280" s="15"/>
      <c r="H1280" s="103"/>
      <c r="I1280" s="91"/>
    </row>
    <row r="1281" spans="1:9" ht="14.25" hidden="1" customHeight="1">
      <c r="A1281" s="15"/>
      <c r="D1281" s="102"/>
      <c r="F1281" s="15"/>
      <c r="G1281" s="15"/>
      <c r="H1281" s="103"/>
      <c r="I1281" s="91"/>
    </row>
    <row r="1282" spans="1:9" ht="14.25" hidden="1" customHeight="1">
      <c r="A1282" s="15"/>
      <c r="D1282" s="102"/>
      <c r="F1282" s="15"/>
      <c r="G1282" s="15"/>
      <c r="H1282" s="103"/>
      <c r="I1282" s="91"/>
    </row>
    <row r="1283" spans="1:9" ht="14.25" hidden="1" customHeight="1">
      <c r="A1283" s="15"/>
      <c r="D1283" s="102"/>
      <c r="F1283" s="15"/>
      <c r="G1283" s="15"/>
      <c r="H1283" s="103"/>
      <c r="I1283" s="91"/>
    </row>
    <row r="1284" spans="1:9" ht="14.25" hidden="1" customHeight="1">
      <c r="A1284" s="15"/>
      <c r="D1284" s="102"/>
      <c r="F1284" s="15"/>
      <c r="G1284" s="15"/>
      <c r="H1284" s="103"/>
      <c r="I1284" s="91"/>
    </row>
    <row r="1285" spans="1:9" ht="14.25" hidden="1" customHeight="1">
      <c r="A1285" s="15"/>
      <c r="D1285" s="102"/>
      <c r="F1285" s="15"/>
      <c r="G1285" s="15"/>
      <c r="H1285" s="103"/>
      <c r="I1285" s="91"/>
    </row>
    <row r="1286" spans="1:9" ht="14.25" hidden="1" customHeight="1">
      <c r="A1286" s="15"/>
      <c r="D1286" s="102"/>
      <c r="F1286" s="15"/>
      <c r="G1286" s="15"/>
      <c r="H1286" s="103"/>
      <c r="I1286" s="91"/>
    </row>
    <row r="1287" spans="1:9" ht="14.25" hidden="1" customHeight="1">
      <c r="A1287" s="15"/>
      <c r="D1287" s="102"/>
      <c r="F1287" s="15"/>
      <c r="G1287" s="15"/>
      <c r="H1287" s="103"/>
      <c r="I1287" s="91"/>
    </row>
    <row r="1288" spans="1:9" ht="14.25" hidden="1" customHeight="1">
      <c r="A1288" s="15"/>
      <c r="D1288" s="102"/>
      <c r="F1288" s="15"/>
      <c r="G1288" s="15"/>
      <c r="H1288" s="103"/>
      <c r="I1288" s="91"/>
    </row>
    <row r="1289" spans="1:9" ht="14.25" hidden="1" customHeight="1">
      <c r="A1289" s="15"/>
      <c r="D1289" s="102"/>
      <c r="F1289" s="15"/>
      <c r="G1289" s="15"/>
      <c r="H1289" s="103"/>
      <c r="I1289" s="91"/>
    </row>
    <row r="1290" spans="1:9" ht="14.25" hidden="1" customHeight="1">
      <c r="A1290" s="15"/>
      <c r="D1290" s="102"/>
      <c r="F1290" s="15"/>
      <c r="G1290" s="15"/>
      <c r="H1290" s="103"/>
      <c r="I1290" s="91"/>
    </row>
    <row r="1291" spans="1:9" ht="14.25" hidden="1" customHeight="1">
      <c r="A1291" s="15"/>
      <c r="D1291" s="102"/>
      <c r="F1291" s="15"/>
      <c r="G1291" s="15"/>
      <c r="H1291" s="103"/>
      <c r="I1291" s="91"/>
    </row>
    <row r="1292" spans="1:9" ht="14.25" hidden="1" customHeight="1">
      <c r="A1292" s="15"/>
      <c r="D1292" s="102"/>
      <c r="F1292" s="15"/>
      <c r="G1292" s="15"/>
      <c r="H1292" s="103"/>
      <c r="I1292" s="91"/>
    </row>
    <row r="1293" spans="1:9" ht="14.25" hidden="1" customHeight="1">
      <c r="A1293" s="15"/>
      <c r="D1293" s="102"/>
      <c r="F1293" s="15"/>
      <c r="G1293" s="15"/>
      <c r="H1293" s="103"/>
      <c r="I1293" s="91"/>
    </row>
    <row r="1294" spans="1:9" ht="14.25" hidden="1" customHeight="1">
      <c r="A1294" s="15"/>
      <c r="D1294" s="102"/>
      <c r="F1294" s="15"/>
      <c r="G1294" s="15"/>
      <c r="H1294" s="103"/>
      <c r="I1294" s="91"/>
    </row>
    <row r="1295" spans="1:9" ht="14.25" hidden="1" customHeight="1">
      <c r="A1295" s="15"/>
      <c r="D1295" s="102"/>
      <c r="F1295" s="15"/>
      <c r="G1295" s="15"/>
      <c r="H1295" s="103"/>
      <c r="I1295" s="91"/>
    </row>
    <row r="1296" spans="1:9" ht="14.25" hidden="1" customHeight="1">
      <c r="A1296" s="15"/>
      <c r="D1296" s="102"/>
      <c r="F1296" s="15"/>
      <c r="G1296" s="15"/>
      <c r="H1296" s="103"/>
      <c r="I1296" s="91"/>
    </row>
    <row r="1297" spans="1:9" ht="14.25" hidden="1" customHeight="1">
      <c r="A1297" s="15"/>
      <c r="D1297" s="102"/>
      <c r="F1297" s="15"/>
      <c r="G1297" s="15"/>
      <c r="H1297" s="103"/>
      <c r="I1297" s="91"/>
    </row>
    <row r="1298" spans="1:9" ht="14.25" hidden="1" customHeight="1">
      <c r="A1298" s="15"/>
      <c r="D1298" s="102"/>
      <c r="F1298" s="15"/>
      <c r="G1298" s="15"/>
      <c r="H1298" s="103"/>
      <c r="I1298" s="91"/>
    </row>
    <row r="1299" spans="1:9" ht="14.25" hidden="1" customHeight="1">
      <c r="A1299" s="15"/>
      <c r="D1299" s="102"/>
      <c r="F1299" s="15"/>
      <c r="G1299" s="15"/>
      <c r="H1299" s="103"/>
      <c r="I1299" s="91"/>
    </row>
    <row r="1300" spans="1:9" ht="14.25" hidden="1" customHeight="1">
      <c r="A1300" s="15"/>
      <c r="D1300" s="102"/>
      <c r="F1300" s="15"/>
      <c r="G1300" s="15"/>
      <c r="H1300" s="103"/>
      <c r="I1300" s="91"/>
    </row>
    <row r="1301" spans="1:9" ht="14.25" hidden="1" customHeight="1">
      <c r="A1301" s="15"/>
      <c r="D1301" s="102"/>
      <c r="F1301" s="15"/>
      <c r="G1301" s="15"/>
      <c r="H1301" s="103"/>
      <c r="I1301" s="91"/>
    </row>
    <row r="1302" spans="1:9" ht="14.25" hidden="1" customHeight="1">
      <c r="A1302" s="15"/>
      <c r="D1302" s="102"/>
      <c r="F1302" s="15"/>
      <c r="G1302" s="15"/>
      <c r="H1302" s="103"/>
      <c r="I1302" s="91"/>
    </row>
    <row r="1303" spans="1:9" ht="14.25" hidden="1" customHeight="1">
      <c r="A1303" s="15"/>
      <c r="D1303" s="102"/>
      <c r="F1303" s="15"/>
      <c r="G1303" s="15"/>
      <c r="H1303" s="103"/>
      <c r="I1303" s="91"/>
    </row>
    <row r="1304" spans="1:9" ht="14.25" hidden="1" customHeight="1">
      <c r="A1304" s="15"/>
      <c r="D1304" s="102"/>
      <c r="F1304" s="15"/>
      <c r="G1304" s="15"/>
      <c r="H1304" s="103"/>
      <c r="I1304" s="91"/>
    </row>
    <row r="1305" spans="1:9" ht="14.25" hidden="1" customHeight="1">
      <c r="A1305" s="15"/>
      <c r="D1305" s="102"/>
      <c r="F1305" s="15"/>
      <c r="G1305" s="15"/>
      <c r="H1305" s="103"/>
      <c r="I1305" s="91"/>
    </row>
    <row r="1306" spans="1:9" ht="14.25" hidden="1" customHeight="1">
      <c r="A1306" s="15"/>
      <c r="D1306" s="102"/>
      <c r="F1306" s="15"/>
      <c r="G1306" s="15"/>
      <c r="H1306" s="103"/>
      <c r="I1306" s="91"/>
    </row>
    <row r="1307" spans="1:9" ht="14.25" hidden="1" customHeight="1">
      <c r="A1307" s="15"/>
      <c r="D1307" s="102"/>
      <c r="F1307" s="15"/>
      <c r="G1307" s="15"/>
      <c r="H1307" s="103"/>
      <c r="I1307" s="91"/>
    </row>
    <row r="1308" spans="1:9" ht="14.25" hidden="1" customHeight="1">
      <c r="A1308" s="15"/>
      <c r="D1308" s="102"/>
      <c r="F1308" s="15"/>
      <c r="G1308" s="15"/>
      <c r="H1308" s="103"/>
      <c r="I1308" s="91"/>
    </row>
    <row r="1309" spans="1:9" ht="14.25" hidden="1" customHeight="1">
      <c r="A1309" s="15"/>
      <c r="D1309" s="102"/>
      <c r="F1309" s="15"/>
      <c r="G1309" s="15"/>
      <c r="H1309" s="103"/>
      <c r="I1309" s="91"/>
    </row>
    <row r="1310" spans="1:9" ht="14.25" hidden="1" customHeight="1">
      <c r="A1310" s="15"/>
      <c r="D1310" s="102"/>
      <c r="F1310" s="15"/>
      <c r="G1310" s="15"/>
      <c r="H1310" s="103"/>
      <c r="I1310" s="91"/>
    </row>
    <row r="1311" spans="1:9" ht="14.25" hidden="1" customHeight="1">
      <c r="A1311" s="15"/>
      <c r="D1311" s="102"/>
      <c r="F1311" s="15"/>
      <c r="G1311" s="15"/>
      <c r="H1311" s="103"/>
      <c r="I1311" s="91"/>
    </row>
    <row r="1312" spans="1:9" ht="14.25" hidden="1" customHeight="1">
      <c r="A1312" s="15"/>
      <c r="D1312" s="102"/>
      <c r="F1312" s="15"/>
      <c r="G1312" s="15"/>
      <c r="H1312" s="103"/>
      <c r="I1312" s="91"/>
    </row>
    <row r="1313" spans="1:9" ht="14.25" hidden="1" customHeight="1">
      <c r="A1313" s="15"/>
      <c r="D1313" s="102"/>
      <c r="F1313" s="15"/>
      <c r="G1313" s="15"/>
      <c r="H1313" s="103"/>
      <c r="I1313" s="91"/>
    </row>
    <row r="1314" spans="1:9" ht="14.25" hidden="1" customHeight="1">
      <c r="A1314" s="15"/>
      <c r="D1314" s="102"/>
      <c r="F1314" s="15"/>
      <c r="G1314" s="15"/>
      <c r="H1314" s="103"/>
      <c r="I1314" s="91"/>
    </row>
    <row r="1315" spans="1:9" ht="14.25" hidden="1" customHeight="1">
      <c r="A1315" s="15"/>
      <c r="D1315" s="102"/>
      <c r="F1315" s="15"/>
      <c r="G1315" s="15"/>
      <c r="H1315" s="103"/>
      <c r="I1315" s="91"/>
    </row>
    <row r="1316" spans="1:9" ht="14.25" hidden="1" customHeight="1">
      <c r="A1316" s="15"/>
      <c r="D1316" s="102"/>
      <c r="F1316" s="15"/>
      <c r="G1316" s="15"/>
      <c r="H1316" s="103"/>
      <c r="I1316" s="91"/>
    </row>
    <row r="1317" spans="1:9" ht="14.25" hidden="1" customHeight="1">
      <c r="A1317" s="15"/>
      <c r="D1317" s="102"/>
      <c r="F1317" s="15"/>
      <c r="G1317" s="15"/>
      <c r="H1317" s="103"/>
      <c r="I1317" s="91"/>
    </row>
    <row r="1318" spans="1:9" ht="14.25" hidden="1" customHeight="1">
      <c r="A1318" s="15"/>
      <c r="D1318" s="102"/>
      <c r="F1318" s="15"/>
      <c r="G1318" s="15"/>
      <c r="H1318" s="103"/>
      <c r="I1318" s="91"/>
    </row>
    <row r="1319" spans="1:9" ht="14.25" hidden="1" customHeight="1">
      <c r="A1319" s="15"/>
      <c r="D1319" s="102"/>
      <c r="F1319" s="15"/>
      <c r="G1319" s="15"/>
      <c r="H1319" s="103"/>
      <c r="I1319" s="91"/>
    </row>
    <row r="1320" spans="1:9" ht="14.25" hidden="1" customHeight="1">
      <c r="A1320" s="15"/>
      <c r="D1320" s="102"/>
      <c r="F1320" s="15"/>
      <c r="G1320" s="15"/>
      <c r="H1320" s="103"/>
      <c r="I1320" s="91"/>
    </row>
    <row r="1321" spans="1:9" ht="14.25" hidden="1" customHeight="1">
      <c r="A1321" s="15"/>
      <c r="D1321" s="102"/>
      <c r="F1321" s="15"/>
      <c r="G1321" s="15"/>
      <c r="H1321" s="103"/>
      <c r="I1321" s="91"/>
    </row>
    <row r="1322" spans="1:9" ht="14.25" hidden="1" customHeight="1">
      <c r="A1322" s="15"/>
      <c r="D1322" s="102"/>
      <c r="F1322" s="15"/>
      <c r="G1322" s="15"/>
      <c r="H1322" s="103"/>
      <c r="I1322" s="91"/>
    </row>
    <row r="1323" spans="1:9" ht="14.25" hidden="1" customHeight="1">
      <c r="A1323" s="15"/>
      <c r="D1323" s="102"/>
      <c r="F1323" s="15"/>
      <c r="G1323" s="15"/>
      <c r="H1323" s="103"/>
      <c r="I1323" s="91"/>
    </row>
    <row r="1324" spans="1:9" ht="14.25" hidden="1" customHeight="1">
      <c r="A1324" s="15"/>
      <c r="D1324" s="102"/>
      <c r="F1324" s="15"/>
      <c r="G1324" s="15"/>
      <c r="H1324" s="103"/>
      <c r="I1324" s="91"/>
    </row>
    <row r="1325" spans="1:9" ht="14.25" hidden="1" customHeight="1">
      <c r="A1325" s="15"/>
      <c r="D1325" s="102"/>
      <c r="F1325" s="15"/>
      <c r="G1325" s="15"/>
      <c r="H1325" s="103"/>
      <c r="I1325" s="91"/>
    </row>
    <row r="1326" spans="1:9" ht="14.25" hidden="1" customHeight="1">
      <c r="A1326" s="15"/>
      <c r="D1326" s="102"/>
      <c r="F1326" s="15"/>
      <c r="G1326" s="15"/>
      <c r="H1326" s="103"/>
      <c r="I1326" s="91"/>
    </row>
    <row r="1327" spans="1:9" ht="14.25" hidden="1" customHeight="1">
      <c r="A1327" s="15"/>
      <c r="D1327" s="102"/>
      <c r="F1327" s="15"/>
      <c r="G1327" s="15"/>
      <c r="H1327" s="103"/>
      <c r="I1327" s="91"/>
    </row>
    <row r="1328" spans="1:9" ht="14.25" hidden="1" customHeight="1">
      <c r="A1328" s="15"/>
      <c r="D1328" s="102"/>
      <c r="F1328" s="15"/>
      <c r="G1328" s="15"/>
      <c r="H1328" s="103"/>
      <c r="I1328" s="91"/>
    </row>
    <row r="1329" spans="1:9" ht="14.25" hidden="1" customHeight="1">
      <c r="A1329" s="15"/>
      <c r="D1329" s="102"/>
      <c r="F1329" s="15"/>
      <c r="G1329" s="15"/>
      <c r="H1329" s="103"/>
      <c r="I1329" s="91"/>
    </row>
    <row r="1330" spans="1:9" ht="14.25" hidden="1" customHeight="1">
      <c r="A1330" s="15"/>
      <c r="D1330" s="102"/>
      <c r="F1330" s="15"/>
      <c r="G1330" s="15"/>
      <c r="H1330" s="103"/>
      <c r="I1330" s="91"/>
    </row>
    <row r="1331" spans="1:9" ht="14.25" hidden="1" customHeight="1">
      <c r="A1331" s="15"/>
      <c r="D1331" s="102"/>
      <c r="F1331" s="15"/>
      <c r="G1331" s="15"/>
      <c r="H1331" s="103"/>
      <c r="I1331" s="91"/>
    </row>
    <row r="1332" spans="1:9" ht="14.25" hidden="1" customHeight="1">
      <c r="A1332" s="15"/>
      <c r="D1332" s="102"/>
      <c r="F1332" s="15"/>
      <c r="G1332" s="15"/>
      <c r="H1332" s="103"/>
      <c r="I1332" s="91"/>
    </row>
    <row r="1333" spans="1:9" ht="14.25" hidden="1" customHeight="1">
      <c r="A1333" s="15"/>
      <c r="D1333" s="102"/>
      <c r="F1333" s="15"/>
      <c r="G1333" s="15"/>
      <c r="H1333" s="103"/>
      <c r="I1333" s="91"/>
    </row>
    <row r="1334" spans="1:9" ht="14.25" hidden="1" customHeight="1">
      <c r="A1334" s="15"/>
      <c r="D1334" s="102"/>
      <c r="F1334" s="15"/>
      <c r="G1334" s="15"/>
      <c r="H1334" s="103"/>
      <c r="I1334" s="91"/>
    </row>
    <row r="1335" spans="1:9" ht="14.25" hidden="1" customHeight="1">
      <c r="A1335" s="15"/>
      <c r="D1335" s="102"/>
      <c r="F1335" s="15"/>
      <c r="G1335" s="15"/>
      <c r="H1335" s="103"/>
      <c r="I1335" s="91"/>
    </row>
    <row r="1336" spans="1:9" ht="14.25" hidden="1" customHeight="1">
      <c r="A1336" s="15"/>
      <c r="D1336" s="102"/>
      <c r="F1336" s="15"/>
      <c r="G1336" s="15"/>
      <c r="H1336" s="103"/>
      <c r="I1336" s="91"/>
    </row>
    <row r="1337" spans="1:9" ht="14.25" hidden="1" customHeight="1">
      <c r="A1337" s="15"/>
      <c r="D1337" s="102"/>
      <c r="F1337" s="15"/>
      <c r="G1337" s="15"/>
      <c r="H1337" s="103"/>
      <c r="I1337" s="91"/>
    </row>
    <row r="1338" spans="1:9" ht="14.25" hidden="1" customHeight="1">
      <c r="A1338" s="15"/>
      <c r="D1338" s="102"/>
      <c r="F1338" s="15"/>
      <c r="G1338" s="15"/>
      <c r="H1338" s="103"/>
      <c r="I1338" s="91"/>
    </row>
    <row r="1339" spans="1:9" ht="14.25" hidden="1" customHeight="1">
      <c r="A1339" s="15"/>
      <c r="D1339" s="102"/>
      <c r="F1339" s="15"/>
      <c r="G1339" s="15"/>
      <c r="H1339" s="103"/>
      <c r="I1339" s="91"/>
    </row>
    <row r="1340" spans="1:9" ht="14.25" hidden="1" customHeight="1">
      <c r="A1340" s="15"/>
      <c r="D1340" s="102"/>
      <c r="F1340" s="15"/>
      <c r="G1340" s="15"/>
      <c r="H1340" s="103"/>
      <c r="I1340" s="91"/>
    </row>
    <row r="1341" spans="1:9" ht="14.25" hidden="1" customHeight="1">
      <c r="A1341" s="15"/>
      <c r="D1341" s="102"/>
      <c r="F1341" s="15"/>
      <c r="G1341" s="15"/>
      <c r="H1341" s="103"/>
      <c r="I1341" s="91"/>
    </row>
    <row r="1342" spans="1:9" ht="14.25" hidden="1" customHeight="1">
      <c r="A1342" s="15"/>
      <c r="D1342" s="102"/>
      <c r="F1342" s="15"/>
      <c r="G1342" s="15"/>
      <c r="H1342" s="103"/>
      <c r="I1342" s="91"/>
    </row>
    <row r="1343" spans="1:9" ht="14.25" hidden="1" customHeight="1">
      <c r="A1343" s="15"/>
      <c r="D1343" s="102"/>
      <c r="F1343" s="15"/>
      <c r="G1343" s="15"/>
      <c r="H1343" s="103"/>
      <c r="I1343" s="91"/>
    </row>
    <row r="1344" spans="1:9" ht="14.25" hidden="1" customHeight="1">
      <c r="A1344" s="15"/>
      <c r="D1344" s="102"/>
      <c r="F1344" s="15"/>
      <c r="G1344" s="15"/>
      <c r="H1344" s="103"/>
      <c r="I1344" s="91"/>
    </row>
    <row r="1345" spans="1:9" ht="14.25" hidden="1" customHeight="1">
      <c r="A1345" s="15"/>
      <c r="D1345" s="102"/>
      <c r="F1345" s="15"/>
      <c r="G1345" s="15"/>
      <c r="H1345" s="103"/>
      <c r="I1345" s="91"/>
    </row>
    <row r="1346" spans="1:9" ht="14.25" hidden="1" customHeight="1">
      <c r="A1346" s="15"/>
      <c r="D1346" s="102"/>
      <c r="F1346" s="15"/>
      <c r="G1346" s="15"/>
      <c r="H1346" s="103"/>
      <c r="I1346" s="91"/>
    </row>
    <row r="1347" spans="1:9" ht="14.25" hidden="1" customHeight="1">
      <c r="A1347" s="15"/>
      <c r="D1347" s="102"/>
      <c r="F1347" s="15"/>
      <c r="G1347" s="15"/>
      <c r="H1347" s="103"/>
      <c r="I1347" s="91"/>
    </row>
    <row r="1348" spans="1:9" ht="14.25" hidden="1" customHeight="1">
      <c r="A1348" s="15"/>
      <c r="D1348" s="102"/>
      <c r="F1348" s="15"/>
      <c r="G1348" s="15"/>
      <c r="H1348" s="103"/>
      <c r="I1348" s="91"/>
    </row>
    <row r="1349" spans="1:9" ht="14.25" hidden="1" customHeight="1">
      <c r="A1349" s="15"/>
      <c r="D1349" s="102"/>
      <c r="F1349" s="15"/>
      <c r="G1349" s="15"/>
      <c r="H1349" s="103"/>
      <c r="I1349" s="91"/>
    </row>
    <row r="1350" spans="1:9" ht="14.25" hidden="1" customHeight="1">
      <c r="A1350" s="15"/>
      <c r="D1350" s="102"/>
      <c r="F1350" s="15"/>
      <c r="G1350" s="15"/>
      <c r="H1350" s="103"/>
      <c r="I1350" s="91"/>
    </row>
    <row r="1351" spans="1:9" ht="14.25" hidden="1" customHeight="1">
      <c r="A1351" s="15"/>
      <c r="D1351" s="102"/>
      <c r="F1351" s="15"/>
      <c r="G1351" s="15"/>
      <c r="H1351" s="103"/>
      <c r="I1351" s="91"/>
    </row>
    <row r="1352" spans="1:9" ht="14.25" hidden="1" customHeight="1">
      <c r="A1352" s="15"/>
      <c r="D1352" s="102"/>
      <c r="F1352" s="15"/>
      <c r="G1352" s="15"/>
      <c r="H1352" s="103"/>
      <c r="I1352" s="91"/>
    </row>
    <row r="1353" spans="1:9" ht="14.25" hidden="1" customHeight="1">
      <c r="A1353" s="15"/>
      <c r="D1353" s="102"/>
      <c r="F1353" s="15"/>
      <c r="G1353" s="15"/>
      <c r="H1353" s="103"/>
      <c r="I1353" s="91"/>
    </row>
    <row r="1354" spans="1:9" ht="14.25" hidden="1" customHeight="1">
      <c r="A1354" s="15"/>
      <c r="D1354" s="102"/>
      <c r="F1354" s="15"/>
      <c r="G1354" s="15"/>
      <c r="H1354" s="103"/>
      <c r="I1354" s="91"/>
    </row>
    <row r="1355" spans="1:9" ht="14.25" hidden="1" customHeight="1">
      <c r="A1355" s="15"/>
      <c r="D1355" s="102"/>
      <c r="F1355" s="15"/>
      <c r="G1355" s="15"/>
      <c r="H1355" s="103"/>
      <c r="I1355" s="91"/>
    </row>
    <row r="1356" spans="1:9" ht="14.25" hidden="1" customHeight="1">
      <c r="A1356" s="15"/>
      <c r="D1356" s="102"/>
      <c r="F1356" s="15"/>
      <c r="G1356" s="15"/>
      <c r="H1356" s="103"/>
      <c r="I1356" s="91"/>
    </row>
    <row r="1357" spans="1:9" ht="14.25" hidden="1" customHeight="1">
      <c r="A1357" s="15"/>
      <c r="D1357" s="102"/>
      <c r="F1357" s="15"/>
      <c r="G1357" s="15"/>
      <c r="H1357" s="103"/>
      <c r="I1357" s="91"/>
    </row>
    <row r="1358" spans="1:9" ht="14.25" hidden="1" customHeight="1">
      <c r="A1358" s="15"/>
      <c r="D1358" s="102"/>
      <c r="F1358" s="15"/>
      <c r="G1358" s="15"/>
      <c r="H1358" s="103"/>
      <c r="I1358" s="91"/>
    </row>
    <row r="1359" spans="1:9" ht="14.25" hidden="1" customHeight="1">
      <c r="A1359" s="15"/>
      <c r="D1359" s="102"/>
      <c r="F1359" s="15"/>
      <c r="G1359" s="15"/>
      <c r="H1359" s="103"/>
      <c r="I1359" s="91"/>
    </row>
    <row r="1360" spans="1:9" ht="14.25" hidden="1" customHeight="1">
      <c r="A1360" s="15"/>
      <c r="D1360" s="102"/>
      <c r="F1360" s="15"/>
      <c r="G1360" s="15"/>
      <c r="H1360" s="103"/>
      <c r="I1360" s="91"/>
    </row>
    <row r="1361" spans="1:9" ht="14.25" hidden="1" customHeight="1">
      <c r="A1361" s="15"/>
      <c r="D1361" s="102"/>
      <c r="F1361" s="15"/>
      <c r="G1361" s="15"/>
      <c r="H1361" s="103"/>
      <c r="I1361" s="91"/>
    </row>
    <row r="1362" spans="1:9" ht="14.25" hidden="1" customHeight="1">
      <c r="A1362" s="15"/>
      <c r="D1362" s="102"/>
      <c r="F1362" s="15"/>
      <c r="G1362" s="15"/>
      <c r="H1362" s="103"/>
      <c r="I1362" s="91"/>
    </row>
    <row r="1363" spans="1:9" ht="14.25" hidden="1" customHeight="1">
      <c r="A1363" s="15"/>
      <c r="D1363" s="102"/>
      <c r="F1363" s="15"/>
      <c r="G1363" s="15"/>
      <c r="H1363" s="103"/>
      <c r="I1363" s="91"/>
    </row>
    <row r="1364" spans="1:9" ht="14.25" hidden="1" customHeight="1">
      <c r="A1364" s="15"/>
      <c r="D1364" s="102"/>
      <c r="F1364" s="15"/>
      <c r="G1364" s="15"/>
      <c r="H1364" s="103"/>
      <c r="I1364" s="91"/>
    </row>
    <row r="1365" spans="1:9" ht="14.25" hidden="1" customHeight="1">
      <c r="A1365" s="15"/>
      <c r="D1365" s="102"/>
      <c r="F1365" s="15"/>
      <c r="G1365" s="15"/>
      <c r="H1365" s="103"/>
      <c r="I1365" s="91"/>
    </row>
    <row r="1366" spans="1:9" ht="14.25" hidden="1" customHeight="1">
      <c r="A1366" s="15"/>
      <c r="D1366" s="102"/>
      <c r="F1366" s="15"/>
      <c r="G1366" s="15"/>
      <c r="H1366" s="103"/>
      <c r="I1366" s="91"/>
    </row>
    <row r="1367" spans="1:9" ht="14.25" hidden="1" customHeight="1">
      <c r="A1367" s="15"/>
      <c r="D1367" s="102"/>
      <c r="F1367" s="15"/>
      <c r="G1367" s="15"/>
      <c r="H1367" s="103"/>
      <c r="I1367" s="91"/>
    </row>
    <row r="1368" spans="1:9" ht="14.25" hidden="1" customHeight="1">
      <c r="A1368" s="15"/>
      <c r="D1368" s="102"/>
      <c r="F1368" s="15"/>
      <c r="G1368" s="15"/>
      <c r="H1368" s="103"/>
      <c r="I1368" s="91"/>
    </row>
    <row r="1369" spans="1:9" ht="14.25" hidden="1" customHeight="1">
      <c r="A1369" s="15"/>
      <c r="D1369" s="102"/>
      <c r="F1369" s="15"/>
      <c r="G1369" s="15"/>
      <c r="H1369" s="103"/>
      <c r="I1369" s="91"/>
    </row>
    <row r="1370" spans="1:9" ht="14.25" hidden="1" customHeight="1">
      <c r="A1370" s="15"/>
      <c r="D1370" s="102"/>
      <c r="F1370" s="15"/>
      <c r="G1370" s="15"/>
      <c r="H1370" s="103"/>
      <c r="I1370" s="91"/>
    </row>
    <row r="1371" spans="1:9" ht="14.25" customHeight="1">
      <c r="A1371" s="15"/>
      <c r="D1371" s="102"/>
      <c r="F1371" s="15"/>
      <c r="G1371" s="15"/>
      <c r="H1371" s="70"/>
      <c r="I1371" s="91"/>
    </row>
  </sheetData>
  <autoFilter ref="H1:H1371" xr:uid="{8CB1E60F-4318-49FD-8BFF-106321F8AA8F}">
    <filterColumn colId="0">
      <filters>
        <filter val="Pendiente"/>
      </filters>
    </filterColumn>
  </autoFilter>
  <conditionalFormatting sqref="H2:H1000 I446:I951 I953 H1371 J794">
    <cfRule type="containsText" dxfId="13" priority="1" operator="containsText" text="Pendiente">
      <formula>NOT(ISERROR(SEARCH(("Pendiente"),(H2))))</formula>
    </cfRule>
  </conditionalFormatting>
  <conditionalFormatting sqref="H2:H1000 I446:I951 I953 H1371 J794">
    <cfRule type="containsText" dxfId="12" priority="2" operator="containsText" text="Pagado">
      <formula>NOT(ISERROR(SEARCH(("Pagado"),(H2))))</formula>
    </cfRule>
  </conditionalFormatting>
  <conditionalFormatting sqref="I2:I1000 I1002:I1371 J794">
    <cfRule type="cellIs" dxfId="11" priority="3" operator="between">
      <formula>21</formula>
      <formula>30</formula>
    </cfRule>
  </conditionalFormatting>
  <conditionalFormatting sqref="I2:I1000 I1002:I1371 J794">
    <cfRule type="cellIs" dxfId="10" priority="4" operator="between">
      <formula>31</formula>
      <formula>60</formula>
    </cfRule>
  </conditionalFormatting>
  <conditionalFormatting sqref="I2:I1000 I1002:I1371 J794">
    <cfRule type="cellIs" dxfId="9" priority="5" operator="between">
      <formula>61</formula>
      <formula>90</formula>
    </cfRule>
  </conditionalFormatting>
  <conditionalFormatting sqref="I2:I1000 I1002:I1371 J794">
    <cfRule type="cellIs" dxfId="8" priority="6" operator="greaterThan">
      <formula>90</formula>
    </cfRule>
  </conditionalFormatting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371"/>
  <sheetViews>
    <sheetView showGridLines="0" topLeftCell="A182" workbookViewId="0">
      <selection activeCell="I200" sqref="I200"/>
    </sheetView>
  </sheetViews>
  <sheetFormatPr defaultColWidth="14.42578125" defaultRowHeight="15" customHeight="1"/>
  <cols>
    <col min="1" max="1" width="37.5703125" customWidth="1"/>
    <col min="2" max="2" width="17.140625" hidden="1" customWidth="1"/>
    <col min="3" max="3" width="11.7109375" hidden="1" customWidth="1"/>
    <col min="4" max="4" width="12.42578125" customWidth="1"/>
    <col min="5" max="5" width="10.7109375" customWidth="1"/>
    <col min="6" max="6" width="11.140625" customWidth="1"/>
    <col min="7" max="7" width="15.28515625" customWidth="1"/>
    <col min="8" max="8" width="15.5703125" customWidth="1"/>
    <col min="9" max="9" width="14.140625" customWidth="1"/>
    <col min="10" max="10" width="11.85546875" customWidth="1"/>
    <col min="11" max="11" width="57.140625" customWidth="1"/>
    <col min="12" max="25" width="10.7109375" customWidth="1"/>
  </cols>
  <sheetData>
    <row r="1" spans="1:12" ht="43.5" customHeight="1">
      <c r="A1" s="57" t="s">
        <v>1033</v>
      </c>
      <c r="B1" s="64" t="s">
        <v>1034</v>
      </c>
      <c r="C1" s="64" t="s">
        <v>1035</v>
      </c>
      <c r="D1" s="65" t="s">
        <v>1036</v>
      </c>
      <c r="E1" s="66" t="s">
        <v>1037</v>
      </c>
      <c r="F1" s="66" t="s">
        <v>1038</v>
      </c>
      <c r="G1" s="67" t="s">
        <v>1039</v>
      </c>
      <c r="H1" s="67" t="s">
        <v>1040</v>
      </c>
      <c r="I1" s="66" t="s">
        <v>1041</v>
      </c>
      <c r="J1" s="66" t="s">
        <v>1386</v>
      </c>
      <c r="K1" s="57" t="s">
        <v>1</v>
      </c>
      <c r="L1" s="15"/>
    </row>
    <row r="2" spans="1:12">
      <c r="A2" s="68" t="s">
        <v>126</v>
      </c>
      <c r="B2" s="68">
        <v>4</v>
      </c>
      <c r="C2" s="68" t="s">
        <v>1043</v>
      </c>
      <c r="D2" s="69">
        <v>44677</v>
      </c>
      <c r="E2" s="68">
        <v>38</v>
      </c>
      <c r="F2" s="68"/>
      <c r="G2" s="68"/>
      <c r="H2" s="70" t="s">
        <v>1044</v>
      </c>
      <c r="I2" s="7">
        <f t="shared" ref="I2:I363" ca="1" si="0">IF(OR(H2="Pagado",H2="Anulada"),0,IF(ISNUMBER(E2),TODAY()-D2,TODAY()-F2))</f>
        <v>0</v>
      </c>
      <c r="J2" s="71"/>
      <c r="K2" s="7"/>
    </row>
    <row r="3" spans="1:12">
      <c r="A3" s="68" t="s">
        <v>1045</v>
      </c>
      <c r="B3" s="68" t="s">
        <v>1043</v>
      </c>
      <c r="C3" s="68">
        <v>3</v>
      </c>
      <c r="D3" s="69">
        <v>44650</v>
      </c>
      <c r="E3" s="68">
        <v>26</v>
      </c>
      <c r="F3" s="68"/>
      <c r="G3" s="68"/>
      <c r="H3" s="70" t="s">
        <v>1044</v>
      </c>
      <c r="I3" s="7">
        <f t="shared" ca="1" si="0"/>
        <v>0</v>
      </c>
      <c r="J3" s="71"/>
      <c r="K3" s="7"/>
    </row>
    <row r="4" spans="1:12">
      <c r="A4" s="68" t="s">
        <v>95</v>
      </c>
      <c r="B4" s="68">
        <v>10</v>
      </c>
      <c r="C4" s="68" t="s">
        <v>1043</v>
      </c>
      <c r="D4" s="69">
        <v>44678</v>
      </c>
      <c r="E4" s="68" t="s">
        <v>1046</v>
      </c>
      <c r="F4" s="68"/>
      <c r="G4" s="68"/>
      <c r="H4" s="70" t="s">
        <v>1044</v>
      </c>
      <c r="I4" s="7">
        <f t="shared" ca="1" si="0"/>
        <v>0</v>
      </c>
      <c r="J4" s="71"/>
      <c r="K4" s="7"/>
    </row>
    <row r="5" spans="1:12">
      <c r="A5" s="68" t="s">
        <v>1047</v>
      </c>
      <c r="B5" s="68">
        <v>10</v>
      </c>
      <c r="C5" s="68" t="s">
        <v>1043</v>
      </c>
      <c r="D5" s="69">
        <v>44678</v>
      </c>
      <c r="E5" s="72" t="s">
        <v>1043</v>
      </c>
      <c r="F5" s="68"/>
      <c r="G5" s="68"/>
      <c r="H5" s="70" t="s">
        <v>1044</v>
      </c>
      <c r="I5" s="7">
        <f t="shared" ca="1" si="0"/>
        <v>0</v>
      </c>
      <c r="J5" s="71"/>
      <c r="K5" s="7"/>
    </row>
    <row r="6" spans="1:12">
      <c r="A6" s="68" t="s">
        <v>1048</v>
      </c>
      <c r="B6" s="68" t="s">
        <v>1043</v>
      </c>
      <c r="C6" s="68">
        <v>4</v>
      </c>
      <c r="D6" s="69">
        <v>44684</v>
      </c>
      <c r="E6" s="68">
        <v>42</v>
      </c>
      <c r="F6" s="68"/>
      <c r="G6" s="68"/>
      <c r="H6" s="70" t="s">
        <v>1044</v>
      </c>
      <c r="I6" s="7">
        <f t="shared" ca="1" si="0"/>
        <v>0</v>
      </c>
      <c r="J6" s="71"/>
      <c r="K6" s="7"/>
    </row>
    <row r="7" spans="1:12">
      <c r="A7" s="68" t="s">
        <v>1049</v>
      </c>
      <c r="B7" s="68">
        <v>8</v>
      </c>
      <c r="C7" s="68" t="s">
        <v>1043</v>
      </c>
      <c r="D7" s="69">
        <v>44672</v>
      </c>
      <c r="E7" s="68">
        <v>37</v>
      </c>
      <c r="F7" s="68"/>
      <c r="G7" s="68"/>
      <c r="H7" s="70" t="s">
        <v>1044</v>
      </c>
      <c r="I7" s="7">
        <f t="shared" ca="1" si="0"/>
        <v>0</v>
      </c>
      <c r="J7" s="71"/>
      <c r="K7" s="7"/>
    </row>
    <row r="8" spans="1:12">
      <c r="A8" s="68" t="s">
        <v>1050</v>
      </c>
      <c r="B8" s="68">
        <v>3</v>
      </c>
      <c r="C8" s="68" t="s">
        <v>1043</v>
      </c>
      <c r="D8" s="69">
        <v>44622</v>
      </c>
      <c r="E8" s="68">
        <v>30</v>
      </c>
      <c r="F8" s="68"/>
      <c r="G8" s="68"/>
      <c r="H8" s="70" t="s">
        <v>1044</v>
      </c>
      <c r="I8" s="7">
        <f t="shared" ca="1" si="0"/>
        <v>0</v>
      </c>
      <c r="J8" s="71"/>
      <c r="K8" s="7"/>
    </row>
    <row r="9" spans="1:12">
      <c r="A9" s="68" t="s">
        <v>1051</v>
      </c>
      <c r="B9" s="68">
        <v>5</v>
      </c>
      <c r="C9" s="68" t="s">
        <v>1043</v>
      </c>
      <c r="D9" s="69">
        <v>44678</v>
      </c>
      <c r="E9" s="68" t="s">
        <v>1043</v>
      </c>
      <c r="F9" s="68"/>
      <c r="G9" s="68"/>
      <c r="H9" s="70" t="s">
        <v>1044</v>
      </c>
      <c r="I9" s="7">
        <f t="shared" ca="1" si="0"/>
        <v>0</v>
      </c>
      <c r="J9" s="71"/>
      <c r="K9" s="7"/>
    </row>
    <row r="10" spans="1:12">
      <c r="A10" s="68" t="s">
        <v>360</v>
      </c>
      <c r="B10" s="68">
        <v>2</v>
      </c>
      <c r="C10" s="68" t="s">
        <v>1043</v>
      </c>
      <c r="D10" s="69">
        <v>44678</v>
      </c>
      <c r="E10" s="68" t="s">
        <v>1043</v>
      </c>
      <c r="F10" s="68"/>
      <c r="G10" s="68"/>
      <c r="H10" s="70" t="s">
        <v>1044</v>
      </c>
      <c r="I10" s="7">
        <f t="shared" ca="1" si="0"/>
        <v>0</v>
      </c>
      <c r="J10" s="71"/>
      <c r="K10" s="7"/>
    </row>
    <row r="11" spans="1:12">
      <c r="A11" s="68" t="s">
        <v>360</v>
      </c>
      <c r="B11" s="68">
        <v>2</v>
      </c>
      <c r="C11" s="68" t="s">
        <v>1043</v>
      </c>
      <c r="D11" s="69">
        <v>44678</v>
      </c>
      <c r="E11" s="68" t="s">
        <v>1043</v>
      </c>
      <c r="F11" s="68"/>
      <c r="G11" s="68"/>
      <c r="H11" s="70" t="s">
        <v>1044</v>
      </c>
      <c r="I11" s="7">
        <f t="shared" ca="1" si="0"/>
        <v>0</v>
      </c>
      <c r="J11" s="71"/>
      <c r="K11" s="7"/>
    </row>
    <row r="12" spans="1:12">
      <c r="A12" s="68" t="s">
        <v>71</v>
      </c>
      <c r="B12" s="68">
        <v>3</v>
      </c>
      <c r="C12" s="68" t="s">
        <v>1043</v>
      </c>
      <c r="D12" s="69">
        <v>44608</v>
      </c>
      <c r="E12" s="68" t="s">
        <v>1043</v>
      </c>
      <c r="F12" s="68"/>
      <c r="G12" s="68"/>
      <c r="H12" s="70" t="s">
        <v>1044</v>
      </c>
      <c r="I12" s="7">
        <f t="shared" ca="1" si="0"/>
        <v>0</v>
      </c>
      <c r="J12" s="71"/>
      <c r="K12" s="7"/>
    </row>
    <row r="13" spans="1:12">
      <c r="A13" s="68" t="s">
        <v>1052</v>
      </c>
      <c r="B13" s="68">
        <v>4</v>
      </c>
      <c r="C13" s="68" t="s">
        <v>1043</v>
      </c>
      <c r="D13" s="69">
        <v>44635</v>
      </c>
      <c r="E13" s="68" t="s">
        <v>1043</v>
      </c>
      <c r="F13" s="68"/>
      <c r="G13" s="68"/>
      <c r="H13" s="70" t="s">
        <v>1044</v>
      </c>
      <c r="I13" s="7">
        <f t="shared" ca="1" si="0"/>
        <v>0</v>
      </c>
      <c r="J13" s="71"/>
      <c r="K13" s="7"/>
    </row>
    <row r="14" spans="1:12">
      <c r="A14" s="68" t="s">
        <v>1053</v>
      </c>
      <c r="B14" s="68">
        <v>6</v>
      </c>
      <c r="C14" s="68">
        <v>3</v>
      </c>
      <c r="D14" s="69">
        <v>44695</v>
      </c>
      <c r="E14" s="68">
        <v>45</v>
      </c>
      <c r="F14" s="58"/>
      <c r="G14" s="58"/>
      <c r="H14" s="70" t="s">
        <v>1044</v>
      </c>
      <c r="I14" s="7">
        <f t="shared" ca="1" si="0"/>
        <v>0</v>
      </c>
      <c r="J14" s="71"/>
      <c r="K14" s="7"/>
    </row>
    <row r="15" spans="1:12">
      <c r="A15" s="68" t="s">
        <v>1048</v>
      </c>
      <c r="B15" s="68" t="s">
        <v>1043</v>
      </c>
      <c r="C15" s="68">
        <v>2</v>
      </c>
      <c r="D15" s="69">
        <v>44693</v>
      </c>
      <c r="E15" s="68">
        <v>44</v>
      </c>
      <c r="F15" s="58"/>
      <c r="G15" s="58">
        <v>145815</v>
      </c>
      <c r="H15" s="70" t="s">
        <v>1044</v>
      </c>
      <c r="I15" s="7">
        <f t="shared" ca="1" si="0"/>
        <v>0</v>
      </c>
      <c r="J15" s="71"/>
      <c r="K15" s="7"/>
    </row>
    <row r="16" spans="1:12">
      <c r="A16" s="68" t="s">
        <v>1054</v>
      </c>
      <c r="B16" s="68">
        <v>4</v>
      </c>
      <c r="C16" s="68" t="s">
        <v>1043</v>
      </c>
      <c r="D16" s="69">
        <v>44711</v>
      </c>
      <c r="E16" s="68">
        <v>46</v>
      </c>
      <c r="F16" s="58"/>
      <c r="G16" s="58"/>
      <c r="H16" s="70" t="s">
        <v>1044</v>
      </c>
      <c r="I16" s="7">
        <f t="shared" ca="1" si="0"/>
        <v>0</v>
      </c>
      <c r="J16" s="71"/>
      <c r="K16" s="7"/>
    </row>
    <row r="17" spans="1:11">
      <c r="A17" s="68" t="s">
        <v>150</v>
      </c>
      <c r="B17" s="68" t="s">
        <v>1055</v>
      </c>
      <c r="C17" s="68" t="s">
        <v>1043</v>
      </c>
      <c r="D17" s="69">
        <v>44711</v>
      </c>
      <c r="E17" s="68">
        <v>48</v>
      </c>
      <c r="F17" s="58"/>
      <c r="G17" s="58"/>
      <c r="H17" s="70" t="s">
        <v>1044</v>
      </c>
      <c r="I17" s="7">
        <f t="shared" ca="1" si="0"/>
        <v>0</v>
      </c>
      <c r="J17" s="71"/>
      <c r="K17" s="7"/>
    </row>
    <row r="18" spans="1:11">
      <c r="A18" s="68" t="s">
        <v>95</v>
      </c>
      <c r="B18" s="68">
        <v>10</v>
      </c>
      <c r="C18" s="68" t="s">
        <v>1043</v>
      </c>
      <c r="D18" s="69">
        <v>44715</v>
      </c>
      <c r="E18" s="68">
        <v>49</v>
      </c>
      <c r="F18" s="58"/>
      <c r="G18" s="58">
        <v>255381</v>
      </c>
      <c r="H18" s="70" t="s">
        <v>1044</v>
      </c>
      <c r="I18" s="7">
        <f t="shared" ca="1" si="0"/>
        <v>0</v>
      </c>
      <c r="J18" s="71"/>
      <c r="K18" s="7"/>
    </row>
    <row r="19" spans="1:11">
      <c r="A19" s="68" t="s">
        <v>1053</v>
      </c>
      <c r="B19" s="68" t="s">
        <v>1043</v>
      </c>
      <c r="C19" s="68">
        <v>3</v>
      </c>
      <c r="D19" s="69">
        <v>44719</v>
      </c>
      <c r="E19" s="68">
        <v>50</v>
      </c>
      <c r="F19" s="58"/>
      <c r="G19" s="58">
        <v>293634</v>
      </c>
      <c r="H19" s="70" t="s">
        <v>1044</v>
      </c>
      <c r="I19" s="7">
        <f t="shared" ca="1" si="0"/>
        <v>0</v>
      </c>
      <c r="J19" s="71"/>
      <c r="K19" s="7"/>
    </row>
    <row r="20" spans="1:11">
      <c r="A20" s="68" t="s">
        <v>1054</v>
      </c>
      <c r="B20" s="68">
        <v>2</v>
      </c>
      <c r="C20" s="68" t="s">
        <v>1043</v>
      </c>
      <c r="D20" s="69">
        <v>44727</v>
      </c>
      <c r="E20" s="68">
        <v>52</v>
      </c>
      <c r="F20" s="58"/>
      <c r="G20" s="58">
        <v>49179</v>
      </c>
      <c r="H20" s="70" t="s">
        <v>1044</v>
      </c>
      <c r="I20" s="7">
        <f t="shared" ca="1" si="0"/>
        <v>0</v>
      </c>
      <c r="J20" s="71"/>
      <c r="K20" s="7"/>
    </row>
    <row r="21" spans="1:11" ht="14.25" customHeight="1">
      <c r="A21" s="68" t="s">
        <v>1048</v>
      </c>
      <c r="B21" s="68" t="s">
        <v>1043</v>
      </c>
      <c r="C21" s="68">
        <v>2</v>
      </c>
      <c r="D21" s="69">
        <v>44729</v>
      </c>
      <c r="E21" s="68">
        <v>53</v>
      </c>
      <c r="F21" s="58"/>
      <c r="G21" s="58"/>
      <c r="H21" s="70" t="s">
        <v>1044</v>
      </c>
      <c r="I21" s="7">
        <f t="shared" ca="1" si="0"/>
        <v>0</v>
      </c>
      <c r="J21" s="71"/>
      <c r="K21" s="7"/>
    </row>
    <row r="22" spans="1:11" ht="14.25" customHeight="1">
      <c r="A22" s="68" t="s">
        <v>1054</v>
      </c>
      <c r="B22" s="68">
        <v>3</v>
      </c>
      <c r="C22" s="68" t="s">
        <v>1043</v>
      </c>
      <c r="D22" s="69">
        <v>44741</v>
      </c>
      <c r="E22" s="68">
        <v>55</v>
      </c>
      <c r="F22" s="58"/>
      <c r="G22" s="58">
        <v>76140</v>
      </c>
      <c r="H22" s="70" t="s">
        <v>1044</v>
      </c>
      <c r="I22" s="7">
        <f t="shared" ca="1" si="0"/>
        <v>0</v>
      </c>
      <c r="J22" s="71"/>
      <c r="K22" s="7"/>
    </row>
    <row r="23" spans="1:11" ht="14.25" customHeight="1">
      <c r="A23" s="68" t="s">
        <v>126</v>
      </c>
      <c r="B23" s="68">
        <v>2</v>
      </c>
      <c r="C23" s="68" t="s">
        <v>1043</v>
      </c>
      <c r="D23" s="69">
        <v>44741</v>
      </c>
      <c r="E23" s="68">
        <v>51</v>
      </c>
      <c r="F23" s="58"/>
      <c r="G23" s="58"/>
      <c r="H23" s="70" t="s">
        <v>1044</v>
      </c>
      <c r="I23" s="7">
        <f t="shared" ca="1" si="0"/>
        <v>0</v>
      </c>
      <c r="J23" s="71"/>
      <c r="K23" s="7"/>
    </row>
    <row r="24" spans="1:11" ht="14.25" customHeight="1">
      <c r="A24" s="68" t="s">
        <v>1056</v>
      </c>
      <c r="B24" s="68">
        <v>16</v>
      </c>
      <c r="C24" s="68" t="s">
        <v>1043</v>
      </c>
      <c r="D24" s="69">
        <v>44742</v>
      </c>
      <c r="E24" s="68" t="s">
        <v>1057</v>
      </c>
      <c r="F24" s="58"/>
      <c r="G24" s="58"/>
      <c r="H24" s="70" t="s">
        <v>1044</v>
      </c>
      <c r="I24" s="7">
        <f t="shared" ca="1" si="0"/>
        <v>0</v>
      </c>
      <c r="J24" s="71"/>
      <c r="K24" s="7"/>
    </row>
    <row r="25" spans="1:11" ht="14.25" customHeight="1">
      <c r="A25" s="68" t="s">
        <v>1058</v>
      </c>
      <c r="B25" s="68" t="s">
        <v>1059</v>
      </c>
      <c r="C25" s="68" t="s">
        <v>1043</v>
      </c>
      <c r="D25" s="69">
        <v>44746</v>
      </c>
      <c r="E25" s="68">
        <v>57</v>
      </c>
      <c r="F25" s="58"/>
      <c r="G25" s="58">
        <v>554328</v>
      </c>
      <c r="H25" s="70" t="s">
        <v>1044</v>
      </c>
      <c r="I25" s="7">
        <f t="shared" ca="1" si="0"/>
        <v>0</v>
      </c>
      <c r="J25" s="71"/>
      <c r="K25" s="7"/>
    </row>
    <row r="26" spans="1:11" ht="14.25" customHeight="1">
      <c r="A26" s="68" t="s">
        <v>1060</v>
      </c>
      <c r="B26" s="68">
        <v>4</v>
      </c>
      <c r="C26" s="68" t="s">
        <v>1043</v>
      </c>
      <c r="D26" s="69">
        <v>44736</v>
      </c>
      <c r="E26" s="68">
        <v>54</v>
      </c>
      <c r="F26" s="58"/>
      <c r="G26" s="58">
        <v>33998</v>
      </c>
      <c r="H26" s="70" t="s">
        <v>1044</v>
      </c>
      <c r="I26" s="7">
        <f t="shared" ca="1" si="0"/>
        <v>0</v>
      </c>
      <c r="J26" s="71"/>
      <c r="K26" s="7"/>
    </row>
    <row r="27" spans="1:11" ht="14.25" customHeight="1">
      <c r="A27" s="68" t="s">
        <v>1053</v>
      </c>
      <c r="B27" s="68" t="s">
        <v>1043</v>
      </c>
      <c r="C27" s="68">
        <v>3</v>
      </c>
      <c r="D27" s="69">
        <v>44748</v>
      </c>
      <c r="E27" s="68">
        <v>59</v>
      </c>
      <c r="F27" s="58"/>
      <c r="G27" s="58">
        <v>293634</v>
      </c>
      <c r="H27" s="70" t="s">
        <v>1044</v>
      </c>
      <c r="I27" s="7">
        <f t="shared" ca="1" si="0"/>
        <v>0</v>
      </c>
      <c r="J27" s="71"/>
      <c r="K27" s="7"/>
    </row>
    <row r="28" spans="1:11" ht="14.25" customHeight="1">
      <c r="A28" s="68" t="s">
        <v>168</v>
      </c>
      <c r="B28" s="68">
        <v>3</v>
      </c>
      <c r="C28" s="68" t="s">
        <v>1043</v>
      </c>
      <c r="D28" s="69">
        <v>44748</v>
      </c>
      <c r="E28" s="68">
        <v>60</v>
      </c>
      <c r="F28" s="58"/>
      <c r="G28" s="58">
        <v>76140</v>
      </c>
      <c r="H28" s="70" t="s">
        <v>1044</v>
      </c>
      <c r="I28" s="7">
        <f t="shared" ca="1" si="0"/>
        <v>0</v>
      </c>
      <c r="J28" s="71"/>
      <c r="K28" s="7"/>
    </row>
    <row r="29" spans="1:11" ht="14.25" customHeight="1">
      <c r="A29" s="68" t="s">
        <v>1054</v>
      </c>
      <c r="B29" s="68">
        <v>2</v>
      </c>
      <c r="C29" s="68" t="s">
        <v>1043</v>
      </c>
      <c r="D29" s="69">
        <v>44753</v>
      </c>
      <c r="E29" s="68">
        <v>61</v>
      </c>
      <c r="F29" s="58"/>
      <c r="G29" s="58">
        <v>44436</v>
      </c>
      <c r="H29" s="70" t="s">
        <v>1044</v>
      </c>
      <c r="I29" s="7">
        <f t="shared" ca="1" si="0"/>
        <v>0</v>
      </c>
      <c r="J29" s="71"/>
      <c r="K29" s="7"/>
    </row>
    <row r="30" spans="1:11" ht="14.25" customHeight="1">
      <c r="A30" s="68" t="s">
        <v>174</v>
      </c>
      <c r="B30" s="68" t="s">
        <v>1043</v>
      </c>
      <c r="C30" s="68">
        <v>1</v>
      </c>
      <c r="D30" s="69">
        <v>44754</v>
      </c>
      <c r="E30" s="68">
        <v>62</v>
      </c>
      <c r="F30" s="58"/>
      <c r="G30" s="58">
        <v>97878</v>
      </c>
      <c r="H30" s="70" t="s">
        <v>1044</v>
      </c>
      <c r="I30" s="7">
        <f t="shared" ca="1" si="0"/>
        <v>0</v>
      </c>
      <c r="J30" s="71"/>
      <c r="K30" s="7"/>
    </row>
    <row r="31" spans="1:11" ht="14.25" customHeight="1">
      <c r="A31" s="68" t="s">
        <v>1048</v>
      </c>
      <c r="B31" s="68" t="s">
        <v>1043</v>
      </c>
      <c r="C31" s="68">
        <v>6</v>
      </c>
      <c r="D31" s="69">
        <v>44757</v>
      </c>
      <c r="E31" s="68">
        <v>63</v>
      </c>
      <c r="F31" s="58"/>
      <c r="G31" s="58">
        <v>437445</v>
      </c>
      <c r="H31" s="70" t="s">
        <v>1044</v>
      </c>
      <c r="I31" s="7">
        <f t="shared" ca="1" si="0"/>
        <v>0</v>
      </c>
      <c r="J31" s="71"/>
      <c r="K31" s="7"/>
    </row>
    <row r="32" spans="1:11" ht="14.25" customHeight="1">
      <c r="A32" s="68" t="s">
        <v>1061</v>
      </c>
      <c r="B32" s="68">
        <v>1</v>
      </c>
      <c r="C32" s="68" t="s">
        <v>1043</v>
      </c>
      <c r="D32" s="69">
        <v>44760</v>
      </c>
      <c r="E32" s="68">
        <v>64</v>
      </c>
      <c r="F32" s="58"/>
      <c r="G32" s="58">
        <v>25556</v>
      </c>
      <c r="H32" s="70" t="s">
        <v>1044</v>
      </c>
      <c r="I32" s="7">
        <f t="shared" ca="1" si="0"/>
        <v>0</v>
      </c>
      <c r="J32" s="71"/>
      <c r="K32" s="7"/>
    </row>
    <row r="33" spans="1:11" ht="14.25" customHeight="1">
      <c r="A33" s="68" t="s">
        <v>1056</v>
      </c>
      <c r="B33" s="68"/>
      <c r="C33" s="68"/>
      <c r="D33" s="69">
        <v>44760</v>
      </c>
      <c r="E33" s="68" t="s">
        <v>1057</v>
      </c>
      <c r="F33" s="58"/>
      <c r="G33" s="58">
        <v>141000</v>
      </c>
      <c r="H33" s="70" t="s">
        <v>1044</v>
      </c>
      <c r="I33" s="7">
        <f t="shared" ca="1" si="0"/>
        <v>0</v>
      </c>
      <c r="J33" s="71"/>
      <c r="K33" s="7"/>
    </row>
    <row r="34" spans="1:11" ht="14.25" customHeight="1">
      <c r="A34" s="68" t="s">
        <v>1061</v>
      </c>
      <c r="B34" s="68"/>
      <c r="C34" s="68"/>
      <c r="D34" s="69">
        <v>44763</v>
      </c>
      <c r="E34" s="68">
        <v>66</v>
      </c>
      <c r="F34" s="58"/>
      <c r="G34" s="58">
        <v>25566</v>
      </c>
      <c r="H34" s="70" t="s">
        <v>1044</v>
      </c>
      <c r="I34" s="7">
        <f t="shared" ca="1" si="0"/>
        <v>0</v>
      </c>
      <c r="J34" s="71"/>
      <c r="K34" s="7"/>
    </row>
    <row r="35" spans="1:11" ht="14.25" customHeight="1">
      <c r="A35" s="68" t="s">
        <v>1062</v>
      </c>
      <c r="B35" s="68">
        <v>2</v>
      </c>
      <c r="C35" s="68" t="s">
        <v>1043</v>
      </c>
      <c r="D35" s="69">
        <v>44768</v>
      </c>
      <c r="E35" s="68">
        <v>65</v>
      </c>
      <c r="F35" s="58"/>
      <c r="G35" s="58">
        <v>52527</v>
      </c>
      <c r="H35" s="70" t="s">
        <v>1044</v>
      </c>
      <c r="I35" s="7">
        <f t="shared" ca="1" si="0"/>
        <v>0</v>
      </c>
      <c r="J35" s="71"/>
      <c r="K35" s="7"/>
    </row>
    <row r="36" spans="1:11" ht="14.25" customHeight="1">
      <c r="A36" s="68" t="s">
        <v>1061</v>
      </c>
      <c r="B36" s="68"/>
      <c r="C36" s="68"/>
      <c r="D36" s="69">
        <v>44769</v>
      </c>
      <c r="E36" s="68">
        <v>68</v>
      </c>
      <c r="F36" s="58"/>
      <c r="G36" s="58">
        <v>28988</v>
      </c>
      <c r="H36" s="70" t="s">
        <v>1044</v>
      </c>
      <c r="I36" s="7">
        <f t="shared" ca="1" si="0"/>
        <v>0</v>
      </c>
      <c r="J36" s="71"/>
      <c r="K36" s="7"/>
    </row>
    <row r="37" spans="1:11" ht="14.25" customHeight="1">
      <c r="A37" s="68" t="s">
        <v>150</v>
      </c>
      <c r="B37" s="68"/>
      <c r="C37" s="68"/>
      <c r="D37" s="69">
        <v>44769</v>
      </c>
      <c r="E37" s="68">
        <v>67</v>
      </c>
      <c r="F37" s="58"/>
      <c r="G37" s="58">
        <v>113905</v>
      </c>
      <c r="H37" s="70" t="s">
        <v>1044</v>
      </c>
      <c r="I37" s="7">
        <f t="shared" ca="1" si="0"/>
        <v>0</v>
      </c>
      <c r="J37" s="71"/>
      <c r="K37" s="7"/>
    </row>
    <row r="38" spans="1:11" ht="14.25" customHeight="1">
      <c r="A38" s="68" t="s">
        <v>1063</v>
      </c>
      <c r="B38" s="68">
        <v>4</v>
      </c>
      <c r="C38" s="68" t="s">
        <v>1043</v>
      </c>
      <c r="D38" s="69">
        <v>44770</v>
      </c>
      <c r="E38" s="68">
        <v>69</v>
      </c>
      <c r="F38" s="58"/>
      <c r="G38" s="58">
        <v>107665</v>
      </c>
      <c r="H38" s="70" t="s">
        <v>1044</v>
      </c>
      <c r="I38" s="7">
        <f t="shared" ca="1" si="0"/>
        <v>0</v>
      </c>
      <c r="J38" s="71"/>
      <c r="K38" s="7"/>
    </row>
    <row r="39" spans="1:11" ht="14.25" customHeight="1">
      <c r="A39" s="68" t="s">
        <v>1064</v>
      </c>
      <c r="B39" s="68">
        <v>4</v>
      </c>
      <c r="C39" s="68" t="s">
        <v>1043</v>
      </c>
      <c r="D39" s="69">
        <v>44774</v>
      </c>
      <c r="E39" s="68">
        <v>72</v>
      </c>
      <c r="F39" s="58"/>
      <c r="G39" s="58">
        <v>103983</v>
      </c>
      <c r="H39" s="70" t="s">
        <v>1044</v>
      </c>
      <c r="I39" s="7">
        <f t="shared" ca="1" si="0"/>
        <v>0</v>
      </c>
      <c r="J39" s="71"/>
      <c r="K39" s="7"/>
    </row>
    <row r="40" spans="1:11" ht="14.25" customHeight="1">
      <c r="A40" s="68" t="s">
        <v>186</v>
      </c>
      <c r="B40" s="68">
        <f>(18*6)/12</f>
        <v>9</v>
      </c>
      <c r="C40" s="68" t="s">
        <v>1043</v>
      </c>
      <c r="D40" s="69">
        <v>44774</v>
      </c>
      <c r="E40" s="68">
        <v>70</v>
      </c>
      <c r="F40" s="58"/>
      <c r="G40" s="58">
        <v>114717</v>
      </c>
      <c r="H40" s="70" t="s">
        <v>1044</v>
      </c>
      <c r="I40" s="7">
        <f t="shared" ca="1" si="0"/>
        <v>0</v>
      </c>
      <c r="J40" s="71"/>
      <c r="K40" s="7"/>
    </row>
    <row r="41" spans="1:11" ht="14.25" customHeight="1">
      <c r="A41" s="68" t="s">
        <v>1060</v>
      </c>
      <c r="B41" s="68">
        <v>4</v>
      </c>
      <c r="C41" s="68"/>
      <c r="D41" s="69">
        <v>44774</v>
      </c>
      <c r="E41" s="68">
        <v>71</v>
      </c>
      <c r="F41" s="58"/>
      <c r="G41" s="58">
        <v>131473</v>
      </c>
      <c r="H41" s="70" t="s">
        <v>1044</v>
      </c>
      <c r="I41" s="7">
        <f t="shared" ca="1" si="0"/>
        <v>0</v>
      </c>
      <c r="J41" s="71"/>
      <c r="K41" s="7"/>
    </row>
    <row r="42" spans="1:11" ht="14.25" customHeight="1">
      <c r="A42" s="68" t="s">
        <v>1051</v>
      </c>
      <c r="B42" s="68">
        <v>4</v>
      </c>
      <c r="C42" s="68" t="s">
        <v>1043</v>
      </c>
      <c r="D42" s="69"/>
      <c r="E42" s="68" t="s">
        <v>1057</v>
      </c>
      <c r="F42" s="58"/>
      <c r="G42" s="58">
        <v>91405</v>
      </c>
      <c r="H42" s="70" t="s">
        <v>1044</v>
      </c>
      <c r="I42" s="7">
        <f t="shared" ca="1" si="0"/>
        <v>0</v>
      </c>
      <c r="J42" s="71"/>
      <c r="K42" s="7"/>
    </row>
    <row r="43" spans="1:11" ht="14.25" customHeight="1">
      <c r="A43" s="68" t="s">
        <v>1065</v>
      </c>
      <c r="B43" s="68">
        <v>10</v>
      </c>
      <c r="C43" s="68" t="s">
        <v>1043</v>
      </c>
      <c r="D43" s="69">
        <v>44781</v>
      </c>
      <c r="E43" s="68">
        <v>74</v>
      </c>
      <c r="F43" s="58"/>
      <c r="G43" s="58">
        <v>265942</v>
      </c>
      <c r="H43" s="70" t="s">
        <v>1044</v>
      </c>
      <c r="I43" s="7">
        <f t="shared" ca="1" si="0"/>
        <v>0</v>
      </c>
      <c r="J43" s="71"/>
      <c r="K43" s="7"/>
    </row>
    <row r="44" spans="1:11" ht="14.25" customHeight="1">
      <c r="A44" s="68" t="s">
        <v>1053</v>
      </c>
      <c r="B44" s="68" t="s">
        <v>1043</v>
      </c>
      <c r="C44" s="68">
        <v>3</v>
      </c>
      <c r="D44" s="69">
        <v>44781</v>
      </c>
      <c r="E44" s="68">
        <v>73</v>
      </c>
      <c r="F44" s="58"/>
      <c r="G44" s="58">
        <v>309588</v>
      </c>
      <c r="H44" s="70" t="s">
        <v>1044</v>
      </c>
      <c r="I44" s="7">
        <f t="shared" ca="1" si="0"/>
        <v>0</v>
      </c>
      <c r="J44" s="71"/>
      <c r="K44" s="7"/>
    </row>
    <row r="45" spans="1:11" ht="14.25" customHeight="1">
      <c r="A45" s="68" t="s">
        <v>1049</v>
      </c>
      <c r="B45" s="68">
        <v>5</v>
      </c>
      <c r="C45" s="68" t="s">
        <v>1043</v>
      </c>
      <c r="D45" s="69">
        <v>44782</v>
      </c>
      <c r="E45" s="68">
        <v>75</v>
      </c>
      <c r="F45" s="58"/>
      <c r="G45" s="58">
        <v>138188</v>
      </c>
      <c r="H45" s="70" t="s">
        <v>1044</v>
      </c>
      <c r="I45" s="7">
        <f t="shared" ca="1" si="0"/>
        <v>0</v>
      </c>
      <c r="J45" s="71"/>
      <c r="K45" s="7"/>
    </row>
    <row r="46" spans="1:11" ht="14.25" customHeight="1">
      <c r="A46" s="68" t="s">
        <v>1048</v>
      </c>
      <c r="B46" s="68" t="s">
        <v>1043</v>
      </c>
      <c r="C46" s="68">
        <v>2</v>
      </c>
      <c r="D46" s="69">
        <v>44783</v>
      </c>
      <c r="E46" s="68">
        <v>78</v>
      </c>
      <c r="F46" s="58"/>
      <c r="G46" s="58">
        <v>186862</v>
      </c>
      <c r="H46" s="70" t="s">
        <v>1044</v>
      </c>
      <c r="I46" s="7">
        <f t="shared" ca="1" si="0"/>
        <v>0</v>
      </c>
      <c r="J46" s="71"/>
      <c r="K46" s="7"/>
    </row>
    <row r="47" spans="1:11" ht="14.25" customHeight="1">
      <c r="A47" s="68" t="s">
        <v>1060</v>
      </c>
      <c r="B47" s="68">
        <v>2</v>
      </c>
      <c r="C47" s="68" t="s">
        <v>1043</v>
      </c>
      <c r="D47" s="69">
        <v>44784</v>
      </c>
      <c r="E47" s="68" t="s">
        <v>1066</v>
      </c>
      <c r="F47" s="58"/>
      <c r="G47" s="58">
        <f>28988*2</f>
        <v>57976</v>
      </c>
      <c r="H47" s="70" t="s">
        <v>1044</v>
      </c>
      <c r="I47" s="7">
        <f t="shared" ca="1" si="0"/>
        <v>0</v>
      </c>
      <c r="J47" s="71"/>
      <c r="K47" s="7"/>
    </row>
    <row r="48" spans="1:11" ht="14.25" customHeight="1">
      <c r="A48" s="68" t="s">
        <v>1061</v>
      </c>
      <c r="B48" s="68">
        <v>2</v>
      </c>
      <c r="C48" s="68" t="s">
        <v>1043</v>
      </c>
      <c r="D48" s="69">
        <v>44784</v>
      </c>
      <c r="E48" s="68">
        <v>79</v>
      </c>
      <c r="F48" s="58"/>
      <c r="G48" s="58">
        <v>132971</v>
      </c>
      <c r="H48" s="70" t="s">
        <v>1044</v>
      </c>
      <c r="I48" s="7">
        <f t="shared" ca="1" si="0"/>
        <v>0</v>
      </c>
      <c r="J48" s="71"/>
      <c r="K48" s="7"/>
    </row>
    <row r="49" spans="1:11" ht="14.25" customHeight="1">
      <c r="A49" s="68" t="s">
        <v>1056</v>
      </c>
      <c r="B49" s="68"/>
      <c r="C49" s="68"/>
      <c r="D49" s="69">
        <v>44789</v>
      </c>
      <c r="E49" s="68" t="s">
        <v>1057</v>
      </c>
      <c r="F49" s="58"/>
      <c r="G49" s="58">
        <v>90000</v>
      </c>
      <c r="H49" s="70" t="s">
        <v>1044</v>
      </c>
      <c r="I49" s="7">
        <f t="shared" ca="1" si="0"/>
        <v>0</v>
      </c>
      <c r="J49" s="71"/>
      <c r="K49" s="7"/>
    </row>
    <row r="50" spans="1:11" ht="14.25" customHeight="1">
      <c r="A50" s="68" t="s">
        <v>1067</v>
      </c>
      <c r="B50" s="68">
        <v>2</v>
      </c>
      <c r="C50" s="68" t="s">
        <v>1043</v>
      </c>
      <c r="D50" s="69">
        <v>44791</v>
      </c>
      <c r="E50" s="68">
        <v>79</v>
      </c>
      <c r="F50" s="58"/>
      <c r="G50" s="58">
        <v>56442</v>
      </c>
      <c r="H50" s="70" t="s">
        <v>1044</v>
      </c>
      <c r="I50" s="7">
        <f t="shared" ca="1" si="0"/>
        <v>0</v>
      </c>
      <c r="J50" s="71"/>
      <c r="K50" s="7"/>
    </row>
    <row r="51" spans="1:11" ht="14.25" customHeight="1">
      <c r="A51" s="68" t="s">
        <v>1067</v>
      </c>
      <c r="B51" s="68">
        <v>1</v>
      </c>
      <c r="C51" s="68"/>
      <c r="D51" s="69">
        <v>44795</v>
      </c>
      <c r="E51" s="68">
        <v>85</v>
      </c>
      <c r="F51" s="58"/>
      <c r="G51" s="58">
        <v>23770</v>
      </c>
      <c r="H51" s="70" t="s">
        <v>1044</v>
      </c>
      <c r="I51" s="7">
        <f t="shared" ca="1" si="0"/>
        <v>0</v>
      </c>
      <c r="J51" s="71"/>
      <c r="K51" s="7"/>
    </row>
    <row r="52" spans="1:11" ht="14.25" customHeight="1">
      <c r="A52" s="68" t="s">
        <v>1048</v>
      </c>
      <c r="B52" s="68" t="s">
        <v>1043</v>
      </c>
      <c r="C52" s="68">
        <v>2</v>
      </c>
      <c r="D52" s="69">
        <v>44795</v>
      </c>
      <c r="E52" s="68">
        <v>83</v>
      </c>
      <c r="F52" s="58"/>
      <c r="G52" s="58">
        <v>186862</v>
      </c>
      <c r="H52" s="70" t="s">
        <v>1044</v>
      </c>
      <c r="I52" s="7">
        <f t="shared" ca="1" si="0"/>
        <v>0</v>
      </c>
      <c r="J52" s="71"/>
      <c r="K52" s="7"/>
    </row>
    <row r="53" spans="1:11" ht="14.25" customHeight="1">
      <c r="A53" s="68" t="s">
        <v>1053</v>
      </c>
      <c r="B53" s="68" t="s">
        <v>1043</v>
      </c>
      <c r="C53" s="68">
        <v>3</v>
      </c>
      <c r="D53" s="69">
        <v>44795</v>
      </c>
      <c r="E53" s="68">
        <v>84</v>
      </c>
      <c r="F53" s="58"/>
      <c r="G53" s="58">
        <v>309588</v>
      </c>
      <c r="H53" s="70" t="s">
        <v>1044</v>
      </c>
      <c r="I53" s="7">
        <f t="shared" ca="1" si="0"/>
        <v>0</v>
      </c>
      <c r="J53" s="71"/>
      <c r="K53" s="7"/>
    </row>
    <row r="54" spans="1:11" ht="14.25" customHeight="1">
      <c r="A54" s="68" t="s">
        <v>1068</v>
      </c>
      <c r="B54" s="68" t="s">
        <v>1043</v>
      </c>
      <c r="C54" s="68">
        <v>6</v>
      </c>
      <c r="D54" s="69">
        <v>44791</v>
      </c>
      <c r="E54" s="68">
        <v>82</v>
      </c>
      <c r="F54" s="58"/>
      <c r="G54" s="58">
        <v>160425</v>
      </c>
      <c r="H54" s="70" t="s">
        <v>1044</v>
      </c>
      <c r="I54" s="7">
        <f t="shared" ca="1" si="0"/>
        <v>0</v>
      </c>
      <c r="J54" s="71"/>
      <c r="K54" s="7"/>
    </row>
    <row r="55" spans="1:11" ht="14.25" customHeight="1">
      <c r="A55" s="68" t="s">
        <v>1056</v>
      </c>
      <c r="B55" s="68"/>
      <c r="C55" s="68"/>
      <c r="D55" s="69">
        <v>44795</v>
      </c>
      <c r="E55" s="68" t="s">
        <v>1057</v>
      </c>
      <c r="F55" s="58"/>
      <c r="G55" s="58">
        <v>54000</v>
      </c>
      <c r="H55" s="70" t="s">
        <v>1044</v>
      </c>
      <c r="I55" s="7">
        <f t="shared" ca="1" si="0"/>
        <v>0</v>
      </c>
      <c r="J55" s="71"/>
      <c r="K55" s="7"/>
    </row>
    <row r="56" spans="1:11" ht="14.25" customHeight="1">
      <c r="A56" s="68" t="s">
        <v>1069</v>
      </c>
      <c r="B56" s="68">
        <v>2</v>
      </c>
      <c r="C56" s="68" t="s">
        <v>1043</v>
      </c>
      <c r="D56" s="69">
        <v>44803</v>
      </c>
      <c r="E56" s="68">
        <v>86</v>
      </c>
      <c r="F56" s="58"/>
      <c r="G56" s="58">
        <v>51254</v>
      </c>
      <c r="H56" s="70" t="s">
        <v>1044</v>
      </c>
      <c r="I56" s="7">
        <f t="shared" ca="1" si="0"/>
        <v>0</v>
      </c>
      <c r="J56" s="71"/>
      <c r="K56" s="7"/>
    </row>
    <row r="57" spans="1:11" ht="14.25" customHeight="1">
      <c r="A57" s="68" t="s">
        <v>1061</v>
      </c>
      <c r="B57" s="68"/>
      <c r="C57" s="68"/>
      <c r="D57" s="69">
        <v>44802</v>
      </c>
      <c r="E57" s="68">
        <v>87</v>
      </c>
      <c r="F57" s="58"/>
      <c r="G57" s="58">
        <v>28988</v>
      </c>
      <c r="H57" s="70" t="s">
        <v>1044</v>
      </c>
      <c r="I57" s="7">
        <f t="shared" ca="1" si="0"/>
        <v>0</v>
      </c>
      <c r="J57" s="71"/>
      <c r="K57" s="7"/>
    </row>
    <row r="58" spans="1:11" ht="14.25" customHeight="1">
      <c r="A58" s="68" t="s">
        <v>1070</v>
      </c>
      <c r="B58" s="68" t="s">
        <v>1043</v>
      </c>
      <c r="C58" s="68">
        <v>2</v>
      </c>
      <c r="D58" s="69">
        <v>44810</v>
      </c>
      <c r="E58" s="68">
        <v>90</v>
      </c>
      <c r="F58" s="58"/>
      <c r="G58" s="58">
        <v>206392</v>
      </c>
      <c r="H58" s="70" t="s">
        <v>1044</v>
      </c>
      <c r="I58" s="7">
        <f t="shared" ca="1" si="0"/>
        <v>0</v>
      </c>
      <c r="J58" s="71"/>
      <c r="K58" s="7"/>
    </row>
    <row r="59" spans="1:11" ht="14.25" customHeight="1">
      <c r="A59" s="68" t="s">
        <v>186</v>
      </c>
      <c r="B59" s="68">
        <v>3</v>
      </c>
      <c r="C59" s="68" t="s">
        <v>1043</v>
      </c>
      <c r="D59" s="69">
        <v>44810</v>
      </c>
      <c r="E59" s="68" t="s">
        <v>1071</v>
      </c>
      <c r="F59" s="58"/>
      <c r="G59" s="58">
        <v>80212</v>
      </c>
      <c r="H59" s="70" t="s">
        <v>1044</v>
      </c>
      <c r="I59" s="7">
        <f t="shared" ca="1" si="0"/>
        <v>0</v>
      </c>
      <c r="J59" s="71"/>
      <c r="K59" s="7"/>
    </row>
    <row r="60" spans="1:11" ht="14.25" customHeight="1">
      <c r="A60" s="68" t="s">
        <v>1067</v>
      </c>
      <c r="B60" s="68">
        <v>2</v>
      </c>
      <c r="C60" s="68" t="s">
        <v>1043</v>
      </c>
      <c r="D60" s="69">
        <v>44810</v>
      </c>
      <c r="E60" s="68">
        <v>95</v>
      </c>
      <c r="F60" s="58"/>
      <c r="G60" s="58">
        <v>51224</v>
      </c>
      <c r="H60" s="70" t="s">
        <v>1044</v>
      </c>
      <c r="I60" s="7">
        <f t="shared" ca="1" si="0"/>
        <v>0</v>
      </c>
      <c r="J60" s="71"/>
      <c r="K60" s="7"/>
    </row>
    <row r="61" spans="1:11" ht="14.25" customHeight="1">
      <c r="A61" s="68" t="s">
        <v>1072</v>
      </c>
      <c r="B61" s="68">
        <v>5</v>
      </c>
      <c r="C61" s="68"/>
      <c r="D61" s="69">
        <v>44810</v>
      </c>
      <c r="E61" s="68">
        <v>89</v>
      </c>
      <c r="F61" s="58"/>
      <c r="G61" s="58">
        <v>131437</v>
      </c>
      <c r="H61" s="70" t="s">
        <v>1044</v>
      </c>
      <c r="I61" s="7">
        <f t="shared" ca="1" si="0"/>
        <v>0</v>
      </c>
      <c r="J61" s="71"/>
      <c r="K61" s="7"/>
    </row>
    <row r="62" spans="1:11" ht="14.25" customHeight="1">
      <c r="A62" s="68" t="s">
        <v>1053</v>
      </c>
      <c r="B62" s="68">
        <v>6</v>
      </c>
      <c r="C62" s="68">
        <v>3</v>
      </c>
      <c r="D62" s="69">
        <v>44810</v>
      </c>
      <c r="E62" s="68">
        <v>92</v>
      </c>
      <c r="F62" s="58"/>
      <c r="G62" s="58">
        <v>483516</v>
      </c>
      <c r="H62" s="70" t="s">
        <v>1044</v>
      </c>
      <c r="I62" s="7">
        <f t="shared" ca="1" si="0"/>
        <v>0</v>
      </c>
      <c r="J62" s="71"/>
      <c r="K62" s="7"/>
    </row>
    <row r="63" spans="1:11" ht="14.25" customHeight="1">
      <c r="A63" s="68" t="s">
        <v>226</v>
      </c>
      <c r="B63" s="68">
        <v>6</v>
      </c>
      <c r="C63" s="68" t="s">
        <v>1043</v>
      </c>
      <c r="D63" s="69">
        <v>44809</v>
      </c>
      <c r="E63" s="68">
        <v>94</v>
      </c>
      <c r="F63" s="58"/>
      <c r="G63" s="58">
        <v>136653</v>
      </c>
      <c r="H63" s="70" t="s">
        <v>1044</v>
      </c>
      <c r="I63" s="7">
        <f t="shared" ca="1" si="0"/>
        <v>0</v>
      </c>
      <c r="J63" s="71"/>
      <c r="K63" s="7"/>
    </row>
    <row r="64" spans="1:11" ht="14.25" customHeight="1">
      <c r="A64" s="68" t="s">
        <v>1048</v>
      </c>
      <c r="B64" s="68" t="s">
        <v>1043</v>
      </c>
      <c r="C64" s="68">
        <v>3</v>
      </c>
      <c r="D64" s="69">
        <v>44810</v>
      </c>
      <c r="E64" s="68">
        <v>93</v>
      </c>
      <c r="F64" s="58"/>
      <c r="G64" s="58">
        <v>309588</v>
      </c>
      <c r="H64" s="70" t="s">
        <v>1044</v>
      </c>
      <c r="I64" s="7">
        <f t="shared" ca="1" si="0"/>
        <v>0</v>
      </c>
      <c r="J64" s="71"/>
      <c r="K64" s="7"/>
    </row>
    <row r="65" spans="1:11" ht="14.25" customHeight="1">
      <c r="A65" s="68" t="s">
        <v>1073</v>
      </c>
      <c r="B65" s="68" t="s">
        <v>1043</v>
      </c>
      <c r="C65" s="68">
        <v>1</v>
      </c>
      <c r="D65" s="69">
        <v>44809</v>
      </c>
      <c r="E65" s="68">
        <v>97</v>
      </c>
      <c r="F65" s="58"/>
      <c r="G65" s="58">
        <v>83666</v>
      </c>
      <c r="H65" s="70" t="s">
        <v>1044</v>
      </c>
      <c r="I65" s="7">
        <f t="shared" ca="1" si="0"/>
        <v>0</v>
      </c>
      <c r="J65" s="71"/>
      <c r="K65" s="7"/>
    </row>
    <row r="66" spans="1:11" ht="14.25" customHeight="1">
      <c r="A66" s="68" t="s">
        <v>1049</v>
      </c>
      <c r="B66" s="68">
        <v>5</v>
      </c>
      <c r="C66" s="68" t="s">
        <v>1043</v>
      </c>
      <c r="D66" s="69">
        <v>44816</v>
      </c>
      <c r="E66" s="68">
        <v>101</v>
      </c>
      <c r="F66" s="58"/>
      <c r="G66" s="58">
        <v>136653</v>
      </c>
      <c r="H66" s="70" t="s">
        <v>1044</v>
      </c>
      <c r="I66" s="7">
        <f t="shared" ca="1" si="0"/>
        <v>0</v>
      </c>
      <c r="J66" s="71"/>
      <c r="K66" s="7"/>
    </row>
    <row r="67" spans="1:11" ht="14.25" customHeight="1">
      <c r="A67" s="68" t="s">
        <v>226</v>
      </c>
      <c r="B67" s="68">
        <v>4</v>
      </c>
      <c r="C67" s="68" t="s">
        <v>1043</v>
      </c>
      <c r="D67" s="69">
        <v>44817</v>
      </c>
      <c r="E67" s="68">
        <v>99</v>
      </c>
      <c r="F67" s="58"/>
      <c r="G67" s="58">
        <v>109200</v>
      </c>
      <c r="H67" s="70" t="s">
        <v>1044</v>
      </c>
      <c r="I67" s="7">
        <f t="shared" ca="1" si="0"/>
        <v>0</v>
      </c>
      <c r="J67" s="71"/>
      <c r="K67" s="7"/>
    </row>
    <row r="68" spans="1:11" ht="14.25" customHeight="1">
      <c r="A68" s="68" t="s">
        <v>143</v>
      </c>
      <c r="B68" s="68">
        <v>2</v>
      </c>
      <c r="C68" s="68" t="s">
        <v>1043</v>
      </c>
      <c r="D68" s="69">
        <v>44817</v>
      </c>
      <c r="E68" s="68">
        <v>98</v>
      </c>
      <c r="F68" s="58"/>
      <c r="G68" s="58">
        <v>57976</v>
      </c>
      <c r="H68" s="70" t="s">
        <v>1044</v>
      </c>
      <c r="I68" s="7">
        <f t="shared" ca="1" si="0"/>
        <v>0</v>
      </c>
      <c r="J68" s="71"/>
      <c r="K68" s="7"/>
    </row>
    <row r="69" spans="1:11" ht="14.25" customHeight="1">
      <c r="A69" s="68" t="s">
        <v>1061</v>
      </c>
      <c r="B69" s="68"/>
      <c r="C69" s="68"/>
      <c r="D69" s="69">
        <v>44817</v>
      </c>
      <c r="E69" s="68">
        <v>100</v>
      </c>
      <c r="F69" s="58"/>
      <c r="G69" s="58">
        <v>184141</v>
      </c>
      <c r="H69" s="70" t="s">
        <v>1044</v>
      </c>
      <c r="I69" s="7">
        <f t="shared" ca="1" si="0"/>
        <v>0</v>
      </c>
      <c r="J69" s="71"/>
      <c r="K69" s="7"/>
    </row>
    <row r="70" spans="1:11" ht="14.25" customHeight="1">
      <c r="A70" s="68" t="s">
        <v>1056</v>
      </c>
      <c r="B70" s="68"/>
      <c r="C70" s="68"/>
      <c r="D70" s="69">
        <v>44817</v>
      </c>
      <c r="E70" s="68" t="s">
        <v>1057</v>
      </c>
      <c r="F70" s="58"/>
      <c r="G70" s="58">
        <v>198000</v>
      </c>
      <c r="H70" s="70" t="s">
        <v>1044</v>
      </c>
      <c r="I70" s="7">
        <f t="shared" ca="1" si="0"/>
        <v>0</v>
      </c>
      <c r="J70" s="71"/>
      <c r="K70" s="7"/>
    </row>
    <row r="71" spans="1:11" ht="14.25" customHeight="1">
      <c r="A71" s="68" t="s">
        <v>1074</v>
      </c>
      <c r="B71" s="68">
        <v>3</v>
      </c>
      <c r="C71" s="68">
        <v>2</v>
      </c>
      <c r="D71" s="69">
        <v>44819</v>
      </c>
      <c r="E71" s="68" t="s">
        <v>1057</v>
      </c>
      <c r="F71" s="58"/>
      <c r="G71" s="58">
        <v>232762</v>
      </c>
      <c r="H71" s="70" t="s">
        <v>1044</v>
      </c>
      <c r="I71" s="7">
        <f t="shared" ca="1" si="0"/>
        <v>0</v>
      </c>
      <c r="J71" s="71"/>
      <c r="K71" s="7"/>
    </row>
    <row r="72" spans="1:11" ht="14.25" customHeight="1">
      <c r="A72" s="68" t="s">
        <v>1053</v>
      </c>
      <c r="B72" s="68">
        <v>2</v>
      </c>
      <c r="C72" s="68">
        <v>3</v>
      </c>
      <c r="D72" s="69">
        <v>44828</v>
      </c>
      <c r="E72" s="68">
        <v>103</v>
      </c>
      <c r="F72" s="58"/>
      <c r="G72" s="58">
        <v>367564</v>
      </c>
      <c r="H72" s="70" t="s">
        <v>1044</v>
      </c>
      <c r="I72" s="7">
        <f t="shared" ca="1" si="0"/>
        <v>0</v>
      </c>
      <c r="J72" s="71"/>
      <c r="K72" s="7"/>
    </row>
    <row r="73" spans="1:11" ht="14.25" customHeight="1">
      <c r="A73" s="68" t="s">
        <v>1075</v>
      </c>
      <c r="B73" s="68">
        <v>5</v>
      </c>
      <c r="C73" s="68" t="s">
        <v>1043</v>
      </c>
      <c r="D73" s="69">
        <v>44828</v>
      </c>
      <c r="E73" s="68">
        <v>107</v>
      </c>
      <c r="F73" s="58"/>
      <c r="G73" s="58">
        <v>132971</v>
      </c>
      <c r="H73" s="70" t="s">
        <v>1044</v>
      </c>
      <c r="I73" s="7">
        <f t="shared" ca="1" si="0"/>
        <v>0</v>
      </c>
      <c r="J73" s="71"/>
      <c r="K73" s="7"/>
    </row>
    <row r="74" spans="1:11" ht="14.25" customHeight="1">
      <c r="A74" s="68" t="s">
        <v>251</v>
      </c>
      <c r="B74" s="68">
        <v>6</v>
      </c>
      <c r="C74" s="68" t="s">
        <v>1043</v>
      </c>
      <c r="D74" s="69">
        <v>44832</v>
      </c>
      <c r="E74" s="68">
        <v>104</v>
      </c>
      <c r="F74" s="58"/>
      <c r="G74" s="58">
        <v>160425</v>
      </c>
      <c r="H74" s="70" t="s">
        <v>1044</v>
      </c>
      <c r="I74" s="7">
        <f t="shared" ca="1" si="0"/>
        <v>0</v>
      </c>
      <c r="J74" s="71"/>
      <c r="K74" s="7"/>
    </row>
    <row r="75" spans="1:11" ht="14.25" customHeight="1">
      <c r="A75" s="68" t="s">
        <v>245</v>
      </c>
      <c r="B75" s="68">
        <v>2.5</v>
      </c>
      <c r="C75" s="68" t="s">
        <v>1043</v>
      </c>
      <c r="D75" s="69">
        <v>44831</v>
      </c>
      <c r="E75" s="68">
        <v>105</v>
      </c>
      <c r="F75" s="58"/>
      <c r="G75" s="58">
        <v>65718</v>
      </c>
      <c r="H75" s="70" t="s">
        <v>1044</v>
      </c>
      <c r="I75" s="7">
        <f t="shared" ca="1" si="0"/>
        <v>0</v>
      </c>
      <c r="J75" s="71"/>
      <c r="K75" s="7"/>
    </row>
    <row r="76" spans="1:11" ht="14.25" customHeight="1">
      <c r="A76" s="68" t="s">
        <v>1076</v>
      </c>
      <c r="B76" s="68">
        <v>4</v>
      </c>
      <c r="C76" s="68" t="s">
        <v>1043</v>
      </c>
      <c r="D76" s="69">
        <v>44830</v>
      </c>
      <c r="E76" s="68">
        <v>106</v>
      </c>
      <c r="F76" s="58"/>
      <c r="G76" s="58">
        <v>115952</v>
      </c>
      <c r="H76" s="70" t="s">
        <v>1044</v>
      </c>
      <c r="I76" s="7">
        <f t="shared" ca="1" si="0"/>
        <v>0</v>
      </c>
      <c r="J76" s="71"/>
      <c r="K76" s="7"/>
    </row>
    <row r="77" spans="1:11" ht="14.25" customHeight="1">
      <c r="A77" s="68" t="s">
        <v>256</v>
      </c>
      <c r="B77" s="68">
        <v>5</v>
      </c>
      <c r="C77" s="68" t="s">
        <v>1043</v>
      </c>
      <c r="D77" s="69">
        <v>44834</v>
      </c>
      <c r="E77" s="68">
        <v>108</v>
      </c>
      <c r="F77" s="58"/>
      <c r="G77" s="58">
        <v>132971</v>
      </c>
      <c r="H77" s="70" t="s">
        <v>1044</v>
      </c>
      <c r="I77" s="7">
        <f t="shared" ca="1" si="0"/>
        <v>0</v>
      </c>
      <c r="J77" s="71"/>
      <c r="K77" s="7"/>
    </row>
    <row r="78" spans="1:11" ht="14.25" customHeight="1">
      <c r="A78" s="68" t="s">
        <v>267</v>
      </c>
      <c r="B78" s="68">
        <v>2</v>
      </c>
      <c r="C78" s="68" t="s">
        <v>1043</v>
      </c>
      <c r="D78" s="69">
        <v>44838</v>
      </c>
      <c r="E78" s="68">
        <v>109</v>
      </c>
      <c r="F78" s="58"/>
      <c r="G78" s="58">
        <v>54600</v>
      </c>
      <c r="H78" s="70" t="s">
        <v>1044</v>
      </c>
      <c r="I78" s="7">
        <f t="shared" ca="1" si="0"/>
        <v>0</v>
      </c>
      <c r="J78" s="71"/>
      <c r="K78" s="7"/>
    </row>
    <row r="79" spans="1:11" ht="14.25" customHeight="1">
      <c r="A79" s="68" t="s">
        <v>261</v>
      </c>
      <c r="B79" s="68">
        <v>5</v>
      </c>
      <c r="C79" s="68" t="s">
        <v>1043</v>
      </c>
      <c r="D79" s="69">
        <v>44838</v>
      </c>
      <c r="E79" s="68">
        <v>117</v>
      </c>
      <c r="F79" s="58"/>
      <c r="G79" s="58">
        <v>132971</v>
      </c>
      <c r="H79" s="70" t="s">
        <v>1044</v>
      </c>
      <c r="I79" s="7">
        <f t="shared" ca="1" si="0"/>
        <v>0</v>
      </c>
      <c r="J79" s="71"/>
      <c r="K79" s="7"/>
    </row>
    <row r="80" spans="1:11" ht="14.25" customHeight="1">
      <c r="A80" s="68" t="s">
        <v>226</v>
      </c>
      <c r="B80" s="68">
        <v>5</v>
      </c>
      <c r="C80" s="68" t="s">
        <v>1043</v>
      </c>
      <c r="D80" s="69">
        <v>44838</v>
      </c>
      <c r="E80" s="68" t="s">
        <v>1043</v>
      </c>
      <c r="F80" s="58"/>
      <c r="G80" s="58">
        <v>275987</v>
      </c>
      <c r="H80" s="70" t="s">
        <v>1044</v>
      </c>
      <c r="I80" s="7">
        <f t="shared" ca="1" si="0"/>
        <v>0</v>
      </c>
      <c r="J80" s="71"/>
      <c r="K80" s="7"/>
    </row>
    <row r="81" spans="1:11" ht="14.25" customHeight="1">
      <c r="A81" s="68" t="s">
        <v>1077</v>
      </c>
      <c r="B81" s="68"/>
      <c r="C81" s="68"/>
      <c r="D81" s="69">
        <v>44834</v>
      </c>
      <c r="E81" s="68">
        <v>115</v>
      </c>
      <c r="F81" s="58"/>
      <c r="G81" s="58">
        <v>415558</v>
      </c>
      <c r="H81" s="70" t="s">
        <v>1044</v>
      </c>
      <c r="I81" s="7">
        <f t="shared" ca="1" si="0"/>
        <v>0</v>
      </c>
      <c r="J81" s="71"/>
      <c r="K81" s="7"/>
    </row>
    <row r="82" spans="1:11" ht="14.25" customHeight="1">
      <c r="A82" s="68" t="s">
        <v>1077</v>
      </c>
      <c r="B82" s="68"/>
      <c r="C82" s="68"/>
      <c r="D82" s="69">
        <v>44837</v>
      </c>
      <c r="E82" s="68">
        <v>116</v>
      </c>
      <c r="F82" s="58"/>
      <c r="G82" s="58">
        <v>206392</v>
      </c>
      <c r="H82" s="70" t="s">
        <v>1044</v>
      </c>
      <c r="I82" s="7">
        <f t="shared" ca="1" si="0"/>
        <v>0</v>
      </c>
      <c r="J82" s="71"/>
      <c r="K82" s="7"/>
    </row>
    <row r="83" spans="1:11" ht="14.25" customHeight="1">
      <c r="A83" s="68" t="s">
        <v>1078</v>
      </c>
      <c r="B83" s="68"/>
      <c r="C83" s="68"/>
      <c r="D83" s="69">
        <v>44840</v>
      </c>
      <c r="E83" s="68">
        <v>114</v>
      </c>
      <c r="F83" s="58"/>
      <c r="G83" s="58">
        <v>560586</v>
      </c>
      <c r="H83" s="70" t="s">
        <v>1044</v>
      </c>
      <c r="I83" s="7">
        <f t="shared" ca="1" si="0"/>
        <v>0</v>
      </c>
      <c r="J83" s="71"/>
      <c r="K83" s="7"/>
    </row>
    <row r="84" spans="1:11" ht="14.25" customHeight="1">
      <c r="A84" s="68" t="s">
        <v>126</v>
      </c>
      <c r="B84" s="68"/>
      <c r="C84" s="68"/>
      <c r="D84" s="69">
        <v>44837</v>
      </c>
      <c r="E84" s="68">
        <v>111</v>
      </c>
      <c r="F84" s="58"/>
      <c r="G84" s="58">
        <v>54907</v>
      </c>
      <c r="H84" s="70" t="s">
        <v>1044</v>
      </c>
      <c r="I84" s="7">
        <f t="shared" ca="1" si="0"/>
        <v>0</v>
      </c>
      <c r="J84" s="71"/>
      <c r="K84" s="7"/>
    </row>
    <row r="85" spans="1:11" ht="14.25" customHeight="1">
      <c r="A85" s="68" t="s">
        <v>1079</v>
      </c>
      <c r="B85" s="68">
        <v>1</v>
      </c>
      <c r="C85" s="68">
        <v>1</v>
      </c>
      <c r="D85" s="69">
        <v>44840</v>
      </c>
      <c r="E85" s="68"/>
      <c r="F85" s="58"/>
      <c r="G85" s="58">
        <v>83666</v>
      </c>
      <c r="H85" s="70" t="s">
        <v>1044</v>
      </c>
      <c r="I85" s="7">
        <f t="shared" ca="1" si="0"/>
        <v>0</v>
      </c>
      <c r="J85" s="71"/>
      <c r="K85" s="7"/>
    </row>
    <row r="86" spans="1:11" ht="14.25" customHeight="1">
      <c r="A86" s="68" t="s">
        <v>143</v>
      </c>
      <c r="B86" s="68">
        <v>4</v>
      </c>
      <c r="C86" s="68" t="s">
        <v>1043</v>
      </c>
      <c r="D86" s="69">
        <v>44845</v>
      </c>
      <c r="E86" s="68">
        <v>120</v>
      </c>
      <c r="F86" s="58"/>
      <c r="G86" s="58">
        <v>109200</v>
      </c>
      <c r="H86" s="70" t="s">
        <v>1044</v>
      </c>
      <c r="I86" s="7">
        <f t="shared" ca="1" si="0"/>
        <v>0</v>
      </c>
      <c r="J86" s="71"/>
      <c r="K86" s="7"/>
    </row>
    <row r="87" spans="1:11" ht="14.25" customHeight="1">
      <c r="A87" s="68" t="s">
        <v>1080</v>
      </c>
      <c r="B87" s="68">
        <v>3</v>
      </c>
      <c r="C87" s="68" t="s">
        <v>1043</v>
      </c>
      <c r="D87" s="69">
        <v>44846</v>
      </c>
      <c r="E87" s="68">
        <v>121</v>
      </c>
      <c r="F87" s="58"/>
      <c r="G87" s="58">
        <v>82053</v>
      </c>
      <c r="H87" s="70" t="s">
        <v>1044</v>
      </c>
      <c r="I87" s="7">
        <f t="shared" ca="1" si="0"/>
        <v>0</v>
      </c>
      <c r="J87" s="71"/>
      <c r="K87" s="7"/>
    </row>
    <row r="88" spans="1:11" ht="14.25" customHeight="1">
      <c r="A88" s="68" t="s">
        <v>1078</v>
      </c>
      <c r="B88" s="68"/>
      <c r="C88" s="68"/>
      <c r="D88" s="69">
        <v>44847</v>
      </c>
      <c r="E88" s="68">
        <v>122</v>
      </c>
      <c r="F88" s="58"/>
      <c r="G88" s="58">
        <v>250998</v>
      </c>
      <c r="H88" s="70" t="s">
        <v>1044</v>
      </c>
      <c r="I88" s="7">
        <f t="shared" ca="1" si="0"/>
        <v>0</v>
      </c>
      <c r="J88" s="71"/>
      <c r="K88" s="7"/>
    </row>
    <row r="89" spans="1:11" ht="14.25" customHeight="1">
      <c r="A89" s="68" t="s">
        <v>1077</v>
      </c>
      <c r="B89" s="68"/>
      <c r="C89" s="68"/>
      <c r="D89" s="69">
        <v>44852</v>
      </c>
      <c r="E89" s="68">
        <v>128</v>
      </c>
      <c r="F89" s="58"/>
      <c r="G89" s="58">
        <v>186862</v>
      </c>
      <c r="H89" s="70" t="s">
        <v>1044</v>
      </c>
      <c r="I89" s="7">
        <f t="shared" ca="1" si="0"/>
        <v>0</v>
      </c>
      <c r="J89" s="71"/>
      <c r="K89" s="7"/>
    </row>
    <row r="90" spans="1:11" ht="14.25" customHeight="1">
      <c r="A90" s="68" t="s">
        <v>1081</v>
      </c>
      <c r="B90" s="68">
        <v>4</v>
      </c>
      <c r="C90" s="68"/>
      <c r="D90" s="69">
        <v>44848</v>
      </c>
      <c r="E90" s="68">
        <v>124</v>
      </c>
      <c r="F90" s="58"/>
      <c r="G90" s="58">
        <v>109200</v>
      </c>
      <c r="H90" s="70" t="s">
        <v>1044</v>
      </c>
      <c r="I90" s="7">
        <f t="shared" ca="1" si="0"/>
        <v>0</v>
      </c>
      <c r="J90" s="71"/>
      <c r="K90" s="7"/>
    </row>
    <row r="91" spans="1:11" ht="14.25" customHeight="1">
      <c r="A91" s="68" t="s">
        <v>245</v>
      </c>
      <c r="B91" s="68">
        <v>3</v>
      </c>
      <c r="C91" s="68"/>
      <c r="D91" s="69">
        <v>44847</v>
      </c>
      <c r="E91" s="68">
        <v>121</v>
      </c>
      <c r="F91" s="58"/>
      <c r="G91" s="58">
        <v>82053</v>
      </c>
      <c r="H91" s="70" t="s">
        <v>1044</v>
      </c>
      <c r="I91" s="7">
        <f t="shared" ca="1" si="0"/>
        <v>0</v>
      </c>
      <c r="J91" s="71"/>
      <c r="K91" s="7"/>
    </row>
    <row r="92" spans="1:11" ht="14.25" customHeight="1">
      <c r="A92" s="68" t="s">
        <v>1082</v>
      </c>
      <c r="B92" s="68">
        <v>6</v>
      </c>
      <c r="C92" s="68"/>
      <c r="D92" s="69">
        <v>44852</v>
      </c>
      <c r="E92" s="68">
        <v>125</v>
      </c>
      <c r="F92" s="58"/>
      <c r="G92" s="58">
        <v>170859</v>
      </c>
      <c r="H92" s="70" t="s">
        <v>1044</v>
      </c>
      <c r="I92" s="7">
        <f t="shared" ca="1" si="0"/>
        <v>0</v>
      </c>
      <c r="J92" s="71"/>
      <c r="K92" s="7"/>
    </row>
    <row r="93" spans="1:11" ht="14.25" customHeight="1">
      <c r="A93" s="68" t="s">
        <v>1079</v>
      </c>
      <c r="B93" s="68"/>
      <c r="C93" s="68">
        <v>2</v>
      </c>
      <c r="D93" s="69">
        <v>44852</v>
      </c>
      <c r="E93" s="68" t="s">
        <v>1083</v>
      </c>
      <c r="F93" s="58"/>
      <c r="G93" s="58">
        <f>83666*2</f>
        <v>167332</v>
      </c>
      <c r="H93" s="70" t="s">
        <v>1044</v>
      </c>
      <c r="I93" s="7">
        <f t="shared" ca="1" si="0"/>
        <v>0</v>
      </c>
      <c r="J93" s="71"/>
      <c r="K93" s="7"/>
    </row>
    <row r="94" spans="1:11" ht="14.25" customHeight="1">
      <c r="A94" s="68" t="s">
        <v>283</v>
      </c>
      <c r="B94" s="68">
        <v>4</v>
      </c>
      <c r="C94" s="68"/>
      <c r="D94" s="69">
        <v>44847</v>
      </c>
      <c r="E94" s="68">
        <v>123</v>
      </c>
      <c r="F94" s="58"/>
      <c r="G94" s="58">
        <v>108433</v>
      </c>
      <c r="H94" s="70" t="s">
        <v>1044</v>
      </c>
      <c r="I94" s="7">
        <f t="shared" ca="1" si="0"/>
        <v>0</v>
      </c>
      <c r="J94" s="71"/>
      <c r="K94" s="7"/>
    </row>
    <row r="95" spans="1:11" ht="14.25" customHeight="1">
      <c r="A95" s="68" t="s">
        <v>1084</v>
      </c>
      <c r="B95" s="68">
        <v>1</v>
      </c>
      <c r="C95" s="68"/>
      <c r="D95" s="69">
        <v>44852</v>
      </c>
      <c r="E95" s="68">
        <v>138</v>
      </c>
      <c r="F95" s="58"/>
      <c r="G95" s="58">
        <v>28988</v>
      </c>
      <c r="H95" s="70" t="s">
        <v>1044</v>
      </c>
      <c r="I95" s="7">
        <f t="shared" ca="1" si="0"/>
        <v>0</v>
      </c>
      <c r="J95" s="71"/>
      <c r="K95" s="7"/>
    </row>
    <row r="96" spans="1:11" ht="14.25" customHeight="1">
      <c r="A96" s="68" t="s">
        <v>1085</v>
      </c>
      <c r="B96" s="68">
        <v>4</v>
      </c>
      <c r="C96" s="68"/>
      <c r="D96" s="69">
        <v>44852</v>
      </c>
      <c r="E96" s="68">
        <v>130</v>
      </c>
      <c r="F96" s="58"/>
      <c r="G96" s="58">
        <v>106186</v>
      </c>
      <c r="H96" s="70" t="s">
        <v>1044</v>
      </c>
      <c r="I96" s="7">
        <f t="shared" ca="1" si="0"/>
        <v>0</v>
      </c>
      <c r="J96" s="71"/>
      <c r="K96" s="7"/>
    </row>
    <row r="97" spans="1:11" ht="14.25" customHeight="1">
      <c r="A97" s="68" t="s">
        <v>226</v>
      </c>
      <c r="B97" s="68">
        <v>10</v>
      </c>
      <c r="C97" s="68" t="s">
        <v>1043</v>
      </c>
      <c r="D97" s="69">
        <v>44858</v>
      </c>
      <c r="E97" s="68">
        <v>133</v>
      </c>
      <c r="F97" s="58"/>
      <c r="G97" s="58">
        <v>309100</v>
      </c>
      <c r="H97" s="70" t="s">
        <v>1044</v>
      </c>
      <c r="I97" s="7">
        <f t="shared" ca="1" si="0"/>
        <v>0</v>
      </c>
      <c r="J97" s="71"/>
      <c r="K97" s="7"/>
    </row>
    <row r="98" spans="1:11" ht="14.25" customHeight="1">
      <c r="A98" s="68" t="s">
        <v>1053</v>
      </c>
      <c r="B98" s="68" t="s">
        <v>1043</v>
      </c>
      <c r="C98" s="68">
        <v>3</v>
      </c>
      <c r="D98" s="69">
        <v>44858</v>
      </c>
      <c r="E98" s="68">
        <v>134</v>
      </c>
      <c r="F98" s="58"/>
      <c r="G98" s="58">
        <v>309588</v>
      </c>
      <c r="H98" s="70" t="s">
        <v>1044</v>
      </c>
      <c r="I98" s="7">
        <f t="shared" ca="1" si="0"/>
        <v>0</v>
      </c>
      <c r="J98" s="71"/>
      <c r="K98" s="7"/>
    </row>
    <row r="99" spans="1:11" ht="14.25" customHeight="1">
      <c r="A99" s="68" t="s">
        <v>1078</v>
      </c>
      <c r="B99" s="68" t="s">
        <v>1043</v>
      </c>
      <c r="C99" s="68">
        <v>3</v>
      </c>
      <c r="D99" s="69">
        <v>44858</v>
      </c>
      <c r="E99" s="68">
        <v>131</v>
      </c>
      <c r="F99" s="58"/>
      <c r="G99" s="58">
        <v>309588</v>
      </c>
      <c r="H99" s="70" t="s">
        <v>1044</v>
      </c>
      <c r="I99" s="7">
        <f t="shared" ca="1" si="0"/>
        <v>0</v>
      </c>
      <c r="J99" s="71"/>
      <c r="K99" s="7"/>
    </row>
    <row r="100" spans="1:11" ht="14.25" customHeight="1">
      <c r="A100" s="68" t="s">
        <v>1072</v>
      </c>
      <c r="B100" s="68">
        <v>5</v>
      </c>
      <c r="C100" s="68" t="s">
        <v>1043</v>
      </c>
      <c r="D100" s="69">
        <v>44855</v>
      </c>
      <c r="E100" s="68">
        <v>127</v>
      </c>
      <c r="F100" s="58"/>
      <c r="G100" s="58">
        <v>136653</v>
      </c>
      <c r="H100" s="70" t="s">
        <v>1044</v>
      </c>
      <c r="I100" s="7">
        <f t="shared" ca="1" si="0"/>
        <v>0</v>
      </c>
      <c r="J100" s="71"/>
      <c r="K100" s="7"/>
    </row>
    <row r="101" spans="1:11" ht="14.25" customHeight="1">
      <c r="A101" s="68" t="s">
        <v>150</v>
      </c>
      <c r="B101" s="68">
        <f>72/12</f>
        <v>6</v>
      </c>
      <c r="C101" s="68" t="s">
        <v>1043</v>
      </c>
      <c r="D101" s="69">
        <v>44859</v>
      </c>
      <c r="E101" s="68">
        <v>135</v>
      </c>
      <c r="F101" s="58"/>
      <c r="G101" s="58">
        <v>157966</v>
      </c>
      <c r="H101" s="70" t="s">
        <v>1044</v>
      </c>
      <c r="I101" s="7">
        <f t="shared" ca="1" si="0"/>
        <v>0</v>
      </c>
      <c r="J101" s="71"/>
      <c r="K101" s="7"/>
    </row>
    <row r="102" spans="1:11" ht="14.25" customHeight="1">
      <c r="A102" s="68" t="s">
        <v>143</v>
      </c>
      <c r="B102" s="68">
        <v>3</v>
      </c>
      <c r="C102" s="68" t="s">
        <v>1043</v>
      </c>
      <c r="D102" s="69">
        <v>44859</v>
      </c>
      <c r="E102" s="68">
        <v>132</v>
      </c>
      <c r="F102" s="58"/>
      <c r="G102" s="58">
        <v>76532</v>
      </c>
      <c r="H102" s="70" t="s">
        <v>1044</v>
      </c>
      <c r="I102" s="7">
        <f t="shared" ca="1" si="0"/>
        <v>0</v>
      </c>
      <c r="J102" s="71"/>
      <c r="K102" s="7"/>
    </row>
    <row r="103" spans="1:11" ht="14.25" customHeight="1">
      <c r="A103" s="68" t="s">
        <v>1077</v>
      </c>
      <c r="B103" s="68"/>
      <c r="C103" s="68"/>
      <c r="D103" s="69">
        <v>44861</v>
      </c>
      <c r="E103" s="68">
        <v>137</v>
      </c>
      <c r="F103" s="58"/>
      <c r="G103" s="58">
        <v>206392</v>
      </c>
      <c r="H103" s="70" t="s">
        <v>1044</v>
      </c>
      <c r="I103" s="7">
        <f t="shared" ca="1" si="0"/>
        <v>0</v>
      </c>
      <c r="J103" s="71"/>
      <c r="K103" s="7"/>
    </row>
    <row r="104" spans="1:11" ht="14.25" customHeight="1">
      <c r="A104" s="14" t="s">
        <v>1086</v>
      </c>
      <c r="B104" s="68">
        <v>3</v>
      </c>
      <c r="C104" s="68"/>
      <c r="D104" s="69">
        <v>44865</v>
      </c>
      <c r="E104" s="68" t="s">
        <v>1043</v>
      </c>
      <c r="F104" s="58"/>
      <c r="G104" s="58"/>
      <c r="H104" s="70" t="s">
        <v>1044</v>
      </c>
      <c r="I104" s="7">
        <f t="shared" ca="1" si="0"/>
        <v>0</v>
      </c>
      <c r="J104" s="71"/>
      <c r="K104" s="7"/>
    </row>
    <row r="105" spans="1:11" ht="14.25" customHeight="1">
      <c r="A105" s="14" t="s">
        <v>261</v>
      </c>
      <c r="B105" s="68">
        <v>4</v>
      </c>
      <c r="C105" s="68"/>
      <c r="D105" s="69">
        <v>44865</v>
      </c>
      <c r="E105" s="68">
        <v>139</v>
      </c>
      <c r="F105" s="58"/>
      <c r="G105" s="58">
        <v>110734</v>
      </c>
      <c r="H105" s="70" t="s">
        <v>1044</v>
      </c>
      <c r="I105" s="7">
        <f t="shared" ca="1" si="0"/>
        <v>0</v>
      </c>
      <c r="J105" s="71"/>
      <c r="K105" s="7"/>
    </row>
    <row r="106" spans="1:11" ht="14.25" customHeight="1">
      <c r="A106" s="14" t="s">
        <v>1087</v>
      </c>
      <c r="B106" s="68">
        <v>6</v>
      </c>
      <c r="C106" s="68"/>
      <c r="D106" s="69">
        <v>44869</v>
      </c>
      <c r="E106" s="68">
        <v>140</v>
      </c>
      <c r="F106" s="58"/>
      <c r="G106" s="58">
        <v>160425</v>
      </c>
      <c r="H106" s="70" t="s">
        <v>1044</v>
      </c>
      <c r="I106" s="7">
        <f t="shared" ca="1" si="0"/>
        <v>0</v>
      </c>
      <c r="J106" s="71"/>
      <c r="K106" s="7"/>
    </row>
    <row r="107" spans="1:11" ht="14.25" customHeight="1">
      <c r="A107" s="14" t="s">
        <v>245</v>
      </c>
      <c r="B107" s="68">
        <v>3</v>
      </c>
      <c r="C107" s="68"/>
      <c r="D107" s="69">
        <v>44865</v>
      </c>
      <c r="E107" s="68">
        <v>142</v>
      </c>
      <c r="F107" s="58"/>
      <c r="G107" s="58">
        <v>76530</v>
      </c>
      <c r="H107" s="70" t="s">
        <v>1044</v>
      </c>
      <c r="I107" s="7">
        <f t="shared" ca="1" si="0"/>
        <v>0</v>
      </c>
      <c r="J107" s="71"/>
      <c r="K107" s="7"/>
    </row>
    <row r="108" spans="1:11" ht="14.25" customHeight="1">
      <c r="A108" s="14" t="s">
        <v>256</v>
      </c>
      <c r="B108" s="68">
        <v>9</v>
      </c>
      <c r="C108" s="68"/>
      <c r="D108" s="69">
        <v>44869</v>
      </c>
      <c r="E108" s="68">
        <v>143</v>
      </c>
      <c r="F108" s="58"/>
      <c r="G108" s="58">
        <v>236954</v>
      </c>
      <c r="H108" s="70" t="s">
        <v>1044</v>
      </c>
      <c r="I108" s="7">
        <f t="shared" ca="1" si="0"/>
        <v>0</v>
      </c>
      <c r="J108" s="71"/>
      <c r="K108" s="7"/>
    </row>
    <row r="109" spans="1:11" ht="14.25" customHeight="1">
      <c r="A109" s="14" t="s">
        <v>1088</v>
      </c>
      <c r="B109" s="68">
        <v>5</v>
      </c>
      <c r="C109" s="68" t="s">
        <v>1043</v>
      </c>
      <c r="D109" s="69">
        <v>44856</v>
      </c>
      <c r="E109" s="68">
        <v>136</v>
      </c>
      <c r="F109" s="58"/>
      <c r="G109" s="58">
        <v>131437</v>
      </c>
      <c r="H109" s="70" t="s">
        <v>1044</v>
      </c>
      <c r="I109" s="7">
        <f t="shared" ca="1" si="0"/>
        <v>0</v>
      </c>
      <c r="J109" s="71"/>
      <c r="K109" s="7"/>
    </row>
    <row r="110" spans="1:11" ht="14.25" customHeight="1">
      <c r="A110" s="14" t="s">
        <v>283</v>
      </c>
      <c r="B110" s="68">
        <v>4</v>
      </c>
      <c r="C110" s="68"/>
      <c r="D110" s="69">
        <v>44869</v>
      </c>
      <c r="E110" s="68">
        <v>148</v>
      </c>
      <c r="F110" s="58"/>
      <c r="G110" s="58">
        <v>106603</v>
      </c>
      <c r="H110" s="70" t="s">
        <v>1044</v>
      </c>
      <c r="I110" s="7">
        <f t="shared" ca="1" si="0"/>
        <v>0</v>
      </c>
      <c r="J110" s="71"/>
      <c r="K110" s="7"/>
    </row>
    <row r="111" spans="1:11" ht="14.25" customHeight="1">
      <c r="A111" s="14" t="s">
        <v>126</v>
      </c>
      <c r="B111" s="68">
        <v>6</v>
      </c>
      <c r="C111" s="68"/>
      <c r="D111" s="69">
        <v>44869</v>
      </c>
      <c r="E111" s="68" t="s">
        <v>1043</v>
      </c>
      <c r="F111" s="58"/>
      <c r="G111" s="58">
        <v>160425</v>
      </c>
      <c r="H111" s="70" t="s">
        <v>1044</v>
      </c>
      <c r="I111" s="7">
        <f t="shared" ca="1" si="0"/>
        <v>0</v>
      </c>
      <c r="J111" s="71"/>
      <c r="K111" s="7"/>
    </row>
    <row r="112" spans="1:11" ht="14.25" customHeight="1">
      <c r="A112" s="14" t="s">
        <v>1079</v>
      </c>
      <c r="B112" s="68"/>
      <c r="C112" s="68">
        <v>2</v>
      </c>
      <c r="D112" s="69">
        <v>44873</v>
      </c>
      <c r="E112" s="68">
        <v>145</v>
      </c>
      <c r="F112" s="58"/>
      <c r="G112" s="58">
        <v>167332</v>
      </c>
      <c r="H112" s="70" t="s">
        <v>1044</v>
      </c>
      <c r="I112" s="7">
        <f t="shared" ca="1" si="0"/>
        <v>0</v>
      </c>
      <c r="J112" s="71"/>
      <c r="K112" s="7"/>
    </row>
    <row r="113" spans="1:11" ht="14.25" customHeight="1">
      <c r="A113" s="14" t="s">
        <v>1056</v>
      </c>
      <c r="B113" s="68"/>
      <c r="C113" s="68"/>
      <c r="D113" s="69"/>
      <c r="E113" s="68" t="s">
        <v>1057</v>
      </c>
      <c r="F113" s="58"/>
      <c r="G113" s="58">
        <v>166000</v>
      </c>
      <c r="H113" s="70" t="s">
        <v>1044</v>
      </c>
      <c r="I113" s="7">
        <f t="shared" ca="1" si="0"/>
        <v>0</v>
      </c>
      <c r="J113" s="71"/>
      <c r="K113" s="7"/>
    </row>
    <row r="114" spans="1:11" ht="14.25" customHeight="1">
      <c r="A114" s="14" t="s">
        <v>1089</v>
      </c>
      <c r="B114" s="68"/>
      <c r="C114" s="68"/>
      <c r="D114" s="69"/>
      <c r="E114" s="68" t="s">
        <v>1043</v>
      </c>
      <c r="F114" s="58"/>
      <c r="G114" s="58" t="s">
        <v>1090</v>
      </c>
      <c r="H114" s="70" t="s">
        <v>1044</v>
      </c>
      <c r="I114" s="7">
        <f t="shared" ca="1" si="0"/>
        <v>0</v>
      </c>
      <c r="J114" s="71"/>
      <c r="K114" s="7"/>
    </row>
    <row r="115" spans="1:11" ht="14.25" customHeight="1">
      <c r="A115" s="14" t="s">
        <v>1053</v>
      </c>
      <c r="B115" s="68">
        <v>10</v>
      </c>
      <c r="C115" s="68"/>
      <c r="D115" s="69">
        <v>44870</v>
      </c>
      <c r="E115" s="68">
        <v>144</v>
      </c>
      <c r="F115" s="58"/>
      <c r="G115" s="58">
        <v>289880</v>
      </c>
      <c r="H115" s="70" t="s">
        <v>1044</v>
      </c>
      <c r="I115" s="7">
        <f t="shared" ca="1" si="0"/>
        <v>0</v>
      </c>
      <c r="J115" s="71"/>
      <c r="K115" s="7"/>
    </row>
    <row r="116" spans="1:11" ht="14.25" customHeight="1">
      <c r="A116" s="68" t="s">
        <v>226</v>
      </c>
      <c r="B116" s="68">
        <v>12</v>
      </c>
      <c r="C116" s="68"/>
      <c r="D116" s="69">
        <v>44879</v>
      </c>
      <c r="E116" s="68">
        <v>150</v>
      </c>
      <c r="F116" s="58"/>
      <c r="G116" s="58">
        <v>320849</v>
      </c>
      <c r="H116" s="70" t="s">
        <v>1044</v>
      </c>
      <c r="I116" s="7">
        <f t="shared" ca="1" si="0"/>
        <v>0</v>
      </c>
      <c r="J116" s="71"/>
      <c r="K116" s="7"/>
    </row>
    <row r="117" spans="1:11" ht="14.25" customHeight="1">
      <c r="A117" s="14" t="s">
        <v>1077</v>
      </c>
      <c r="B117" s="68"/>
      <c r="C117" s="68"/>
      <c r="D117" s="69">
        <v>44880</v>
      </c>
      <c r="E117" s="68">
        <v>151</v>
      </c>
      <c r="F117" s="58"/>
      <c r="G117" s="58">
        <v>206392</v>
      </c>
      <c r="H117" s="70" t="s">
        <v>1044</v>
      </c>
      <c r="I117" s="7">
        <f t="shared" ca="1" si="0"/>
        <v>0</v>
      </c>
      <c r="J117" s="71"/>
      <c r="K117" s="7"/>
    </row>
    <row r="118" spans="1:11" ht="14.25" customHeight="1">
      <c r="A118" s="14" t="s">
        <v>126</v>
      </c>
      <c r="B118" s="68"/>
      <c r="C118" s="68"/>
      <c r="D118" s="69">
        <v>44886</v>
      </c>
      <c r="E118" s="68">
        <v>155</v>
      </c>
      <c r="F118" s="58"/>
      <c r="G118" s="58">
        <v>22580</v>
      </c>
      <c r="H118" s="70" t="s">
        <v>1044</v>
      </c>
      <c r="I118" s="7">
        <f t="shared" ca="1" si="0"/>
        <v>0</v>
      </c>
      <c r="J118" s="71"/>
      <c r="K118" s="7"/>
    </row>
    <row r="119" spans="1:11" ht="14.25" customHeight="1">
      <c r="A119" s="14" t="s">
        <v>1053</v>
      </c>
      <c r="B119" s="68" t="s">
        <v>1043</v>
      </c>
      <c r="C119" s="68">
        <v>3</v>
      </c>
      <c r="D119" s="69">
        <v>44887</v>
      </c>
      <c r="E119" s="68">
        <v>153</v>
      </c>
      <c r="F119" s="58"/>
      <c r="G119" s="58">
        <v>309588</v>
      </c>
      <c r="H119" s="70" t="s">
        <v>1044</v>
      </c>
      <c r="I119" s="7">
        <f t="shared" ca="1" si="0"/>
        <v>0</v>
      </c>
      <c r="J119" s="71"/>
      <c r="K119" s="7"/>
    </row>
    <row r="120" spans="1:11" ht="14.25" customHeight="1">
      <c r="A120" s="14" t="s">
        <v>1070</v>
      </c>
      <c r="B120" s="68" t="s">
        <v>1043</v>
      </c>
      <c r="C120" s="68">
        <v>3</v>
      </c>
      <c r="D120" s="69">
        <v>44887</v>
      </c>
      <c r="E120" s="68">
        <v>154</v>
      </c>
      <c r="F120" s="58"/>
      <c r="G120" s="58">
        <v>309588</v>
      </c>
      <c r="H120" s="70" t="s">
        <v>1044</v>
      </c>
      <c r="I120" s="7">
        <f t="shared" ca="1" si="0"/>
        <v>0</v>
      </c>
      <c r="J120" s="71"/>
      <c r="K120" s="7"/>
    </row>
    <row r="121" spans="1:11" ht="14.25" customHeight="1">
      <c r="A121" s="14" t="s">
        <v>1088</v>
      </c>
      <c r="B121" s="68">
        <v>7</v>
      </c>
      <c r="C121" s="68">
        <v>1</v>
      </c>
      <c r="D121" s="69">
        <v>44889</v>
      </c>
      <c r="E121" s="68">
        <v>155</v>
      </c>
      <c r="F121" s="58"/>
      <c r="G121" s="58">
        <v>189413</v>
      </c>
      <c r="H121" s="70" t="s">
        <v>1044</v>
      </c>
      <c r="I121" s="7">
        <f t="shared" ca="1" si="0"/>
        <v>0</v>
      </c>
      <c r="J121" s="71"/>
      <c r="K121" s="7"/>
    </row>
    <row r="122" spans="1:11" ht="14.25" customHeight="1">
      <c r="A122" s="14" t="s">
        <v>1088</v>
      </c>
      <c r="B122" s="68"/>
      <c r="C122" s="68"/>
      <c r="D122" s="69">
        <v>44889</v>
      </c>
      <c r="E122" s="68">
        <v>156</v>
      </c>
      <c r="F122" s="58"/>
      <c r="G122" s="58">
        <v>103196</v>
      </c>
      <c r="H122" s="70" t="s">
        <v>1044</v>
      </c>
      <c r="I122" s="7">
        <f t="shared" ca="1" si="0"/>
        <v>0</v>
      </c>
      <c r="J122" s="71"/>
      <c r="K122" s="7"/>
    </row>
    <row r="123" spans="1:11" ht="14.25" customHeight="1">
      <c r="A123" s="14" t="s">
        <v>143</v>
      </c>
      <c r="B123" s="68">
        <v>3</v>
      </c>
      <c r="C123" s="68"/>
      <c r="D123" s="69">
        <v>44894</v>
      </c>
      <c r="E123" s="68">
        <v>158</v>
      </c>
      <c r="F123" s="58"/>
      <c r="G123" s="58">
        <v>81746</v>
      </c>
      <c r="H123" s="70" t="s">
        <v>1044</v>
      </c>
      <c r="I123" s="7">
        <f t="shared" ca="1" si="0"/>
        <v>0</v>
      </c>
      <c r="J123" s="71"/>
      <c r="K123" s="7"/>
    </row>
    <row r="124" spans="1:11" ht="14.25" customHeight="1">
      <c r="A124" s="14" t="s">
        <v>251</v>
      </c>
      <c r="B124" s="68">
        <v>12</v>
      </c>
      <c r="C124" s="68"/>
      <c r="D124" s="69">
        <v>44894</v>
      </c>
      <c r="E124" s="68">
        <v>159</v>
      </c>
      <c r="F124" s="58"/>
      <c r="G124" s="58">
        <v>320849</v>
      </c>
      <c r="H124" s="70" t="s">
        <v>1044</v>
      </c>
      <c r="I124" s="7">
        <f t="shared" ca="1" si="0"/>
        <v>0</v>
      </c>
      <c r="J124" s="71"/>
      <c r="K124" s="7"/>
    </row>
    <row r="125" spans="1:11" ht="14.25" customHeight="1">
      <c r="A125" s="14" t="s">
        <v>256</v>
      </c>
      <c r="B125" s="68">
        <v>5</v>
      </c>
      <c r="C125" s="68"/>
      <c r="D125" s="69">
        <v>44894</v>
      </c>
      <c r="E125" s="68">
        <v>160</v>
      </c>
      <c r="F125" s="58"/>
      <c r="G125" s="58">
        <v>138188</v>
      </c>
      <c r="H125" s="70" t="s">
        <v>0</v>
      </c>
      <c r="I125" s="7">
        <f t="shared" ca="1" si="0"/>
        <v>905</v>
      </c>
      <c r="J125" s="71"/>
      <c r="K125" s="7" t="s">
        <v>1091</v>
      </c>
    </row>
    <row r="126" spans="1:11" ht="14.25" customHeight="1">
      <c r="A126" s="14" t="s">
        <v>245</v>
      </c>
      <c r="B126" s="68">
        <v>4</v>
      </c>
      <c r="C126" s="68"/>
      <c r="D126" s="69">
        <v>44900</v>
      </c>
      <c r="E126" s="68">
        <v>161</v>
      </c>
      <c r="F126" s="58"/>
      <c r="G126" s="58">
        <v>107665</v>
      </c>
      <c r="H126" s="70" t="s">
        <v>1044</v>
      </c>
      <c r="I126" s="7">
        <f t="shared" ca="1" si="0"/>
        <v>0</v>
      </c>
      <c r="J126" s="71"/>
      <c r="K126" s="7"/>
    </row>
    <row r="127" spans="1:11" ht="14.25" customHeight="1">
      <c r="A127" s="14" t="s">
        <v>126</v>
      </c>
      <c r="B127" s="68"/>
      <c r="C127" s="68"/>
      <c r="D127" s="69">
        <v>44908</v>
      </c>
      <c r="E127" s="68">
        <v>164</v>
      </c>
      <c r="F127" s="58"/>
      <c r="G127" s="58">
        <v>85430</v>
      </c>
      <c r="H127" s="70" t="s">
        <v>1044</v>
      </c>
      <c r="I127" s="7">
        <f t="shared" ca="1" si="0"/>
        <v>0</v>
      </c>
      <c r="J127" s="71"/>
      <c r="K127" s="7"/>
    </row>
    <row r="128" spans="1:11" ht="14.25" customHeight="1">
      <c r="A128" s="14" t="s">
        <v>1077</v>
      </c>
      <c r="B128" s="68"/>
      <c r="C128" s="68"/>
      <c r="D128" s="69">
        <v>44908</v>
      </c>
      <c r="E128" s="68">
        <v>165</v>
      </c>
      <c r="F128" s="58"/>
      <c r="G128" s="58">
        <v>373724</v>
      </c>
      <c r="H128" s="70" t="s">
        <v>1044</v>
      </c>
      <c r="I128" s="7">
        <f t="shared" ca="1" si="0"/>
        <v>0</v>
      </c>
      <c r="J128" s="71"/>
      <c r="K128" s="7"/>
    </row>
    <row r="129" spans="1:11" ht="14.25" customHeight="1">
      <c r="A129" s="14" t="s">
        <v>126</v>
      </c>
      <c r="B129" s="68"/>
      <c r="C129" s="68"/>
      <c r="D129" s="69">
        <v>44910</v>
      </c>
      <c r="E129" s="68">
        <v>170</v>
      </c>
      <c r="F129" s="58"/>
      <c r="G129" s="58">
        <v>156471</v>
      </c>
      <c r="H129" s="70" t="s">
        <v>1044</v>
      </c>
      <c r="I129" s="7">
        <f t="shared" ca="1" si="0"/>
        <v>0</v>
      </c>
      <c r="J129" s="71"/>
      <c r="K129" s="7"/>
    </row>
    <row r="130" spans="1:11" ht="14.25" customHeight="1">
      <c r="A130" s="14" t="s">
        <v>1092</v>
      </c>
      <c r="B130" s="68"/>
      <c r="C130" s="68"/>
      <c r="D130" s="69">
        <v>44909</v>
      </c>
      <c r="E130" s="68">
        <v>167</v>
      </c>
      <c r="F130" s="58"/>
      <c r="G130" s="58">
        <v>115952</v>
      </c>
      <c r="H130" s="70" t="s">
        <v>1044</v>
      </c>
      <c r="I130" s="7">
        <f t="shared" ca="1" si="0"/>
        <v>0</v>
      </c>
      <c r="J130" s="71"/>
      <c r="K130" s="7"/>
    </row>
    <row r="131" spans="1:11" ht="14.25" customHeight="1">
      <c r="A131" s="14" t="s">
        <v>1093</v>
      </c>
      <c r="B131" s="68"/>
      <c r="C131" s="68"/>
      <c r="D131" s="69">
        <v>44909</v>
      </c>
      <c r="E131" s="73">
        <v>162</v>
      </c>
      <c r="F131" s="58"/>
      <c r="G131" s="58">
        <v>206392</v>
      </c>
      <c r="H131" s="70" t="s">
        <v>1044</v>
      </c>
      <c r="I131" s="7">
        <f t="shared" ca="1" si="0"/>
        <v>0</v>
      </c>
      <c r="J131" s="71"/>
      <c r="K131" s="7"/>
    </row>
    <row r="132" spans="1:11" ht="14.25" customHeight="1">
      <c r="A132" s="14" t="s">
        <v>300</v>
      </c>
      <c r="B132" s="68"/>
      <c r="C132" s="68"/>
      <c r="D132" s="69">
        <v>44909</v>
      </c>
      <c r="E132" s="68">
        <v>166</v>
      </c>
      <c r="F132" s="58"/>
      <c r="G132" s="58">
        <v>112883</v>
      </c>
      <c r="H132" s="70" t="s">
        <v>1044</v>
      </c>
      <c r="I132" s="7">
        <f t="shared" ca="1" si="0"/>
        <v>0</v>
      </c>
      <c r="J132" s="71"/>
      <c r="K132" s="7"/>
    </row>
    <row r="133" spans="1:11" ht="14.25" customHeight="1">
      <c r="A133" s="68" t="s">
        <v>226</v>
      </c>
      <c r="B133" s="68"/>
      <c r="C133" s="68"/>
      <c r="D133" s="69">
        <v>44909</v>
      </c>
      <c r="E133" s="68">
        <v>163</v>
      </c>
      <c r="F133" s="58"/>
      <c r="G133" s="58">
        <v>320849</v>
      </c>
      <c r="H133" s="70" t="s">
        <v>1044</v>
      </c>
      <c r="I133" s="7">
        <f t="shared" ca="1" si="0"/>
        <v>0</v>
      </c>
      <c r="J133" s="71"/>
      <c r="K133" s="7"/>
    </row>
    <row r="134" spans="1:11" ht="14.25" customHeight="1">
      <c r="A134" s="14" t="s">
        <v>1094</v>
      </c>
      <c r="B134" s="68"/>
      <c r="C134" s="68"/>
      <c r="D134" s="69">
        <v>44908</v>
      </c>
      <c r="E134" s="68">
        <v>169</v>
      </c>
      <c r="F134" s="58"/>
      <c r="G134" s="58">
        <v>106957</v>
      </c>
      <c r="H134" s="70" t="s">
        <v>1044</v>
      </c>
      <c r="I134" s="7">
        <f t="shared" ca="1" si="0"/>
        <v>0</v>
      </c>
      <c r="J134" s="71"/>
      <c r="K134" s="7"/>
    </row>
    <row r="135" spans="1:11" ht="14.25" customHeight="1">
      <c r="A135" s="14" t="s">
        <v>1077</v>
      </c>
      <c r="B135" s="68"/>
      <c r="C135" s="68"/>
      <c r="D135" s="69">
        <v>44915</v>
      </c>
      <c r="E135" s="68">
        <v>181</v>
      </c>
      <c r="F135" s="58"/>
      <c r="G135" s="58">
        <v>186862</v>
      </c>
      <c r="H135" s="70" t="s">
        <v>1044</v>
      </c>
      <c r="I135" s="7">
        <f t="shared" ca="1" si="0"/>
        <v>0</v>
      </c>
      <c r="J135" s="71"/>
      <c r="K135" s="7"/>
    </row>
    <row r="136" spans="1:11" ht="14.25" customHeight="1">
      <c r="A136" s="14" t="s">
        <v>1079</v>
      </c>
      <c r="B136" s="68"/>
      <c r="C136" s="68"/>
      <c r="D136" s="69">
        <v>44883</v>
      </c>
      <c r="E136" s="68">
        <v>152</v>
      </c>
      <c r="F136" s="58"/>
      <c r="G136" s="58">
        <v>186862</v>
      </c>
      <c r="H136" s="70" t="s">
        <v>1044</v>
      </c>
      <c r="I136" s="7">
        <f t="shared" ca="1" si="0"/>
        <v>0</v>
      </c>
      <c r="J136" s="71"/>
      <c r="K136" s="7"/>
    </row>
    <row r="137" spans="1:11" ht="14.25" customHeight="1">
      <c r="A137" s="14" t="s">
        <v>1079</v>
      </c>
      <c r="B137" s="68"/>
      <c r="C137" s="68"/>
      <c r="D137" s="69">
        <v>44914</v>
      </c>
      <c r="E137" s="68">
        <v>174</v>
      </c>
      <c r="F137" s="58"/>
      <c r="G137" s="58">
        <v>83666</v>
      </c>
      <c r="H137" s="70" t="s">
        <v>1044</v>
      </c>
      <c r="I137" s="7">
        <f t="shared" ca="1" si="0"/>
        <v>0</v>
      </c>
      <c r="J137" s="71"/>
      <c r="K137" s="7"/>
    </row>
    <row r="138" spans="1:11" ht="14.25" customHeight="1">
      <c r="A138" s="14" t="s">
        <v>323</v>
      </c>
      <c r="B138" s="68"/>
      <c r="C138" s="68"/>
      <c r="D138" s="69">
        <v>44915</v>
      </c>
      <c r="E138" s="68">
        <v>179</v>
      </c>
      <c r="F138" s="58"/>
      <c r="G138" s="58">
        <v>160429</v>
      </c>
      <c r="H138" s="70" t="s">
        <v>1044</v>
      </c>
      <c r="I138" s="7">
        <f t="shared" ca="1" si="0"/>
        <v>0</v>
      </c>
      <c r="J138" s="71"/>
      <c r="K138" s="7"/>
    </row>
    <row r="139" spans="1:11" ht="14.25" customHeight="1">
      <c r="A139" s="14" t="s">
        <v>143</v>
      </c>
      <c r="B139" s="68"/>
      <c r="C139" s="68"/>
      <c r="D139" s="69">
        <v>44916</v>
      </c>
      <c r="E139" s="68">
        <v>177</v>
      </c>
      <c r="F139" s="58"/>
      <c r="G139" s="58">
        <v>51224</v>
      </c>
      <c r="H139" s="70" t="s">
        <v>1044</v>
      </c>
      <c r="I139" s="7">
        <f t="shared" ca="1" si="0"/>
        <v>0</v>
      </c>
      <c r="J139" s="71"/>
      <c r="K139" s="7"/>
    </row>
    <row r="140" spans="1:11" ht="14.25" customHeight="1">
      <c r="A140" s="14" t="s">
        <v>126</v>
      </c>
      <c r="B140" s="68"/>
      <c r="C140" s="68"/>
      <c r="D140" s="69">
        <v>44915</v>
      </c>
      <c r="E140" s="68">
        <v>180</v>
      </c>
      <c r="F140" s="58"/>
      <c r="G140" s="58">
        <v>57976</v>
      </c>
      <c r="H140" s="70" t="s">
        <v>1044</v>
      </c>
      <c r="I140" s="7">
        <f t="shared" ca="1" si="0"/>
        <v>0</v>
      </c>
      <c r="J140" s="71"/>
      <c r="K140" s="7"/>
    </row>
    <row r="141" spans="1:11" ht="14.25" customHeight="1">
      <c r="A141" s="14" t="s">
        <v>1095</v>
      </c>
      <c r="B141" s="68"/>
      <c r="C141" s="68"/>
      <c r="D141" s="69">
        <v>44915</v>
      </c>
      <c r="E141" s="68">
        <v>178</v>
      </c>
      <c r="F141" s="58"/>
      <c r="G141" s="58">
        <v>80212</v>
      </c>
      <c r="H141" s="70" t="s">
        <v>1044</v>
      </c>
      <c r="I141" s="7">
        <f t="shared" ca="1" si="0"/>
        <v>0</v>
      </c>
      <c r="J141" s="71"/>
      <c r="K141" s="7"/>
    </row>
    <row r="142" spans="1:11" ht="14.25" customHeight="1">
      <c r="A142" s="14" t="s">
        <v>283</v>
      </c>
      <c r="B142" s="68"/>
      <c r="C142" s="68"/>
      <c r="D142" s="69">
        <v>44915</v>
      </c>
      <c r="E142" s="68">
        <v>179</v>
      </c>
      <c r="F142" s="58"/>
      <c r="G142" s="58">
        <v>109200</v>
      </c>
      <c r="H142" s="70" t="s">
        <v>1044</v>
      </c>
      <c r="I142" s="7">
        <f t="shared" ca="1" si="0"/>
        <v>0</v>
      </c>
      <c r="J142" s="71"/>
      <c r="K142" s="7"/>
    </row>
    <row r="143" spans="1:11" ht="14.25" customHeight="1">
      <c r="A143" s="14" t="s">
        <v>1096</v>
      </c>
      <c r="B143" s="68"/>
      <c r="C143" s="68"/>
      <c r="D143" s="69">
        <v>44915</v>
      </c>
      <c r="E143" s="68">
        <v>175</v>
      </c>
      <c r="F143" s="58"/>
      <c r="G143" s="58">
        <v>160425</v>
      </c>
      <c r="H143" s="70" t="s">
        <v>1044</v>
      </c>
      <c r="I143" s="7">
        <f t="shared" ca="1" si="0"/>
        <v>0</v>
      </c>
      <c r="J143" s="71"/>
      <c r="K143" s="7"/>
    </row>
    <row r="144" spans="1:11" ht="14.25" customHeight="1">
      <c r="A144" s="14" t="s">
        <v>1097</v>
      </c>
      <c r="B144" s="68"/>
      <c r="C144" s="68"/>
      <c r="D144" s="69">
        <v>44916</v>
      </c>
      <c r="E144" s="68">
        <v>183</v>
      </c>
      <c r="F144" s="58"/>
      <c r="G144" s="58">
        <v>320849</v>
      </c>
      <c r="H144" s="70" t="s">
        <v>1044</v>
      </c>
      <c r="I144" s="7">
        <f t="shared" ca="1" si="0"/>
        <v>0</v>
      </c>
      <c r="J144" s="71"/>
      <c r="K144" s="7"/>
    </row>
    <row r="145" spans="1:11" ht="14.25" customHeight="1">
      <c r="A145" s="14" t="s">
        <v>1098</v>
      </c>
      <c r="B145" s="68"/>
      <c r="C145" s="68"/>
      <c r="D145" s="69">
        <v>44916</v>
      </c>
      <c r="E145" s="68">
        <v>182</v>
      </c>
      <c r="F145" s="58"/>
      <c r="G145" s="58">
        <v>105821</v>
      </c>
      <c r="H145" s="70" t="s">
        <v>1044</v>
      </c>
      <c r="I145" s="7">
        <f t="shared" ca="1" si="0"/>
        <v>0</v>
      </c>
      <c r="J145" s="71"/>
      <c r="K145" s="7"/>
    </row>
    <row r="146" spans="1:11" ht="14.25" customHeight="1">
      <c r="A146" s="14" t="s">
        <v>1099</v>
      </c>
      <c r="B146" s="68"/>
      <c r="C146" s="68"/>
      <c r="D146" s="69">
        <v>44917</v>
      </c>
      <c r="E146" s="73">
        <v>297</v>
      </c>
      <c r="F146" s="58"/>
      <c r="G146" s="58">
        <v>481950</v>
      </c>
      <c r="H146" s="70" t="s">
        <v>1044</v>
      </c>
      <c r="I146" s="7">
        <f t="shared" ca="1" si="0"/>
        <v>0</v>
      </c>
      <c r="J146" s="71"/>
      <c r="K146" s="7"/>
    </row>
    <row r="147" spans="1:11" ht="14.25" customHeight="1">
      <c r="A147" s="14" t="s">
        <v>126</v>
      </c>
      <c r="B147" s="68"/>
      <c r="C147" s="68"/>
      <c r="D147" s="69">
        <v>44921</v>
      </c>
      <c r="E147" s="68">
        <v>186</v>
      </c>
      <c r="F147" s="58"/>
      <c r="G147" s="58">
        <v>259358</v>
      </c>
      <c r="H147" s="70" t="s">
        <v>1044</v>
      </c>
      <c r="I147" s="7">
        <f t="shared" ca="1" si="0"/>
        <v>0</v>
      </c>
      <c r="J147" s="71"/>
      <c r="K147" s="7"/>
    </row>
    <row r="148" spans="1:11" ht="14.25" customHeight="1">
      <c r="A148" s="14" t="s">
        <v>1084</v>
      </c>
      <c r="B148" s="68"/>
      <c r="C148" s="68"/>
      <c r="D148" s="69">
        <v>44917</v>
      </c>
      <c r="E148" s="68">
        <v>185</v>
      </c>
      <c r="F148" s="58"/>
      <c r="G148" s="58">
        <v>28988</v>
      </c>
      <c r="H148" s="70" t="s">
        <v>1044</v>
      </c>
      <c r="I148" s="7">
        <f t="shared" ca="1" si="0"/>
        <v>0</v>
      </c>
      <c r="J148" s="71"/>
      <c r="K148" s="7"/>
    </row>
    <row r="149" spans="1:11" ht="14.25" customHeight="1">
      <c r="A149" s="14" t="s">
        <v>1077</v>
      </c>
      <c r="B149" s="68"/>
      <c r="C149" s="68"/>
      <c r="D149" s="69">
        <v>44564</v>
      </c>
      <c r="E149" s="68">
        <v>192</v>
      </c>
      <c r="F149" s="58"/>
      <c r="G149" s="58">
        <v>103196</v>
      </c>
      <c r="H149" s="70" t="s">
        <v>1044</v>
      </c>
      <c r="I149" s="7">
        <f t="shared" ca="1" si="0"/>
        <v>0</v>
      </c>
      <c r="J149" s="71"/>
      <c r="K149" s="7"/>
    </row>
    <row r="150" spans="1:11" ht="14.25" customHeight="1">
      <c r="A150" s="14" t="s">
        <v>126</v>
      </c>
      <c r="B150" s="68"/>
      <c r="C150" s="68"/>
      <c r="D150" s="69">
        <v>44564</v>
      </c>
      <c r="E150" s="68">
        <v>190</v>
      </c>
      <c r="F150" s="58"/>
      <c r="G150" s="58">
        <v>346154</v>
      </c>
      <c r="H150" s="70" t="s">
        <v>1044</v>
      </c>
      <c r="I150" s="7">
        <f t="shared" ca="1" si="0"/>
        <v>0</v>
      </c>
      <c r="J150" s="71"/>
      <c r="K150" s="7"/>
    </row>
    <row r="151" spans="1:11" ht="14.25" customHeight="1">
      <c r="A151" s="14" t="s">
        <v>1056</v>
      </c>
      <c r="B151" s="68"/>
      <c r="C151" s="68"/>
      <c r="D151" s="69">
        <v>44917</v>
      </c>
      <c r="E151" s="68" t="s">
        <v>1057</v>
      </c>
      <c r="F151" s="58"/>
      <c r="G151" s="58">
        <v>188000</v>
      </c>
      <c r="H151" s="70" t="s">
        <v>1044</v>
      </c>
      <c r="I151" s="7">
        <f t="shared" ca="1" si="0"/>
        <v>0</v>
      </c>
      <c r="J151" s="71"/>
      <c r="K151" s="7"/>
    </row>
    <row r="152" spans="1:11" ht="14.25" customHeight="1">
      <c r="A152" s="14" t="s">
        <v>330</v>
      </c>
      <c r="B152" s="68"/>
      <c r="C152" s="68"/>
      <c r="D152" s="69">
        <v>44922</v>
      </c>
      <c r="E152" s="68" t="s">
        <v>1043</v>
      </c>
      <c r="F152" s="58"/>
      <c r="G152" s="58"/>
      <c r="H152" s="70" t="s">
        <v>1044</v>
      </c>
      <c r="I152" s="7">
        <f t="shared" ca="1" si="0"/>
        <v>0</v>
      </c>
      <c r="J152" s="71"/>
      <c r="K152" s="7"/>
    </row>
    <row r="153" spans="1:11" ht="14.25" customHeight="1">
      <c r="A153" s="14" t="s">
        <v>1067</v>
      </c>
      <c r="B153" s="68"/>
      <c r="C153" s="68"/>
      <c r="D153" s="69">
        <v>44924</v>
      </c>
      <c r="E153" s="68">
        <v>188</v>
      </c>
      <c r="F153" s="58"/>
      <c r="G153" s="58">
        <v>76532</v>
      </c>
      <c r="H153" s="70" t="s">
        <v>1044</v>
      </c>
      <c r="I153" s="7">
        <f t="shared" ca="1" si="0"/>
        <v>0</v>
      </c>
      <c r="J153" s="71"/>
      <c r="K153" s="7"/>
    </row>
    <row r="154" spans="1:11" ht="14.25" customHeight="1">
      <c r="A154" s="14" t="s">
        <v>261</v>
      </c>
      <c r="B154" s="68"/>
      <c r="C154" s="68"/>
      <c r="D154" s="69">
        <v>44929</v>
      </c>
      <c r="E154" s="68">
        <v>189</v>
      </c>
      <c r="F154" s="58"/>
      <c r="G154" s="58">
        <v>160425</v>
      </c>
      <c r="H154" s="70" t="s">
        <v>1100</v>
      </c>
      <c r="I154" s="7">
        <f t="shared" ca="1" si="0"/>
        <v>0</v>
      </c>
      <c r="J154" s="71"/>
      <c r="K154" s="7"/>
    </row>
    <row r="155" spans="1:11" ht="14.25" customHeight="1">
      <c r="A155" s="14" t="s">
        <v>1101</v>
      </c>
      <c r="B155" s="68"/>
      <c r="C155" s="68"/>
      <c r="D155" s="69">
        <v>44924</v>
      </c>
      <c r="E155" s="68" t="s">
        <v>1057</v>
      </c>
      <c r="F155" s="58"/>
      <c r="G155" s="58"/>
      <c r="H155" s="70" t="s">
        <v>1044</v>
      </c>
      <c r="I155" s="7">
        <f t="shared" ca="1" si="0"/>
        <v>0</v>
      </c>
      <c r="J155" s="71"/>
      <c r="K155" s="7"/>
    </row>
    <row r="156" spans="1:11" ht="14.25" customHeight="1">
      <c r="A156" s="14" t="s">
        <v>1078</v>
      </c>
      <c r="B156" s="68"/>
      <c r="C156" s="68"/>
      <c r="D156" s="69">
        <v>44564</v>
      </c>
      <c r="E156" s="68">
        <v>191</v>
      </c>
      <c r="F156" s="58"/>
      <c r="G156" s="58">
        <v>206392</v>
      </c>
      <c r="H156" s="70" t="s">
        <v>1044</v>
      </c>
      <c r="I156" s="7">
        <f t="shared" ca="1" si="0"/>
        <v>0</v>
      </c>
      <c r="J156" s="71"/>
      <c r="K156" s="7"/>
    </row>
    <row r="157" spans="1:11" ht="14.25" customHeight="1">
      <c r="A157" s="14" t="s">
        <v>1056</v>
      </c>
      <c r="B157" s="68"/>
      <c r="C157" s="68"/>
      <c r="D157" s="69">
        <v>44565</v>
      </c>
      <c r="E157" s="68" t="s">
        <v>1057</v>
      </c>
      <c r="F157" s="58"/>
      <c r="G157" s="58">
        <v>188000</v>
      </c>
      <c r="H157" s="70" t="s">
        <v>1044</v>
      </c>
      <c r="I157" s="7">
        <f t="shared" ca="1" si="0"/>
        <v>0</v>
      </c>
      <c r="J157" s="71"/>
      <c r="K157" s="7"/>
    </row>
    <row r="158" spans="1:11" ht="14.25" customHeight="1">
      <c r="A158" s="14" t="s">
        <v>1096</v>
      </c>
      <c r="B158" s="68"/>
      <c r="C158" s="68"/>
      <c r="D158" s="69">
        <v>44915</v>
      </c>
      <c r="E158" s="68">
        <v>175</v>
      </c>
      <c r="F158" s="58"/>
      <c r="G158" s="58">
        <v>160425</v>
      </c>
      <c r="H158" s="70" t="s">
        <v>1044</v>
      </c>
      <c r="I158" s="7">
        <f t="shared" ca="1" si="0"/>
        <v>0</v>
      </c>
      <c r="J158" s="71"/>
      <c r="K158" s="7"/>
    </row>
    <row r="159" spans="1:11" ht="14.25" customHeight="1">
      <c r="A159" s="14" t="s">
        <v>256</v>
      </c>
      <c r="B159" s="68"/>
      <c r="C159" s="68"/>
      <c r="D159" s="69">
        <v>44938</v>
      </c>
      <c r="E159" s="68">
        <v>193</v>
      </c>
      <c r="F159" s="74"/>
      <c r="G159" s="58">
        <v>470247</v>
      </c>
      <c r="H159" s="70" t="s">
        <v>0</v>
      </c>
      <c r="I159" s="7">
        <f t="shared" ca="1" si="0"/>
        <v>861</v>
      </c>
      <c r="J159" s="71"/>
      <c r="K159" s="7"/>
    </row>
    <row r="160" spans="1:11" ht="14.25" customHeight="1">
      <c r="A160" s="14" t="s">
        <v>1102</v>
      </c>
      <c r="B160" s="68"/>
      <c r="C160" s="68"/>
      <c r="D160" s="69">
        <v>44943</v>
      </c>
      <c r="E160" s="68">
        <v>199</v>
      </c>
      <c r="F160" s="58"/>
      <c r="G160" s="58">
        <v>206392</v>
      </c>
      <c r="H160" s="70" t="s">
        <v>1044</v>
      </c>
      <c r="I160" s="7">
        <f t="shared" ca="1" si="0"/>
        <v>0</v>
      </c>
      <c r="J160" s="71"/>
      <c r="K160" s="7"/>
    </row>
    <row r="161" spans="1:11" ht="14.25" customHeight="1">
      <c r="A161" s="14" t="s">
        <v>283</v>
      </c>
      <c r="B161" s="68"/>
      <c r="C161" s="68"/>
      <c r="D161" s="69">
        <v>44943</v>
      </c>
      <c r="E161" s="68">
        <v>194</v>
      </c>
      <c r="F161" s="74"/>
      <c r="G161" s="58">
        <v>110170</v>
      </c>
      <c r="H161" s="70" t="s">
        <v>1044</v>
      </c>
      <c r="I161" s="7">
        <f t="shared" ca="1" si="0"/>
        <v>0</v>
      </c>
      <c r="J161" s="71">
        <v>45238</v>
      </c>
      <c r="K161" s="7"/>
    </row>
    <row r="162" spans="1:11" ht="14.25" customHeight="1">
      <c r="A162" s="14" t="s">
        <v>226</v>
      </c>
      <c r="B162" s="68"/>
      <c r="C162" s="68"/>
      <c r="D162" s="69">
        <v>44942</v>
      </c>
      <c r="E162" s="68">
        <v>196</v>
      </c>
      <c r="F162" s="58"/>
      <c r="G162" s="58">
        <v>320849</v>
      </c>
      <c r="H162" s="70" t="s">
        <v>1100</v>
      </c>
      <c r="I162" s="7">
        <f t="shared" ca="1" si="0"/>
        <v>0</v>
      </c>
      <c r="J162" s="71"/>
      <c r="K162" s="7"/>
    </row>
    <row r="163" spans="1:11" ht="14.25" customHeight="1">
      <c r="A163" s="14" t="s">
        <v>1094</v>
      </c>
      <c r="B163" s="68"/>
      <c r="C163" s="68"/>
      <c r="D163" s="69">
        <v>44942</v>
      </c>
      <c r="E163" s="68">
        <v>195</v>
      </c>
      <c r="F163" s="58"/>
      <c r="G163" s="58">
        <v>76532</v>
      </c>
      <c r="H163" s="70" t="s">
        <v>1044</v>
      </c>
      <c r="I163" s="7">
        <f t="shared" ca="1" si="0"/>
        <v>0</v>
      </c>
      <c r="J163" s="71"/>
      <c r="K163" s="7"/>
    </row>
    <row r="164" spans="1:11" ht="14.25" customHeight="1">
      <c r="A164" s="14" t="s">
        <v>1081</v>
      </c>
      <c r="B164" s="68"/>
      <c r="C164" s="68"/>
      <c r="D164" s="69">
        <v>44942</v>
      </c>
      <c r="E164" s="68">
        <v>197</v>
      </c>
      <c r="F164" s="58"/>
      <c r="G164" s="58">
        <v>265942</v>
      </c>
      <c r="H164" s="70" t="s">
        <v>1044</v>
      </c>
      <c r="I164" s="7">
        <f t="shared" ca="1" si="0"/>
        <v>0</v>
      </c>
      <c r="J164" s="71"/>
      <c r="K164" s="7"/>
    </row>
    <row r="165" spans="1:11" ht="14.25" customHeight="1">
      <c r="A165" s="14" t="s">
        <v>330</v>
      </c>
      <c r="B165" s="68"/>
      <c r="C165" s="68"/>
      <c r="D165" s="69">
        <v>44943</v>
      </c>
      <c r="E165" s="68">
        <v>198</v>
      </c>
      <c r="F165" s="58"/>
      <c r="G165" s="58">
        <v>206392</v>
      </c>
      <c r="H165" s="70" t="s">
        <v>1044</v>
      </c>
      <c r="I165" s="7">
        <f t="shared" ca="1" si="0"/>
        <v>0</v>
      </c>
      <c r="J165" s="71"/>
      <c r="K165" s="7"/>
    </row>
    <row r="166" spans="1:11" ht="14.25" customHeight="1">
      <c r="A166" s="14" t="s">
        <v>1079</v>
      </c>
      <c r="B166" s="68"/>
      <c r="C166" s="68"/>
      <c r="D166" s="69">
        <v>44944</v>
      </c>
      <c r="E166" s="68">
        <v>200</v>
      </c>
      <c r="F166" s="58"/>
      <c r="G166" s="58">
        <v>89246</v>
      </c>
      <c r="H166" s="70" t="s">
        <v>1044</v>
      </c>
      <c r="I166" s="7">
        <f t="shared" ca="1" si="0"/>
        <v>0</v>
      </c>
      <c r="J166" s="71"/>
      <c r="K166" s="7"/>
    </row>
    <row r="167" spans="1:11" ht="14.25" customHeight="1">
      <c r="A167" s="14" t="s">
        <v>336</v>
      </c>
      <c r="B167" s="68"/>
      <c r="C167" s="68"/>
      <c r="D167" s="69">
        <v>44944</v>
      </c>
      <c r="E167" s="68">
        <v>201</v>
      </c>
      <c r="F167" s="58"/>
      <c r="G167" s="58">
        <v>47542</v>
      </c>
      <c r="H167" s="70" t="s">
        <v>1100</v>
      </c>
      <c r="I167" s="7">
        <f t="shared" ca="1" si="0"/>
        <v>0</v>
      </c>
      <c r="J167" s="71"/>
      <c r="K167" s="7"/>
    </row>
    <row r="168" spans="1:11" ht="14.25" customHeight="1">
      <c r="A168" s="14" t="s">
        <v>1058</v>
      </c>
      <c r="B168" s="68"/>
      <c r="C168" s="68"/>
      <c r="D168" s="69">
        <v>44945</v>
      </c>
      <c r="E168" s="68">
        <v>203</v>
      </c>
      <c r="F168" s="58"/>
      <c r="G168" s="58">
        <v>79507</v>
      </c>
      <c r="H168" s="70" t="s">
        <v>1044</v>
      </c>
      <c r="I168" s="7">
        <f t="shared" ca="1" si="0"/>
        <v>0</v>
      </c>
      <c r="J168" s="71"/>
      <c r="K168" s="7"/>
    </row>
    <row r="169" spans="1:11" ht="14.25" customHeight="1">
      <c r="A169" s="14" t="s">
        <v>1062</v>
      </c>
      <c r="B169" s="68"/>
      <c r="C169" s="68"/>
      <c r="D169" s="69">
        <v>44950</v>
      </c>
      <c r="E169" s="68">
        <v>202</v>
      </c>
      <c r="F169" s="58"/>
      <c r="G169" s="58">
        <v>142004</v>
      </c>
      <c r="H169" s="70" t="s">
        <v>1044</v>
      </c>
      <c r="I169" s="7">
        <f t="shared" ca="1" si="0"/>
        <v>0</v>
      </c>
      <c r="J169" s="71"/>
      <c r="K169" s="7"/>
    </row>
    <row r="170" spans="1:11" ht="14.25" customHeight="1">
      <c r="A170" s="14" t="s">
        <v>1103</v>
      </c>
      <c r="B170" s="68"/>
      <c r="C170" s="68"/>
      <c r="D170" s="69">
        <v>44956</v>
      </c>
      <c r="E170" s="68">
        <v>205</v>
      </c>
      <c r="F170" s="58"/>
      <c r="G170" s="58">
        <v>101026</v>
      </c>
      <c r="H170" s="70" t="s">
        <v>1044</v>
      </c>
      <c r="I170" s="7">
        <f t="shared" ca="1" si="0"/>
        <v>0</v>
      </c>
      <c r="J170" s="71"/>
      <c r="K170" s="7"/>
    </row>
    <row r="171" spans="1:11" ht="14.25" customHeight="1">
      <c r="A171" s="14" t="s">
        <v>126</v>
      </c>
      <c r="B171" s="68"/>
      <c r="C171" s="68"/>
      <c r="D171" s="69">
        <v>44956</v>
      </c>
      <c r="E171" s="68">
        <v>208</v>
      </c>
      <c r="F171" s="58"/>
      <c r="G171" s="58">
        <v>144488</v>
      </c>
      <c r="H171" s="70" t="s">
        <v>1044</v>
      </c>
      <c r="I171" s="7">
        <f t="shared" ca="1" si="0"/>
        <v>0</v>
      </c>
      <c r="J171" s="71"/>
      <c r="K171" s="7"/>
    </row>
    <row r="172" spans="1:11" ht="14.25" customHeight="1">
      <c r="A172" s="14" t="s">
        <v>126</v>
      </c>
      <c r="B172" s="68"/>
      <c r="C172" s="68"/>
      <c r="D172" s="69">
        <v>44956</v>
      </c>
      <c r="E172" s="68">
        <v>209</v>
      </c>
      <c r="F172" s="58"/>
      <c r="G172" s="58">
        <v>113249</v>
      </c>
      <c r="H172" s="70" t="s">
        <v>1044</v>
      </c>
      <c r="I172" s="7">
        <f t="shared" ca="1" si="0"/>
        <v>0</v>
      </c>
      <c r="J172" s="71"/>
      <c r="K172" s="7"/>
    </row>
    <row r="173" spans="1:11" ht="14.25" customHeight="1">
      <c r="A173" s="14" t="s">
        <v>348</v>
      </c>
      <c r="B173" s="68"/>
      <c r="C173" s="68"/>
      <c r="D173" s="69">
        <v>44956</v>
      </c>
      <c r="E173" s="68">
        <v>206</v>
      </c>
      <c r="F173" s="58"/>
      <c r="G173" s="58">
        <v>202053</v>
      </c>
      <c r="H173" s="70" t="s">
        <v>1044</v>
      </c>
      <c r="I173" s="7">
        <f t="shared" ca="1" si="0"/>
        <v>0</v>
      </c>
      <c r="J173" s="71"/>
      <c r="K173" s="7"/>
    </row>
    <row r="174" spans="1:11" ht="14.25" customHeight="1">
      <c r="A174" s="14" t="s">
        <v>251</v>
      </c>
      <c r="B174" s="68"/>
      <c r="C174" s="68"/>
      <c r="D174" s="69">
        <v>44956</v>
      </c>
      <c r="E174" s="68">
        <v>207</v>
      </c>
      <c r="F174" s="58"/>
      <c r="G174" s="58">
        <v>172029</v>
      </c>
      <c r="H174" s="70" t="s">
        <v>1044</v>
      </c>
      <c r="I174" s="7">
        <f t="shared" ca="1" si="0"/>
        <v>0</v>
      </c>
      <c r="J174" s="71"/>
      <c r="K174" s="7"/>
    </row>
    <row r="175" spans="1:11" ht="14.25" customHeight="1">
      <c r="A175" s="14" t="s">
        <v>143</v>
      </c>
      <c r="B175" s="68"/>
      <c r="C175" s="68"/>
      <c r="D175" s="69">
        <v>44956</v>
      </c>
      <c r="E175" s="68">
        <v>212</v>
      </c>
      <c r="F175" s="58"/>
      <c r="G175" s="58">
        <v>58254</v>
      </c>
      <c r="H175" s="70" t="s">
        <v>1044</v>
      </c>
      <c r="I175" s="7">
        <f t="shared" ca="1" si="0"/>
        <v>0</v>
      </c>
      <c r="J175" s="71"/>
      <c r="K175" s="7"/>
    </row>
    <row r="176" spans="1:11" ht="14.25" customHeight="1">
      <c r="A176" s="14" t="s">
        <v>354</v>
      </c>
      <c r="B176" s="68"/>
      <c r="C176" s="68"/>
      <c r="D176" s="69">
        <v>44956</v>
      </c>
      <c r="E176" s="68">
        <v>211</v>
      </c>
      <c r="F176" s="58"/>
      <c r="G176" s="58">
        <v>117297</v>
      </c>
      <c r="H176" s="70" t="s">
        <v>1044</v>
      </c>
      <c r="I176" s="7">
        <f t="shared" ca="1" si="0"/>
        <v>0</v>
      </c>
      <c r="J176" s="71"/>
      <c r="K176" s="7"/>
    </row>
    <row r="177" spans="1:11" ht="14.25" customHeight="1">
      <c r="A177" s="14" t="s">
        <v>245</v>
      </c>
      <c r="B177" s="68"/>
      <c r="C177" s="68"/>
      <c r="D177" s="69">
        <v>44957</v>
      </c>
      <c r="E177" s="68">
        <v>213</v>
      </c>
      <c r="F177" s="58"/>
      <c r="G177" s="58">
        <v>143336</v>
      </c>
      <c r="H177" s="70" t="s">
        <v>1044</v>
      </c>
      <c r="I177" s="7">
        <f t="shared" ca="1" si="0"/>
        <v>0</v>
      </c>
      <c r="J177" s="71"/>
      <c r="K177" s="7"/>
    </row>
    <row r="178" spans="1:11" ht="14.25" customHeight="1">
      <c r="A178" s="14" t="s">
        <v>256</v>
      </c>
      <c r="B178" s="68"/>
      <c r="C178" s="68"/>
      <c r="D178" s="69">
        <v>44958</v>
      </c>
      <c r="E178" s="68" t="s">
        <v>1104</v>
      </c>
      <c r="F178" s="58"/>
      <c r="G178" s="58">
        <f>206113+22044</f>
        <v>228157</v>
      </c>
      <c r="H178" s="70" t="s">
        <v>1044</v>
      </c>
      <c r="I178" s="7">
        <f t="shared" ca="1" si="0"/>
        <v>0</v>
      </c>
      <c r="J178" s="71"/>
      <c r="K178" s="7"/>
    </row>
    <row r="179" spans="1:11" ht="14.25" customHeight="1">
      <c r="A179" s="14" t="s">
        <v>1079</v>
      </c>
      <c r="B179" s="68"/>
      <c r="C179" s="68"/>
      <c r="D179" s="69">
        <v>44958</v>
      </c>
      <c r="E179" s="68">
        <v>214</v>
      </c>
      <c r="F179" s="58"/>
      <c r="G179" s="58">
        <v>89246</v>
      </c>
      <c r="H179" s="70" t="s">
        <v>1044</v>
      </c>
      <c r="I179" s="7">
        <f t="shared" ca="1" si="0"/>
        <v>0</v>
      </c>
      <c r="J179" s="71"/>
      <c r="K179" s="7"/>
    </row>
    <row r="180" spans="1:11" ht="14.25" customHeight="1">
      <c r="A180" s="14" t="s">
        <v>360</v>
      </c>
      <c r="B180" s="68"/>
      <c r="C180" s="68"/>
      <c r="D180" s="69">
        <v>44958</v>
      </c>
      <c r="E180" s="68">
        <v>216</v>
      </c>
      <c r="F180" s="58"/>
      <c r="G180" s="58">
        <v>202053</v>
      </c>
      <c r="H180" s="70" t="s">
        <v>1044</v>
      </c>
      <c r="I180" s="7">
        <f t="shared" ca="1" si="0"/>
        <v>0</v>
      </c>
      <c r="J180" s="71"/>
      <c r="K180" s="7"/>
    </row>
    <row r="181" spans="1:11" ht="14.25" customHeight="1">
      <c r="A181" s="14" t="s">
        <v>1105</v>
      </c>
      <c r="B181" s="68"/>
      <c r="C181" s="68"/>
      <c r="D181" s="69">
        <v>44958</v>
      </c>
      <c r="E181" s="68">
        <v>215</v>
      </c>
      <c r="F181" s="58"/>
      <c r="G181" s="58">
        <v>109190</v>
      </c>
      <c r="H181" s="70" t="s">
        <v>1100</v>
      </c>
      <c r="I181" s="7">
        <f t="shared" ca="1" si="0"/>
        <v>0</v>
      </c>
      <c r="J181" s="71">
        <v>45308</v>
      </c>
      <c r="K181" s="7"/>
    </row>
    <row r="182" spans="1:11" ht="14.25" customHeight="1">
      <c r="A182" s="14" t="s">
        <v>1077</v>
      </c>
      <c r="B182" s="68"/>
      <c r="C182" s="68"/>
      <c r="D182" s="69">
        <v>44964</v>
      </c>
      <c r="E182" s="68">
        <v>227</v>
      </c>
      <c r="F182" s="58"/>
      <c r="G182" s="58">
        <v>220342</v>
      </c>
      <c r="H182" s="70" t="s">
        <v>1044</v>
      </c>
      <c r="I182" s="7">
        <f t="shared" ca="1" si="0"/>
        <v>0</v>
      </c>
      <c r="J182" s="71"/>
      <c r="K182" s="7"/>
    </row>
    <row r="183" spans="1:11" ht="14.25" customHeight="1">
      <c r="A183" s="14" t="s">
        <v>1106</v>
      </c>
      <c r="B183" s="68"/>
      <c r="C183" s="68"/>
      <c r="D183" s="69">
        <v>45022</v>
      </c>
      <c r="E183" s="68" t="s">
        <v>1057</v>
      </c>
      <c r="F183" s="58"/>
      <c r="G183" s="58">
        <v>79611</v>
      </c>
      <c r="H183" s="70" t="s">
        <v>1100</v>
      </c>
      <c r="I183" s="7">
        <f t="shared" ca="1" si="0"/>
        <v>0</v>
      </c>
      <c r="J183" s="71"/>
      <c r="K183" s="7"/>
    </row>
    <row r="184" spans="1:11" ht="14.25" customHeight="1">
      <c r="A184" s="68" t="s">
        <v>226</v>
      </c>
      <c r="B184" s="68"/>
      <c r="C184" s="68"/>
      <c r="D184" s="69">
        <v>44964</v>
      </c>
      <c r="E184" s="68">
        <v>220</v>
      </c>
      <c r="F184" s="58"/>
      <c r="G184" s="58">
        <v>404106</v>
      </c>
      <c r="H184" s="70" t="s">
        <v>1044</v>
      </c>
      <c r="I184" s="7">
        <f t="shared" ca="1" si="0"/>
        <v>0</v>
      </c>
      <c r="J184" s="71"/>
      <c r="K184" s="7"/>
    </row>
    <row r="185" spans="1:11" ht="14.25" customHeight="1">
      <c r="A185" s="14" t="s">
        <v>1107</v>
      </c>
      <c r="B185" s="68"/>
      <c r="C185" s="68"/>
      <c r="D185" s="69">
        <v>44964</v>
      </c>
      <c r="E185" s="68">
        <v>222</v>
      </c>
      <c r="F185" s="58"/>
      <c r="G185" s="58">
        <v>202053</v>
      </c>
      <c r="H185" s="70" t="s">
        <v>1044</v>
      </c>
      <c r="I185" s="7">
        <f t="shared" ca="1" si="0"/>
        <v>0</v>
      </c>
      <c r="J185" s="71"/>
      <c r="K185" s="7"/>
    </row>
    <row r="186" spans="1:11" ht="14.25" customHeight="1">
      <c r="A186" s="14" t="s">
        <v>126</v>
      </c>
      <c r="B186" s="68"/>
      <c r="C186" s="68"/>
      <c r="D186" s="69">
        <v>44964</v>
      </c>
      <c r="E186" s="68">
        <v>226</v>
      </c>
      <c r="F186" s="58"/>
      <c r="G186" s="58">
        <v>111184</v>
      </c>
      <c r="H186" s="70" t="s">
        <v>1044</v>
      </c>
      <c r="I186" s="7">
        <f t="shared" ca="1" si="0"/>
        <v>0</v>
      </c>
      <c r="J186" s="71"/>
      <c r="K186" s="7"/>
    </row>
    <row r="187" spans="1:11" ht="14.25" customHeight="1">
      <c r="A187" s="14" t="s">
        <v>256</v>
      </c>
      <c r="B187" s="68"/>
      <c r="C187" s="68"/>
      <c r="D187" s="69">
        <v>44964</v>
      </c>
      <c r="E187" s="68">
        <v>224</v>
      </c>
      <c r="F187" s="58"/>
      <c r="G187" s="58">
        <v>211972</v>
      </c>
      <c r="H187" s="70" t="s">
        <v>0</v>
      </c>
      <c r="I187" s="7">
        <f t="shared" ca="1" si="0"/>
        <v>835</v>
      </c>
      <c r="J187" s="71"/>
      <c r="K187" s="7"/>
    </row>
    <row r="188" spans="1:11" ht="14.25" customHeight="1">
      <c r="A188" s="14" t="s">
        <v>1043</v>
      </c>
      <c r="B188" s="68"/>
      <c r="C188" s="68"/>
      <c r="D188" s="69">
        <v>44964</v>
      </c>
      <c r="E188" s="68">
        <v>221</v>
      </c>
      <c r="F188" s="58"/>
      <c r="G188" s="58">
        <v>111133</v>
      </c>
      <c r="H188" s="70" t="s">
        <v>1044</v>
      </c>
      <c r="I188" s="7">
        <f t="shared" ca="1" si="0"/>
        <v>0</v>
      </c>
      <c r="J188" s="71"/>
      <c r="K188" s="7"/>
    </row>
    <row r="189" spans="1:11" ht="14.25" customHeight="1">
      <c r="A189" s="14" t="s">
        <v>1108</v>
      </c>
      <c r="B189" s="68"/>
      <c r="C189" s="68"/>
      <c r="D189" s="69">
        <v>44964</v>
      </c>
      <c r="E189" s="68">
        <v>219</v>
      </c>
      <c r="F189" s="58"/>
      <c r="G189" s="58">
        <v>202053</v>
      </c>
      <c r="H189" s="70" t="s">
        <v>1044</v>
      </c>
      <c r="I189" s="7">
        <f t="shared" ca="1" si="0"/>
        <v>0</v>
      </c>
      <c r="J189" s="71"/>
      <c r="K189" s="7"/>
    </row>
    <row r="190" spans="1:11" ht="14.25" customHeight="1">
      <c r="A190" s="14" t="s">
        <v>1062</v>
      </c>
      <c r="B190" s="68"/>
      <c r="C190" s="68"/>
      <c r="D190" s="69">
        <v>44964</v>
      </c>
      <c r="E190" s="68">
        <v>223</v>
      </c>
      <c r="F190" s="58"/>
      <c r="G190" s="58">
        <v>58654</v>
      </c>
      <c r="H190" s="70" t="s">
        <v>1044</v>
      </c>
      <c r="I190" s="7">
        <f t="shared" ca="1" si="0"/>
        <v>0</v>
      </c>
      <c r="J190" s="71"/>
      <c r="K190" s="7"/>
    </row>
    <row r="191" spans="1:11" ht="14.25" customHeight="1">
      <c r="A191" s="14" t="s">
        <v>1049</v>
      </c>
      <c r="B191" s="68"/>
      <c r="C191" s="68"/>
      <c r="D191" s="69">
        <v>44970</v>
      </c>
      <c r="E191" s="68">
        <v>231</v>
      </c>
      <c r="F191" s="58"/>
      <c r="G191" s="58">
        <v>114664</v>
      </c>
      <c r="H191" s="70" t="s">
        <v>1044</v>
      </c>
      <c r="I191" s="7">
        <f t="shared" ca="1" si="0"/>
        <v>0</v>
      </c>
      <c r="J191" s="71"/>
      <c r="K191" s="7"/>
    </row>
    <row r="192" spans="1:11" ht="14.25" customHeight="1">
      <c r="A192" s="14" t="s">
        <v>1109</v>
      </c>
      <c r="B192" s="68"/>
      <c r="C192" s="68"/>
      <c r="D192" s="69">
        <v>44970</v>
      </c>
      <c r="E192" s="68">
        <v>232</v>
      </c>
      <c r="F192" s="58"/>
      <c r="G192" s="58">
        <v>51930</v>
      </c>
      <c r="H192" s="70" t="s">
        <v>1044</v>
      </c>
      <c r="I192" s="7">
        <f t="shared" ca="1" si="0"/>
        <v>0</v>
      </c>
      <c r="J192" s="71"/>
      <c r="K192" s="7"/>
    </row>
    <row r="193" spans="1:25" ht="14.25" customHeight="1">
      <c r="A193" s="14" t="s">
        <v>1079</v>
      </c>
      <c r="B193" s="14"/>
      <c r="C193" s="14"/>
      <c r="D193" s="69">
        <v>44970</v>
      </c>
      <c r="E193" s="14">
        <v>233</v>
      </c>
      <c r="F193" s="58"/>
      <c r="G193" s="58">
        <v>89246</v>
      </c>
      <c r="H193" s="70" t="s">
        <v>1044</v>
      </c>
      <c r="I193" s="7">
        <f t="shared" ca="1" si="0"/>
        <v>0</v>
      </c>
      <c r="J193" s="71"/>
      <c r="K193" s="7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4.25" customHeight="1">
      <c r="A194" s="14" t="s">
        <v>1110</v>
      </c>
      <c r="B194" s="68"/>
      <c r="C194" s="68"/>
      <c r="D194" s="69">
        <v>44970</v>
      </c>
      <c r="E194" s="68">
        <v>234</v>
      </c>
      <c r="F194" s="58"/>
      <c r="G194" s="58">
        <v>202053</v>
      </c>
      <c r="H194" s="70" t="s">
        <v>1044</v>
      </c>
      <c r="I194" s="7">
        <f t="shared" ca="1" si="0"/>
        <v>0</v>
      </c>
      <c r="J194" s="71"/>
      <c r="K194" s="7"/>
    </row>
    <row r="195" spans="1:25" ht="14.25" customHeight="1">
      <c r="A195" s="14" t="s">
        <v>1081</v>
      </c>
      <c r="B195" s="68"/>
      <c r="C195" s="68"/>
      <c r="D195" s="69">
        <v>44971</v>
      </c>
      <c r="E195" s="68">
        <v>235</v>
      </c>
      <c r="F195" s="58"/>
      <c r="G195" s="58">
        <v>27234</v>
      </c>
      <c r="H195" s="70" t="s">
        <v>1044</v>
      </c>
      <c r="I195" s="7">
        <f t="shared" ca="1" si="0"/>
        <v>0</v>
      </c>
      <c r="J195" s="71"/>
      <c r="K195" s="7"/>
    </row>
    <row r="196" spans="1:25" ht="14.25" customHeight="1">
      <c r="A196" s="14" t="s">
        <v>1111</v>
      </c>
      <c r="B196" s="68"/>
      <c r="C196" s="68"/>
      <c r="D196" s="69">
        <v>44973</v>
      </c>
      <c r="E196" s="68">
        <v>236</v>
      </c>
      <c r="F196" s="58"/>
      <c r="G196" s="58">
        <v>118703</v>
      </c>
      <c r="H196" s="70" t="s">
        <v>1044</v>
      </c>
      <c r="I196" s="7">
        <f t="shared" ca="1" si="0"/>
        <v>0</v>
      </c>
      <c r="J196" s="71"/>
      <c r="K196" s="7"/>
    </row>
    <row r="197" spans="1:25" ht="14.25" customHeight="1">
      <c r="A197" s="14" t="s">
        <v>1112</v>
      </c>
      <c r="B197" s="14"/>
      <c r="C197" s="14"/>
      <c r="D197" s="69">
        <v>44973</v>
      </c>
      <c r="E197" s="14">
        <v>237</v>
      </c>
      <c r="F197" s="58"/>
      <c r="G197" s="58">
        <v>178492</v>
      </c>
      <c r="H197" s="70" t="s">
        <v>1044</v>
      </c>
      <c r="I197" s="7">
        <f t="shared" ca="1" si="0"/>
        <v>0</v>
      </c>
      <c r="J197" s="71"/>
      <c r="K197" s="7"/>
    </row>
    <row r="198" spans="1:25" ht="14.25" customHeight="1">
      <c r="A198" s="14" t="s">
        <v>1082</v>
      </c>
      <c r="B198" s="68"/>
      <c r="C198" s="68"/>
      <c r="D198" s="69">
        <v>44973</v>
      </c>
      <c r="E198" s="68">
        <v>238</v>
      </c>
      <c r="F198" s="58"/>
      <c r="G198" s="58">
        <v>220342</v>
      </c>
      <c r="H198" s="70" t="s">
        <v>0</v>
      </c>
      <c r="I198" s="7">
        <f t="shared" ca="1" si="0"/>
        <v>826</v>
      </c>
      <c r="J198" s="71"/>
      <c r="K198" s="7"/>
    </row>
    <row r="199" spans="1:25" ht="14.25" customHeight="1">
      <c r="A199" s="14" t="s">
        <v>1082</v>
      </c>
      <c r="B199" s="68"/>
      <c r="C199" s="68"/>
      <c r="D199" s="69">
        <v>44973</v>
      </c>
      <c r="E199" s="68">
        <v>239</v>
      </c>
      <c r="F199" s="58"/>
      <c r="G199" s="58">
        <v>504357</v>
      </c>
      <c r="H199" s="70" t="s">
        <v>0</v>
      </c>
      <c r="I199" s="7">
        <f t="shared" ca="1" si="0"/>
        <v>826</v>
      </c>
      <c r="J199" s="71"/>
      <c r="K199" s="7"/>
    </row>
    <row r="200" spans="1:25" ht="14.25" customHeight="1">
      <c r="A200" s="14" t="s">
        <v>150</v>
      </c>
      <c r="B200" s="68"/>
      <c r="C200" s="68"/>
      <c r="D200" s="69">
        <v>44973</v>
      </c>
      <c r="E200" s="68">
        <v>240</v>
      </c>
      <c r="F200" s="58"/>
      <c r="G200" s="58">
        <v>182938</v>
      </c>
      <c r="H200" s="70" t="s">
        <v>1044</v>
      </c>
      <c r="I200" s="7">
        <f t="shared" ca="1" si="0"/>
        <v>0</v>
      </c>
      <c r="J200" s="71"/>
      <c r="K200" s="7"/>
    </row>
    <row r="201" spans="1:25" ht="14.25" customHeight="1">
      <c r="A201" s="14" t="s">
        <v>330</v>
      </c>
      <c r="B201" s="68"/>
      <c r="C201" s="68"/>
      <c r="D201" s="69">
        <v>44984</v>
      </c>
      <c r="E201" s="68">
        <v>241</v>
      </c>
      <c r="F201" s="58"/>
      <c r="G201" s="58">
        <v>330513</v>
      </c>
      <c r="H201" s="70" t="s">
        <v>1044</v>
      </c>
      <c r="I201" s="7">
        <f t="shared" ca="1" si="0"/>
        <v>0</v>
      </c>
      <c r="J201" s="71"/>
      <c r="K201" s="7"/>
    </row>
    <row r="202" spans="1:25" ht="14.25" customHeight="1">
      <c r="A202" s="14" t="s">
        <v>348</v>
      </c>
      <c r="B202" s="68"/>
      <c r="C202" s="68"/>
      <c r="D202" s="69">
        <v>44984</v>
      </c>
      <c r="E202" s="68">
        <v>242</v>
      </c>
      <c r="F202" s="58"/>
      <c r="G202" s="58">
        <v>172029</v>
      </c>
      <c r="H202" s="70" t="s">
        <v>1100</v>
      </c>
      <c r="I202" s="7">
        <f t="shared" ca="1" si="0"/>
        <v>0</v>
      </c>
      <c r="J202" s="71"/>
      <c r="K202" s="7"/>
    </row>
    <row r="203" spans="1:25" ht="14.25" customHeight="1">
      <c r="A203" s="14" t="s">
        <v>1113</v>
      </c>
      <c r="B203" s="68"/>
      <c r="C203" s="68"/>
      <c r="D203" s="69">
        <v>44991</v>
      </c>
      <c r="E203" s="68">
        <v>243</v>
      </c>
      <c r="F203" s="58"/>
      <c r="G203" s="58">
        <v>170634</v>
      </c>
      <c r="H203" s="70" t="s">
        <v>1044</v>
      </c>
      <c r="I203" s="7">
        <f t="shared" ca="1" si="0"/>
        <v>0</v>
      </c>
      <c r="J203" s="71"/>
      <c r="K203" s="7"/>
    </row>
    <row r="204" spans="1:25" ht="14.25" customHeight="1">
      <c r="A204" s="14" t="s">
        <v>1114</v>
      </c>
      <c r="B204" s="68"/>
      <c r="C204" s="68"/>
      <c r="D204" s="69">
        <v>44991</v>
      </c>
      <c r="E204" s="68">
        <v>244</v>
      </c>
      <c r="F204" s="58"/>
      <c r="G204" s="58">
        <v>77896</v>
      </c>
      <c r="H204" s="70" t="s">
        <v>1044</v>
      </c>
      <c r="I204" s="7">
        <f t="shared" ca="1" si="0"/>
        <v>0</v>
      </c>
      <c r="J204" s="71"/>
      <c r="K204" s="7"/>
    </row>
    <row r="205" spans="1:25" ht="14.25" customHeight="1">
      <c r="A205" s="14" t="s">
        <v>245</v>
      </c>
      <c r="B205" s="68"/>
      <c r="C205" s="68"/>
      <c r="D205" s="69">
        <v>44991</v>
      </c>
      <c r="E205" s="68">
        <v>245</v>
      </c>
      <c r="F205" s="58"/>
      <c r="G205" s="58">
        <v>132446</v>
      </c>
      <c r="H205" s="70" t="s">
        <v>1044</v>
      </c>
      <c r="I205" s="7">
        <f t="shared" ca="1" si="0"/>
        <v>0</v>
      </c>
      <c r="J205" s="71"/>
      <c r="K205" s="7"/>
    </row>
    <row r="206" spans="1:25" ht="14.25" customHeight="1">
      <c r="A206" s="14" t="s">
        <v>1067</v>
      </c>
      <c r="B206" s="68"/>
      <c r="C206" s="68"/>
      <c r="D206" s="69">
        <v>44991</v>
      </c>
      <c r="E206" s="68">
        <v>246</v>
      </c>
      <c r="F206" s="58"/>
      <c r="G206" s="58">
        <v>84619</v>
      </c>
      <c r="H206" s="70" t="s">
        <v>1044</v>
      </c>
      <c r="I206" s="7">
        <f t="shared" ca="1" si="0"/>
        <v>0</v>
      </c>
      <c r="J206" s="71"/>
      <c r="K206" s="7"/>
    </row>
    <row r="207" spans="1:25" ht="14.25" customHeight="1">
      <c r="A207" s="14" t="s">
        <v>1101</v>
      </c>
      <c r="B207" s="68"/>
      <c r="C207" s="68"/>
      <c r="D207" s="69">
        <v>44991</v>
      </c>
      <c r="E207" s="68" t="s">
        <v>1057</v>
      </c>
      <c r="F207" s="58"/>
      <c r="G207" s="58">
        <v>101611</v>
      </c>
      <c r="H207" s="70" t="s">
        <v>1044</v>
      </c>
      <c r="I207" s="7">
        <f t="shared" ca="1" si="0"/>
        <v>0</v>
      </c>
      <c r="J207" s="71"/>
      <c r="K207" s="7"/>
    </row>
    <row r="208" spans="1:25" ht="14.25" customHeight="1">
      <c r="A208" s="14" t="s">
        <v>1115</v>
      </c>
      <c r="B208" s="7"/>
      <c r="C208" s="7"/>
      <c r="D208" s="69">
        <v>44991</v>
      </c>
      <c r="E208" s="68">
        <v>247</v>
      </c>
      <c r="F208" s="58"/>
      <c r="G208" s="58">
        <v>111808</v>
      </c>
      <c r="H208" s="70" t="s">
        <v>1044</v>
      </c>
      <c r="I208" s="7">
        <f t="shared" ca="1" si="0"/>
        <v>0</v>
      </c>
      <c r="J208" s="71"/>
      <c r="K208" s="7"/>
    </row>
    <row r="209" spans="1:11" ht="14.25" customHeight="1">
      <c r="A209" s="14" t="s">
        <v>126</v>
      </c>
      <c r="B209" s="7"/>
      <c r="C209" s="7"/>
      <c r="D209" s="69">
        <v>44994</v>
      </c>
      <c r="E209" s="68">
        <v>250</v>
      </c>
      <c r="F209" s="58"/>
      <c r="G209" s="58">
        <v>222716</v>
      </c>
      <c r="H209" s="70" t="s">
        <v>1044</v>
      </c>
      <c r="I209" s="7">
        <f t="shared" ca="1" si="0"/>
        <v>0</v>
      </c>
      <c r="J209" s="71"/>
      <c r="K209" s="7"/>
    </row>
    <row r="210" spans="1:11" ht="14.25" customHeight="1">
      <c r="A210" s="14" t="s">
        <v>1077</v>
      </c>
      <c r="B210" s="7"/>
      <c r="C210" s="7"/>
      <c r="D210" s="69">
        <v>44994</v>
      </c>
      <c r="E210" s="68">
        <v>251</v>
      </c>
      <c r="F210" s="58"/>
      <c r="G210" s="58">
        <v>184072</v>
      </c>
      <c r="H210" s="70" t="s">
        <v>1044</v>
      </c>
      <c r="I210" s="7">
        <f t="shared" ca="1" si="0"/>
        <v>0</v>
      </c>
      <c r="J210" s="71"/>
      <c r="K210" s="7"/>
    </row>
    <row r="211" spans="1:11" ht="14.25" customHeight="1">
      <c r="A211" s="14" t="s">
        <v>1088</v>
      </c>
      <c r="B211" s="7"/>
      <c r="C211" s="7"/>
      <c r="D211" s="69">
        <v>44994</v>
      </c>
      <c r="E211" s="68">
        <v>248</v>
      </c>
      <c r="F211" s="58"/>
      <c r="G211" s="58">
        <v>144794</v>
      </c>
      <c r="H211" s="70" t="s">
        <v>1044</v>
      </c>
      <c r="I211" s="7">
        <f t="shared" ca="1" si="0"/>
        <v>0</v>
      </c>
      <c r="J211" s="71"/>
      <c r="K211" s="7"/>
    </row>
    <row r="212" spans="1:11" ht="14.25" customHeight="1">
      <c r="A212" s="14" t="s">
        <v>1116</v>
      </c>
      <c r="B212" s="7"/>
      <c r="C212" s="7"/>
      <c r="D212" s="69">
        <v>44994</v>
      </c>
      <c r="E212" s="68">
        <v>249</v>
      </c>
      <c r="F212" s="58"/>
      <c r="G212" s="58">
        <v>173486</v>
      </c>
      <c r="H212" s="70" t="s">
        <v>1044</v>
      </c>
      <c r="I212" s="7">
        <f t="shared" ca="1" si="0"/>
        <v>0</v>
      </c>
      <c r="J212" s="71"/>
      <c r="K212" s="7"/>
    </row>
    <row r="213" spans="1:11" ht="14.25" customHeight="1">
      <c r="A213" s="14" t="s">
        <v>1056</v>
      </c>
      <c r="B213" s="7"/>
      <c r="C213" s="7"/>
      <c r="D213" s="69">
        <v>44994</v>
      </c>
      <c r="E213" s="68" t="s">
        <v>1057</v>
      </c>
      <c r="F213" s="58"/>
      <c r="G213" s="58">
        <v>320000</v>
      </c>
      <c r="H213" s="70" t="s">
        <v>1044</v>
      </c>
      <c r="I213" s="7">
        <f t="shared" ca="1" si="0"/>
        <v>0</v>
      </c>
      <c r="J213" s="71"/>
      <c r="K213" s="7"/>
    </row>
    <row r="214" spans="1:11" ht="14.25" customHeight="1">
      <c r="A214" s="14" t="s">
        <v>1117</v>
      </c>
      <c r="B214" s="7"/>
      <c r="C214" s="7"/>
      <c r="D214" s="69">
        <v>45000</v>
      </c>
      <c r="E214" s="68">
        <v>252</v>
      </c>
      <c r="F214" s="58"/>
      <c r="G214" s="58">
        <v>88060</v>
      </c>
      <c r="H214" s="70" t="s">
        <v>1044</v>
      </c>
      <c r="I214" s="7">
        <f t="shared" ca="1" si="0"/>
        <v>0</v>
      </c>
      <c r="J214" s="71"/>
      <c r="K214" s="7"/>
    </row>
    <row r="215" spans="1:11" ht="14.25" customHeight="1">
      <c r="A215" s="14" t="s">
        <v>1062</v>
      </c>
      <c r="B215" s="7"/>
      <c r="C215" s="7"/>
      <c r="D215" s="69">
        <v>45000</v>
      </c>
      <c r="E215" s="68">
        <v>253</v>
      </c>
      <c r="F215" s="58"/>
      <c r="G215" s="58">
        <v>81955</v>
      </c>
      <c r="H215" s="70" t="s">
        <v>1044</v>
      </c>
      <c r="I215" s="7">
        <f t="shared" ca="1" si="0"/>
        <v>0</v>
      </c>
      <c r="J215" s="71"/>
      <c r="K215" s="7"/>
    </row>
    <row r="216" spans="1:11" ht="14.25" customHeight="1">
      <c r="A216" s="14" t="s">
        <v>342</v>
      </c>
      <c r="B216" s="7"/>
      <c r="C216" s="7"/>
      <c r="D216" s="69">
        <v>45000</v>
      </c>
      <c r="E216" s="68">
        <v>254</v>
      </c>
      <c r="F216" s="58"/>
      <c r="G216" s="58">
        <v>199803</v>
      </c>
      <c r="H216" s="70" t="s">
        <v>1044</v>
      </c>
      <c r="I216" s="7">
        <f t="shared" ca="1" si="0"/>
        <v>0</v>
      </c>
      <c r="J216" s="71"/>
      <c r="K216" s="7"/>
    </row>
    <row r="217" spans="1:11" ht="14.25" customHeight="1">
      <c r="A217" s="14" t="s">
        <v>283</v>
      </c>
      <c r="B217" s="7"/>
      <c r="C217" s="7"/>
      <c r="D217" s="69">
        <v>45005</v>
      </c>
      <c r="E217" s="68">
        <v>255</v>
      </c>
      <c r="F217" s="58"/>
      <c r="G217" s="58">
        <v>118829</v>
      </c>
      <c r="H217" s="70" t="s">
        <v>1044</v>
      </c>
      <c r="I217" s="7">
        <f t="shared" ca="1" si="0"/>
        <v>0</v>
      </c>
      <c r="J217" s="71"/>
      <c r="K217" s="7"/>
    </row>
    <row r="218" spans="1:11" ht="14.25" customHeight="1">
      <c r="A218" s="68" t="s">
        <v>226</v>
      </c>
      <c r="B218" s="7"/>
      <c r="C218" s="7"/>
      <c r="D218" s="69">
        <v>45005</v>
      </c>
      <c r="E218" s="68">
        <v>256</v>
      </c>
      <c r="F218" s="58"/>
      <c r="G218" s="58">
        <v>199083</v>
      </c>
      <c r="H218" s="70" t="s">
        <v>1044</v>
      </c>
      <c r="I218" s="7">
        <f t="shared" ca="1" si="0"/>
        <v>0</v>
      </c>
      <c r="J218" s="71"/>
      <c r="K218" s="7"/>
    </row>
    <row r="219" spans="1:11" ht="14.25" customHeight="1">
      <c r="A219" s="14" t="s">
        <v>330</v>
      </c>
      <c r="B219" s="7"/>
      <c r="C219" s="7"/>
      <c r="D219" s="69">
        <v>45005</v>
      </c>
      <c r="E219" s="68">
        <v>257</v>
      </c>
      <c r="F219" s="58"/>
      <c r="G219" s="58">
        <v>220342</v>
      </c>
      <c r="H219" s="70" t="s">
        <v>1044</v>
      </c>
      <c r="I219" s="7">
        <f t="shared" ca="1" si="0"/>
        <v>0</v>
      </c>
      <c r="J219" s="71"/>
      <c r="K219" s="7"/>
    </row>
    <row r="220" spans="1:11" ht="14.25" customHeight="1">
      <c r="A220" s="14" t="s">
        <v>1067</v>
      </c>
      <c r="B220" s="7"/>
      <c r="C220" s="7"/>
      <c r="D220" s="69">
        <v>45013</v>
      </c>
      <c r="E220" s="68">
        <v>258</v>
      </c>
      <c r="F220" s="58"/>
      <c r="G220" s="58">
        <v>114644</v>
      </c>
      <c r="H220" s="70" t="s">
        <v>1044</v>
      </c>
      <c r="I220" s="7">
        <f t="shared" ca="1" si="0"/>
        <v>0</v>
      </c>
      <c r="J220" s="71"/>
      <c r="K220" s="7"/>
    </row>
    <row r="221" spans="1:11" ht="14.25" customHeight="1">
      <c r="A221" s="14" t="s">
        <v>251</v>
      </c>
      <c r="B221" s="7"/>
      <c r="C221" s="7"/>
      <c r="D221" s="69">
        <v>45015</v>
      </c>
      <c r="E221" s="68">
        <v>259</v>
      </c>
      <c r="F221" s="58"/>
      <c r="G221" s="58">
        <v>210520</v>
      </c>
      <c r="H221" s="70" t="s">
        <v>1044</v>
      </c>
      <c r="I221" s="7">
        <f t="shared" ca="1" si="0"/>
        <v>0</v>
      </c>
      <c r="J221" s="71"/>
      <c r="K221" s="7"/>
    </row>
    <row r="222" spans="1:11" ht="14.25" customHeight="1">
      <c r="A222" s="18" t="s">
        <v>371</v>
      </c>
      <c r="B222" s="7"/>
      <c r="C222" s="7"/>
      <c r="D222" s="69">
        <v>45015</v>
      </c>
      <c r="E222" s="68">
        <v>260</v>
      </c>
      <c r="F222" s="58"/>
      <c r="G222" s="58">
        <v>210520</v>
      </c>
      <c r="H222" s="70" t="s">
        <v>1044</v>
      </c>
      <c r="I222" s="7">
        <f t="shared" ca="1" si="0"/>
        <v>0</v>
      </c>
      <c r="J222" s="71"/>
      <c r="K222" s="7"/>
    </row>
    <row r="223" spans="1:11" ht="14.25" customHeight="1">
      <c r="A223" s="18" t="s">
        <v>1113</v>
      </c>
      <c r="B223" s="7"/>
      <c r="C223" s="7"/>
      <c r="D223" s="69">
        <v>45019</v>
      </c>
      <c r="E223" s="68">
        <v>261</v>
      </c>
      <c r="F223" s="58"/>
      <c r="G223" s="58">
        <v>142004</v>
      </c>
      <c r="H223" s="70" t="s">
        <v>1044</v>
      </c>
      <c r="I223" s="7">
        <f t="shared" ca="1" si="0"/>
        <v>0</v>
      </c>
      <c r="J223" s="71"/>
      <c r="K223" s="7"/>
    </row>
    <row r="224" spans="1:11" ht="14.25" customHeight="1">
      <c r="A224" s="18" t="s">
        <v>1118</v>
      </c>
      <c r="B224" s="7"/>
      <c r="C224" s="7"/>
      <c r="D224" s="69">
        <v>45019</v>
      </c>
      <c r="E224" s="68">
        <v>262</v>
      </c>
      <c r="F224" s="58"/>
      <c r="G224" s="58">
        <v>169058</v>
      </c>
      <c r="H224" s="70" t="s">
        <v>1100</v>
      </c>
      <c r="I224" s="7">
        <f t="shared" ca="1" si="0"/>
        <v>0</v>
      </c>
      <c r="J224" s="71"/>
      <c r="K224" s="7"/>
    </row>
    <row r="225" spans="1:11" ht="14.25" customHeight="1">
      <c r="A225" s="18" t="s">
        <v>126</v>
      </c>
      <c r="B225" s="7"/>
      <c r="C225" s="7"/>
      <c r="D225" s="69">
        <v>45019</v>
      </c>
      <c r="E225" s="68">
        <v>263</v>
      </c>
      <c r="F225" s="58"/>
      <c r="G225" s="58">
        <v>62839</v>
      </c>
      <c r="H225" s="70" t="s">
        <v>1044</v>
      </c>
      <c r="I225" s="7">
        <f t="shared" ca="1" si="0"/>
        <v>0</v>
      </c>
      <c r="J225" s="71"/>
      <c r="K225" s="7"/>
    </row>
    <row r="226" spans="1:11" ht="14.25" customHeight="1">
      <c r="A226" s="18" t="s">
        <v>377</v>
      </c>
      <c r="B226" s="7"/>
      <c r="C226" s="7"/>
      <c r="D226" s="69">
        <v>45019</v>
      </c>
      <c r="E226" s="68">
        <v>264</v>
      </c>
      <c r="F226" s="58"/>
      <c r="G226" s="58">
        <v>55989</v>
      </c>
      <c r="H226" s="70" t="s">
        <v>1044</v>
      </c>
      <c r="I226" s="7">
        <f t="shared" ca="1" si="0"/>
        <v>0</v>
      </c>
      <c r="J226" s="71"/>
      <c r="K226" s="7"/>
    </row>
    <row r="227" spans="1:11" ht="14.25" customHeight="1">
      <c r="A227" s="18" t="s">
        <v>1119</v>
      </c>
      <c r="B227" s="7"/>
      <c r="C227" s="7"/>
      <c r="D227" s="69">
        <v>45019</v>
      </c>
      <c r="E227" s="68">
        <v>265</v>
      </c>
      <c r="F227" s="58"/>
      <c r="G227" s="58">
        <v>91468</v>
      </c>
      <c r="H227" s="70" t="s">
        <v>1044</v>
      </c>
      <c r="I227" s="7">
        <f t="shared" ca="1" si="0"/>
        <v>0</v>
      </c>
      <c r="J227" s="71"/>
      <c r="K227" s="7"/>
    </row>
    <row r="228" spans="1:11" ht="14.25" customHeight="1">
      <c r="A228" s="18" t="s">
        <v>1119</v>
      </c>
      <c r="B228" s="7"/>
      <c r="C228" s="7"/>
      <c r="D228" s="69">
        <v>45019</v>
      </c>
      <c r="E228" s="68">
        <v>266</v>
      </c>
      <c r="F228" s="58"/>
      <c r="G228" s="58">
        <v>131095</v>
      </c>
      <c r="H228" s="70" t="s">
        <v>1044</v>
      </c>
      <c r="I228" s="7">
        <f t="shared" ca="1" si="0"/>
        <v>0</v>
      </c>
      <c r="J228" s="71"/>
      <c r="K228" s="7"/>
    </row>
    <row r="229" spans="1:11" ht="14.25" customHeight="1">
      <c r="A229" s="18" t="s">
        <v>1108</v>
      </c>
      <c r="B229" s="7"/>
      <c r="C229" s="7"/>
      <c r="D229" s="69">
        <v>45019</v>
      </c>
      <c r="E229" s="68">
        <v>267</v>
      </c>
      <c r="F229" s="58"/>
      <c r="G229" s="58">
        <v>62839</v>
      </c>
      <c r="H229" s="70" t="s">
        <v>1044</v>
      </c>
      <c r="I229" s="7">
        <f t="shared" ca="1" si="0"/>
        <v>0</v>
      </c>
      <c r="J229" s="71"/>
      <c r="K229" s="7"/>
    </row>
    <row r="230" spans="1:11" ht="14.25" customHeight="1">
      <c r="A230" s="18" t="s">
        <v>1088</v>
      </c>
      <c r="B230" s="7"/>
      <c r="C230" s="7"/>
      <c r="D230" s="69">
        <v>45019</v>
      </c>
      <c r="E230" s="68">
        <v>268</v>
      </c>
      <c r="F230" s="58"/>
      <c r="G230" s="58">
        <v>150123</v>
      </c>
      <c r="H230" s="70" t="s">
        <v>1044</v>
      </c>
      <c r="I230" s="7">
        <f t="shared" ca="1" si="0"/>
        <v>0</v>
      </c>
      <c r="J230" s="71"/>
      <c r="K230" s="7"/>
    </row>
    <row r="231" spans="1:11" ht="14.25" customHeight="1">
      <c r="A231" s="18" t="s">
        <v>1120</v>
      </c>
      <c r="B231" s="7"/>
      <c r="C231" s="7"/>
      <c r="D231" s="69">
        <v>45019</v>
      </c>
      <c r="E231" s="68">
        <v>269</v>
      </c>
      <c r="F231" s="58"/>
      <c r="G231" s="58">
        <v>128686</v>
      </c>
      <c r="H231" s="70" t="s">
        <v>1100</v>
      </c>
      <c r="I231" s="7">
        <f t="shared" ca="1" si="0"/>
        <v>0</v>
      </c>
      <c r="J231" s="71"/>
      <c r="K231" s="7"/>
    </row>
    <row r="232" spans="1:11" ht="14.25" customHeight="1">
      <c r="A232" s="18" t="s">
        <v>1120</v>
      </c>
      <c r="B232" s="7"/>
      <c r="C232" s="7"/>
      <c r="D232" s="69">
        <v>45019</v>
      </c>
      <c r="E232" s="68">
        <v>270</v>
      </c>
      <c r="F232" s="58"/>
      <c r="G232" s="58">
        <v>41947</v>
      </c>
      <c r="H232" s="70" t="s">
        <v>1100</v>
      </c>
      <c r="I232" s="7">
        <f t="shared" ca="1" si="0"/>
        <v>0</v>
      </c>
      <c r="J232" s="71"/>
      <c r="K232" s="7"/>
    </row>
    <row r="233" spans="1:11" ht="14.25" customHeight="1">
      <c r="A233" s="18" t="s">
        <v>126</v>
      </c>
      <c r="B233" s="7"/>
      <c r="C233" s="7"/>
      <c r="D233" s="69">
        <v>45021</v>
      </c>
      <c r="E233" s="68">
        <v>271</v>
      </c>
      <c r="F233" s="58"/>
      <c r="G233" s="58">
        <v>55989</v>
      </c>
      <c r="H233" s="70" t="s">
        <v>1044</v>
      </c>
      <c r="I233" s="7">
        <f t="shared" ca="1" si="0"/>
        <v>0</v>
      </c>
      <c r="J233" s="71"/>
      <c r="K233" s="7"/>
    </row>
    <row r="234" spans="1:11" ht="14.25" customHeight="1">
      <c r="A234" s="18" t="s">
        <v>1067</v>
      </c>
      <c r="B234" s="7"/>
      <c r="C234" s="7"/>
      <c r="D234" s="69">
        <v>45021</v>
      </c>
      <c r="E234" s="68">
        <v>272</v>
      </c>
      <c r="F234" s="58"/>
      <c r="G234" s="58">
        <v>114644</v>
      </c>
      <c r="H234" s="70" t="s">
        <v>1044</v>
      </c>
      <c r="I234" s="7">
        <f t="shared" ca="1" si="0"/>
        <v>0</v>
      </c>
      <c r="J234" s="71"/>
      <c r="K234" s="7"/>
    </row>
    <row r="235" spans="1:11" ht="14.25" customHeight="1">
      <c r="A235" s="68" t="s">
        <v>226</v>
      </c>
      <c r="B235" s="7"/>
      <c r="C235" s="7"/>
      <c r="D235" s="69">
        <v>45021</v>
      </c>
      <c r="E235" s="68">
        <v>273</v>
      </c>
      <c r="F235" s="58"/>
      <c r="G235" s="58">
        <v>170634</v>
      </c>
      <c r="H235" s="70" t="s">
        <v>1100</v>
      </c>
      <c r="I235" s="7">
        <f t="shared" ca="1" si="0"/>
        <v>0</v>
      </c>
      <c r="J235" s="71"/>
      <c r="K235" s="7"/>
    </row>
    <row r="236" spans="1:11" ht="14.25" customHeight="1">
      <c r="A236" s="18" t="s">
        <v>383</v>
      </c>
      <c r="B236" s="7"/>
      <c r="C236" s="7"/>
      <c r="D236" s="69">
        <v>45021</v>
      </c>
      <c r="E236" s="68">
        <v>274</v>
      </c>
      <c r="F236" s="58"/>
      <c r="G236" s="58">
        <v>113759</v>
      </c>
      <c r="H236" s="70" t="s">
        <v>1044</v>
      </c>
      <c r="I236" s="7">
        <f t="shared" ca="1" si="0"/>
        <v>0</v>
      </c>
      <c r="J236" s="71"/>
      <c r="K236" s="7"/>
    </row>
    <row r="237" spans="1:11" ht="14.25" customHeight="1">
      <c r="A237" s="18" t="s">
        <v>330</v>
      </c>
      <c r="B237" s="7"/>
      <c r="C237" s="7"/>
      <c r="D237" s="69">
        <v>45021</v>
      </c>
      <c r="E237" s="68">
        <v>275</v>
      </c>
      <c r="F237" s="58"/>
      <c r="G237" s="58">
        <v>220342</v>
      </c>
      <c r="H237" s="70" t="s">
        <v>1044</v>
      </c>
      <c r="I237" s="7">
        <f t="shared" ca="1" si="0"/>
        <v>0</v>
      </c>
      <c r="J237" s="71"/>
      <c r="K237" s="7"/>
    </row>
    <row r="238" spans="1:11" ht="14.25" customHeight="1">
      <c r="A238" s="18" t="s">
        <v>1121</v>
      </c>
      <c r="B238" s="7"/>
      <c r="C238" s="7"/>
      <c r="D238" s="69">
        <v>45028</v>
      </c>
      <c r="E238" s="68">
        <v>276</v>
      </c>
      <c r="F238" s="58"/>
      <c r="G238" s="58">
        <v>170634</v>
      </c>
      <c r="H238" s="70" t="s">
        <v>1044</v>
      </c>
      <c r="I238" s="7">
        <f t="shared" ca="1" si="0"/>
        <v>0</v>
      </c>
      <c r="J238" s="71"/>
      <c r="K238" s="7"/>
    </row>
    <row r="239" spans="1:11" ht="14.25" customHeight="1">
      <c r="A239" s="18" t="s">
        <v>1122</v>
      </c>
      <c r="B239" s="7"/>
      <c r="C239" s="7"/>
      <c r="D239" s="69">
        <v>45028</v>
      </c>
      <c r="E239" s="68">
        <v>277</v>
      </c>
      <c r="F239" s="58"/>
      <c r="G239" s="58">
        <v>116639</v>
      </c>
      <c r="H239" s="70" t="s">
        <v>1044</v>
      </c>
      <c r="I239" s="7">
        <f t="shared" ca="1" si="0"/>
        <v>0</v>
      </c>
      <c r="J239" s="71"/>
      <c r="K239" s="7"/>
    </row>
    <row r="240" spans="1:11" ht="14.25" customHeight="1">
      <c r="A240" s="18" t="s">
        <v>377</v>
      </c>
      <c r="B240" s="7"/>
      <c r="C240" s="7"/>
      <c r="D240" s="69">
        <v>45028</v>
      </c>
      <c r="E240" s="68">
        <v>278</v>
      </c>
      <c r="F240" s="58"/>
      <c r="G240" s="58">
        <v>109190</v>
      </c>
      <c r="H240" s="70" t="s">
        <v>1044</v>
      </c>
      <c r="I240" s="7">
        <f t="shared" ca="1" si="0"/>
        <v>0</v>
      </c>
      <c r="J240" s="71"/>
      <c r="K240" s="7"/>
    </row>
    <row r="241" spans="1:11" ht="14.25" customHeight="1">
      <c r="A241" s="18" t="s">
        <v>1103</v>
      </c>
      <c r="B241" s="7"/>
      <c r="C241" s="7"/>
      <c r="D241" s="69">
        <v>45040</v>
      </c>
      <c r="E241" s="68">
        <v>279</v>
      </c>
      <c r="F241" s="58"/>
      <c r="G241" s="58">
        <v>111980</v>
      </c>
      <c r="H241" s="70" t="s">
        <v>1044</v>
      </c>
      <c r="I241" s="7">
        <f t="shared" ca="1" si="0"/>
        <v>0</v>
      </c>
      <c r="J241" s="71"/>
      <c r="K241" s="7"/>
    </row>
    <row r="242" spans="1:11" ht="14.25" customHeight="1">
      <c r="A242" s="18" t="s">
        <v>1123</v>
      </c>
      <c r="B242" s="7"/>
      <c r="C242" s="7"/>
      <c r="D242" s="69">
        <v>45040</v>
      </c>
      <c r="E242" s="75">
        <v>280</v>
      </c>
      <c r="F242" s="58"/>
      <c r="G242" s="58">
        <v>111367</v>
      </c>
      <c r="H242" s="70" t="s">
        <v>1100</v>
      </c>
      <c r="I242" s="7">
        <f t="shared" ca="1" si="0"/>
        <v>0</v>
      </c>
      <c r="J242" s="71"/>
      <c r="K242" s="7"/>
    </row>
    <row r="243" spans="1:11" ht="14.25" customHeight="1">
      <c r="A243" s="18" t="s">
        <v>371</v>
      </c>
      <c r="B243" s="7"/>
      <c r="C243" s="7"/>
      <c r="D243" s="69">
        <v>45040</v>
      </c>
      <c r="E243" s="75">
        <v>281</v>
      </c>
      <c r="F243" s="58"/>
      <c r="G243" s="58">
        <v>94258</v>
      </c>
      <c r="H243" s="70" t="s">
        <v>1044</v>
      </c>
      <c r="I243" s="7">
        <f t="shared" ca="1" si="0"/>
        <v>0</v>
      </c>
      <c r="J243" s="71"/>
      <c r="K243" s="7"/>
    </row>
    <row r="244" spans="1:11" ht="14.25" customHeight="1">
      <c r="A244" s="18" t="s">
        <v>126</v>
      </c>
      <c r="B244" s="7"/>
      <c r="C244" s="7"/>
      <c r="D244" s="69">
        <v>45040</v>
      </c>
      <c r="E244" s="75">
        <v>282</v>
      </c>
      <c r="F244" s="58"/>
      <c r="G244" s="58">
        <v>146189</v>
      </c>
      <c r="H244" s="70" t="s">
        <v>1044</v>
      </c>
      <c r="I244" s="7">
        <f t="shared" ca="1" si="0"/>
        <v>0</v>
      </c>
      <c r="J244" s="71"/>
      <c r="K244" s="7"/>
    </row>
    <row r="245" spans="1:11" ht="14.25" customHeight="1">
      <c r="A245" s="18" t="s">
        <v>1124</v>
      </c>
      <c r="B245" s="7"/>
      <c r="C245" s="7"/>
      <c r="D245" s="69">
        <v>45040</v>
      </c>
      <c r="E245" s="75">
        <v>283</v>
      </c>
      <c r="F245" s="58"/>
      <c r="G245" s="58">
        <v>837163</v>
      </c>
      <c r="H245" s="70" t="s">
        <v>1044</v>
      </c>
      <c r="I245" s="7">
        <f t="shared" ca="1" si="0"/>
        <v>0</v>
      </c>
      <c r="J245" s="71"/>
      <c r="K245" s="7"/>
    </row>
    <row r="246" spans="1:11" ht="14.25" customHeight="1">
      <c r="A246" s="14" t="s">
        <v>245</v>
      </c>
      <c r="B246" s="14"/>
      <c r="C246" s="14"/>
      <c r="D246" s="69">
        <v>45054</v>
      </c>
      <c r="E246" s="75">
        <v>288</v>
      </c>
      <c r="F246" s="58"/>
      <c r="G246" s="58">
        <v>115342</v>
      </c>
      <c r="H246" s="70" t="s">
        <v>1044</v>
      </c>
      <c r="I246" s="7">
        <f t="shared" ca="1" si="0"/>
        <v>0</v>
      </c>
      <c r="J246" s="71"/>
      <c r="K246" s="7"/>
    </row>
    <row r="247" spans="1:11" ht="14.25" customHeight="1">
      <c r="A247" s="14" t="s">
        <v>377</v>
      </c>
      <c r="B247" s="14"/>
      <c r="C247" s="14"/>
      <c r="D247" s="69">
        <v>45044</v>
      </c>
      <c r="E247" s="75">
        <v>287</v>
      </c>
      <c r="F247" s="58"/>
      <c r="G247" s="58">
        <v>146064</v>
      </c>
      <c r="H247" s="70" t="s">
        <v>1044</v>
      </c>
      <c r="I247" s="7">
        <f t="shared" ca="1" si="0"/>
        <v>0</v>
      </c>
      <c r="J247" s="71"/>
      <c r="K247" s="7"/>
    </row>
    <row r="248" spans="1:11" ht="14.25" customHeight="1">
      <c r="A248" s="14" t="s">
        <v>1125</v>
      </c>
      <c r="B248" s="14"/>
      <c r="C248" s="14"/>
      <c r="D248" s="69">
        <v>45048</v>
      </c>
      <c r="E248" s="14">
        <v>284</v>
      </c>
      <c r="F248" s="76"/>
      <c r="G248" s="76">
        <v>202053</v>
      </c>
      <c r="H248" s="70" t="s">
        <v>1044</v>
      </c>
      <c r="I248" s="7">
        <f t="shared" ca="1" si="0"/>
        <v>0</v>
      </c>
      <c r="J248" s="71"/>
      <c r="K248" s="7"/>
    </row>
    <row r="249" spans="1:11" ht="14.25" customHeight="1">
      <c r="A249" s="14" t="s">
        <v>1079</v>
      </c>
      <c r="B249" s="14"/>
      <c r="C249" s="14"/>
      <c r="D249" s="69">
        <v>45048</v>
      </c>
      <c r="E249" s="14">
        <v>285</v>
      </c>
      <c r="F249" s="76"/>
      <c r="G249" s="76">
        <v>178492</v>
      </c>
      <c r="H249" s="70" t="s">
        <v>1044</v>
      </c>
      <c r="I249" s="7">
        <f t="shared" ca="1" si="0"/>
        <v>0</v>
      </c>
      <c r="J249" s="71"/>
      <c r="K249" s="7"/>
    </row>
    <row r="250" spans="1:11" ht="14.25" customHeight="1">
      <c r="A250" s="14" t="s">
        <v>330</v>
      </c>
      <c r="B250" s="14"/>
      <c r="C250" s="14"/>
      <c r="D250" s="69">
        <v>45049</v>
      </c>
      <c r="E250" s="14">
        <v>286</v>
      </c>
      <c r="F250" s="76"/>
      <c r="G250" s="76">
        <v>220342</v>
      </c>
      <c r="H250" s="70" t="s">
        <v>1044</v>
      </c>
      <c r="I250" s="7">
        <f t="shared" ca="1" si="0"/>
        <v>0</v>
      </c>
      <c r="J250" s="71"/>
      <c r="K250" s="7"/>
    </row>
    <row r="251" spans="1:11" ht="14.25" customHeight="1">
      <c r="A251" s="14" t="s">
        <v>1126</v>
      </c>
      <c r="B251" s="14"/>
      <c r="C251" s="14"/>
      <c r="D251" s="69">
        <v>45054</v>
      </c>
      <c r="E251" s="14">
        <v>289</v>
      </c>
      <c r="F251" s="76"/>
      <c r="G251" s="76">
        <v>101026</v>
      </c>
      <c r="H251" s="70" t="s">
        <v>1044</v>
      </c>
      <c r="I251" s="7">
        <f t="shared" ca="1" si="0"/>
        <v>0</v>
      </c>
      <c r="J251" s="71"/>
      <c r="K251" s="7"/>
    </row>
    <row r="252" spans="1:11" ht="14.25" customHeight="1">
      <c r="A252" s="14" t="s">
        <v>1067</v>
      </c>
      <c r="B252" s="14"/>
      <c r="C252" s="14"/>
      <c r="D252" s="69">
        <v>45056</v>
      </c>
      <c r="E252" s="14">
        <v>290</v>
      </c>
      <c r="F252" s="76"/>
      <c r="G252" s="76">
        <v>110585</v>
      </c>
      <c r="H252" s="70" t="s">
        <v>1044</v>
      </c>
      <c r="I252" s="7">
        <f t="shared" ca="1" si="0"/>
        <v>0</v>
      </c>
      <c r="J252" s="71"/>
      <c r="K252" s="7"/>
    </row>
    <row r="253" spans="1:11" ht="14.25" customHeight="1">
      <c r="A253" s="14" t="s">
        <v>1127</v>
      </c>
      <c r="B253" s="14"/>
      <c r="C253" s="14"/>
      <c r="D253" s="69">
        <v>45056</v>
      </c>
      <c r="E253" s="14">
        <v>291</v>
      </c>
      <c r="F253" s="76"/>
      <c r="G253" s="76">
        <v>55989</v>
      </c>
      <c r="H253" s="70" t="s">
        <v>1044</v>
      </c>
      <c r="I253" s="7">
        <f t="shared" ca="1" si="0"/>
        <v>0</v>
      </c>
      <c r="J253" s="71"/>
      <c r="K253" s="7"/>
    </row>
    <row r="254" spans="1:11" ht="14.25" customHeight="1">
      <c r="A254" s="14" t="s">
        <v>1107</v>
      </c>
      <c r="B254" s="14"/>
      <c r="C254" s="14"/>
      <c r="D254" s="69">
        <v>45062</v>
      </c>
      <c r="E254" s="14">
        <v>294</v>
      </c>
      <c r="F254" s="76"/>
      <c r="G254" s="76">
        <v>289336</v>
      </c>
      <c r="H254" s="70" t="s">
        <v>1044</v>
      </c>
      <c r="I254" s="7">
        <f t="shared" ca="1" si="0"/>
        <v>0</v>
      </c>
      <c r="J254" s="71"/>
      <c r="K254" s="7"/>
    </row>
    <row r="255" spans="1:11" ht="14.25" customHeight="1">
      <c r="A255" s="14" t="s">
        <v>1128</v>
      </c>
      <c r="B255" s="14"/>
      <c r="C255" s="14"/>
      <c r="D255" s="69">
        <v>45061</v>
      </c>
      <c r="E255" s="14">
        <v>292</v>
      </c>
      <c r="F255" s="76"/>
      <c r="G255" s="76">
        <v>202053</v>
      </c>
      <c r="H255" s="70" t="s">
        <v>1100</v>
      </c>
      <c r="I255" s="7">
        <f t="shared" ca="1" si="0"/>
        <v>0</v>
      </c>
      <c r="J255" s="71"/>
      <c r="K255" s="7"/>
    </row>
    <row r="256" spans="1:11" ht="14.25" customHeight="1">
      <c r="A256" s="14" t="s">
        <v>1129</v>
      </c>
      <c r="B256" s="14"/>
      <c r="C256" s="14"/>
      <c r="D256" s="69">
        <v>45062</v>
      </c>
      <c r="E256" s="14">
        <v>293</v>
      </c>
      <c r="F256" s="76"/>
      <c r="G256" s="76">
        <v>56699</v>
      </c>
      <c r="H256" s="70" t="s">
        <v>1130</v>
      </c>
      <c r="I256" s="7">
        <f t="shared" ca="1" si="0"/>
        <v>0</v>
      </c>
      <c r="J256" s="71"/>
      <c r="K256" s="7"/>
    </row>
    <row r="257" spans="1:11" ht="14.25" customHeight="1">
      <c r="A257" s="14" t="s">
        <v>126</v>
      </c>
      <c r="B257" s="14"/>
      <c r="C257" s="14"/>
      <c r="D257" s="69">
        <v>45062</v>
      </c>
      <c r="E257" s="14">
        <v>295</v>
      </c>
      <c r="F257" s="76"/>
      <c r="G257" s="76">
        <v>147137</v>
      </c>
      <c r="H257" s="70" t="s">
        <v>1044</v>
      </c>
      <c r="I257" s="7">
        <f t="shared" ref="I257:I363" ca="1" si="1">IF(OR(H257="Pagado",H257="Anulada"),0,IF(ISNUMBER(E257),TODAY()-D257,TODAY()-F257))</f>
        <v>0</v>
      </c>
      <c r="J257" s="71"/>
      <c r="K257" s="7"/>
    </row>
    <row r="258" spans="1:11" ht="14.25" customHeight="1">
      <c r="A258" s="14" t="s">
        <v>342</v>
      </c>
      <c r="B258" s="14"/>
      <c r="C258" s="14"/>
      <c r="D258" s="69">
        <v>45062</v>
      </c>
      <c r="E258" s="14">
        <v>296</v>
      </c>
      <c r="F258" s="76"/>
      <c r="G258" s="76">
        <v>110987</v>
      </c>
      <c r="H258" s="70" t="s">
        <v>1044</v>
      </c>
      <c r="I258" s="7">
        <f t="shared" ca="1" si="1"/>
        <v>0</v>
      </c>
      <c r="J258" s="71"/>
      <c r="K258" s="7"/>
    </row>
    <row r="259" spans="1:11" ht="14.25" customHeight="1">
      <c r="A259" s="14" t="s">
        <v>1131</v>
      </c>
      <c r="B259" s="14"/>
      <c r="C259" s="14"/>
      <c r="D259" s="69">
        <v>45064</v>
      </c>
      <c r="E259" s="14">
        <v>298</v>
      </c>
      <c r="F259" s="76"/>
      <c r="G259" s="76">
        <v>607500</v>
      </c>
      <c r="H259" s="70" t="s">
        <v>1044</v>
      </c>
      <c r="I259" s="7">
        <f t="shared" ca="1" si="1"/>
        <v>0</v>
      </c>
      <c r="J259" s="71"/>
      <c r="K259" s="7"/>
    </row>
    <row r="260" spans="1:11" ht="14.25" customHeight="1">
      <c r="A260" s="14" t="s">
        <v>1129</v>
      </c>
      <c r="B260" s="14"/>
      <c r="C260" s="14"/>
      <c r="D260" s="69">
        <v>45065</v>
      </c>
      <c r="E260" s="14">
        <v>299</v>
      </c>
      <c r="F260" s="76"/>
      <c r="G260" s="76">
        <v>113735</v>
      </c>
      <c r="H260" s="70" t="s">
        <v>1044</v>
      </c>
      <c r="I260" s="7">
        <f t="shared" ca="1" si="1"/>
        <v>0</v>
      </c>
      <c r="J260" s="71"/>
      <c r="K260" s="7"/>
    </row>
    <row r="261" spans="1:11" ht="14.25" customHeight="1">
      <c r="A261" s="14" t="s">
        <v>1132</v>
      </c>
      <c r="B261" s="14"/>
      <c r="C261" s="14"/>
      <c r="D261" s="69">
        <v>45070</v>
      </c>
      <c r="E261" s="14">
        <v>300</v>
      </c>
      <c r="F261" s="76"/>
      <c r="G261" s="76">
        <v>624750</v>
      </c>
      <c r="H261" s="70" t="s">
        <v>1130</v>
      </c>
      <c r="I261" s="7">
        <f t="shared" ca="1" si="1"/>
        <v>0</v>
      </c>
      <c r="J261" s="71"/>
      <c r="K261" s="7"/>
    </row>
    <row r="262" spans="1:11" ht="14.25" customHeight="1">
      <c r="A262" s="14" t="s">
        <v>1133</v>
      </c>
      <c r="B262" s="14"/>
      <c r="C262" s="14"/>
      <c r="D262" s="69">
        <v>45070</v>
      </c>
      <c r="E262" s="14">
        <v>301</v>
      </c>
      <c r="F262" s="76"/>
      <c r="G262" s="76">
        <v>144794</v>
      </c>
      <c r="H262" s="70" t="s">
        <v>1044</v>
      </c>
      <c r="I262" s="7">
        <f t="shared" ca="1" si="1"/>
        <v>0</v>
      </c>
      <c r="J262" s="71"/>
      <c r="K262" s="7"/>
    </row>
    <row r="263" spans="1:11" ht="14.25" customHeight="1">
      <c r="A263" s="14" t="s">
        <v>410</v>
      </c>
      <c r="B263" s="14"/>
      <c r="C263" s="14"/>
      <c r="D263" s="69">
        <v>45075</v>
      </c>
      <c r="E263" s="14">
        <v>302</v>
      </c>
      <c r="F263" s="76"/>
      <c r="G263" s="76">
        <v>113375</v>
      </c>
      <c r="H263" s="70" t="s">
        <v>1044</v>
      </c>
      <c r="I263" s="7">
        <f t="shared" ca="1" si="1"/>
        <v>0</v>
      </c>
      <c r="J263" s="71"/>
      <c r="K263" s="7"/>
    </row>
    <row r="264" spans="1:11" ht="14.25" customHeight="1">
      <c r="A264" s="14" t="s">
        <v>1079</v>
      </c>
      <c r="B264" s="14"/>
      <c r="C264" s="14"/>
      <c r="D264" s="69">
        <v>45075</v>
      </c>
      <c r="E264" s="14">
        <v>303</v>
      </c>
      <c r="F264" s="76"/>
      <c r="G264" s="76">
        <v>89246</v>
      </c>
      <c r="H264" s="70" t="s">
        <v>1044</v>
      </c>
      <c r="I264" s="7">
        <f t="shared" ca="1" si="1"/>
        <v>0</v>
      </c>
      <c r="J264" s="71"/>
      <c r="K264" s="7"/>
    </row>
    <row r="265" spans="1:11" ht="14.25" customHeight="1">
      <c r="A265" s="14" t="s">
        <v>126</v>
      </c>
      <c r="B265" s="14"/>
      <c r="C265" s="14"/>
      <c r="D265" s="69">
        <v>45076</v>
      </c>
      <c r="E265" s="14">
        <v>304</v>
      </c>
      <c r="F265" s="76"/>
      <c r="G265" s="76">
        <v>51930</v>
      </c>
      <c r="H265" s="70" t="s">
        <v>1044</v>
      </c>
      <c r="I265" s="7">
        <f t="shared" ca="1" si="1"/>
        <v>0</v>
      </c>
      <c r="J265" s="71"/>
      <c r="K265" s="7"/>
    </row>
    <row r="266" spans="1:11" ht="14.25" customHeight="1">
      <c r="A266" s="14" t="s">
        <v>245</v>
      </c>
      <c r="B266" s="14"/>
      <c r="C266" s="14"/>
      <c r="D266" s="69">
        <v>45078</v>
      </c>
      <c r="E266" s="14">
        <v>305</v>
      </c>
      <c r="F266" s="76"/>
      <c r="G266" s="76">
        <v>146823</v>
      </c>
      <c r="H266" s="70" t="s">
        <v>1044</v>
      </c>
      <c r="I266" s="7">
        <f t="shared" ca="1" si="1"/>
        <v>0</v>
      </c>
      <c r="J266" s="71"/>
      <c r="K266" s="7"/>
    </row>
    <row r="267" spans="1:11" ht="14.25" customHeight="1">
      <c r="A267" s="14" t="s">
        <v>1134</v>
      </c>
      <c r="B267" s="14"/>
      <c r="C267" s="14"/>
      <c r="D267" s="69">
        <v>45078</v>
      </c>
      <c r="E267" s="14">
        <v>306</v>
      </c>
      <c r="F267" s="76"/>
      <c r="G267" s="76">
        <v>118829</v>
      </c>
      <c r="H267" s="70" t="s">
        <v>1044</v>
      </c>
      <c r="I267" s="7">
        <f t="shared" ca="1" si="1"/>
        <v>0</v>
      </c>
      <c r="J267" s="71"/>
      <c r="K267" s="7"/>
    </row>
    <row r="268" spans="1:11" ht="14.25" customHeight="1">
      <c r="A268" s="14" t="s">
        <v>354</v>
      </c>
      <c r="B268" s="14"/>
      <c r="C268" s="14"/>
      <c r="D268" s="69">
        <v>45079</v>
      </c>
      <c r="E268" s="14">
        <v>308</v>
      </c>
      <c r="F268" s="76"/>
      <c r="G268" s="76">
        <v>178492</v>
      </c>
      <c r="H268" s="70" t="s">
        <v>1044</v>
      </c>
      <c r="I268" s="7">
        <f t="shared" ca="1" si="1"/>
        <v>0</v>
      </c>
      <c r="J268" s="71"/>
      <c r="K268" s="7"/>
    </row>
    <row r="269" spans="1:11" ht="14.25" customHeight="1">
      <c r="A269" s="14" t="s">
        <v>330</v>
      </c>
      <c r="B269" s="14"/>
      <c r="C269" s="14"/>
      <c r="D269" s="69">
        <v>45078</v>
      </c>
      <c r="E269" s="14">
        <v>309</v>
      </c>
      <c r="F269" s="76"/>
      <c r="G269" s="76">
        <v>220342</v>
      </c>
      <c r="H269" s="70" t="s">
        <v>1044</v>
      </c>
      <c r="I269" s="7">
        <f t="shared" ca="1" si="1"/>
        <v>0</v>
      </c>
      <c r="J269" s="71"/>
      <c r="K269" s="7"/>
    </row>
    <row r="270" spans="1:11" ht="14.25" customHeight="1">
      <c r="A270" s="14" t="s">
        <v>1135</v>
      </c>
      <c r="B270" s="14"/>
      <c r="C270" s="14"/>
      <c r="D270" s="69">
        <v>45078</v>
      </c>
      <c r="E270" s="14">
        <v>310</v>
      </c>
      <c r="F270" s="76"/>
      <c r="G270" s="76">
        <v>111222</v>
      </c>
      <c r="H270" s="70" t="s">
        <v>1044</v>
      </c>
      <c r="I270" s="7">
        <f t="shared" ca="1" si="1"/>
        <v>0</v>
      </c>
      <c r="J270" s="71"/>
      <c r="K270" s="7"/>
    </row>
    <row r="271" spans="1:11" ht="14.25" customHeight="1">
      <c r="A271" s="14" t="s">
        <v>371</v>
      </c>
      <c r="B271" s="14"/>
      <c r="C271" s="14"/>
      <c r="D271" s="69">
        <v>45078</v>
      </c>
      <c r="E271" s="14">
        <v>311</v>
      </c>
      <c r="F271" s="76"/>
      <c r="G271" s="76">
        <v>88804</v>
      </c>
      <c r="H271" s="70" t="s">
        <v>1044</v>
      </c>
      <c r="I271" s="7">
        <f t="shared" ca="1" si="1"/>
        <v>0</v>
      </c>
      <c r="J271" s="71"/>
      <c r="K271" s="7"/>
    </row>
    <row r="272" spans="1:11" ht="14.25" customHeight="1">
      <c r="A272" s="14" t="s">
        <v>1067</v>
      </c>
      <c r="B272" s="14"/>
      <c r="C272" s="14"/>
      <c r="D272" s="69">
        <v>45084</v>
      </c>
      <c r="E272" s="14">
        <v>312</v>
      </c>
      <c r="F272" s="76"/>
      <c r="G272" s="76">
        <v>142683</v>
      </c>
      <c r="H272" s="70" t="s">
        <v>1044</v>
      </c>
      <c r="I272" s="7">
        <f t="shared" ca="1" si="1"/>
        <v>0</v>
      </c>
      <c r="J272" s="71"/>
      <c r="K272" s="7"/>
    </row>
    <row r="273" spans="1:11" ht="14.25" customHeight="1">
      <c r="A273" s="14" t="s">
        <v>126</v>
      </c>
      <c r="B273" s="14"/>
      <c r="C273" s="14"/>
      <c r="D273" s="69">
        <v>45084</v>
      </c>
      <c r="E273" s="14">
        <v>313</v>
      </c>
      <c r="F273" s="76"/>
      <c r="G273" s="76">
        <v>122092</v>
      </c>
      <c r="H273" s="70" t="s">
        <v>1044</v>
      </c>
      <c r="I273" s="7">
        <f t="shared" ca="1" si="1"/>
        <v>0</v>
      </c>
      <c r="J273" s="71"/>
      <c r="K273" s="7"/>
    </row>
    <row r="274" spans="1:11" ht="14.25" customHeight="1">
      <c r="A274" s="14" t="s">
        <v>1136</v>
      </c>
      <c r="B274" s="14"/>
      <c r="C274" s="14"/>
      <c r="D274" s="69">
        <v>45089</v>
      </c>
      <c r="E274" s="14">
        <v>317</v>
      </c>
      <c r="F274" s="76"/>
      <c r="G274" s="76">
        <v>228874</v>
      </c>
      <c r="H274" s="70" t="s">
        <v>1044</v>
      </c>
      <c r="I274" s="7">
        <f t="shared" ca="1" si="1"/>
        <v>0</v>
      </c>
      <c r="J274" s="71"/>
      <c r="K274" s="7"/>
    </row>
    <row r="275" spans="1:11" ht="14.25" customHeight="1">
      <c r="A275" s="14" t="s">
        <v>1137</v>
      </c>
      <c r="B275" s="14"/>
      <c r="C275" s="14"/>
      <c r="D275" s="69">
        <v>45089</v>
      </c>
      <c r="E275" s="14">
        <v>316</v>
      </c>
      <c r="F275" s="76"/>
      <c r="G275" s="76">
        <v>1106165</v>
      </c>
      <c r="H275" s="70" t="s">
        <v>1044</v>
      </c>
      <c r="I275" s="7">
        <f t="shared" ca="1" si="1"/>
        <v>0</v>
      </c>
      <c r="J275" s="71"/>
      <c r="K275" s="7"/>
    </row>
    <row r="276" spans="1:11" ht="14.25" customHeight="1">
      <c r="A276" s="14" t="s">
        <v>1056</v>
      </c>
      <c r="B276" s="14"/>
      <c r="C276" s="14"/>
      <c r="D276" s="69">
        <v>45084</v>
      </c>
      <c r="E276" s="68" t="s">
        <v>1057</v>
      </c>
      <c r="F276" s="76"/>
      <c r="G276" s="76">
        <v>169000</v>
      </c>
      <c r="H276" s="70" t="s">
        <v>1044</v>
      </c>
      <c r="I276" s="7">
        <f t="shared" ca="1" si="1"/>
        <v>0</v>
      </c>
      <c r="J276" s="71"/>
      <c r="K276" s="7"/>
    </row>
    <row r="277" spans="1:11" ht="14.25" customHeight="1">
      <c r="A277" s="14" t="s">
        <v>1138</v>
      </c>
      <c r="B277" s="14"/>
      <c r="C277" s="14"/>
      <c r="D277" s="69">
        <v>45085</v>
      </c>
      <c r="E277" s="14">
        <v>315</v>
      </c>
      <c r="F277" s="76"/>
      <c r="G277" s="76">
        <v>56687</v>
      </c>
      <c r="H277" s="70" t="s">
        <v>1044</v>
      </c>
      <c r="I277" s="7">
        <f t="shared" ca="1" si="1"/>
        <v>0</v>
      </c>
      <c r="J277" s="71"/>
      <c r="K277" s="7"/>
    </row>
    <row r="278" spans="1:11" ht="14.25" customHeight="1">
      <c r="A278" s="14" t="s">
        <v>1113</v>
      </c>
      <c r="B278" s="14"/>
      <c r="C278" s="14"/>
      <c r="D278" s="69">
        <v>45089</v>
      </c>
      <c r="E278" s="14">
        <v>318</v>
      </c>
      <c r="F278" s="76"/>
      <c r="G278" s="76">
        <v>113249</v>
      </c>
      <c r="H278" s="70" t="s">
        <v>1044</v>
      </c>
      <c r="I278" s="7">
        <f t="shared" ca="1" si="1"/>
        <v>0</v>
      </c>
      <c r="J278" s="71"/>
      <c r="K278" s="7"/>
    </row>
    <row r="279" spans="1:11" ht="14.25" customHeight="1">
      <c r="A279" s="14" t="s">
        <v>410</v>
      </c>
      <c r="B279" s="14"/>
      <c r="C279" s="14"/>
      <c r="D279" s="69">
        <v>45089</v>
      </c>
      <c r="E279" s="14">
        <v>319</v>
      </c>
      <c r="F279" s="76"/>
      <c r="G279" s="76">
        <v>110585</v>
      </c>
      <c r="H279" s="70" t="s">
        <v>1044</v>
      </c>
      <c r="I279" s="7">
        <f t="shared" ca="1" si="1"/>
        <v>0</v>
      </c>
      <c r="J279" s="71"/>
      <c r="K279" s="7"/>
    </row>
    <row r="280" spans="1:11" ht="14.25" customHeight="1">
      <c r="A280" s="14" t="s">
        <v>1128</v>
      </c>
      <c r="B280" s="14"/>
      <c r="C280" s="14"/>
      <c r="D280" s="69">
        <v>45092</v>
      </c>
      <c r="E280" s="14">
        <v>320</v>
      </c>
      <c r="F280" s="76"/>
      <c r="G280" s="76">
        <v>199083</v>
      </c>
      <c r="H280" s="70" t="s">
        <v>1100</v>
      </c>
      <c r="I280" s="7">
        <f t="shared" ca="1" si="1"/>
        <v>0</v>
      </c>
      <c r="J280" s="71"/>
      <c r="K280" s="7"/>
    </row>
    <row r="281" spans="1:11" ht="14.25" customHeight="1">
      <c r="A281" s="14" t="s">
        <v>1079</v>
      </c>
      <c r="B281" s="14"/>
      <c r="C281" s="14"/>
      <c r="D281" s="69">
        <v>45092</v>
      </c>
      <c r="E281" s="14">
        <v>321</v>
      </c>
      <c r="F281" s="76"/>
      <c r="G281" s="76">
        <v>92036</v>
      </c>
      <c r="H281" s="70" t="s">
        <v>1100</v>
      </c>
      <c r="I281" s="7">
        <f t="shared" ca="1" si="1"/>
        <v>0</v>
      </c>
      <c r="J281" s="71"/>
      <c r="K281" s="7"/>
    </row>
    <row r="282" spans="1:11" ht="14.25" customHeight="1">
      <c r="A282" s="14" t="s">
        <v>1135</v>
      </c>
      <c r="B282" s="14"/>
      <c r="C282" s="14"/>
      <c r="D282" s="69">
        <v>45099</v>
      </c>
      <c r="E282" s="14">
        <v>322</v>
      </c>
      <c r="F282" s="76"/>
      <c r="G282" s="76">
        <v>115282</v>
      </c>
      <c r="H282" s="70" t="s">
        <v>1044</v>
      </c>
      <c r="I282" s="7">
        <f t="shared" ca="1" si="1"/>
        <v>0</v>
      </c>
      <c r="J282" s="71"/>
      <c r="K282" s="7"/>
    </row>
    <row r="283" spans="1:11" ht="14.25" customHeight="1">
      <c r="A283" s="14" t="s">
        <v>1139</v>
      </c>
      <c r="B283" s="14"/>
      <c r="C283" s="14"/>
      <c r="D283" s="69">
        <v>45099</v>
      </c>
      <c r="E283" s="14">
        <v>323</v>
      </c>
      <c r="F283" s="76"/>
      <c r="G283" s="76">
        <v>200658</v>
      </c>
      <c r="H283" s="70" t="s">
        <v>1044</v>
      </c>
      <c r="I283" s="7">
        <f t="shared" ca="1" si="1"/>
        <v>0</v>
      </c>
      <c r="J283" s="71"/>
      <c r="K283" s="7"/>
    </row>
    <row r="284" spans="1:11" ht="14.25" customHeight="1">
      <c r="A284" s="14" t="s">
        <v>1140</v>
      </c>
      <c r="B284" s="14"/>
      <c r="C284" s="14"/>
      <c r="D284" s="69">
        <v>45107</v>
      </c>
      <c r="E284" s="14">
        <v>324</v>
      </c>
      <c r="F284" s="76"/>
      <c r="G284" s="76">
        <v>116430</v>
      </c>
      <c r="H284" s="70" t="s">
        <v>1044</v>
      </c>
      <c r="I284" s="7">
        <f t="shared" ca="1" si="1"/>
        <v>0</v>
      </c>
      <c r="J284" s="71"/>
      <c r="K284" s="7"/>
    </row>
    <row r="285" spans="1:11" ht="14.25" customHeight="1">
      <c r="A285" s="14" t="s">
        <v>1141</v>
      </c>
      <c r="B285" s="14"/>
      <c r="C285" s="14"/>
      <c r="D285" s="69">
        <v>45111</v>
      </c>
      <c r="E285" s="14">
        <v>325</v>
      </c>
      <c r="F285" s="76"/>
      <c r="G285" s="76">
        <v>202053</v>
      </c>
      <c r="H285" s="70" t="s">
        <v>1100</v>
      </c>
      <c r="I285" s="7">
        <f t="shared" ca="1" si="1"/>
        <v>0</v>
      </c>
      <c r="J285" s="71"/>
      <c r="K285" s="7"/>
    </row>
    <row r="286" spans="1:11" ht="14.25" customHeight="1">
      <c r="A286" s="14" t="s">
        <v>440</v>
      </c>
      <c r="B286" s="14"/>
      <c r="C286" s="14"/>
      <c r="D286" s="69">
        <v>45112</v>
      </c>
      <c r="E286" s="14">
        <v>326</v>
      </c>
      <c r="F286" s="76"/>
      <c r="G286" s="76">
        <v>104537</v>
      </c>
      <c r="H286" s="70" t="s">
        <v>1044</v>
      </c>
      <c r="I286" s="7">
        <f t="shared" ca="1" si="1"/>
        <v>0</v>
      </c>
      <c r="J286" s="71"/>
      <c r="K286" s="7"/>
    </row>
    <row r="287" spans="1:11" ht="14.25" customHeight="1">
      <c r="A287" s="14" t="s">
        <v>1142</v>
      </c>
      <c r="B287" s="14"/>
      <c r="C287" s="14"/>
      <c r="D287" s="69">
        <v>45112</v>
      </c>
      <c r="E287" s="14">
        <v>327</v>
      </c>
      <c r="F287" s="77">
        <v>45170</v>
      </c>
      <c r="G287" s="76">
        <v>148854</v>
      </c>
      <c r="H287" s="70" t="s">
        <v>1100</v>
      </c>
      <c r="I287" s="7">
        <f t="shared" ca="1" si="1"/>
        <v>0</v>
      </c>
      <c r="J287" s="71">
        <v>45233</v>
      </c>
      <c r="K287" s="7"/>
    </row>
    <row r="288" spans="1:11" ht="14.25" customHeight="1">
      <c r="A288" s="14" t="s">
        <v>1088</v>
      </c>
      <c r="B288" s="14"/>
      <c r="C288" s="14"/>
      <c r="D288" s="69">
        <v>45112</v>
      </c>
      <c r="E288" s="14">
        <v>328</v>
      </c>
      <c r="F288" s="76"/>
      <c r="G288" s="76">
        <v>139893</v>
      </c>
      <c r="H288" s="70" t="s">
        <v>1100</v>
      </c>
      <c r="I288" s="7">
        <f t="shared" ca="1" si="1"/>
        <v>0</v>
      </c>
      <c r="J288" s="71"/>
      <c r="K288" s="7"/>
    </row>
    <row r="289" spans="1:11" ht="14.25" customHeight="1">
      <c r="A289" s="14" t="s">
        <v>1088</v>
      </c>
      <c r="B289" s="14"/>
      <c r="C289" s="14"/>
      <c r="D289" s="69">
        <v>45112</v>
      </c>
      <c r="E289" s="14">
        <v>329</v>
      </c>
      <c r="F289" s="76"/>
      <c r="G289" s="76">
        <v>119797</v>
      </c>
      <c r="H289" s="70" t="s">
        <v>1100</v>
      </c>
      <c r="I289" s="7">
        <f t="shared" ca="1" si="1"/>
        <v>0</v>
      </c>
      <c r="J289" s="71"/>
      <c r="K289" s="7"/>
    </row>
    <row r="290" spans="1:11" ht="14.25" customHeight="1">
      <c r="A290" s="14" t="s">
        <v>1143</v>
      </c>
      <c r="B290" s="14"/>
      <c r="C290" s="14"/>
      <c r="D290" s="69">
        <v>45112</v>
      </c>
      <c r="E290" s="14">
        <v>330</v>
      </c>
      <c r="F290" s="76"/>
      <c r="G290" s="76">
        <v>161052</v>
      </c>
      <c r="H290" s="70" t="s">
        <v>1100</v>
      </c>
      <c r="I290" s="7">
        <f t="shared" ca="1" si="1"/>
        <v>0</v>
      </c>
      <c r="J290" s="71"/>
      <c r="K290" s="7"/>
    </row>
    <row r="291" spans="1:11" ht="14.25" customHeight="1">
      <c r="A291" s="14" t="s">
        <v>1144</v>
      </c>
      <c r="B291" s="14"/>
      <c r="C291" s="14"/>
      <c r="D291" s="69">
        <v>45119</v>
      </c>
      <c r="E291" s="14">
        <v>332</v>
      </c>
      <c r="F291" s="76"/>
      <c r="G291" s="76">
        <v>99541</v>
      </c>
      <c r="H291" s="70" t="s">
        <v>1044</v>
      </c>
      <c r="I291" s="7">
        <f t="shared" ca="1" si="1"/>
        <v>0</v>
      </c>
      <c r="J291" s="71"/>
      <c r="K291" s="7"/>
    </row>
    <row r="292" spans="1:11" ht="14.25" customHeight="1">
      <c r="A292" s="14" t="s">
        <v>1067</v>
      </c>
      <c r="B292" s="14"/>
      <c r="C292" s="14"/>
      <c r="D292" s="69">
        <v>45119</v>
      </c>
      <c r="E292" s="14">
        <v>333</v>
      </c>
      <c r="F292" s="76"/>
      <c r="G292" s="76">
        <v>114644</v>
      </c>
      <c r="H292" s="70" t="s">
        <v>1100</v>
      </c>
      <c r="I292" s="7">
        <f t="shared" ca="1" si="1"/>
        <v>0</v>
      </c>
      <c r="J292" s="71"/>
      <c r="K292" s="7"/>
    </row>
    <row r="293" spans="1:11" ht="14.25" customHeight="1">
      <c r="A293" s="14" t="s">
        <v>1138</v>
      </c>
      <c r="B293" s="14"/>
      <c r="C293" s="14"/>
      <c r="D293" s="69">
        <v>45119</v>
      </c>
      <c r="E293" s="14">
        <v>334</v>
      </c>
      <c r="F293" s="76"/>
      <c r="G293" s="76">
        <v>115342</v>
      </c>
      <c r="H293" s="70" t="s">
        <v>1044</v>
      </c>
      <c r="I293" s="7">
        <f t="shared" ca="1" si="1"/>
        <v>0</v>
      </c>
      <c r="J293" s="71"/>
      <c r="K293" s="7"/>
    </row>
    <row r="294" spans="1:11" ht="14.25" customHeight="1">
      <c r="A294" s="14" t="s">
        <v>1145</v>
      </c>
      <c r="B294" s="14"/>
      <c r="C294" s="14"/>
      <c r="D294" s="69">
        <v>45119</v>
      </c>
      <c r="E294" s="14">
        <v>335</v>
      </c>
      <c r="F294" s="76"/>
      <c r="G294" s="76">
        <v>202053</v>
      </c>
      <c r="H294" s="70" t="s">
        <v>1100</v>
      </c>
      <c r="I294" s="7">
        <f t="shared" ca="1" si="1"/>
        <v>0</v>
      </c>
      <c r="J294" s="71">
        <v>45236</v>
      </c>
      <c r="K294" s="7"/>
    </row>
    <row r="295" spans="1:11" ht="14.25" customHeight="1">
      <c r="A295" s="14" t="s">
        <v>251</v>
      </c>
      <c r="B295" s="14"/>
      <c r="C295" s="14"/>
      <c r="D295" s="69">
        <v>45121</v>
      </c>
      <c r="E295" s="14">
        <v>340</v>
      </c>
      <c r="F295" s="76"/>
      <c r="G295" s="76">
        <v>142004</v>
      </c>
      <c r="H295" s="70" t="s">
        <v>1100</v>
      </c>
      <c r="I295" s="7">
        <f t="shared" ca="1" si="1"/>
        <v>0</v>
      </c>
      <c r="J295" s="71">
        <v>45237</v>
      </c>
      <c r="K295" s="7"/>
    </row>
    <row r="296" spans="1:11" ht="14.25" customHeight="1">
      <c r="A296" s="14" t="s">
        <v>1146</v>
      </c>
      <c r="B296" s="78"/>
      <c r="C296" s="78"/>
      <c r="D296" s="69">
        <v>45121</v>
      </c>
      <c r="E296" s="14">
        <v>337</v>
      </c>
      <c r="F296" s="76"/>
      <c r="G296" s="76">
        <v>714000</v>
      </c>
      <c r="H296" s="70" t="s">
        <v>1100</v>
      </c>
      <c r="I296" s="7">
        <f t="shared" ca="1" si="1"/>
        <v>0</v>
      </c>
      <c r="J296" s="71"/>
      <c r="K296" s="7"/>
    </row>
    <row r="297" spans="1:11" ht="14.25" customHeight="1">
      <c r="A297" s="14" t="s">
        <v>1079</v>
      </c>
      <c r="B297" s="78"/>
      <c r="C297" s="78"/>
      <c r="D297" s="69">
        <v>45121</v>
      </c>
      <c r="E297" s="14">
        <v>338</v>
      </c>
      <c r="F297" s="76"/>
      <c r="G297" s="76">
        <v>89246</v>
      </c>
      <c r="H297" s="70" t="s">
        <v>1044</v>
      </c>
      <c r="I297" s="7">
        <f t="shared" ca="1" si="1"/>
        <v>0</v>
      </c>
      <c r="J297" s="71"/>
      <c r="K297" s="7"/>
    </row>
    <row r="298" spans="1:11" ht="14.25" customHeight="1">
      <c r="A298" s="14" t="s">
        <v>126</v>
      </c>
      <c r="B298" s="7"/>
      <c r="C298" s="7"/>
      <c r="D298" s="69">
        <v>45121</v>
      </c>
      <c r="E298" s="14">
        <v>339</v>
      </c>
      <c r="F298" s="76"/>
      <c r="G298" s="76">
        <v>226901</v>
      </c>
      <c r="H298" s="70" t="s">
        <v>1044</v>
      </c>
      <c r="I298" s="7">
        <f t="shared" ca="1" si="1"/>
        <v>0</v>
      </c>
      <c r="J298" s="71"/>
      <c r="K298" s="7"/>
    </row>
    <row r="299" spans="1:11" ht="14.25" customHeight="1">
      <c r="A299" s="14" t="s">
        <v>330</v>
      </c>
      <c r="B299" s="78"/>
      <c r="C299" s="78"/>
      <c r="D299" s="69">
        <v>45125</v>
      </c>
      <c r="E299" s="14">
        <v>341</v>
      </c>
      <c r="F299" s="76"/>
      <c r="G299" s="76">
        <v>110171</v>
      </c>
      <c r="H299" s="70" t="s">
        <v>1044</v>
      </c>
      <c r="I299" s="7">
        <f t="shared" ca="1" si="1"/>
        <v>0</v>
      </c>
      <c r="J299" s="71"/>
      <c r="K299" s="7"/>
    </row>
    <row r="300" spans="1:11" ht="14.25" customHeight="1">
      <c r="A300" s="14" t="s">
        <v>245</v>
      </c>
      <c r="B300" s="78"/>
      <c r="C300" s="78"/>
      <c r="D300" s="69">
        <v>45125</v>
      </c>
      <c r="E300" s="14">
        <v>342</v>
      </c>
      <c r="F300" s="76"/>
      <c r="G300" s="76">
        <v>120098</v>
      </c>
      <c r="H300" s="70" t="s">
        <v>1044</v>
      </c>
      <c r="I300" s="7">
        <f t="shared" ca="1" si="1"/>
        <v>0</v>
      </c>
      <c r="J300" s="71"/>
      <c r="K300" s="7"/>
    </row>
    <row r="301" spans="1:11" ht="14.25" customHeight="1">
      <c r="A301" s="14" t="s">
        <v>342</v>
      </c>
      <c r="B301" s="78"/>
      <c r="C301" s="78"/>
      <c r="D301" s="69">
        <v>45125</v>
      </c>
      <c r="E301" s="14">
        <v>343</v>
      </c>
      <c r="F301" s="76"/>
      <c r="G301" s="76">
        <v>107614</v>
      </c>
      <c r="H301" s="70" t="s">
        <v>1044</v>
      </c>
      <c r="I301" s="7">
        <f t="shared" ca="1" si="1"/>
        <v>0</v>
      </c>
      <c r="J301" s="71"/>
      <c r="K301" s="7"/>
    </row>
    <row r="302" spans="1:11" ht="14.25" customHeight="1">
      <c r="A302" s="14" t="s">
        <v>1147</v>
      </c>
      <c r="B302" s="78"/>
      <c r="C302" s="78"/>
      <c r="D302" s="69">
        <v>45131</v>
      </c>
      <c r="E302" s="14">
        <v>344</v>
      </c>
      <c r="F302" s="77">
        <v>45128</v>
      </c>
      <c r="G302" s="76">
        <v>120098</v>
      </c>
      <c r="H302" s="70" t="s">
        <v>1044</v>
      </c>
      <c r="I302" s="7">
        <f t="shared" ca="1" si="1"/>
        <v>0</v>
      </c>
      <c r="J302" s="71"/>
      <c r="K302" s="7"/>
    </row>
    <row r="303" spans="1:11" ht="14.25" customHeight="1">
      <c r="A303" s="14" t="s">
        <v>1081</v>
      </c>
      <c r="B303" s="78"/>
      <c r="C303" s="78"/>
      <c r="D303" s="69">
        <v>45134</v>
      </c>
      <c r="E303" s="14">
        <v>345</v>
      </c>
      <c r="F303" s="76"/>
      <c r="G303" s="76">
        <v>122888</v>
      </c>
      <c r="H303" s="70" t="s">
        <v>1044</v>
      </c>
      <c r="I303" s="7">
        <f t="shared" ca="1" si="1"/>
        <v>0</v>
      </c>
      <c r="J303" s="71"/>
      <c r="K303" s="7"/>
    </row>
    <row r="304" spans="1:11" ht="14.25" customHeight="1">
      <c r="A304" s="14" t="s">
        <v>330</v>
      </c>
      <c r="B304" s="78"/>
      <c r="C304" s="78"/>
      <c r="D304" s="69">
        <v>45134</v>
      </c>
      <c r="E304" s="14">
        <v>346</v>
      </c>
      <c r="F304" s="76"/>
      <c r="G304" s="76">
        <v>92036</v>
      </c>
      <c r="H304" s="70" t="s">
        <v>1130</v>
      </c>
      <c r="I304" s="7">
        <f t="shared" ca="1" si="1"/>
        <v>0</v>
      </c>
      <c r="J304" s="71"/>
      <c r="K304" s="7" t="s">
        <v>1148</v>
      </c>
    </row>
    <row r="305" spans="1:11" ht="14.25" customHeight="1">
      <c r="A305" s="14" t="s">
        <v>1125</v>
      </c>
      <c r="B305" s="78"/>
      <c r="C305" s="78"/>
      <c r="D305" s="69">
        <v>45134</v>
      </c>
      <c r="E305" s="14">
        <v>347</v>
      </c>
      <c r="F305" s="76"/>
      <c r="G305" s="76">
        <v>199083</v>
      </c>
      <c r="H305" s="70" t="s">
        <v>1100</v>
      </c>
      <c r="I305" s="7">
        <f t="shared" ca="1" si="1"/>
        <v>0</v>
      </c>
      <c r="J305" s="71"/>
      <c r="K305" s="7"/>
    </row>
    <row r="306" spans="1:11" ht="14.25" customHeight="1">
      <c r="A306" s="14" t="s">
        <v>1079</v>
      </c>
      <c r="B306" s="78"/>
      <c r="C306" s="78"/>
      <c r="D306" s="69">
        <v>45134</v>
      </c>
      <c r="E306" s="14">
        <v>349</v>
      </c>
      <c r="F306" s="76"/>
      <c r="G306" s="76">
        <v>89246</v>
      </c>
      <c r="H306" s="70" t="s">
        <v>1044</v>
      </c>
      <c r="I306" s="7">
        <f t="shared" ca="1" si="1"/>
        <v>0</v>
      </c>
      <c r="J306" s="71"/>
      <c r="K306" s="7"/>
    </row>
    <row r="307" spans="1:11" ht="14.25" customHeight="1">
      <c r="A307" s="14" t="s">
        <v>126</v>
      </c>
      <c r="B307" s="78"/>
      <c r="C307" s="78"/>
      <c r="D307" s="69">
        <v>45135</v>
      </c>
      <c r="E307" s="14">
        <v>348</v>
      </c>
      <c r="F307" s="76"/>
      <c r="G307" s="76">
        <v>62839</v>
      </c>
      <c r="H307" s="70" t="s">
        <v>1044</v>
      </c>
      <c r="I307" s="7">
        <f t="shared" ca="1" si="1"/>
        <v>0</v>
      </c>
      <c r="J307" s="71"/>
      <c r="K307" s="7"/>
    </row>
    <row r="308" spans="1:11" ht="14.25" customHeight="1">
      <c r="A308" s="14" t="s">
        <v>336</v>
      </c>
      <c r="B308" s="78"/>
      <c r="C308" s="78"/>
      <c r="D308" s="69">
        <v>45146</v>
      </c>
      <c r="E308" s="14">
        <v>351</v>
      </c>
      <c r="F308" s="76"/>
      <c r="G308" s="76">
        <v>115615</v>
      </c>
      <c r="H308" s="70" t="s">
        <v>1100</v>
      </c>
      <c r="I308" s="7">
        <f t="shared" ca="1" si="1"/>
        <v>0</v>
      </c>
      <c r="J308" s="71"/>
      <c r="K308" s="7"/>
    </row>
    <row r="309" spans="1:11" ht="14.25" customHeight="1">
      <c r="A309" s="14" t="s">
        <v>410</v>
      </c>
      <c r="B309" s="78"/>
      <c r="C309" s="78"/>
      <c r="D309" s="69">
        <v>45146</v>
      </c>
      <c r="E309" s="14">
        <v>350</v>
      </c>
      <c r="F309" s="79"/>
      <c r="G309" s="76">
        <v>140019</v>
      </c>
      <c r="H309" s="70" t="s">
        <v>1044</v>
      </c>
      <c r="I309" s="7">
        <f t="shared" ca="1" si="1"/>
        <v>0</v>
      </c>
      <c r="J309" s="71"/>
      <c r="K309" s="7"/>
    </row>
    <row r="310" spans="1:11" ht="14.25" customHeight="1">
      <c r="A310" s="14" t="s">
        <v>1056</v>
      </c>
      <c r="B310" s="78"/>
      <c r="C310" s="78"/>
      <c r="D310" s="69">
        <v>45139</v>
      </c>
      <c r="E310" s="68" t="s">
        <v>1057</v>
      </c>
      <c r="F310" s="69">
        <v>45139</v>
      </c>
      <c r="G310" s="76">
        <v>356000</v>
      </c>
      <c r="H310" s="70" t="s">
        <v>1100</v>
      </c>
      <c r="I310" s="7">
        <f t="shared" ca="1" si="1"/>
        <v>0</v>
      </c>
      <c r="J310" s="71"/>
      <c r="K310" s="7"/>
    </row>
    <row r="311" spans="1:11" ht="14.25" customHeight="1">
      <c r="A311" s="14" t="s">
        <v>330</v>
      </c>
      <c r="B311" s="78"/>
      <c r="C311" s="78"/>
      <c r="D311" s="69">
        <v>45148</v>
      </c>
      <c r="E311" s="14">
        <v>352</v>
      </c>
      <c r="F311" s="76"/>
      <c r="G311" s="76">
        <v>220342</v>
      </c>
      <c r="H311" s="70" t="s">
        <v>1100</v>
      </c>
      <c r="I311" s="7">
        <f t="shared" ca="1" si="1"/>
        <v>0</v>
      </c>
      <c r="J311" s="71"/>
      <c r="K311" s="7"/>
    </row>
    <row r="312" spans="1:11" ht="14.25" customHeight="1">
      <c r="A312" s="14" t="s">
        <v>1149</v>
      </c>
      <c r="B312" s="78"/>
      <c r="C312" s="78"/>
      <c r="D312" s="69"/>
      <c r="E312" s="68" t="s">
        <v>1057</v>
      </c>
      <c r="F312" s="14"/>
      <c r="G312" s="76">
        <v>235251</v>
      </c>
      <c r="H312" s="70" t="s">
        <v>1100</v>
      </c>
      <c r="I312" s="7">
        <f t="shared" ca="1" si="1"/>
        <v>0</v>
      </c>
      <c r="J312" s="71"/>
      <c r="K312" s="7"/>
    </row>
    <row r="313" spans="1:11" ht="14.25" customHeight="1">
      <c r="A313" s="14" t="s">
        <v>1113</v>
      </c>
      <c r="B313" s="78"/>
      <c r="C313" s="78"/>
      <c r="D313" s="69">
        <v>45148</v>
      </c>
      <c r="E313" s="14">
        <v>353</v>
      </c>
      <c r="F313" s="76"/>
      <c r="G313" s="76">
        <v>145268</v>
      </c>
      <c r="H313" s="70" t="s">
        <v>1100</v>
      </c>
      <c r="I313" s="7">
        <f t="shared" ca="1" si="1"/>
        <v>0</v>
      </c>
      <c r="J313" s="71"/>
      <c r="K313" s="7"/>
    </row>
    <row r="314" spans="1:11" ht="14.25" customHeight="1">
      <c r="A314" s="14" t="s">
        <v>1138</v>
      </c>
      <c r="B314" s="78"/>
      <c r="C314" s="78"/>
      <c r="D314" s="69">
        <v>45148</v>
      </c>
      <c r="E314" s="14">
        <v>354</v>
      </c>
      <c r="F314" s="76"/>
      <c r="G314" s="76">
        <v>114166</v>
      </c>
      <c r="H314" s="70" t="s">
        <v>1100</v>
      </c>
      <c r="I314" s="7">
        <f t="shared" ca="1" si="1"/>
        <v>0</v>
      </c>
      <c r="J314" s="71"/>
      <c r="K314" s="7"/>
    </row>
    <row r="315" spans="1:11" ht="14.25" customHeight="1">
      <c r="A315" s="14" t="s">
        <v>1150</v>
      </c>
      <c r="B315" s="78"/>
      <c r="C315" s="78"/>
      <c r="D315" s="69">
        <v>45155</v>
      </c>
      <c r="E315" s="14">
        <v>355</v>
      </c>
      <c r="F315" s="76"/>
      <c r="G315" s="76">
        <v>120098</v>
      </c>
      <c r="H315" s="70" t="s">
        <v>1100</v>
      </c>
      <c r="I315" s="7">
        <f t="shared" ca="1" si="1"/>
        <v>0</v>
      </c>
      <c r="J315" s="71"/>
      <c r="K315" s="7"/>
    </row>
    <row r="316" spans="1:11" ht="14.25" customHeight="1">
      <c r="A316" s="14" t="s">
        <v>1151</v>
      </c>
      <c r="B316" s="78"/>
      <c r="C316" s="78"/>
      <c r="D316" s="69">
        <v>45160</v>
      </c>
      <c r="E316" s="14">
        <v>356</v>
      </c>
      <c r="F316" s="76"/>
      <c r="G316" s="76">
        <v>122888</v>
      </c>
      <c r="H316" s="70" t="s">
        <v>1100</v>
      </c>
      <c r="I316" s="7">
        <f t="shared" ca="1" si="1"/>
        <v>0</v>
      </c>
      <c r="J316" s="71"/>
      <c r="K316" s="7"/>
    </row>
    <row r="317" spans="1:11" ht="14.25" customHeight="1">
      <c r="A317" s="14" t="s">
        <v>1152</v>
      </c>
      <c r="B317" s="78"/>
      <c r="C317" s="78"/>
      <c r="D317" s="69">
        <v>45160</v>
      </c>
      <c r="E317" s="14">
        <v>357</v>
      </c>
      <c r="F317" s="76"/>
      <c r="G317" s="76">
        <v>199083</v>
      </c>
      <c r="H317" s="70" t="s">
        <v>1100</v>
      </c>
      <c r="I317" s="7">
        <f t="shared" ca="1" si="1"/>
        <v>0</v>
      </c>
      <c r="J317" s="71"/>
      <c r="K317" s="7"/>
    </row>
    <row r="318" spans="1:11" ht="14.25" customHeight="1">
      <c r="A318" s="14" t="s">
        <v>1153</v>
      </c>
      <c r="B318" s="78"/>
      <c r="C318" s="78"/>
      <c r="D318" s="69">
        <v>45162</v>
      </c>
      <c r="E318" s="14">
        <v>358</v>
      </c>
      <c r="F318" s="76"/>
      <c r="G318" s="76">
        <v>177358</v>
      </c>
      <c r="H318" s="70" t="s">
        <v>1100</v>
      </c>
      <c r="I318" s="7">
        <f t="shared" ca="1" si="1"/>
        <v>0</v>
      </c>
      <c r="J318" s="71"/>
      <c r="K318" s="7"/>
    </row>
    <row r="319" spans="1:11" ht="14.25" customHeight="1">
      <c r="A319" s="14" t="s">
        <v>470</v>
      </c>
      <c r="B319" s="78"/>
      <c r="C319" s="78"/>
      <c r="D319" s="69">
        <v>45162</v>
      </c>
      <c r="E319" s="14">
        <v>359</v>
      </c>
      <c r="F319" s="76"/>
      <c r="G319" s="76">
        <v>199083</v>
      </c>
      <c r="H319" s="70" t="s">
        <v>1100</v>
      </c>
      <c r="I319" s="7">
        <f t="shared" ca="1" si="1"/>
        <v>0</v>
      </c>
      <c r="J319" s="71">
        <v>45233</v>
      </c>
      <c r="K319" s="7"/>
    </row>
    <row r="320" spans="1:11" ht="14.25" customHeight="1">
      <c r="A320" s="14" t="s">
        <v>245</v>
      </c>
      <c r="B320" s="78"/>
      <c r="C320" s="78"/>
      <c r="D320" s="69">
        <v>45162</v>
      </c>
      <c r="E320" s="14">
        <v>360</v>
      </c>
      <c r="F320" s="76"/>
      <c r="G320" s="76">
        <v>57322</v>
      </c>
      <c r="H320" s="70" t="s">
        <v>1100</v>
      </c>
      <c r="I320" s="7">
        <f t="shared" ca="1" si="1"/>
        <v>0</v>
      </c>
      <c r="J320" s="71"/>
      <c r="K320" s="7"/>
    </row>
    <row r="321" spans="1:11" ht="14.25" customHeight="1">
      <c r="A321" s="14" t="s">
        <v>1101</v>
      </c>
      <c r="B321" s="78"/>
      <c r="C321" s="78"/>
      <c r="D321" s="69">
        <v>45162</v>
      </c>
      <c r="E321" s="14">
        <v>361</v>
      </c>
      <c r="F321" s="77">
        <v>45160</v>
      </c>
      <c r="G321" s="76">
        <v>89246</v>
      </c>
      <c r="H321" s="70" t="s">
        <v>1044</v>
      </c>
      <c r="I321" s="7">
        <f t="shared" ca="1" si="1"/>
        <v>0</v>
      </c>
      <c r="J321" s="71"/>
      <c r="K321" s="7"/>
    </row>
    <row r="322" spans="1:11" ht="14.25" customHeight="1">
      <c r="A322" s="14" t="s">
        <v>1126</v>
      </c>
      <c r="B322" s="78"/>
      <c r="C322" s="78"/>
      <c r="D322" s="69">
        <v>45173</v>
      </c>
      <c r="E322" s="14">
        <v>362</v>
      </c>
      <c r="F322" s="77">
        <v>45170</v>
      </c>
      <c r="G322" s="76">
        <v>114644</v>
      </c>
      <c r="H322" s="70" t="s">
        <v>1100</v>
      </c>
      <c r="I322" s="7">
        <f t="shared" ca="1" si="1"/>
        <v>0</v>
      </c>
      <c r="J322" s="71"/>
      <c r="K322" s="7"/>
    </row>
    <row r="323" spans="1:11" ht="14.25" customHeight="1">
      <c r="A323" s="14" t="s">
        <v>330</v>
      </c>
      <c r="B323" s="78"/>
      <c r="C323" s="78"/>
      <c r="D323" s="69">
        <v>45173</v>
      </c>
      <c r="E323" s="14">
        <v>363</v>
      </c>
      <c r="F323" s="69">
        <v>45173</v>
      </c>
      <c r="G323" s="76">
        <v>220342</v>
      </c>
      <c r="H323" s="70" t="s">
        <v>1100</v>
      </c>
      <c r="I323" s="7">
        <f t="shared" ca="1" si="1"/>
        <v>0</v>
      </c>
      <c r="J323" s="71"/>
      <c r="K323" s="7"/>
    </row>
    <row r="324" spans="1:11" ht="14.25" customHeight="1">
      <c r="A324" s="14" t="s">
        <v>416</v>
      </c>
      <c r="B324" s="78"/>
      <c r="C324" s="78"/>
      <c r="D324" s="69">
        <v>45173</v>
      </c>
      <c r="E324" s="14">
        <v>364</v>
      </c>
      <c r="F324" s="69">
        <v>45174</v>
      </c>
      <c r="G324" s="76">
        <v>112614</v>
      </c>
      <c r="H324" s="70" t="s">
        <v>1100</v>
      </c>
      <c r="I324" s="7">
        <f t="shared" ca="1" si="1"/>
        <v>0</v>
      </c>
      <c r="J324" s="71"/>
      <c r="K324" s="7"/>
    </row>
    <row r="325" spans="1:11" ht="14.25" customHeight="1">
      <c r="A325" s="14" t="s">
        <v>245</v>
      </c>
      <c r="B325" s="78"/>
      <c r="C325" s="78"/>
      <c r="D325" s="69">
        <v>45173</v>
      </c>
      <c r="E325" s="14">
        <v>365</v>
      </c>
      <c r="F325" s="69">
        <v>45173</v>
      </c>
      <c r="G325" s="76">
        <v>122366</v>
      </c>
      <c r="H325" s="70" t="s">
        <v>1100</v>
      </c>
      <c r="I325" s="7">
        <f t="shared" ca="1" si="1"/>
        <v>0</v>
      </c>
      <c r="J325" s="71"/>
      <c r="K325" s="7"/>
    </row>
    <row r="326" spans="1:11" ht="14.25" customHeight="1">
      <c r="A326" s="14" t="s">
        <v>126</v>
      </c>
      <c r="B326" s="78"/>
      <c r="C326" s="78"/>
      <c r="D326" s="69">
        <v>45173</v>
      </c>
      <c r="E326" s="14">
        <v>366</v>
      </c>
      <c r="F326" s="77">
        <v>45170</v>
      </c>
      <c r="G326" s="76">
        <v>94258</v>
      </c>
      <c r="H326" s="70" t="s">
        <v>1100</v>
      </c>
      <c r="I326" s="7">
        <f t="shared" ca="1" si="1"/>
        <v>0</v>
      </c>
      <c r="J326" s="71"/>
      <c r="K326" s="7"/>
    </row>
    <row r="327" spans="1:11" ht="14.25" customHeight="1">
      <c r="A327" s="14" t="s">
        <v>1073</v>
      </c>
      <c r="B327" s="78"/>
      <c r="C327" s="78"/>
      <c r="D327" s="69">
        <v>45177</v>
      </c>
      <c r="E327" s="14">
        <v>367</v>
      </c>
      <c r="F327" s="77">
        <v>45176</v>
      </c>
      <c r="G327" s="76">
        <v>89246</v>
      </c>
      <c r="H327" s="70" t="s">
        <v>1100</v>
      </c>
      <c r="I327" s="7">
        <f t="shared" ca="1" si="1"/>
        <v>0</v>
      </c>
      <c r="J327" s="71"/>
      <c r="K327" s="7"/>
    </row>
    <row r="328" spans="1:11" ht="14.25" customHeight="1">
      <c r="A328" s="14" t="s">
        <v>1147</v>
      </c>
      <c r="B328" s="78"/>
      <c r="C328" s="78"/>
      <c r="D328" s="69">
        <v>45177</v>
      </c>
      <c r="E328" s="14">
        <v>368</v>
      </c>
      <c r="F328" s="77">
        <v>45176</v>
      </c>
      <c r="G328" s="76">
        <v>116045</v>
      </c>
      <c r="H328" s="70" t="s">
        <v>1100</v>
      </c>
      <c r="I328" s="7">
        <f t="shared" ca="1" si="1"/>
        <v>0</v>
      </c>
      <c r="J328" s="71"/>
      <c r="K328" s="7"/>
    </row>
    <row r="329" spans="1:11" ht="14.25" customHeight="1">
      <c r="A329" s="14" t="s">
        <v>1067</v>
      </c>
      <c r="B329" s="78"/>
      <c r="C329" s="78"/>
      <c r="D329" s="69">
        <v>45177</v>
      </c>
      <c r="E329" s="14">
        <v>369</v>
      </c>
      <c r="F329" s="69">
        <v>45178</v>
      </c>
      <c r="G329" s="76">
        <v>84619</v>
      </c>
      <c r="H329" s="70" t="s">
        <v>1100</v>
      </c>
      <c r="I329" s="7">
        <f t="shared" ca="1" si="1"/>
        <v>0</v>
      </c>
      <c r="J329" s="71"/>
      <c r="K329" s="7"/>
    </row>
    <row r="330" spans="1:11" ht="14.25" customHeight="1">
      <c r="A330" s="14" t="s">
        <v>1067</v>
      </c>
      <c r="B330" s="78"/>
      <c r="C330" s="78"/>
      <c r="D330" s="69">
        <v>45195</v>
      </c>
      <c r="E330" s="14">
        <v>371</v>
      </c>
      <c r="F330" s="69">
        <v>45195</v>
      </c>
      <c r="G330" s="76">
        <v>139340</v>
      </c>
      <c r="H330" s="70" t="s">
        <v>1044</v>
      </c>
      <c r="I330" s="7">
        <f t="shared" ca="1" si="1"/>
        <v>0</v>
      </c>
      <c r="J330" s="71">
        <v>45238</v>
      </c>
      <c r="K330" s="7"/>
    </row>
    <row r="331" spans="1:11" ht="14.25" customHeight="1">
      <c r="A331" s="14" t="s">
        <v>410</v>
      </c>
      <c r="B331" s="78"/>
      <c r="C331" s="78"/>
      <c r="D331" s="69">
        <v>45195</v>
      </c>
      <c r="E331" s="14">
        <v>372</v>
      </c>
      <c r="F331" s="69">
        <v>45195</v>
      </c>
      <c r="G331" s="76">
        <v>107614</v>
      </c>
      <c r="H331" s="70" t="s">
        <v>1044</v>
      </c>
      <c r="I331" s="7">
        <f t="shared" ca="1" si="1"/>
        <v>0</v>
      </c>
      <c r="J331" s="71">
        <v>45239</v>
      </c>
      <c r="K331" s="7"/>
    </row>
    <row r="332" spans="1:11" ht="14.25" customHeight="1">
      <c r="A332" s="14" t="s">
        <v>1101</v>
      </c>
      <c r="B332" s="78"/>
      <c r="C332" s="78"/>
      <c r="D332" s="69">
        <v>45195</v>
      </c>
      <c r="E332" s="14">
        <v>373</v>
      </c>
      <c r="F332" s="69">
        <v>45195</v>
      </c>
      <c r="G332" s="76">
        <v>89246</v>
      </c>
      <c r="H332" s="70" t="s">
        <v>1100</v>
      </c>
      <c r="I332" s="7">
        <f t="shared" ca="1" si="1"/>
        <v>0</v>
      </c>
      <c r="J332" s="71"/>
      <c r="K332" s="7"/>
    </row>
    <row r="333" spans="1:11" ht="14.25" customHeight="1">
      <c r="A333" s="14" t="s">
        <v>1154</v>
      </c>
      <c r="B333" s="78"/>
      <c r="C333" s="78"/>
      <c r="D333" s="69">
        <v>45195</v>
      </c>
      <c r="E333" s="14">
        <v>374</v>
      </c>
      <c r="F333" s="69">
        <v>45195</v>
      </c>
      <c r="G333" s="76">
        <v>351050</v>
      </c>
      <c r="H333" s="70" t="s">
        <v>1130</v>
      </c>
      <c r="I333" s="7">
        <f t="shared" ca="1" si="1"/>
        <v>0</v>
      </c>
      <c r="J333" s="71"/>
      <c r="K333" s="7"/>
    </row>
    <row r="334" spans="1:11" ht="14.25" customHeight="1">
      <c r="A334" s="14" t="s">
        <v>1154</v>
      </c>
      <c r="B334" s="78"/>
      <c r="C334" s="78"/>
      <c r="D334" s="69">
        <v>45195</v>
      </c>
      <c r="E334" s="14">
        <v>375</v>
      </c>
      <c r="F334" s="69">
        <v>45195</v>
      </c>
      <c r="G334" s="76">
        <v>351050</v>
      </c>
      <c r="H334" s="70" t="s">
        <v>1100</v>
      </c>
      <c r="I334" s="7">
        <f t="shared" ca="1" si="1"/>
        <v>0</v>
      </c>
      <c r="J334" s="71"/>
      <c r="K334" s="7"/>
    </row>
    <row r="335" spans="1:11" ht="14.25" customHeight="1">
      <c r="A335" s="14" t="s">
        <v>1068</v>
      </c>
      <c r="B335" s="78"/>
      <c r="C335" s="78"/>
      <c r="D335" s="69">
        <v>45195</v>
      </c>
      <c r="E335" s="14">
        <v>376</v>
      </c>
      <c r="F335" s="69">
        <v>45195</v>
      </c>
      <c r="G335" s="76">
        <v>674858</v>
      </c>
      <c r="H335" s="70" t="s">
        <v>1100</v>
      </c>
      <c r="I335" s="7">
        <f t="shared" ca="1" si="1"/>
        <v>0</v>
      </c>
      <c r="J335" s="71"/>
      <c r="K335" s="7"/>
    </row>
    <row r="336" spans="1:11" ht="14.25" customHeight="1">
      <c r="A336" s="14" t="s">
        <v>1073</v>
      </c>
      <c r="B336" s="78"/>
      <c r="C336" s="78"/>
      <c r="D336" s="69">
        <v>45196</v>
      </c>
      <c r="E336" s="14">
        <v>377</v>
      </c>
      <c r="F336" s="69">
        <v>45198</v>
      </c>
      <c r="G336" s="76">
        <v>89246</v>
      </c>
      <c r="H336" s="70" t="s">
        <v>1100</v>
      </c>
      <c r="I336" s="7">
        <f t="shared" ca="1" si="1"/>
        <v>0</v>
      </c>
      <c r="J336" s="71">
        <v>45244</v>
      </c>
      <c r="K336" s="7"/>
    </row>
    <row r="337" spans="1:11" ht="14.25" customHeight="1">
      <c r="A337" s="14" t="s">
        <v>261</v>
      </c>
      <c r="B337" s="78"/>
      <c r="C337" s="78"/>
      <c r="D337" s="69">
        <v>45196</v>
      </c>
      <c r="E337" s="14">
        <v>378</v>
      </c>
      <c r="F337" s="69">
        <v>45196</v>
      </c>
      <c r="G337" s="76">
        <v>202053</v>
      </c>
      <c r="H337" s="70" t="s">
        <v>1044</v>
      </c>
      <c r="I337" s="7">
        <f t="shared" ca="1" si="1"/>
        <v>0</v>
      </c>
      <c r="J337" s="71">
        <v>45252</v>
      </c>
      <c r="K337" s="7"/>
    </row>
    <row r="338" spans="1:11" ht="14.25" customHeight="1">
      <c r="A338" s="14" t="s">
        <v>1155</v>
      </c>
      <c r="B338" s="78"/>
      <c r="C338" s="78"/>
      <c r="D338" s="69">
        <v>45196</v>
      </c>
      <c r="E338" s="14">
        <v>380</v>
      </c>
      <c r="F338" s="69">
        <v>45196</v>
      </c>
      <c r="G338" s="76">
        <v>185728</v>
      </c>
      <c r="H338" s="70" t="s">
        <v>1044</v>
      </c>
      <c r="I338" s="7">
        <f t="shared" ca="1" si="1"/>
        <v>0</v>
      </c>
      <c r="J338" s="71"/>
      <c r="K338" s="7"/>
    </row>
    <row r="339" spans="1:11" ht="14.25" customHeight="1">
      <c r="A339" s="14" t="s">
        <v>470</v>
      </c>
      <c r="B339" s="78"/>
      <c r="C339" s="78"/>
      <c r="D339" s="69">
        <v>45196</v>
      </c>
      <c r="E339" s="14">
        <v>381</v>
      </c>
      <c r="F339" s="69">
        <v>45197</v>
      </c>
      <c r="G339" s="76">
        <v>111980</v>
      </c>
      <c r="H339" s="70" t="s">
        <v>1100</v>
      </c>
      <c r="I339" s="7">
        <f t="shared" ca="1" si="1"/>
        <v>0</v>
      </c>
      <c r="J339" s="71"/>
      <c r="K339" s="7"/>
    </row>
    <row r="340" spans="1:11" ht="14.25" customHeight="1">
      <c r="A340" s="14" t="s">
        <v>220</v>
      </c>
      <c r="B340" s="78"/>
      <c r="C340" s="78"/>
      <c r="D340" s="69">
        <v>45196</v>
      </c>
      <c r="E340" s="14">
        <v>382</v>
      </c>
      <c r="F340" s="69">
        <v>45197</v>
      </c>
      <c r="G340" s="76">
        <v>606159</v>
      </c>
      <c r="H340" s="70" t="s">
        <v>1100</v>
      </c>
      <c r="I340" s="7">
        <f t="shared" ca="1" si="1"/>
        <v>0</v>
      </c>
      <c r="J340" s="71"/>
      <c r="K340" s="7"/>
    </row>
    <row r="341" spans="1:11" ht="14.25" customHeight="1">
      <c r="A341" s="14" t="s">
        <v>416</v>
      </c>
      <c r="B341" s="78"/>
      <c r="C341" s="78"/>
      <c r="D341" s="69">
        <v>45196</v>
      </c>
      <c r="E341" s="14">
        <v>383</v>
      </c>
      <c r="F341" s="69">
        <v>45197</v>
      </c>
      <c r="G341" s="76">
        <v>95487</v>
      </c>
      <c r="H341" s="70" t="s">
        <v>1044</v>
      </c>
      <c r="I341" s="7">
        <f t="shared" ca="1" si="1"/>
        <v>0</v>
      </c>
      <c r="J341" s="71">
        <v>45281</v>
      </c>
      <c r="K341" s="7"/>
    </row>
    <row r="342" spans="1:11" ht="14.25" customHeight="1">
      <c r="A342" s="14" t="s">
        <v>1153</v>
      </c>
      <c r="B342" s="78"/>
      <c r="C342" s="78"/>
      <c r="D342" s="69">
        <v>45203</v>
      </c>
      <c r="E342" s="14">
        <v>384</v>
      </c>
      <c r="F342" s="69">
        <v>45203</v>
      </c>
      <c r="G342" s="76">
        <v>117308</v>
      </c>
      <c r="H342" s="70" t="s">
        <v>1044</v>
      </c>
      <c r="I342" s="7">
        <f t="shared" ca="1" si="1"/>
        <v>0</v>
      </c>
      <c r="J342" s="71">
        <v>45252</v>
      </c>
      <c r="K342" s="7"/>
    </row>
    <row r="343" spans="1:11" ht="14.25" customHeight="1">
      <c r="A343" s="14" t="s">
        <v>1088</v>
      </c>
      <c r="B343" s="78"/>
      <c r="C343" s="78"/>
      <c r="D343" s="69">
        <v>45203</v>
      </c>
      <c r="E343" s="14">
        <v>385</v>
      </c>
      <c r="F343" s="69">
        <v>45203</v>
      </c>
      <c r="G343" s="76">
        <v>150123</v>
      </c>
      <c r="H343" s="70" t="s">
        <v>1044</v>
      </c>
      <c r="I343" s="7">
        <f t="shared" ca="1" si="1"/>
        <v>0</v>
      </c>
      <c r="J343" s="71"/>
      <c r="K343" s="7"/>
    </row>
    <row r="344" spans="1:11" ht="14.25" customHeight="1">
      <c r="A344" s="14" t="s">
        <v>1156</v>
      </c>
      <c r="B344" s="78"/>
      <c r="C344" s="78"/>
      <c r="D344" s="69">
        <v>45196</v>
      </c>
      <c r="E344" s="14">
        <v>386</v>
      </c>
      <c r="F344" s="69">
        <v>45196</v>
      </c>
      <c r="G344" s="76">
        <v>142004</v>
      </c>
      <c r="H344" s="70" t="s">
        <v>1100</v>
      </c>
      <c r="I344" s="7">
        <f t="shared" ca="1" si="1"/>
        <v>0</v>
      </c>
      <c r="J344" s="71">
        <v>45232</v>
      </c>
      <c r="K344" s="7"/>
    </row>
    <row r="345" spans="1:11" ht="14.25" customHeight="1">
      <c r="A345" s="14" t="s">
        <v>1157</v>
      </c>
      <c r="B345" s="78"/>
      <c r="C345" s="78"/>
      <c r="D345" s="69">
        <v>45180</v>
      </c>
      <c r="E345" s="14">
        <v>370</v>
      </c>
      <c r="F345" s="69">
        <v>45182</v>
      </c>
      <c r="G345" s="76">
        <v>111674</v>
      </c>
      <c r="H345" s="70" t="s">
        <v>1100</v>
      </c>
      <c r="I345" s="7">
        <f t="shared" ca="1" si="1"/>
        <v>0</v>
      </c>
      <c r="J345" s="71"/>
      <c r="K345" s="7"/>
    </row>
    <row r="346" spans="1:11" ht="14.25" customHeight="1">
      <c r="A346" s="14" t="s">
        <v>383</v>
      </c>
      <c r="B346" s="78"/>
      <c r="C346" s="78"/>
      <c r="D346" s="69">
        <v>45210</v>
      </c>
      <c r="E346" s="14">
        <v>387</v>
      </c>
      <c r="F346" s="69">
        <v>45213</v>
      </c>
      <c r="G346" s="76">
        <v>113759</v>
      </c>
      <c r="H346" s="70" t="s">
        <v>1100</v>
      </c>
      <c r="I346" s="7">
        <f t="shared" ca="1" si="1"/>
        <v>0</v>
      </c>
      <c r="J346" s="71">
        <v>45233</v>
      </c>
      <c r="K346" s="7"/>
    </row>
    <row r="347" spans="1:11" ht="14.25" customHeight="1">
      <c r="A347" s="14" t="s">
        <v>1158</v>
      </c>
      <c r="B347" s="78"/>
      <c r="C347" s="78"/>
      <c r="D347" s="69">
        <v>45210</v>
      </c>
      <c r="E347" s="14">
        <v>388</v>
      </c>
      <c r="F347" s="69">
        <v>45212</v>
      </c>
      <c r="G347" s="76">
        <v>114944</v>
      </c>
      <c r="H347" s="70" t="s">
        <v>1044</v>
      </c>
      <c r="I347" s="7">
        <f t="shared" ca="1" si="1"/>
        <v>0</v>
      </c>
      <c r="J347" s="71"/>
      <c r="K347" s="7"/>
    </row>
    <row r="348" spans="1:11" ht="14.25" customHeight="1">
      <c r="A348" s="14" t="s">
        <v>1159</v>
      </c>
      <c r="B348" s="78"/>
      <c r="C348" s="78"/>
      <c r="D348" s="69">
        <v>45210</v>
      </c>
      <c r="E348" s="14">
        <v>389</v>
      </c>
      <c r="F348" s="69">
        <v>45212</v>
      </c>
      <c r="G348" s="76">
        <v>121493</v>
      </c>
      <c r="H348" s="70" t="s">
        <v>1044</v>
      </c>
      <c r="I348" s="7">
        <f t="shared" ca="1" si="1"/>
        <v>0</v>
      </c>
      <c r="J348" s="71">
        <v>45246</v>
      </c>
      <c r="K348" s="7"/>
    </row>
    <row r="349" spans="1:11" ht="14.25" customHeight="1">
      <c r="A349" s="14" t="s">
        <v>1056</v>
      </c>
      <c r="B349" s="78"/>
      <c r="C349" s="78"/>
      <c r="D349" s="69">
        <v>45197</v>
      </c>
      <c r="E349" s="14" t="s">
        <v>1057</v>
      </c>
      <c r="F349" s="69">
        <v>45197</v>
      </c>
      <c r="G349" s="76">
        <v>172000</v>
      </c>
      <c r="H349" s="70" t="s">
        <v>1044</v>
      </c>
      <c r="I349" s="7">
        <f t="shared" ca="1" si="1"/>
        <v>0</v>
      </c>
      <c r="J349" s="71">
        <v>45258</v>
      </c>
      <c r="K349" s="7"/>
    </row>
    <row r="350" spans="1:11" ht="14.25" customHeight="1">
      <c r="A350" s="14" t="s">
        <v>126</v>
      </c>
      <c r="B350" s="78"/>
      <c r="C350" s="78"/>
      <c r="D350" s="69">
        <v>45215</v>
      </c>
      <c r="E350" s="14">
        <v>390</v>
      </c>
      <c r="F350" s="69">
        <v>45215</v>
      </c>
      <c r="G350" s="76">
        <v>197403</v>
      </c>
      <c r="H350" s="70" t="s">
        <v>1100</v>
      </c>
      <c r="I350" s="7">
        <f t="shared" ca="1" si="1"/>
        <v>0</v>
      </c>
      <c r="J350" s="71"/>
      <c r="K350" s="7"/>
    </row>
    <row r="351" spans="1:11" ht="14.25" customHeight="1">
      <c r="A351" s="14" t="s">
        <v>1064</v>
      </c>
      <c r="B351" s="78"/>
      <c r="C351" s="78"/>
      <c r="D351" s="69">
        <v>45215</v>
      </c>
      <c r="E351" s="14">
        <v>391</v>
      </c>
      <c r="F351" s="69">
        <v>45215</v>
      </c>
      <c r="G351" s="76">
        <v>56687</v>
      </c>
      <c r="H351" s="70" t="s">
        <v>1100</v>
      </c>
      <c r="I351" s="7">
        <f t="shared" ca="1" si="1"/>
        <v>0</v>
      </c>
      <c r="J351" s="71">
        <v>45264</v>
      </c>
      <c r="K351" s="7"/>
    </row>
    <row r="352" spans="1:11" ht="14.25" customHeight="1">
      <c r="A352" s="14" t="s">
        <v>1157</v>
      </c>
      <c r="B352" s="78"/>
      <c r="C352" s="78"/>
      <c r="D352" s="69">
        <v>45215</v>
      </c>
      <c r="E352" s="14">
        <v>392</v>
      </c>
      <c r="F352" s="69">
        <v>45216</v>
      </c>
      <c r="G352" s="76">
        <v>121556</v>
      </c>
      <c r="H352" s="70" t="s">
        <v>1100</v>
      </c>
      <c r="I352" s="7">
        <f t="shared" ca="1" si="1"/>
        <v>0</v>
      </c>
      <c r="J352" s="71">
        <v>45264</v>
      </c>
      <c r="K352" s="7"/>
    </row>
    <row r="353" spans="1:11" ht="14.25" customHeight="1">
      <c r="A353" s="14" t="s">
        <v>1160</v>
      </c>
      <c r="B353" s="78"/>
      <c r="C353" s="78"/>
      <c r="D353" s="69">
        <v>45217</v>
      </c>
      <c r="E353" s="14">
        <v>393</v>
      </c>
      <c r="F353" s="69">
        <v>45217</v>
      </c>
      <c r="G353" s="76">
        <v>101026</v>
      </c>
      <c r="H353" s="70" t="s">
        <v>1100</v>
      </c>
      <c r="I353" s="7">
        <f t="shared" ca="1" si="1"/>
        <v>0</v>
      </c>
      <c r="J353" s="71">
        <v>45244</v>
      </c>
      <c r="K353" s="7"/>
    </row>
    <row r="354" spans="1:11" ht="14.25" customHeight="1">
      <c r="A354" s="14" t="s">
        <v>1113</v>
      </c>
      <c r="B354" s="78"/>
      <c r="C354" s="78"/>
      <c r="D354" s="69">
        <v>45219</v>
      </c>
      <c r="E354" s="14">
        <v>394</v>
      </c>
      <c r="F354" s="69">
        <v>45219</v>
      </c>
      <c r="G354" s="76">
        <v>232077</v>
      </c>
      <c r="H354" s="70" t="s">
        <v>1100</v>
      </c>
      <c r="I354" s="7">
        <f t="shared" ca="1" si="1"/>
        <v>0</v>
      </c>
      <c r="J354" s="71">
        <v>45252</v>
      </c>
      <c r="K354" s="7"/>
    </row>
    <row r="355" spans="1:11" ht="14.25" customHeight="1">
      <c r="A355" s="14" t="s">
        <v>330</v>
      </c>
      <c r="B355" s="78"/>
      <c r="C355" s="78"/>
      <c r="D355" s="69">
        <v>45219</v>
      </c>
      <c r="E355" s="14">
        <v>395</v>
      </c>
      <c r="F355" s="69">
        <v>45219</v>
      </c>
      <c r="G355" s="76">
        <v>220342</v>
      </c>
      <c r="H355" s="70" t="s">
        <v>1100</v>
      </c>
      <c r="I355" s="7">
        <f t="shared" ca="1" si="1"/>
        <v>0</v>
      </c>
      <c r="J355" s="71">
        <v>45271</v>
      </c>
      <c r="K355" s="7"/>
    </row>
    <row r="356" spans="1:11" ht="14.25" customHeight="1">
      <c r="A356" s="14" t="s">
        <v>1073</v>
      </c>
      <c r="B356" s="78"/>
      <c r="C356" s="78"/>
      <c r="D356" s="69">
        <v>45219</v>
      </c>
      <c r="E356" s="14">
        <v>396</v>
      </c>
      <c r="F356" s="69">
        <v>45219</v>
      </c>
      <c r="G356" s="76">
        <v>178492</v>
      </c>
      <c r="H356" s="70" t="s">
        <v>1044</v>
      </c>
      <c r="I356" s="7">
        <f t="shared" ca="1" si="1"/>
        <v>0</v>
      </c>
      <c r="J356" s="71">
        <v>45282</v>
      </c>
      <c r="K356" s="7"/>
    </row>
    <row r="357" spans="1:11" ht="14.25" customHeight="1">
      <c r="A357" s="14" t="s">
        <v>1161</v>
      </c>
      <c r="B357" s="78"/>
      <c r="C357" s="78"/>
      <c r="D357" s="69">
        <v>45219</v>
      </c>
      <c r="E357" s="14">
        <v>397</v>
      </c>
      <c r="F357" s="69">
        <v>45220</v>
      </c>
      <c r="G357" s="76">
        <v>202053</v>
      </c>
      <c r="H357" s="70" t="s">
        <v>1044</v>
      </c>
      <c r="I357" s="7">
        <f t="shared" ca="1" si="1"/>
        <v>0</v>
      </c>
      <c r="J357" s="71"/>
      <c r="K357" s="7"/>
    </row>
    <row r="358" spans="1:11" ht="14.25" customHeight="1">
      <c r="A358" s="14" t="s">
        <v>1076</v>
      </c>
      <c r="B358" s="78"/>
      <c r="C358" s="78"/>
      <c r="D358" s="69">
        <v>45224</v>
      </c>
      <c r="E358" s="14">
        <v>398</v>
      </c>
      <c r="F358" s="69">
        <v>45224</v>
      </c>
      <c r="G358" s="76">
        <v>117434</v>
      </c>
      <c r="H358" s="70" t="s">
        <v>1100</v>
      </c>
      <c r="I358" s="7">
        <f t="shared" ca="1" si="1"/>
        <v>0</v>
      </c>
      <c r="J358" s="71"/>
      <c r="K358" s="7"/>
    </row>
    <row r="359" spans="1:11" ht="14.25" customHeight="1">
      <c r="A359" s="14" t="s">
        <v>410</v>
      </c>
      <c r="B359" s="78"/>
      <c r="C359" s="78"/>
      <c r="D359" s="69">
        <v>45224</v>
      </c>
      <c r="E359" s="14">
        <v>399</v>
      </c>
      <c r="F359" s="69">
        <v>45224</v>
      </c>
      <c r="G359" s="76">
        <v>122888</v>
      </c>
      <c r="H359" s="70" t="s">
        <v>1044</v>
      </c>
      <c r="I359" s="7">
        <f t="shared" ca="1" si="1"/>
        <v>0</v>
      </c>
      <c r="J359" s="71">
        <v>45244</v>
      </c>
      <c r="K359" s="7"/>
    </row>
    <row r="360" spans="1:11" ht="14.25" customHeight="1">
      <c r="A360" s="14" t="s">
        <v>1125</v>
      </c>
      <c r="B360" s="78"/>
      <c r="C360" s="78"/>
      <c r="D360" s="69">
        <v>45224</v>
      </c>
      <c r="E360" s="14">
        <v>400</v>
      </c>
      <c r="F360" s="69">
        <v>45226</v>
      </c>
      <c r="G360" s="76">
        <v>398165</v>
      </c>
      <c r="H360" s="70" t="s">
        <v>1130</v>
      </c>
      <c r="I360" s="7">
        <f t="shared" ca="1" si="1"/>
        <v>0</v>
      </c>
      <c r="J360" s="71" t="s">
        <v>1043</v>
      </c>
      <c r="K360" s="7" t="s">
        <v>1162</v>
      </c>
    </row>
    <row r="361" spans="1:11" ht="14.25" customHeight="1">
      <c r="A361" s="14" t="s">
        <v>1067</v>
      </c>
      <c r="B361" s="78"/>
      <c r="C361" s="78"/>
      <c r="D361" s="69">
        <v>45224</v>
      </c>
      <c r="E361" s="14">
        <v>401</v>
      </c>
      <c r="F361" s="69">
        <v>45224</v>
      </c>
      <c r="G361" s="76">
        <v>46737</v>
      </c>
      <c r="H361" s="70" t="s">
        <v>1100</v>
      </c>
      <c r="I361" s="7">
        <f t="shared" ca="1" si="1"/>
        <v>0</v>
      </c>
      <c r="J361" s="71">
        <v>45237</v>
      </c>
      <c r="K361" s="7"/>
    </row>
    <row r="362" spans="1:11" ht="14.25" customHeight="1">
      <c r="A362" s="14" t="s">
        <v>1088</v>
      </c>
      <c r="B362" s="78"/>
      <c r="C362" s="78"/>
      <c r="D362" s="69">
        <v>45224</v>
      </c>
      <c r="E362" s="14">
        <v>402</v>
      </c>
      <c r="F362" s="69">
        <v>45224</v>
      </c>
      <c r="G362" s="76">
        <v>114644</v>
      </c>
      <c r="H362" s="70" t="s">
        <v>1044</v>
      </c>
      <c r="I362" s="7">
        <f t="shared" ca="1" si="1"/>
        <v>0</v>
      </c>
      <c r="J362" s="71">
        <v>45258</v>
      </c>
      <c r="K362" s="7"/>
    </row>
    <row r="363" spans="1:11" ht="14.25" customHeight="1">
      <c r="A363" s="14" t="s">
        <v>126</v>
      </c>
      <c r="B363" s="78"/>
      <c r="C363" s="78"/>
      <c r="D363" s="69">
        <v>45224</v>
      </c>
      <c r="E363" s="14">
        <v>403</v>
      </c>
      <c r="F363" s="69">
        <v>45222</v>
      </c>
      <c r="G363" s="76">
        <v>324745</v>
      </c>
      <c r="H363" s="70" t="s">
        <v>1044</v>
      </c>
      <c r="I363" s="7">
        <f t="shared" ca="1" si="1"/>
        <v>0</v>
      </c>
      <c r="J363" s="71">
        <v>45237</v>
      </c>
      <c r="K363" s="7"/>
    </row>
    <row r="364" spans="1:11" ht="14.25" customHeight="1">
      <c r="A364" s="14" t="s">
        <v>1128</v>
      </c>
      <c r="B364" s="78"/>
      <c r="C364" s="78"/>
      <c r="D364" s="69">
        <v>45230</v>
      </c>
      <c r="E364" s="14">
        <v>404</v>
      </c>
      <c r="F364" s="69">
        <v>45230</v>
      </c>
      <c r="G364" s="76">
        <v>202053</v>
      </c>
      <c r="H364" s="70" t="s">
        <v>1100</v>
      </c>
      <c r="I364" s="7"/>
      <c r="J364" s="71">
        <v>45286</v>
      </c>
      <c r="K364" s="7" t="s">
        <v>1163</v>
      </c>
    </row>
    <row r="365" spans="1:11" ht="14.25" customHeight="1">
      <c r="A365" s="14" t="s">
        <v>1164</v>
      </c>
      <c r="B365" s="78"/>
      <c r="C365" s="78"/>
      <c r="D365" s="69">
        <v>45230</v>
      </c>
      <c r="E365" s="14">
        <v>405</v>
      </c>
      <c r="F365" s="69">
        <v>45232</v>
      </c>
      <c r="G365" s="76">
        <v>101026</v>
      </c>
      <c r="H365" s="70" t="s">
        <v>1100</v>
      </c>
      <c r="I365" s="7">
        <f t="shared" ref="I365:I526" ca="1" si="2">IF(OR(H365="Pagado",H365="Anulada"),0,IF(ISNUMBER(E365),TODAY()-D365,TODAY()-F365))</f>
        <v>0</v>
      </c>
      <c r="J365" s="71">
        <v>41226</v>
      </c>
      <c r="K365" s="7"/>
    </row>
    <row r="366" spans="1:11" ht="14.25" customHeight="1">
      <c r="A366" s="14" t="s">
        <v>1165</v>
      </c>
      <c r="B366" s="78"/>
      <c r="C366" s="78"/>
      <c r="D366" s="69">
        <v>45230</v>
      </c>
      <c r="E366" s="14">
        <v>406</v>
      </c>
      <c r="F366" s="69"/>
      <c r="G366" s="76">
        <v>220342</v>
      </c>
      <c r="H366" s="70" t="s">
        <v>1130</v>
      </c>
      <c r="I366" s="7">
        <f t="shared" ca="1" si="2"/>
        <v>0</v>
      </c>
      <c r="J366" s="71"/>
      <c r="K366" s="7" t="s">
        <v>1166</v>
      </c>
    </row>
    <row r="367" spans="1:11" ht="14.25" customHeight="1">
      <c r="A367" s="14" t="s">
        <v>1067</v>
      </c>
      <c r="B367" s="78"/>
      <c r="C367" s="78"/>
      <c r="D367" s="69">
        <v>45238</v>
      </c>
      <c r="E367" s="14">
        <v>407</v>
      </c>
      <c r="F367" s="69">
        <v>45238</v>
      </c>
      <c r="G367" s="76">
        <v>183109</v>
      </c>
      <c r="H367" s="70" t="s">
        <v>1044</v>
      </c>
      <c r="I367" s="7">
        <f t="shared" ca="1" si="2"/>
        <v>0</v>
      </c>
      <c r="J367" s="71">
        <v>45273</v>
      </c>
      <c r="K367" s="7"/>
    </row>
    <row r="368" spans="1:11" ht="14.25" customHeight="1">
      <c r="A368" s="14" t="s">
        <v>245</v>
      </c>
      <c r="B368" s="78"/>
      <c r="C368" s="78"/>
      <c r="D368" s="69">
        <v>45238</v>
      </c>
      <c r="E368" s="14">
        <v>408</v>
      </c>
      <c r="F368" s="69">
        <v>45238</v>
      </c>
      <c r="G368" s="76">
        <v>110413</v>
      </c>
      <c r="H368" s="70" t="s">
        <v>1044</v>
      </c>
      <c r="I368" s="7">
        <f t="shared" ca="1" si="2"/>
        <v>0</v>
      </c>
      <c r="J368" s="71">
        <v>45241</v>
      </c>
      <c r="K368" s="7"/>
    </row>
    <row r="369" spans="1:13" ht="14.25" customHeight="1">
      <c r="A369" s="14" t="s">
        <v>1157</v>
      </c>
      <c r="B369" s="78"/>
      <c r="C369" s="78"/>
      <c r="D369" s="69">
        <v>45238</v>
      </c>
      <c r="E369" s="14">
        <v>410</v>
      </c>
      <c r="F369" s="69">
        <v>45239</v>
      </c>
      <c r="G369" s="76">
        <v>105130</v>
      </c>
      <c r="H369" s="70" t="s">
        <v>1100</v>
      </c>
      <c r="I369" s="7">
        <f t="shared" ca="1" si="2"/>
        <v>0</v>
      </c>
      <c r="J369" s="71">
        <v>45279</v>
      </c>
      <c r="K369" s="7"/>
    </row>
    <row r="370" spans="1:13" ht="14.25" customHeight="1">
      <c r="A370" s="14" t="s">
        <v>487</v>
      </c>
      <c r="B370" s="78"/>
      <c r="C370" s="78"/>
      <c r="D370" s="69">
        <v>45243</v>
      </c>
      <c r="E370" s="14">
        <v>411</v>
      </c>
      <c r="F370" s="69">
        <v>45246</v>
      </c>
      <c r="G370" s="76">
        <v>199263</v>
      </c>
      <c r="H370" s="70" t="s">
        <v>1044</v>
      </c>
      <c r="I370" s="7">
        <f t="shared" ca="1" si="2"/>
        <v>0</v>
      </c>
      <c r="J370" s="71">
        <v>45278</v>
      </c>
      <c r="K370" s="7"/>
    </row>
    <row r="371" spans="1:13" ht="14.25" customHeight="1">
      <c r="A371" s="14" t="s">
        <v>251</v>
      </c>
      <c r="B371" s="78"/>
      <c r="C371" s="78"/>
      <c r="D371" s="69">
        <v>45243</v>
      </c>
      <c r="E371" s="14">
        <v>412</v>
      </c>
      <c r="F371" s="69">
        <v>45243</v>
      </c>
      <c r="G371" s="76">
        <v>114770</v>
      </c>
      <c r="H371" s="70" t="s">
        <v>1100</v>
      </c>
      <c r="I371" s="7">
        <f t="shared" ca="1" si="2"/>
        <v>0</v>
      </c>
      <c r="J371" s="80">
        <v>45314</v>
      </c>
      <c r="K371" s="7"/>
    </row>
    <row r="372" spans="1:13" ht="14.25" customHeight="1">
      <c r="A372" s="14" t="s">
        <v>470</v>
      </c>
      <c r="B372" s="78"/>
      <c r="C372" s="78"/>
      <c r="D372" s="69">
        <v>45243</v>
      </c>
      <c r="E372" s="14">
        <v>413</v>
      </c>
      <c r="F372" s="69">
        <v>45243</v>
      </c>
      <c r="G372" s="76">
        <v>144669</v>
      </c>
      <c r="H372" s="70" t="s">
        <v>1100</v>
      </c>
      <c r="I372" s="7">
        <f t="shared" ca="1" si="2"/>
        <v>0</v>
      </c>
      <c r="J372" s="71">
        <v>45309</v>
      </c>
      <c r="K372" s="7"/>
    </row>
    <row r="373" spans="1:13" ht="14.25" customHeight="1">
      <c r="A373" s="14" t="s">
        <v>1164</v>
      </c>
      <c r="B373" s="78"/>
      <c r="C373" s="78"/>
      <c r="D373" s="69">
        <v>45243</v>
      </c>
      <c r="E373" s="14">
        <v>414</v>
      </c>
      <c r="F373" s="69">
        <v>45243</v>
      </c>
      <c r="G373" s="76">
        <v>174054</v>
      </c>
      <c r="H373" s="70" t="s">
        <v>1100</v>
      </c>
      <c r="I373" s="7">
        <f t="shared" ca="1" si="2"/>
        <v>0</v>
      </c>
      <c r="J373" s="71">
        <v>45257</v>
      </c>
      <c r="K373" s="7"/>
      <c r="M373" s="81"/>
    </row>
    <row r="374" spans="1:13" ht="14.25" customHeight="1">
      <c r="A374" s="14" t="s">
        <v>1167</v>
      </c>
      <c r="B374" s="78"/>
      <c r="C374" s="78"/>
      <c r="D374" s="69">
        <v>45246</v>
      </c>
      <c r="E374" s="14">
        <v>415</v>
      </c>
      <c r="F374" s="69">
        <v>45250</v>
      </c>
      <c r="G374" s="76">
        <v>118829</v>
      </c>
      <c r="H374" s="70" t="s">
        <v>1044</v>
      </c>
      <c r="I374" s="7">
        <f t="shared" ca="1" si="2"/>
        <v>0</v>
      </c>
      <c r="J374" s="71">
        <v>45250</v>
      </c>
      <c r="K374" s="7"/>
    </row>
    <row r="375" spans="1:13" ht="14.25" customHeight="1">
      <c r="A375" s="14" t="s">
        <v>440</v>
      </c>
      <c r="B375" s="78"/>
      <c r="C375" s="78"/>
      <c r="D375" s="69">
        <v>45246</v>
      </c>
      <c r="E375" s="14">
        <v>417</v>
      </c>
      <c r="F375" s="69">
        <v>45250</v>
      </c>
      <c r="G375" s="76">
        <v>120795</v>
      </c>
      <c r="H375" s="70" t="s">
        <v>1100</v>
      </c>
      <c r="I375" s="7">
        <f t="shared" ca="1" si="2"/>
        <v>0</v>
      </c>
      <c r="J375" s="71">
        <v>45275</v>
      </c>
      <c r="K375" s="7"/>
    </row>
    <row r="376" spans="1:13" ht="14.25" customHeight="1">
      <c r="A376" s="14" t="s">
        <v>1073</v>
      </c>
      <c r="B376" s="78"/>
      <c r="C376" s="78"/>
      <c r="D376" s="69">
        <v>45246</v>
      </c>
      <c r="E376" s="14">
        <v>418</v>
      </c>
      <c r="F376" s="69">
        <v>45246</v>
      </c>
      <c r="G376" s="76">
        <v>178492</v>
      </c>
      <c r="H376" s="70" t="s">
        <v>1044</v>
      </c>
      <c r="I376" s="7">
        <f t="shared" ca="1" si="2"/>
        <v>0</v>
      </c>
      <c r="J376" s="71">
        <v>45275</v>
      </c>
      <c r="K376" s="7"/>
    </row>
    <row r="377" spans="1:13" ht="14.25" customHeight="1">
      <c r="A377" s="14" t="s">
        <v>330</v>
      </c>
      <c r="B377" s="78"/>
      <c r="C377" s="78"/>
      <c r="D377" s="69">
        <v>45246</v>
      </c>
      <c r="E377" s="14">
        <v>419</v>
      </c>
      <c r="F377" s="69">
        <v>45245</v>
      </c>
      <c r="G377" s="76">
        <v>220342</v>
      </c>
      <c r="H377" s="70" t="s">
        <v>1100</v>
      </c>
      <c r="I377" s="7">
        <f t="shared" ca="1" si="2"/>
        <v>0</v>
      </c>
      <c r="J377" s="71">
        <v>45308</v>
      </c>
      <c r="K377" s="7" t="s">
        <v>1168</v>
      </c>
    </row>
    <row r="378" spans="1:13" ht="14.25" customHeight="1">
      <c r="A378" s="82" t="s">
        <v>131</v>
      </c>
      <c r="B378" s="78"/>
      <c r="C378" s="78"/>
      <c r="D378" s="69">
        <v>45246</v>
      </c>
      <c r="E378" s="14">
        <v>420</v>
      </c>
      <c r="F378" s="69">
        <v>45245</v>
      </c>
      <c r="G378" s="76">
        <v>115449</v>
      </c>
      <c r="H378" s="70" t="s">
        <v>1044</v>
      </c>
      <c r="I378" s="7">
        <f t="shared" ca="1" si="2"/>
        <v>0</v>
      </c>
      <c r="J378" s="71">
        <v>45254</v>
      </c>
      <c r="K378" s="7"/>
    </row>
    <row r="379" spans="1:13" ht="14.25" customHeight="1">
      <c r="A379" s="14" t="s">
        <v>1142</v>
      </c>
      <c r="B379" s="78"/>
      <c r="C379" s="78"/>
      <c r="D379" s="69">
        <v>45246</v>
      </c>
      <c r="E379" s="14">
        <v>421</v>
      </c>
      <c r="F379" s="77">
        <v>45247</v>
      </c>
      <c r="G379" s="76">
        <v>284790</v>
      </c>
      <c r="H379" s="70" t="s">
        <v>1044</v>
      </c>
      <c r="I379" s="7">
        <f t="shared" ca="1" si="2"/>
        <v>0</v>
      </c>
      <c r="J379" s="71">
        <v>45288</v>
      </c>
      <c r="K379" s="7"/>
    </row>
    <row r="380" spans="1:13" ht="14.25" customHeight="1">
      <c r="A380" s="14" t="s">
        <v>1077</v>
      </c>
      <c r="B380" s="78"/>
      <c r="C380" s="78"/>
      <c r="D380" s="69">
        <v>45246</v>
      </c>
      <c r="E380" s="14">
        <v>422</v>
      </c>
      <c r="F380" s="69">
        <v>45245</v>
      </c>
      <c r="G380" s="76">
        <v>178492</v>
      </c>
      <c r="H380" s="70" t="s">
        <v>1100</v>
      </c>
      <c r="I380" s="7">
        <f t="shared" ca="1" si="2"/>
        <v>0</v>
      </c>
      <c r="J380" s="71">
        <v>45251</v>
      </c>
      <c r="K380" s="7"/>
    </row>
    <row r="381" spans="1:13" ht="14.25" customHeight="1">
      <c r="A381" s="14" t="s">
        <v>1169</v>
      </c>
      <c r="B381" s="78"/>
      <c r="C381" s="78"/>
      <c r="D381" s="69">
        <v>45247</v>
      </c>
      <c r="E381" s="14">
        <v>423</v>
      </c>
      <c r="F381" s="69">
        <v>45246</v>
      </c>
      <c r="G381" s="76">
        <v>145473</v>
      </c>
      <c r="H381" s="70" t="s">
        <v>1130</v>
      </c>
      <c r="I381" s="7">
        <f t="shared" ca="1" si="2"/>
        <v>0</v>
      </c>
      <c r="J381" s="71"/>
      <c r="K381" s="7" t="s">
        <v>1170</v>
      </c>
    </row>
    <row r="382" spans="1:13" ht="14.25" customHeight="1">
      <c r="A382" s="14" t="s">
        <v>1171</v>
      </c>
      <c r="B382" s="78"/>
      <c r="C382" s="78"/>
      <c r="D382" s="69">
        <v>45247</v>
      </c>
      <c r="E382" s="14">
        <v>424</v>
      </c>
      <c r="F382" s="69">
        <v>45246</v>
      </c>
      <c r="G382" s="76">
        <v>122888</v>
      </c>
      <c r="H382" s="70" t="s">
        <v>1044</v>
      </c>
      <c r="I382" s="7">
        <f t="shared" ca="1" si="2"/>
        <v>0</v>
      </c>
      <c r="J382" s="71">
        <v>45272</v>
      </c>
      <c r="K382" s="7"/>
    </row>
    <row r="383" spans="1:13" ht="14.25" customHeight="1">
      <c r="A383" s="14" t="s">
        <v>1152</v>
      </c>
      <c r="B383" s="78"/>
      <c r="C383" s="78"/>
      <c r="D383" s="69">
        <v>45248</v>
      </c>
      <c r="E383" s="14">
        <v>425</v>
      </c>
      <c r="F383" s="69">
        <v>45248</v>
      </c>
      <c r="G383" s="76">
        <v>202053</v>
      </c>
      <c r="H383" s="70" t="s">
        <v>1100</v>
      </c>
      <c r="I383" s="7">
        <f t="shared" ca="1" si="2"/>
        <v>0</v>
      </c>
      <c r="J383" s="71">
        <v>45308</v>
      </c>
      <c r="K383" s="7"/>
    </row>
    <row r="384" spans="1:13" ht="14.25" customHeight="1">
      <c r="A384" s="14" t="s">
        <v>1169</v>
      </c>
      <c r="B384" s="78"/>
      <c r="C384" s="78"/>
      <c r="D384" s="69">
        <v>45250</v>
      </c>
      <c r="E384" s="14">
        <v>427</v>
      </c>
      <c r="F384" s="69">
        <v>45250</v>
      </c>
      <c r="G384" s="76">
        <v>148854</v>
      </c>
      <c r="H384" s="70" t="s">
        <v>1100</v>
      </c>
      <c r="I384" s="7">
        <f t="shared" ca="1" si="2"/>
        <v>0</v>
      </c>
      <c r="J384" s="71">
        <v>45308</v>
      </c>
      <c r="K384" s="7"/>
    </row>
    <row r="385" spans="1:11" ht="14.25" customHeight="1">
      <c r="A385" s="14" t="s">
        <v>1171</v>
      </c>
      <c r="B385" s="78"/>
      <c r="C385" s="78"/>
      <c r="D385" s="69">
        <v>45252</v>
      </c>
      <c r="E385" s="14">
        <v>430</v>
      </c>
      <c r="F385" s="69">
        <v>45252</v>
      </c>
      <c r="G385" s="76">
        <v>88678</v>
      </c>
      <c r="H385" s="70" t="s">
        <v>1044</v>
      </c>
      <c r="I385" s="7">
        <f t="shared" ca="1" si="2"/>
        <v>0</v>
      </c>
      <c r="J385" s="71">
        <v>45272</v>
      </c>
      <c r="K385" s="7"/>
    </row>
    <row r="386" spans="1:11" ht="14.25" customHeight="1">
      <c r="A386" s="384" t="s">
        <v>1113</v>
      </c>
      <c r="B386" s="78"/>
      <c r="C386" s="78"/>
      <c r="D386" s="69">
        <v>45252</v>
      </c>
      <c r="E386" s="14">
        <v>431</v>
      </c>
      <c r="F386" s="77">
        <v>45252</v>
      </c>
      <c r="G386" s="76">
        <v>170634</v>
      </c>
      <c r="H386" s="70" t="s">
        <v>1100</v>
      </c>
      <c r="I386" s="7">
        <f t="shared" ca="1" si="2"/>
        <v>0</v>
      </c>
      <c r="J386" s="71">
        <v>45278</v>
      </c>
      <c r="K386" s="7"/>
    </row>
    <row r="387" spans="1:11" ht="14.25" customHeight="1">
      <c r="A387" s="14" t="s">
        <v>1172</v>
      </c>
      <c r="B387" s="78"/>
      <c r="C387" s="78"/>
      <c r="D387" s="69">
        <v>45250</v>
      </c>
      <c r="E387" s="14">
        <v>428</v>
      </c>
      <c r="F387" s="69">
        <v>45251</v>
      </c>
      <c r="G387" s="76">
        <v>116737</v>
      </c>
      <c r="H387" s="70" t="s">
        <v>1044</v>
      </c>
      <c r="I387" s="7">
        <f t="shared" ca="1" si="2"/>
        <v>0</v>
      </c>
      <c r="J387" s="71">
        <v>45287</v>
      </c>
      <c r="K387" s="7"/>
    </row>
    <row r="388" spans="1:11" ht="14.25" customHeight="1">
      <c r="A388" s="14" t="s">
        <v>410</v>
      </c>
      <c r="B388" s="78"/>
      <c r="C388" s="78"/>
      <c r="D388" s="69">
        <v>45250</v>
      </c>
      <c r="E388" s="14">
        <v>429</v>
      </c>
      <c r="F388" s="69">
        <v>45251</v>
      </c>
      <c r="G388" s="76">
        <v>170634</v>
      </c>
      <c r="H388" s="70" t="s">
        <v>1100</v>
      </c>
      <c r="I388" s="7">
        <f t="shared" ca="1" si="2"/>
        <v>0</v>
      </c>
      <c r="J388" s="71">
        <v>45275</v>
      </c>
      <c r="K388" s="7"/>
    </row>
    <row r="389" spans="1:11" ht="14.25" customHeight="1">
      <c r="A389" s="14" t="s">
        <v>1160</v>
      </c>
      <c r="B389" s="78"/>
      <c r="C389" s="78"/>
      <c r="D389" s="69">
        <v>45253</v>
      </c>
      <c r="E389" s="14">
        <v>432</v>
      </c>
      <c r="F389" s="77"/>
      <c r="G389" s="76">
        <v>119716</v>
      </c>
      <c r="H389" s="70" t="s">
        <v>1044</v>
      </c>
      <c r="I389" s="7">
        <f t="shared" ca="1" si="2"/>
        <v>0</v>
      </c>
      <c r="J389" s="71">
        <v>45279</v>
      </c>
      <c r="K389" s="7"/>
    </row>
    <row r="390" spans="1:11" ht="14.25" customHeight="1">
      <c r="A390" s="14" t="s">
        <v>1056</v>
      </c>
      <c r="B390" s="78"/>
      <c r="C390" s="78"/>
      <c r="D390" s="69">
        <v>45258</v>
      </c>
      <c r="E390" s="15" t="s">
        <v>1057</v>
      </c>
      <c r="F390" s="69">
        <v>45258</v>
      </c>
      <c r="G390" s="76">
        <v>174000</v>
      </c>
      <c r="H390" s="70" t="s">
        <v>1100</v>
      </c>
      <c r="I390" s="7">
        <f t="shared" ca="1" si="2"/>
        <v>0</v>
      </c>
      <c r="J390" s="71">
        <v>45308</v>
      </c>
      <c r="K390" s="7"/>
    </row>
    <row r="391" spans="1:11" ht="14.25" customHeight="1">
      <c r="A391" s="14" t="s">
        <v>1173</v>
      </c>
      <c r="B391" s="78"/>
      <c r="C391" s="78"/>
      <c r="D391" s="69">
        <v>45253</v>
      </c>
      <c r="E391" s="14">
        <v>433</v>
      </c>
      <c r="F391" s="14" t="s">
        <v>1174</v>
      </c>
      <c r="G391" s="76">
        <v>392700</v>
      </c>
      <c r="H391" s="70" t="s">
        <v>1044</v>
      </c>
      <c r="I391" s="7">
        <f t="shared" ca="1" si="2"/>
        <v>0</v>
      </c>
      <c r="J391" s="71"/>
      <c r="K391" s="7" t="s">
        <v>1175</v>
      </c>
    </row>
    <row r="392" spans="1:11" ht="14.25" customHeight="1">
      <c r="A392" s="14" t="s">
        <v>226</v>
      </c>
      <c r="B392" s="78"/>
      <c r="C392" s="78"/>
      <c r="D392" s="69">
        <v>45254</v>
      </c>
      <c r="E392" s="14">
        <v>434</v>
      </c>
      <c r="F392" s="69">
        <v>45254</v>
      </c>
      <c r="G392" s="76">
        <v>202053</v>
      </c>
      <c r="H392" s="70" t="s">
        <v>1100</v>
      </c>
      <c r="I392" s="7">
        <f t="shared" ca="1" si="2"/>
        <v>0</v>
      </c>
      <c r="J392" s="71">
        <v>45286</v>
      </c>
      <c r="K392" s="7" t="s">
        <v>1163</v>
      </c>
    </row>
    <row r="393" spans="1:11" ht="14.25" customHeight="1">
      <c r="A393" s="14" t="s">
        <v>547</v>
      </c>
      <c r="B393" s="78"/>
      <c r="C393" s="78"/>
      <c r="D393" s="69">
        <v>45254</v>
      </c>
      <c r="E393" s="14">
        <v>435</v>
      </c>
      <c r="F393" s="69">
        <v>45254</v>
      </c>
      <c r="G393" s="76">
        <v>114644</v>
      </c>
      <c r="H393" s="70" t="s">
        <v>1100</v>
      </c>
      <c r="I393" s="7">
        <f t="shared" ca="1" si="2"/>
        <v>0</v>
      </c>
      <c r="J393" s="71">
        <v>45278</v>
      </c>
      <c r="K393" s="7"/>
    </row>
    <row r="394" spans="1:11" ht="14.25" customHeight="1">
      <c r="A394" s="14" t="s">
        <v>1176</v>
      </c>
      <c r="B394" s="78"/>
      <c r="C394" s="78"/>
      <c r="D394" s="69">
        <v>45259</v>
      </c>
      <c r="E394" s="14">
        <v>436</v>
      </c>
      <c r="F394" s="14" t="s">
        <v>1174</v>
      </c>
      <c r="G394" s="76">
        <v>103114</v>
      </c>
      <c r="H394" s="70" t="s">
        <v>1177</v>
      </c>
      <c r="I394" s="7">
        <f t="shared" ca="1" si="2"/>
        <v>0</v>
      </c>
      <c r="J394" s="71"/>
      <c r="K394" s="7" t="s">
        <v>1178</v>
      </c>
    </row>
    <row r="395" spans="1:11" ht="14.25" customHeight="1">
      <c r="A395" s="14" t="s">
        <v>1176</v>
      </c>
      <c r="B395" s="78"/>
      <c r="C395" s="78"/>
      <c r="D395" s="69">
        <v>45259</v>
      </c>
      <c r="E395" s="14">
        <v>437</v>
      </c>
      <c r="F395" s="77">
        <v>45261</v>
      </c>
      <c r="G395" s="76">
        <v>116039</v>
      </c>
      <c r="H395" s="70" t="s">
        <v>1044</v>
      </c>
      <c r="I395" s="7">
        <f t="shared" ca="1" si="2"/>
        <v>0</v>
      </c>
      <c r="J395" s="71">
        <v>45287</v>
      </c>
      <c r="K395" s="7"/>
    </row>
    <row r="396" spans="1:11" ht="14.25" customHeight="1">
      <c r="A396" s="14" t="s">
        <v>126</v>
      </c>
      <c r="B396" s="78"/>
      <c r="C396" s="78"/>
      <c r="D396" s="69">
        <v>45260</v>
      </c>
      <c r="E396" s="14">
        <v>438</v>
      </c>
      <c r="F396" s="69">
        <v>45260</v>
      </c>
      <c r="G396" s="76">
        <v>155703</v>
      </c>
      <c r="H396" s="70" t="s">
        <v>1100</v>
      </c>
      <c r="I396" s="7">
        <f t="shared" ca="1" si="2"/>
        <v>0</v>
      </c>
      <c r="J396" s="71">
        <v>45262</v>
      </c>
      <c r="K396" s="7"/>
    </row>
    <row r="397" spans="1:11" ht="14.25" customHeight="1">
      <c r="A397" s="14" t="s">
        <v>470</v>
      </c>
      <c r="B397" s="78"/>
      <c r="C397" s="78"/>
      <c r="D397" s="69">
        <v>45261</v>
      </c>
      <c r="E397" s="14">
        <v>439</v>
      </c>
      <c r="F397" s="77">
        <v>45262</v>
      </c>
      <c r="G397" s="76">
        <v>170634</v>
      </c>
      <c r="H397" s="70" t="s">
        <v>1100</v>
      </c>
      <c r="I397" s="7">
        <f t="shared" ca="1" si="2"/>
        <v>0</v>
      </c>
      <c r="J397" s="71">
        <v>44974</v>
      </c>
      <c r="K397" s="7"/>
    </row>
    <row r="398" spans="1:11" ht="14.25" customHeight="1">
      <c r="A398" s="14" t="s">
        <v>1088</v>
      </c>
      <c r="B398" s="78"/>
      <c r="C398" s="78"/>
      <c r="D398" s="69">
        <v>45261</v>
      </c>
      <c r="E398" s="14">
        <v>440</v>
      </c>
      <c r="F398" s="77">
        <v>45261</v>
      </c>
      <c r="G398" s="76">
        <v>118703</v>
      </c>
      <c r="H398" s="70" t="s">
        <v>1100</v>
      </c>
      <c r="I398" s="7">
        <f t="shared" ca="1" si="2"/>
        <v>0</v>
      </c>
      <c r="J398" s="71">
        <v>45314</v>
      </c>
      <c r="K398" s="7"/>
    </row>
    <row r="399" spans="1:11" ht="14.25" customHeight="1">
      <c r="A399" s="14" t="s">
        <v>1157</v>
      </c>
      <c r="B399" s="78"/>
      <c r="C399" s="78"/>
      <c r="D399" s="69">
        <v>45264</v>
      </c>
      <c r="E399" s="68">
        <v>441</v>
      </c>
      <c r="F399" s="77">
        <v>45264</v>
      </c>
      <c r="G399" s="76">
        <v>154308</v>
      </c>
      <c r="H399" s="70" t="s">
        <v>1100</v>
      </c>
      <c r="I399" s="7">
        <f t="shared" ca="1" si="2"/>
        <v>0</v>
      </c>
      <c r="J399" s="71">
        <v>45300</v>
      </c>
      <c r="K399" s="7"/>
    </row>
    <row r="400" spans="1:11" ht="14.25" customHeight="1">
      <c r="A400" s="14" t="s">
        <v>1101</v>
      </c>
      <c r="B400" s="78"/>
      <c r="C400" s="78"/>
      <c r="D400" s="69">
        <v>45267</v>
      </c>
      <c r="E400" s="14">
        <v>442</v>
      </c>
      <c r="F400" s="77">
        <v>45266</v>
      </c>
      <c r="G400" s="76">
        <v>178492</v>
      </c>
      <c r="H400" s="70" t="s">
        <v>1044</v>
      </c>
      <c r="I400" s="7">
        <f t="shared" ca="1" si="2"/>
        <v>0</v>
      </c>
      <c r="J400" s="71">
        <v>45267</v>
      </c>
      <c r="K400" s="7" t="s">
        <v>1179</v>
      </c>
    </row>
    <row r="401" spans="1:11" ht="14.25" customHeight="1">
      <c r="A401" s="14" t="s">
        <v>126</v>
      </c>
      <c r="B401" s="78"/>
      <c r="C401" s="78"/>
      <c r="D401" s="69">
        <v>45267</v>
      </c>
      <c r="E401" s="14">
        <v>443</v>
      </c>
      <c r="F401" s="77">
        <v>45266</v>
      </c>
      <c r="G401" s="76">
        <v>62839</v>
      </c>
      <c r="H401" s="70" t="s">
        <v>1100</v>
      </c>
      <c r="I401" s="7">
        <f t="shared" ca="1" si="2"/>
        <v>0</v>
      </c>
      <c r="J401" s="71">
        <v>45272</v>
      </c>
      <c r="K401" s="7"/>
    </row>
    <row r="402" spans="1:11" ht="14.25" customHeight="1">
      <c r="A402" s="14" t="s">
        <v>1064</v>
      </c>
      <c r="B402" s="78"/>
      <c r="C402" s="78"/>
      <c r="D402" s="69">
        <v>45267</v>
      </c>
      <c r="E402" s="68">
        <v>444</v>
      </c>
      <c r="F402" s="77">
        <v>45269</v>
      </c>
      <c r="G402" s="76">
        <v>70729</v>
      </c>
      <c r="H402" s="70" t="s">
        <v>1044</v>
      </c>
      <c r="I402" s="7">
        <f t="shared" ca="1" si="2"/>
        <v>0</v>
      </c>
      <c r="J402" s="71">
        <v>45299</v>
      </c>
      <c r="K402" s="7"/>
    </row>
    <row r="403" spans="1:11" ht="14.25" customHeight="1">
      <c r="A403" s="14" t="s">
        <v>1153</v>
      </c>
      <c r="B403" s="78"/>
      <c r="C403" s="78"/>
      <c r="D403" s="69">
        <v>45267</v>
      </c>
      <c r="E403" s="14">
        <v>445</v>
      </c>
      <c r="F403" s="77">
        <v>45268</v>
      </c>
      <c r="G403" s="76">
        <v>117308</v>
      </c>
      <c r="H403" s="70" t="s">
        <v>1044</v>
      </c>
      <c r="I403" s="7">
        <f t="shared" ca="1" si="2"/>
        <v>0</v>
      </c>
      <c r="J403" s="71">
        <v>45271</v>
      </c>
      <c r="K403" s="7"/>
    </row>
    <row r="404" spans="1:11" ht="14.25" customHeight="1">
      <c r="A404" s="14" t="s">
        <v>1180</v>
      </c>
      <c r="B404" s="78"/>
      <c r="C404" s="78"/>
      <c r="D404" s="69">
        <v>45267</v>
      </c>
      <c r="E404" s="14">
        <v>446</v>
      </c>
      <c r="F404" s="77">
        <v>45268</v>
      </c>
      <c r="G404" s="76">
        <v>202053</v>
      </c>
      <c r="H404" s="70" t="s">
        <v>1100</v>
      </c>
      <c r="I404" s="7">
        <f t="shared" ca="1" si="2"/>
        <v>0</v>
      </c>
      <c r="J404" s="71">
        <v>44934</v>
      </c>
      <c r="K404" s="7"/>
    </row>
    <row r="405" spans="1:11" ht="14.25" customHeight="1">
      <c r="A405" s="14" t="s">
        <v>565</v>
      </c>
      <c r="B405" s="78"/>
      <c r="C405" s="78"/>
      <c r="D405" s="69">
        <v>45267</v>
      </c>
      <c r="E405" s="14">
        <v>447</v>
      </c>
      <c r="F405" s="77">
        <v>45267</v>
      </c>
      <c r="G405" s="76">
        <v>116737</v>
      </c>
      <c r="H405" s="70" t="s">
        <v>1100</v>
      </c>
      <c r="I405" s="7">
        <f t="shared" ca="1" si="2"/>
        <v>0</v>
      </c>
      <c r="J405" s="71">
        <v>45295</v>
      </c>
      <c r="K405" s="7"/>
    </row>
    <row r="406" spans="1:11" ht="14.25" customHeight="1">
      <c r="A406" s="14" t="s">
        <v>571</v>
      </c>
      <c r="B406" s="78"/>
      <c r="C406" s="78"/>
      <c r="D406" s="69">
        <v>45267</v>
      </c>
      <c r="E406" s="68">
        <v>448</v>
      </c>
      <c r="F406" s="14" t="s">
        <v>1174</v>
      </c>
      <c r="G406" s="76">
        <v>55482</v>
      </c>
      <c r="H406" s="70" t="s">
        <v>1177</v>
      </c>
      <c r="I406" s="7">
        <f t="shared" ca="1" si="2"/>
        <v>0</v>
      </c>
      <c r="J406" s="71"/>
      <c r="K406" s="7" t="s">
        <v>1181</v>
      </c>
    </row>
    <row r="407" spans="1:11" ht="14.25" customHeight="1">
      <c r="A407" s="14" t="s">
        <v>571</v>
      </c>
      <c r="B407" s="78"/>
      <c r="C407" s="78"/>
      <c r="D407" s="69">
        <v>45267</v>
      </c>
      <c r="E407" s="14">
        <v>449</v>
      </c>
      <c r="F407" s="77">
        <v>45267</v>
      </c>
      <c r="G407" s="76">
        <v>56941</v>
      </c>
      <c r="H407" s="70" t="s">
        <v>1100</v>
      </c>
      <c r="I407" s="7">
        <f t="shared" ca="1" si="2"/>
        <v>0</v>
      </c>
      <c r="J407" s="71">
        <v>45279</v>
      </c>
      <c r="K407" s="7"/>
    </row>
    <row r="408" spans="1:11" ht="14.25" customHeight="1">
      <c r="A408" s="14" t="s">
        <v>459</v>
      </c>
      <c r="B408" s="78"/>
      <c r="C408" s="78"/>
      <c r="D408" s="77">
        <v>45273</v>
      </c>
      <c r="E408" s="14">
        <v>450</v>
      </c>
      <c r="F408" s="77">
        <v>45272</v>
      </c>
      <c r="G408" s="76">
        <v>222267</v>
      </c>
      <c r="H408" s="70" t="s">
        <v>1177</v>
      </c>
      <c r="I408" s="7">
        <f t="shared" ca="1" si="2"/>
        <v>0</v>
      </c>
      <c r="J408" s="71"/>
      <c r="K408" s="7" t="s">
        <v>1182</v>
      </c>
    </row>
    <row r="409" spans="1:11" ht="14.25" customHeight="1">
      <c r="A409" s="14" t="s">
        <v>459</v>
      </c>
      <c r="B409" s="78"/>
      <c r="C409" s="78"/>
      <c r="D409" s="77">
        <v>45273</v>
      </c>
      <c r="E409" s="68">
        <v>451</v>
      </c>
      <c r="F409" s="77">
        <v>45272</v>
      </c>
      <c r="G409" s="76">
        <v>202053</v>
      </c>
      <c r="H409" s="70" t="s">
        <v>1100</v>
      </c>
      <c r="I409" s="7">
        <f t="shared" ca="1" si="2"/>
        <v>0</v>
      </c>
      <c r="J409" s="71">
        <v>45322</v>
      </c>
      <c r="K409" s="7"/>
    </row>
    <row r="410" spans="1:11" ht="14.25" customHeight="1">
      <c r="A410" s="14" t="s">
        <v>1067</v>
      </c>
      <c r="B410" s="78"/>
      <c r="C410" s="78"/>
      <c r="D410" s="77">
        <v>45273</v>
      </c>
      <c r="E410" s="14">
        <v>452</v>
      </c>
      <c r="F410" s="77">
        <v>45271</v>
      </c>
      <c r="G410" s="76">
        <v>174693</v>
      </c>
      <c r="H410" s="70" t="s">
        <v>1100</v>
      </c>
      <c r="I410" s="7">
        <f t="shared" ca="1" si="2"/>
        <v>0</v>
      </c>
      <c r="J410" s="71">
        <v>45308</v>
      </c>
      <c r="K410" s="7"/>
    </row>
    <row r="411" spans="1:11" ht="14.25" customHeight="1">
      <c r="A411" s="18" t="s">
        <v>1120</v>
      </c>
      <c r="B411" s="78"/>
      <c r="C411" s="78"/>
      <c r="D411" s="77">
        <v>45273</v>
      </c>
      <c r="E411" s="14">
        <v>453</v>
      </c>
      <c r="F411" s="77">
        <v>45272</v>
      </c>
      <c r="G411" s="76">
        <v>150123</v>
      </c>
      <c r="H411" s="70" t="s">
        <v>1100</v>
      </c>
      <c r="I411" s="7">
        <f t="shared" ca="1" si="2"/>
        <v>0</v>
      </c>
      <c r="J411" s="71">
        <v>45303</v>
      </c>
      <c r="K411" s="7"/>
    </row>
    <row r="412" spans="1:11" ht="14.25" customHeight="1">
      <c r="A412" s="14" t="s">
        <v>1183</v>
      </c>
      <c r="B412" s="78"/>
      <c r="C412" s="78"/>
      <c r="D412" s="77">
        <v>45273</v>
      </c>
      <c r="E412" s="14">
        <v>454</v>
      </c>
      <c r="F412" s="77">
        <v>45273</v>
      </c>
      <c r="G412" s="76">
        <v>202053</v>
      </c>
      <c r="H412" s="70" t="s">
        <v>1100</v>
      </c>
      <c r="I412" s="7">
        <f t="shared" ca="1" si="2"/>
        <v>0</v>
      </c>
      <c r="J412" s="71">
        <v>45307</v>
      </c>
      <c r="K412" s="7"/>
    </row>
    <row r="413" spans="1:11" ht="14.25" customHeight="1">
      <c r="A413" s="14" t="s">
        <v>440</v>
      </c>
      <c r="B413" s="78"/>
      <c r="C413" s="78"/>
      <c r="D413" s="69">
        <v>45275</v>
      </c>
      <c r="E413" s="68">
        <v>455</v>
      </c>
      <c r="F413" s="77">
        <v>45274</v>
      </c>
      <c r="G413" s="76">
        <v>171965</v>
      </c>
      <c r="H413" s="70" t="s">
        <v>1100</v>
      </c>
      <c r="I413" s="7">
        <f t="shared" ca="1" si="2"/>
        <v>0</v>
      </c>
      <c r="J413" s="71">
        <v>45306</v>
      </c>
      <c r="K413" s="7"/>
    </row>
    <row r="414" spans="1:11" ht="14.25" customHeight="1">
      <c r="A414" s="14" t="s">
        <v>1113</v>
      </c>
      <c r="B414" s="78"/>
      <c r="C414" s="78"/>
      <c r="D414" s="83">
        <v>45280</v>
      </c>
      <c r="E414" s="14">
        <v>456</v>
      </c>
      <c r="F414" s="77">
        <v>45279</v>
      </c>
      <c r="G414" s="76">
        <v>199263</v>
      </c>
      <c r="H414" s="70" t="s">
        <v>1100</v>
      </c>
      <c r="I414" s="7">
        <f t="shared" ca="1" si="2"/>
        <v>0</v>
      </c>
      <c r="J414" s="71">
        <v>45279</v>
      </c>
      <c r="K414" s="7"/>
    </row>
    <row r="415" spans="1:11" ht="14.25" customHeight="1">
      <c r="A415" s="14" t="s">
        <v>547</v>
      </c>
      <c r="B415" s="78"/>
      <c r="C415" s="78"/>
      <c r="D415" s="83">
        <v>45280</v>
      </c>
      <c r="E415" s="14">
        <v>457</v>
      </c>
      <c r="F415" s="77">
        <v>45281</v>
      </c>
      <c r="G415" s="76">
        <v>118132</v>
      </c>
      <c r="H415" s="70" t="s">
        <v>1100</v>
      </c>
      <c r="I415" s="7">
        <f t="shared" ca="1" si="2"/>
        <v>0</v>
      </c>
      <c r="J415" s="71">
        <v>44225</v>
      </c>
      <c r="K415" s="7"/>
    </row>
    <row r="416" spans="1:11" ht="14.25" customHeight="1">
      <c r="A416" s="14" t="s">
        <v>487</v>
      </c>
      <c r="B416" s="78"/>
      <c r="C416" s="78"/>
      <c r="D416" s="83">
        <v>45280</v>
      </c>
      <c r="E416" s="68">
        <v>458</v>
      </c>
      <c r="F416" s="77">
        <v>45281</v>
      </c>
      <c r="G416" s="76">
        <v>111336</v>
      </c>
      <c r="H416" s="70" t="s">
        <v>1100</v>
      </c>
      <c r="I416" s="7">
        <f t="shared" ca="1" si="2"/>
        <v>0</v>
      </c>
      <c r="J416" s="71">
        <v>45314</v>
      </c>
      <c r="K416" s="7"/>
    </row>
    <row r="417" spans="1:11" ht="14.25" customHeight="1">
      <c r="A417" s="14" t="s">
        <v>1088</v>
      </c>
      <c r="B417" s="78"/>
      <c r="C417" s="78"/>
      <c r="D417" s="83">
        <v>45280</v>
      </c>
      <c r="E417" s="14">
        <v>459</v>
      </c>
      <c r="F417" s="77">
        <v>45280</v>
      </c>
      <c r="G417" s="76">
        <v>216571</v>
      </c>
      <c r="H417" s="70" t="s">
        <v>1177</v>
      </c>
      <c r="I417" s="7">
        <f t="shared" ca="1" si="2"/>
        <v>0</v>
      </c>
      <c r="J417" s="71"/>
      <c r="K417" s="7" t="s">
        <v>1184</v>
      </c>
    </row>
    <row r="418" spans="1:11" ht="14.25" customHeight="1">
      <c r="A418" s="14" t="s">
        <v>1185</v>
      </c>
      <c r="B418" s="78"/>
      <c r="C418" s="78"/>
      <c r="D418" s="83">
        <v>45280</v>
      </c>
      <c r="E418" s="14">
        <v>460</v>
      </c>
      <c r="F418" s="77">
        <v>45281</v>
      </c>
      <c r="G418" s="76">
        <v>113946</v>
      </c>
      <c r="H418" s="70" t="s">
        <v>1100</v>
      </c>
      <c r="I418" s="7">
        <f t="shared" ca="1" si="2"/>
        <v>0</v>
      </c>
      <c r="J418" s="71">
        <v>45293</v>
      </c>
      <c r="K418" s="7"/>
    </row>
    <row r="419" spans="1:11" ht="14.25" customHeight="1">
      <c r="A419" s="14" t="s">
        <v>1160</v>
      </c>
      <c r="B419" s="78"/>
      <c r="C419" s="78"/>
      <c r="D419" s="83">
        <v>45280</v>
      </c>
      <c r="E419" s="14">
        <v>461</v>
      </c>
      <c r="F419" s="77">
        <v>45280</v>
      </c>
      <c r="G419" s="76">
        <v>113311</v>
      </c>
      <c r="H419" s="70" t="s">
        <v>1100</v>
      </c>
      <c r="I419" s="7">
        <f t="shared" ca="1" si="2"/>
        <v>0</v>
      </c>
      <c r="J419" s="71">
        <v>45320</v>
      </c>
      <c r="K419" s="7"/>
    </row>
    <row r="420" spans="1:11" ht="14.25" customHeight="1">
      <c r="A420" s="14" t="s">
        <v>126</v>
      </c>
      <c r="B420" s="78"/>
      <c r="C420" s="78"/>
      <c r="D420" s="83">
        <v>45280</v>
      </c>
      <c r="E420" s="68">
        <v>462</v>
      </c>
      <c r="F420" s="77">
        <v>45275</v>
      </c>
      <c r="G420" s="76">
        <v>304196</v>
      </c>
      <c r="H420" s="70" t="s">
        <v>1100</v>
      </c>
      <c r="I420" s="7">
        <f t="shared" ca="1" si="2"/>
        <v>0</v>
      </c>
      <c r="J420" s="71">
        <v>45306</v>
      </c>
      <c r="K420" s="7" t="s">
        <v>1186</v>
      </c>
    </row>
    <row r="421" spans="1:11" ht="14.25" customHeight="1">
      <c r="A421" s="14" t="s">
        <v>1077</v>
      </c>
      <c r="B421" s="78"/>
      <c r="C421" s="78"/>
      <c r="D421" s="83">
        <v>45280</v>
      </c>
      <c r="E421" s="14">
        <v>463</v>
      </c>
      <c r="F421" s="77">
        <v>45268</v>
      </c>
      <c r="G421" s="76">
        <v>184072</v>
      </c>
      <c r="H421" s="70" t="s">
        <v>1100</v>
      </c>
      <c r="I421" s="7">
        <f t="shared" ca="1" si="2"/>
        <v>0</v>
      </c>
      <c r="J421" s="71">
        <v>45286</v>
      </c>
      <c r="K421" s="7"/>
    </row>
    <row r="422" spans="1:11" ht="14.25" customHeight="1">
      <c r="A422" s="14" t="s">
        <v>1157</v>
      </c>
      <c r="B422" s="78"/>
      <c r="C422" s="78"/>
      <c r="D422" s="77">
        <v>45281</v>
      </c>
      <c r="E422" s="14">
        <v>464</v>
      </c>
      <c r="F422" s="77">
        <v>45281</v>
      </c>
      <c r="G422" s="76">
        <v>111219</v>
      </c>
      <c r="H422" s="70" t="s">
        <v>1100</v>
      </c>
      <c r="I422" s="7">
        <f t="shared" ca="1" si="2"/>
        <v>0</v>
      </c>
      <c r="J422" s="71">
        <v>45345</v>
      </c>
      <c r="K422" s="7"/>
    </row>
    <row r="423" spans="1:11" ht="14.25" customHeight="1">
      <c r="A423" s="14" t="s">
        <v>1088</v>
      </c>
      <c r="B423" s="78"/>
      <c r="C423" s="78"/>
      <c r="D423" s="77">
        <v>45281</v>
      </c>
      <c r="E423" s="68">
        <v>465</v>
      </c>
      <c r="F423" s="77">
        <v>45280</v>
      </c>
      <c r="G423" s="76">
        <v>113375</v>
      </c>
      <c r="H423" s="70" t="s">
        <v>1100</v>
      </c>
      <c r="I423" s="7">
        <f t="shared" ca="1" si="2"/>
        <v>0</v>
      </c>
      <c r="J423" s="71">
        <v>45314</v>
      </c>
      <c r="K423" s="7"/>
    </row>
    <row r="424" spans="1:11" ht="14.25" customHeight="1">
      <c r="A424" s="14" t="s">
        <v>1073</v>
      </c>
      <c r="B424" s="78"/>
      <c r="C424" s="78"/>
      <c r="D424" s="77">
        <v>45282</v>
      </c>
      <c r="E424" s="14">
        <v>466</v>
      </c>
      <c r="F424" s="77">
        <v>45282</v>
      </c>
      <c r="G424" s="76">
        <v>89246</v>
      </c>
      <c r="H424" s="70" t="s">
        <v>1044</v>
      </c>
      <c r="I424" s="7">
        <f t="shared" ca="1" si="2"/>
        <v>0</v>
      </c>
      <c r="J424" s="71">
        <v>45390</v>
      </c>
      <c r="K424" s="7"/>
    </row>
    <row r="425" spans="1:11" ht="14.25" customHeight="1">
      <c r="A425" s="14" t="s">
        <v>1125</v>
      </c>
      <c r="B425" s="78"/>
      <c r="C425" s="78"/>
      <c r="D425" s="77">
        <v>45282</v>
      </c>
      <c r="E425" s="14">
        <v>467</v>
      </c>
      <c r="F425" s="69">
        <v>45226</v>
      </c>
      <c r="G425" s="76">
        <v>349637</v>
      </c>
      <c r="H425" s="70" t="s">
        <v>1100</v>
      </c>
      <c r="I425" s="7">
        <f t="shared" ca="1" si="2"/>
        <v>0</v>
      </c>
      <c r="J425" s="71">
        <v>45289</v>
      </c>
      <c r="K425" s="7" t="s">
        <v>1187</v>
      </c>
    </row>
    <row r="426" spans="1:11" ht="14.25" customHeight="1">
      <c r="A426" s="14" t="s">
        <v>1088</v>
      </c>
      <c r="B426" s="78"/>
      <c r="C426" s="78"/>
      <c r="D426" s="77">
        <v>45282</v>
      </c>
      <c r="E426" s="14">
        <v>468</v>
      </c>
      <c r="F426" s="77">
        <v>45282</v>
      </c>
      <c r="G426" s="76">
        <v>110171</v>
      </c>
      <c r="H426" s="70" t="s">
        <v>1100</v>
      </c>
      <c r="I426" s="7">
        <f t="shared" ca="1" si="2"/>
        <v>0</v>
      </c>
      <c r="J426" s="71">
        <v>45301</v>
      </c>
      <c r="K426" s="7"/>
    </row>
    <row r="427" spans="1:11" ht="14.25" customHeight="1">
      <c r="A427" s="14" t="s">
        <v>1188</v>
      </c>
      <c r="B427" s="78"/>
      <c r="C427" s="78"/>
      <c r="D427" s="77">
        <v>45282</v>
      </c>
      <c r="E427" s="68">
        <v>469</v>
      </c>
      <c r="F427" s="77">
        <v>45279</v>
      </c>
      <c r="G427" s="76">
        <v>89246</v>
      </c>
      <c r="H427" s="70" t="s">
        <v>1044</v>
      </c>
      <c r="I427" s="7">
        <f t="shared" ca="1" si="2"/>
        <v>0</v>
      </c>
      <c r="J427" s="71">
        <v>45286</v>
      </c>
      <c r="K427" s="7" t="s">
        <v>1189</v>
      </c>
    </row>
    <row r="428" spans="1:11" ht="14.25" customHeight="1">
      <c r="A428" s="14" t="s">
        <v>577</v>
      </c>
      <c r="B428" s="78"/>
      <c r="C428" s="78"/>
      <c r="D428" s="77">
        <v>45282</v>
      </c>
      <c r="E428" s="14">
        <v>470</v>
      </c>
      <c r="F428" s="77">
        <v>45281</v>
      </c>
      <c r="G428" s="76">
        <v>43646</v>
      </c>
      <c r="H428" s="70" t="s">
        <v>1100</v>
      </c>
      <c r="I428" s="7">
        <f t="shared" ca="1" si="2"/>
        <v>0</v>
      </c>
      <c r="J428" s="71">
        <v>45286</v>
      </c>
      <c r="K428" s="7"/>
    </row>
    <row r="429" spans="1:11" ht="14.25" customHeight="1">
      <c r="A429" s="14" t="s">
        <v>126</v>
      </c>
      <c r="B429" s="78"/>
      <c r="C429" s="78"/>
      <c r="D429" s="69">
        <v>45294</v>
      </c>
      <c r="E429" s="14">
        <v>471</v>
      </c>
      <c r="F429" s="77">
        <v>45287</v>
      </c>
      <c r="G429" s="76">
        <v>45696</v>
      </c>
      <c r="H429" s="70" t="s">
        <v>1100</v>
      </c>
      <c r="I429" s="7">
        <f t="shared" ca="1" si="2"/>
        <v>0</v>
      </c>
      <c r="J429" s="71">
        <v>45299</v>
      </c>
      <c r="K429" s="7" t="s">
        <v>1190</v>
      </c>
    </row>
    <row r="430" spans="1:11" ht="14.25" customHeight="1">
      <c r="A430" s="14" t="s">
        <v>1157</v>
      </c>
      <c r="B430" s="78"/>
      <c r="C430" s="78"/>
      <c r="D430" s="69">
        <v>45296</v>
      </c>
      <c r="E430" s="68">
        <v>472</v>
      </c>
      <c r="F430" s="69">
        <v>45295</v>
      </c>
      <c r="G430" s="76">
        <v>150249</v>
      </c>
      <c r="H430" s="70" t="s">
        <v>1100</v>
      </c>
      <c r="I430" s="7">
        <f t="shared" ca="1" si="2"/>
        <v>0</v>
      </c>
      <c r="J430" s="71">
        <v>45353</v>
      </c>
      <c r="K430" s="7"/>
    </row>
    <row r="431" spans="1:11" ht="14.25" customHeight="1">
      <c r="A431" s="14" t="s">
        <v>470</v>
      </c>
      <c r="B431" s="78"/>
      <c r="C431" s="78"/>
      <c r="D431" s="69">
        <v>45296</v>
      </c>
      <c r="E431" s="14">
        <v>473</v>
      </c>
      <c r="F431" s="69">
        <v>45295</v>
      </c>
      <c r="G431" s="76">
        <v>140609</v>
      </c>
      <c r="H431" s="70" t="s">
        <v>1044</v>
      </c>
      <c r="I431" s="7">
        <f t="shared" ca="1" si="2"/>
        <v>0</v>
      </c>
      <c r="J431" s="71">
        <v>45330</v>
      </c>
      <c r="K431" s="7"/>
    </row>
    <row r="432" spans="1:11" ht="14.25" customHeight="1">
      <c r="A432" s="14" t="s">
        <v>1191</v>
      </c>
      <c r="B432" s="78"/>
      <c r="C432" s="78"/>
      <c r="D432" s="69">
        <v>45296</v>
      </c>
      <c r="E432" s="14">
        <v>474</v>
      </c>
      <c r="F432" s="69">
        <v>45295</v>
      </c>
      <c r="G432" s="76">
        <v>172029</v>
      </c>
      <c r="H432" s="70" t="s">
        <v>1044</v>
      </c>
      <c r="I432" s="7">
        <f t="shared" ca="1" si="2"/>
        <v>0</v>
      </c>
      <c r="J432" s="71">
        <v>45321</v>
      </c>
      <c r="K432" s="7"/>
    </row>
    <row r="433" spans="1:11" ht="14.25" customHeight="1">
      <c r="A433" s="14" t="s">
        <v>1191</v>
      </c>
      <c r="B433" s="78"/>
      <c r="C433" s="78"/>
      <c r="D433" s="69">
        <v>45296</v>
      </c>
      <c r="E433" s="14">
        <v>475</v>
      </c>
      <c r="F433" s="69">
        <v>45295</v>
      </c>
      <c r="G433" s="76">
        <v>22848</v>
      </c>
      <c r="H433" s="70" t="s">
        <v>1044</v>
      </c>
      <c r="I433" s="7">
        <f t="shared" ca="1" si="2"/>
        <v>0</v>
      </c>
      <c r="J433" s="71">
        <v>45321</v>
      </c>
      <c r="K433" s="7"/>
    </row>
    <row r="434" spans="1:11" ht="14.25" customHeight="1">
      <c r="A434" s="14" t="s">
        <v>245</v>
      </c>
      <c r="B434" s="78"/>
      <c r="C434" s="78"/>
      <c r="D434" s="69">
        <v>45296</v>
      </c>
      <c r="E434" s="68">
        <v>476</v>
      </c>
      <c r="F434" s="69">
        <v>45295</v>
      </c>
      <c r="G434" s="76">
        <v>131737</v>
      </c>
      <c r="H434" s="70" t="s">
        <v>1044</v>
      </c>
      <c r="I434" s="7">
        <f t="shared" ca="1" si="2"/>
        <v>0</v>
      </c>
      <c r="J434" s="71">
        <v>45303</v>
      </c>
      <c r="K434" s="7"/>
    </row>
    <row r="435" spans="1:11" ht="14.25" customHeight="1">
      <c r="A435" s="14" t="s">
        <v>1192</v>
      </c>
      <c r="B435" s="78"/>
      <c r="C435" s="78"/>
      <c r="D435" s="69">
        <v>45300</v>
      </c>
      <c r="E435" s="14">
        <v>477</v>
      </c>
      <c r="F435" s="77">
        <v>45303</v>
      </c>
      <c r="G435" s="76">
        <v>101026</v>
      </c>
      <c r="H435" s="70" t="s">
        <v>1100</v>
      </c>
      <c r="I435" s="7">
        <f t="shared" ca="1" si="2"/>
        <v>0</v>
      </c>
      <c r="J435" s="71">
        <v>45432</v>
      </c>
      <c r="K435" s="7"/>
    </row>
    <row r="436" spans="1:11" ht="14.25" customHeight="1">
      <c r="A436" s="14" t="s">
        <v>1064</v>
      </c>
      <c r="B436" s="78"/>
      <c r="C436" s="78"/>
      <c r="D436" s="69">
        <v>45300</v>
      </c>
      <c r="E436" s="14">
        <v>478</v>
      </c>
      <c r="F436" s="77">
        <v>45307</v>
      </c>
      <c r="G436" s="76">
        <v>63867</v>
      </c>
      <c r="H436" s="70" t="s">
        <v>1100</v>
      </c>
      <c r="I436" s="7">
        <f t="shared" ca="1" si="2"/>
        <v>0</v>
      </c>
      <c r="J436" s="71">
        <v>45303</v>
      </c>
      <c r="K436" s="7"/>
    </row>
    <row r="437" spans="1:11" ht="14.25" customHeight="1">
      <c r="A437" s="14" t="s">
        <v>1164</v>
      </c>
      <c r="B437" s="78"/>
      <c r="C437" s="78"/>
      <c r="D437" s="69">
        <v>45300</v>
      </c>
      <c r="E437" s="68">
        <v>479</v>
      </c>
      <c r="F437" s="14" t="s">
        <v>1043</v>
      </c>
      <c r="G437" s="76">
        <v>138348</v>
      </c>
      <c r="H437" s="70" t="s">
        <v>1177</v>
      </c>
      <c r="I437" s="7">
        <f t="shared" ca="1" si="2"/>
        <v>0</v>
      </c>
      <c r="J437" s="71"/>
      <c r="K437" s="7" t="s">
        <v>1193</v>
      </c>
    </row>
    <row r="438" spans="1:11" ht="14.25" customHeight="1">
      <c r="A438" s="14" t="s">
        <v>1164</v>
      </c>
      <c r="B438" s="78"/>
      <c r="C438" s="78"/>
      <c r="D438" s="69">
        <v>45300</v>
      </c>
      <c r="E438" s="14">
        <v>480</v>
      </c>
      <c r="F438" s="77">
        <v>45301</v>
      </c>
      <c r="G438" s="76">
        <v>118769</v>
      </c>
      <c r="H438" s="70" t="s">
        <v>1100</v>
      </c>
      <c r="I438" s="7">
        <f t="shared" ca="1" si="2"/>
        <v>0</v>
      </c>
      <c r="J438" s="71">
        <v>45331</v>
      </c>
      <c r="K438" s="7"/>
    </row>
    <row r="439" spans="1:11" ht="14.25" customHeight="1">
      <c r="A439" s="14" t="s">
        <v>571</v>
      </c>
      <c r="B439" s="78"/>
      <c r="C439" s="78"/>
      <c r="D439" s="69">
        <v>45300</v>
      </c>
      <c r="E439" s="14">
        <v>481</v>
      </c>
      <c r="F439" s="77">
        <v>45301</v>
      </c>
      <c r="G439" s="76">
        <v>110311</v>
      </c>
      <c r="H439" s="70" t="s">
        <v>1100</v>
      </c>
      <c r="I439" s="7">
        <f t="shared" ca="1" si="2"/>
        <v>0</v>
      </c>
      <c r="J439" s="71">
        <v>45350</v>
      </c>
      <c r="K439" s="7"/>
    </row>
    <row r="440" spans="1:11" ht="14.25" customHeight="1">
      <c r="A440" s="14" t="s">
        <v>1141</v>
      </c>
      <c r="B440" s="78"/>
      <c r="C440" s="78"/>
      <c r="D440" s="69">
        <v>45300</v>
      </c>
      <c r="E440" s="14">
        <v>482</v>
      </c>
      <c r="F440" s="69">
        <v>45300</v>
      </c>
      <c r="G440" s="76">
        <v>127648</v>
      </c>
      <c r="H440" s="70" t="s">
        <v>1100</v>
      </c>
      <c r="I440" s="7">
        <f t="shared" ca="1" si="2"/>
        <v>0</v>
      </c>
      <c r="J440" s="71">
        <v>45350</v>
      </c>
      <c r="K440" s="7"/>
    </row>
    <row r="441" spans="1:11" ht="14.25" customHeight="1">
      <c r="A441" s="15" t="s">
        <v>1172</v>
      </c>
      <c r="B441" s="78"/>
      <c r="C441" s="78"/>
      <c r="D441" s="69">
        <v>45300</v>
      </c>
      <c r="E441" s="68">
        <v>483</v>
      </c>
      <c r="F441" s="69">
        <v>45306</v>
      </c>
      <c r="G441" s="76">
        <v>119466</v>
      </c>
      <c r="H441" s="70" t="s">
        <v>1044</v>
      </c>
      <c r="I441" s="7">
        <f t="shared" ca="1" si="2"/>
        <v>0</v>
      </c>
      <c r="J441" s="71">
        <v>45350</v>
      </c>
      <c r="K441" s="7"/>
    </row>
    <row r="442" spans="1:11" ht="14.25" customHeight="1">
      <c r="A442" s="14" t="s">
        <v>1142</v>
      </c>
      <c r="B442" s="78"/>
      <c r="C442" s="78"/>
      <c r="D442" s="69">
        <v>45307</v>
      </c>
      <c r="E442" s="14">
        <v>484</v>
      </c>
      <c r="F442" s="77">
        <v>45304</v>
      </c>
      <c r="G442" s="76">
        <v>304026</v>
      </c>
      <c r="H442" s="70" t="s">
        <v>1100</v>
      </c>
      <c r="I442" s="7">
        <f t="shared" ca="1" si="2"/>
        <v>0</v>
      </c>
      <c r="J442" s="71">
        <v>45350</v>
      </c>
      <c r="K442" s="7"/>
    </row>
    <row r="443" spans="1:11" ht="14.25" customHeight="1">
      <c r="A443" s="14" t="s">
        <v>1194</v>
      </c>
      <c r="B443" s="78"/>
      <c r="C443" s="78"/>
      <c r="D443" s="69">
        <v>45307</v>
      </c>
      <c r="E443" s="14">
        <v>485</v>
      </c>
      <c r="F443" s="69">
        <v>45307</v>
      </c>
      <c r="G443" s="76">
        <v>120102</v>
      </c>
      <c r="H443" s="70" t="s">
        <v>1100</v>
      </c>
      <c r="I443" s="7">
        <f t="shared" ca="1" si="2"/>
        <v>0</v>
      </c>
      <c r="J443" s="71">
        <v>45351</v>
      </c>
      <c r="K443" s="7"/>
    </row>
    <row r="444" spans="1:11" ht="14.25" customHeight="1">
      <c r="A444" s="14" t="s">
        <v>1120</v>
      </c>
      <c r="B444" s="78"/>
      <c r="C444" s="78"/>
      <c r="D444" s="69">
        <v>45307</v>
      </c>
      <c r="E444" s="68">
        <v>486</v>
      </c>
      <c r="F444" s="69">
        <v>45307</v>
      </c>
      <c r="G444" s="76">
        <v>118135</v>
      </c>
      <c r="H444" s="70" t="s">
        <v>1100</v>
      </c>
      <c r="I444" s="7">
        <f t="shared" ca="1" si="2"/>
        <v>0</v>
      </c>
      <c r="J444" s="71">
        <v>45351</v>
      </c>
      <c r="K444" s="7"/>
    </row>
    <row r="445" spans="1:11" ht="14.25" customHeight="1">
      <c r="A445" s="14" t="s">
        <v>1101</v>
      </c>
      <c r="B445" s="78"/>
      <c r="C445" s="78"/>
      <c r="D445" s="68" t="s">
        <v>1195</v>
      </c>
      <c r="E445" s="14" t="s">
        <v>1057</v>
      </c>
      <c r="F445" s="77">
        <v>45279</v>
      </c>
      <c r="G445" s="76">
        <f>80000+90000*2</f>
        <v>260000</v>
      </c>
      <c r="H445" s="70" t="s">
        <v>1044</v>
      </c>
      <c r="I445" s="7">
        <f t="shared" ca="1" si="2"/>
        <v>0</v>
      </c>
      <c r="J445" s="71">
        <v>45306</v>
      </c>
      <c r="K445" s="7" t="s">
        <v>1196</v>
      </c>
    </row>
    <row r="446" spans="1:11" ht="14.25" customHeight="1">
      <c r="A446" s="14" t="s">
        <v>1135</v>
      </c>
      <c r="B446" s="78"/>
      <c r="C446" s="78"/>
      <c r="D446" s="69">
        <v>45308</v>
      </c>
      <c r="E446" s="14">
        <v>487</v>
      </c>
      <c r="F446" s="77">
        <v>45308</v>
      </c>
      <c r="G446" s="76">
        <v>142991</v>
      </c>
      <c r="H446" s="70" t="s">
        <v>1100</v>
      </c>
      <c r="I446" s="7">
        <f t="shared" ca="1" si="2"/>
        <v>0</v>
      </c>
      <c r="J446" s="71">
        <v>45390</v>
      </c>
      <c r="K446" s="7"/>
    </row>
    <row r="447" spans="1:11" ht="14.25" customHeight="1">
      <c r="A447" s="14" t="s">
        <v>1197</v>
      </c>
      <c r="B447" s="78"/>
      <c r="C447" s="78"/>
      <c r="D447" s="69">
        <v>45309</v>
      </c>
      <c r="E447" s="14">
        <v>488</v>
      </c>
      <c r="F447" s="77">
        <v>45310</v>
      </c>
      <c r="G447" s="76">
        <v>420766</v>
      </c>
      <c r="H447" s="70" t="s">
        <v>1100</v>
      </c>
      <c r="I447" s="7">
        <f t="shared" ca="1" si="2"/>
        <v>0</v>
      </c>
      <c r="J447" s="71">
        <v>45310</v>
      </c>
      <c r="K447" s="7"/>
    </row>
    <row r="448" spans="1:11" ht="14.25" customHeight="1">
      <c r="A448" s="14" t="s">
        <v>1067</v>
      </c>
      <c r="B448" s="78"/>
      <c r="C448" s="78"/>
      <c r="D448" s="69">
        <v>45309</v>
      </c>
      <c r="E448" s="14">
        <v>489</v>
      </c>
      <c r="F448" s="77">
        <v>45309</v>
      </c>
      <c r="G448" s="76">
        <v>124858</v>
      </c>
      <c r="H448" s="70" t="s">
        <v>1044</v>
      </c>
      <c r="I448" s="7">
        <f t="shared" ca="1" si="2"/>
        <v>0</v>
      </c>
      <c r="J448" s="71">
        <v>45299</v>
      </c>
      <c r="K448" s="7"/>
    </row>
    <row r="449" spans="1:11" ht="14.25" customHeight="1">
      <c r="A449" s="14" t="s">
        <v>1198</v>
      </c>
      <c r="B449" s="78"/>
      <c r="C449" s="78"/>
      <c r="D449" s="69">
        <v>45310</v>
      </c>
      <c r="E449" s="68">
        <v>490</v>
      </c>
      <c r="F449" s="77">
        <v>45310</v>
      </c>
      <c r="G449" s="76">
        <v>122194</v>
      </c>
      <c r="H449" s="70" t="s">
        <v>1100</v>
      </c>
      <c r="I449" s="7">
        <f t="shared" ca="1" si="2"/>
        <v>0</v>
      </c>
      <c r="J449" s="71">
        <v>45310</v>
      </c>
      <c r="K449" s="7"/>
    </row>
    <row r="450" spans="1:11" ht="14.25" customHeight="1">
      <c r="A450" s="14" t="s">
        <v>1199</v>
      </c>
      <c r="B450" s="78"/>
      <c r="C450" s="78"/>
      <c r="D450" s="69">
        <v>45310</v>
      </c>
      <c r="E450" s="14">
        <v>491</v>
      </c>
      <c r="F450" s="77">
        <v>45310</v>
      </c>
      <c r="G450" s="76">
        <v>201950</v>
      </c>
      <c r="H450" s="70" t="s">
        <v>1100</v>
      </c>
      <c r="I450" s="7">
        <f t="shared" ca="1" si="2"/>
        <v>0</v>
      </c>
      <c r="J450" s="71">
        <v>45405</v>
      </c>
      <c r="K450" s="7"/>
    </row>
    <row r="451" spans="1:11" ht="14.25" customHeight="1">
      <c r="A451" s="14" t="s">
        <v>245</v>
      </c>
      <c r="B451" s="78"/>
      <c r="C451" s="78"/>
      <c r="D451" s="69">
        <v>45310</v>
      </c>
      <c r="E451" s="14">
        <v>492</v>
      </c>
      <c r="F451" s="77">
        <v>45310</v>
      </c>
      <c r="G451" s="76">
        <v>77402</v>
      </c>
      <c r="H451" s="70" t="s">
        <v>1100</v>
      </c>
      <c r="I451" s="7">
        <f t="shared" ca="1" si="2"/>
        <v>0</v>
      </c>
      <c r="J451" s="71">
        <v>45313</v>
      </c>
      <c r="K451" s="7"/>
    </row>
    <row r="452" spans="1:11" ht="14.25" customHeight="1">
      <c r="A452" s="14" t="s">
        <v>1157</v>
      </c>
      <c r="B452" s="78"/>
      <c r="C452" s="78"/>
      <c r="D452" s="69"/>
      <c r="E452" s="68">
        <v>493</v>
      </c>
      <c r="F452" s="77">
        <v>45310</v>
      </c>
      <c r="G452" s="76">
        <v>116740</v>
      </c>
      <c r="H452" s="70" t="s">
        <v>1100</v>
      </c>
      <c r="I452" s="7">
        <f t="shared" ca="1" si="2"/>
        <v>0</v>
      </c>
      <c r="J452" s="71">
        <v>45353</v>
      </c>
      <c r="K452" s="7"/>
    </row>
    <row r="453" spans="1:11" ht="14.25" customHeight="1">
      <c r="A453" s="14" t="s">
        <v>251</v>
      </c>
      <c r="B453" s="78"/>
      <c r="C453" s="78"/>
      <c r="D453" s="69">
        <v>45314</v>
      </c>
      <c r="E453" s="14">
        <v>494</v>
      </c>
      <c r="F453" s="77">
        <v>45312</v>
      </c>
      <c r="G453" s="76">
        <v>420766</v>
      </c>
      <c r="H453" s="70" t="s">
        <v>1177</v>
      </c>
      <c r="I453" s="7">
        <f t="shared" ca="1" si="2"/>
        <v>0</v>
      </c>
      <c r="J453" s="71"/>
      <c r="K453" s="84" t="s">
        <v>1200</v>
      </c>
    </row>
    <row r="454" spans="1:11" ht="14.25" customHeight="1">
      <c r="A454" s="14" t="s">
        <v>251</v>
      </c>
      <c r="B454" s="78"/>
      <c r="C454" s="78"/>
      <c r="D454" s="69">
        <v>45314</v>
      </c>
      <c r="E454" s="14">
        <v>495</v>
      </c>
      <c r="F454" s="77">
        <v>45312</v>
      </c>
      <c r="G454" s="76">
        <v>358337</v>
      </c>
      <c r="H454" s="70" t="s">
        <v>1100</v>
      </c>
      <c r="I454" s="7">
        <f t="shared" ca="1" si="2"/>
        <v>0</v>
      </c>
      <c r="J454" s="71">
        <v>45391</v>
      </c>
      <c r="K454" s="84" t="s">
        <v>1201</v>
      </c>
    </row>
    <row r="455" spans="1:11" ht="14.25" customHeight="1">
      <c r="A455" s="14" t="s">
        <v>1169</v>
      </c>
      <c r="B455" s="78"/>
      <c r="C455" s="78"/>
      <c r="D455" s="69">
        <v>45315</v>
      </c>
      <c r="E455" s="14">
        <v>496</v>
      </c>
      <c r="F455" s="77">
        <v>45312</v>
      </c>
      <c r="G455" s="76">
        <v>154804</v>
      </c>
      <c r="H455" s="70" t="s">
        <v>1100</v>
      </c>
      <c r="I455" s="7">
        <f t="shared" ca="1" si="2"/>
        <v>0</v>
      </c>
      <c r="J455" s="7"/>
      <c r="K455" s="7"/>
    </row>
    <row r="456" spans="1:11" ht="14.25" customHeight="1">
      <c r="A456" s="14" t="s">
        <v>226</v>
      </c>
      <c r="B456" s="78"/>
      <c r="C456" s="78"/>
      <c r="D456" s="69">
        <v>45323</v>
      </c>
      <c r="E456" s="14">
        <v>499</v>
      </c>
      <c r="F456" s="77">
        <v>45320</v>
      </c>
      <c r="G456" s="76">
        <v>174348</v>
      </c>
      <c r="H456" s="70" t="s">
        <v>1100</v>
      </c>
      <c r="I456" s="7">
        <f t="shared" ca="1" si="2"/>
        <v>0</v>
      </c>
      <c r="J456" s="7"/>
      <c r="K456" s="7"/>
    </row>
    <row r="457" spans="1:11" ht="14.25" customHeight="1">
      <c r="A457" s="14" t="s">
        <v>1202</v>
      </c>
      <c r="B457" s="78"/>
      <c r="C457" s="78"/>
      <c r="D457" s="69">
        <v>45323</v>
      </c>
      <c r="E457" s="68">
        <v>500</v>
      </c>
      <c r="F457" s="77">
        <v>45358</v>
      </c>
      <c r="G457" s="76">
        <v>115808</v>
      </c>
      <c r="H457" s="70" t="s">
        <v>1100</v>
      </c>
      <c r="I457" s="7">
        <f t="shared" ca="1" si="2"/>
        <v>0</v>
      </c>
      <c r="J457" s="85">
        <v>45379</v>
      </c>
      <c r="K457" s="7"/>
    </row>
    <row r="458" spans="1:11" ht="14.25" customHeight="1">
      <c r="A458" s="14" t="s">
        <v>1199</v>
      </c>
      <c r="B458" s="78"/>
      <c r="C458" s="78"/>
      <c r="D458" s="69">
        <v>45323</v>
      </c>
      <c r="E458" s="14">
        <v>501</v>
      </c>
      <c r="F458" s="77">
        <v>45321</v>
      </c>
      <c r="G458" s="76">
        <v>107506</v>
      </c>
      <c r="H458" s="70" t="s">
        <v>1100</v>
      </c>
      <c r="I458" s="7">
        <f t="shared" ca="1" si="2"/>
        <v>0</v>
      </c>
      <c r="J458" s="86">
        <v>45376</v>
      </c>
      <c r="K458" s="7"/>
    </row>
    <row r="459" spans="1:11" ht="14.25" customHeight="1">
      <c r="A459" s="14" t="s">
        <v>1110</v>
      </c>
      <c r="B459" s="78"/>
      <c r="C459" s="78"/>
      <c r="D459" s="69">
        <v>45323</v>
      </c>
      <c r="E459" s="14">
        <v>502</v>
      </c>
      <c r="F459" s="77">
        <v>45327</v>
      </c>
      <c r="G459" s="76">
        <v>118135</v>
      </c>
      <c r="H459" s="70" t="s">
        <v>1044</v>
      </c>
      <c r="I459" s="7">
        <f t="shared" ca="1" si="2"/>
        <v>0</v>
      </c>
      <c r="J459" s="71">
        <v>45356</v>
      </c>
      <c r="K459" s="7"/>
    </row>
    <row r="460" spans="1:11" ht="14.25" customHeight="1">
      <c r="A460" s="14" t="s">
        <v>1203</v>
      </c>
      <c r="B460" s="78"/>
      <c r="C460" s="78"/>
      <c r="D460" s="69">
        <v>45323</v>
      </c>
      <c r="E460" s="14">
        <v>503</v>
      </c>
      <c r="F460" s="77">
        <v>45330</v>
      </c>
      <c r="G460" s="76">
        <v>119404</v>
      </c>
      <c r="H460" s="70" t="s">
        <v>1100</v>
      </c>
      <c r="I460" s="7">
        <f t="shared" ca="1" si="2"/>
        <v>0</v>
      </c>
      <c r="J460" s="71">
        <v>45356</v>
      </c>
      <c r="K460" s="7"/>
    </row>
    <row r="461" spans="1:11" ht="14.25" customHeight="1">
      <c r="A461" s="14" t="s">
        <v>1153</v>
      </c>
      <c r="B461" s="78"/>
      <c r="C461" s="78"/>
      <c r="D461" s="69">
        <v>45323</v>
      </c>
      <c r="E461" s="68">
        <v>504</v>
      </c>
      <c r="F461" s="77">
        <v>45321</v>
      </c>
      <c r="G461" s="76">
        <v>113464</v>
      </c>
      <c r="H461" s="70" t="s">
        <v>1044</v>
      </c>
      <c r="I461" s="7">
        <f t="shared" ca="1" si="2"/>
        <v>0</v>
      </c>
      <c r="J461" s="80">
        <v>45377</v>
      </c>
      <c r="K461" s="7"/>
    </row>
    <row r="462" spans="1:11" ht="14.25" customHeight="1">
      <c r="A462" s="14" t="s">
        <v>245</v>
      </c>
      <c r="B462" s="78"/>
      <c r="C462" s="78"/>
      <c r="D462" s="69">
        <v>45323</v>
      </c>
      <c r="E462" s="14">
        <v>505</v>
      </c>
      <c r="F462" s="77">
        <v>45321</v>
      </c>
      <c r="G462" s="76">
        <v>117437</v>
      </c>
      <c r="H462" s="70" t="s">
        <v>1044</v>
      </c>
      <c r="I462" s="7">
        <f t="shared" ca="1" si="2"/>
        <v>0</v>
      </c>
      <c r="J462" s="71">
        <v>45323</v>
      </c>
      <c r="K462" s="7"/>
    </row>
    <row r="463" spans="1:11" ht="14.25" customHeight="1">
      <c r="A463" s="14" t="s">
        <v>547</v>
      </c>
      <c r="B463" s="78"/>
      <c r="C463" s="78"/>
      <c r="D463" s="69">
        <v>45323</v>
      </c>
      <c r="E463" s="14">
        <v>506</v>
      </c>
      <c r="F463" s="77">
        <v>45321</v>
      </c>
      <c r="G463" s="76">
        <v>113252</v>
      </c>
      <c r="H463" s="70" t="s">
        <v>1100</v>
      </c>
      <c r="I463" s="7">
        <f t="shared" ca="1" si="2"/>
        <v>0</v>
      </c>
      <c r="J463" s="86">
        <v>45379</v>
      </c>
      <c r="K463" s="7"/>
    </row>
    <row r="464" spans="1:11" ht="14.25" customHeight="1">
      <c r="A464" s="14" t="s">
        <v>126</v>
      </c>
      <c r="B464" s="78"/>
      <c r="C464" s="78"/>
      <c r="D464" s="69">
        <v>45324</v>
      </c>
      <c r="E464" s="68">
        <v>507</v>
      </c>
      <c r="F464" s="77">
        <v>45328</v>
      </c>
      <c r="G464" s="76">
        <v>63824</v>
      </c>
      <c r="H464" s="70" t="s">
        <v>1044</v>
      </c>
      <c r="I464" s="7">
        <f t="shared" ca="1" si="2"/>
        <v>0</v>
      </c>
      <c r="J464" s="71">
        <v>45356</v>
      </c>
      <c r="K464" s="7"/>
    </row>
    <row r="465" spans="1:11" ht="14.25" customHeight="1">
      <c r="A465" s="14" t="s">
        <v>1056</v>
      </c>
      <c r="B465" s="78"/>
      <c r="C465" s="78"/>
      <c r="D465" s="69">
        <v>45310</v>
      </c>
      <c r="E465" s="14" t="s">
        <v>1057</v>
      </c>
      <c r="F465" s="69">
        <v>45310</v>
      </c>
      <c r="G465" s="76">
        <v>178000</v>
      </c>
      <c r="H465" s="70" t="s">
        <v>1100</v>
      </c>
      <c r="I465" s="7">
        <f t="shared" ca="1" si="2"/>
        <v>0</v>
      </c>
      <c r="J465" s="85">
        <v>45348</v>
      </c>
      <c r="K465" s="7"/>
    </row>
    <row r="466" spans="1:11" ht="14.25" customHeight="1">
      <c r="A466" s="14" t="s">
        <v>1088</v>
      </c>
      <c r="B466" s="78"/>
      <c r="C466" s="78"/>
      <c r="D466" s="69">
        <v>45324</v>
      </c>
      <c r="E466" s="14">
        <v>508</v>
      </c>
      <c r="F466" s="77">
        <v>45321</v>
      </c>
      <c r="G466" s="76">
        <v>212379</v>
      </c>
      <c r="H466" s="70" t="s">
        <v>1044</v>
      </c>
      <c r="I466" s="7">
        <f t="shared" ca="1" si="2"/>
        <v>0</v>
      </c>
      <c r="J466" s="86">
        <v>45373</v>
      </c>
      <c r="K466" s="7"/>
    </row>
    <row r="467" spans="1:11" ht="14.25" customHeight="1">
      <c r="A467" s="14" t="s">
        <v>470</v>
      </c>
      <c r="B467" s="78"/>
      <c r="C467" s="78"/>
      <c r="D467" s="69">
        <v>45328</v>
      </c>
      <c r="E467" s="14">
        <v>509</v>
      </c>
      <c r="F467" s="77"/>
      <c r="G467" s="76">
        <v>118135</v>
      </c>
      <c r="H467" s="70" t="s">
        <v>1177</v>
      </c>
      <c r="I467" s="7">
        <f t="shared" ca="1" si="2"/>
        <v>0</v>
      </c>
      <c r="J467" s="7"/>
      <c r="K467" s="7" t="s">
        <v>1204</v>
      </c>
    </row>
    <row r="468" spans="1:11" ht="14.25" customHeight="1">
      <c r="A468" s="82" t="s">
        <v>1205</v>
      </c>
      <c r="B468" s="78"/>
      <c r="C468" s="78"/>
      <c r="D468" s="69">
        <v>45329</v>
      </c>
      <c r="E468" s="68">
        <v>510</v>
      </c>
      <c r="F468" s="77">
        <v>45330</v>
      </c>
      <c r="G468" s="76">
        <v>179169</v>
      </c>
      <c r="H468" s="70" t="s">
        <v>0</v>
      </c>
      <c r="I468" s="7">
        <f t="shared" ca="1" si="2"/>
        <v>470</v>
      </c>
      <c r="J468" s="7"/>
      <c r="K468" s="7" t="s">
        <v>1206</v>
      </c>
    </row>
    <row r="469" spans="1:11" ht="14.25" customHeight="1">
      <c r="A469" s="14" t="s">
        <v>1199</v>
      </c>
      <c r="B469" s="78"/>
      <c r="C469" s="78"/>
      <c r="D469" s="69">
        <v>45336</v>
      </c>
      <c r="E469" s="14">
        <v>511</v>
      </c>
      <c r="F469" s="69">
        <v>45336</v>
      </c>
      <c r="G469" s="76">
        <v>107506</v>
      </c>
      <c r="H469" s="70" t="s">
        <v>1100</v>
      </c>
      <c r="I469" s="7">
        <f t="shared" ca="1" si="2"/>
        <v>0</v>
      </c>
      <c r="J469" s="86">
        <v>45336</v>
      </c>
      <c r="K469" s="7"/>
    </row>
    <row r="470" spans="1:11" ht="14.25" customHeight="1">
      <c r="A470" s="14" t="s">
        <v>1157</v>
      </c>
      <c r="B470" s="78"/>
      <c r="C470" s="78"/>
      <c r="D470" s="69">
        <v>45336</v>
      </c>
      <c r="E470" s="14">
        <v>512</v>
      </c>
      <c r="F470" s="69"/>
      <c r="G470" s="76">
        <v>84601</v>
      </c>
      <c r="H470" s="70" t="s">
        <v>1177</v>
      </c>
      <c r="I470" s="7">
        <f t="shared" ca="1" si="2"/>
        <v>0</v>
      </c>
      <c r="J470" s="7"/>
      <c r="K470" s="7" t="s">
        <v>1207</v>
      </c>
    </row>
    <row r="471" spans="1:11" ht="14.25" customHeight="1">
      <c r="A471" s="14" t="s">
        <v>1208</v>
      </c>
      <c r="B471" s="78"/>
      <c r="C471" s="78"/>
      <c r="D471" s="69">
        <v>45336</v>
      </c>
      <c r="E471" s="14">
        <v>513</v>
      </c>
      <c r="F471" s="69">
        <v>45338</v>
      </c>
      <c r="G471" s="76">
        <v>152014</v>
      </c>
      <c r="H471" s="70" t="s">
        <v>1044</v>
      </c>
      <c r="I471" s="7">
        <f t="shared" ca="1" si="2"/>
        <v>0</v>
      </c>
      <c r="J471" s="86">
        <v>45336</v>
      </c>
      <c r="K471" s="7"/>
    </row>
    <row r="472" spans="1:11" ht="14.25" customHeight="1">
      <c r="A472" s="14" t="s">
        <v>245</v>
      </c>
      <c r="B472" s="78"/>
      <c r="C472" s="78"/>
      <c r="D472" s="69">
        <v>45336</v>
      </c>
      <c r="E472" s="68">
        <v>514</v>
      </c>
      <c r="F472" s="69">
        <v>45336</v>
      </c>
      <c r="G472" s="76">
        <v>128345</v>
      </c>
      <c r="H472" s="70" t="s">
        <v>1100</v>
      </c>
      <c r="I472" s="7">
        <f t="shared" ca="1" si="2"/>
        <v>0</v>
      </c>
      <c r="J472" s="86">
        <v>45336</v>
      </c>
      <c r="K472" s="7"/>
    </row>
    <row r="473" spans="1:11" ht="14.25" customHeight="1">
      <c r="A473" s="14" t="s">
        <v>470</v>
      </c>
      <c r="B473" s="78"/>
      <c r="C473" s="78"/>
      <c r="D473" s="69">
        <v>45336</v>
      </c>
      <c r="E473" s="14">
        <v>515</v>
      </c>
      <c r="F473" s="69">
        <v>45336</v>
      </c>
      <c r="G473" s="76">
        <v>149349</v>
      </c>
      <c r="H473" s="70" t="s">
        <v>1100</v>
      </c>
      <c r="I473" s="7">
        <f t="shared" ca="1" si="2"/>
        <v>0</v>
      </c>
      <c r="J473" s="86">
        <v>45399</v>
      </c>
      <c r="K473" s="7"/>
    </row>
    <row r="474" spans="1:11" ht="14.25" customHeight="1">
      <c r="A474" s="14" t="s">
        <v>1157</v>
      </c>
      <c r="B474" s="78"/>
      <c r="C474" s="78"/>
      <c r="D474" s="69">
        <v>45337</v>
      </c>
      <c r="E474" s="14">
        <v>516</v>
      </c>
      <c r="F474" s="69">
        <v>45337</v>
      </c>
      <c r="G474" s="76">
        <v>109234</v>
      </c>
      <c r="H474" s="70" t="s">
        <v>1100</v>
      </c>
      <c r="I474" s="7">
        <f t="shared" ca="1" si="2"/>
        <v>0</v>
      </c>
      <c r="J474" s="86">
        <v>45385</v>
      </c>
      <c r="K474" s="7"/>
    </row>
    <row r="475" spans="1:11" ht="14.25" customHeight="1">
      <c r="A475" s="14" t="s">
        <v>622</v>
      </c>
      <c r="B475" s="78"/>
      <c r="C475" s="78"/>
      <c r="D475" s="69">
        <v>45337</v>
      </c>
      <c r="E475" s="14">
        <v>517</v>
      </c>
      <c r="F475" s="77">
        <v>45334</v>
      </c>
      <c r="G475" s="76">
        <v>120799</v>
      </c>
      <c r="H475" s="70" t="s">
        <v>1044</v>
      </c>
      <c r="I475" s="7">
        <f t="shared" ca="1" si="2"/>
        <v>0</v>
      </c>
      <c r="J475" s="85">
        <v>45350</v>
      </c>
      <c r="K475" s="7"/>
    </row>
    <row r="476" spans="1:11" ht="14.25" customHeight="1">
      <c r="A476" s="14" t="s">
        <v>1056</v>
      </c>
      <c r="B476" s="78"/>
      <c r="C476" s="78"/>
      <c r="D476" s="69">
        <v>45340</v>
      </c>
      <c r="E476" s="15" t="s">
        <v>1057</v>
      </c>
      <c r="F476" s="69">
        <v>45340</v>
      </c>
      <c r="G476" s="76">
        <v>178000</v>
      </c>
      <c r="H476" s="70" t="s">
        <v>1044</v>
      </c>
      <c r="I476" s="7">
        <f t="shared" ca="1" si="2"/>
        <v>0</v>
      </c>
      <c r="J476" s="87">
        <v>45412</v>
      </c>
      <c r="K476" s="7"/>
    </row>
    <row r="477" spans="1:11" ht="14.25" customHeight="1">
      <c r="A477" s="14" t="s">
        <v>1209</v>
      </c>
      <c r="B477" s="78"/>
      <c r="C477" s="78"/>
      <c r="D477" s="69">
        <v>45342</v>
      </c>
      <c r="E477" s="68">
        <v>518</v>
      </c>
      <c r="F477" s="69">
        <v>45344</v>
      </c>
      <c r="G477" s="76">
        <v>105191</v>
      </c>
      <c r="H477" s="70" t="s">
        <v>1044</v>
      </c>
      <c r="I477" s="7">
        <f t="shared" ca="1" si="2"/>
        <v>0</v>
      </c>
      <c r="J477" s="7"/>
      <c r="K477" s="7" t="s">
        <v>1210</v>
      </c>
    </row>
    <row r="478" spans="1:11" ht="14.25" customHeight="1">
      <c r="A478" s="14" t="s">
        <v>1164</v>
      </c>
      <c r="B478" s="78"/>
      <c r="C478" s="78"/>
      <c r="D478" s="69">
        <v>45348</v>
      </c>
      <c r="E478" s="14">
        <v>519</v>
      </c>
      <c r="F478" s="69">
        <v>45348</v>
      </c>
      <c r="G478" s="76">
        <v>120102</v>
      </c>
      <c r="H478" s="70" t="s">
        <v>1100</v>
      </c>
      <c r="I478" s="7">
        <f t="shared" ca="1" si="2"/>
        <v>0</v>
      </c>
      <c r="J478" s="85">
        <v>45348</v>
      </c>
      <c r="K478" s="7"/>
    </row>
    <row r="479" spans="1:11" ht="14.25" customHeight="1">
      <c r="A479" s="14" t="s">
        <v>622</v>
      </c>
      <c r="B479" s="78"/>
      <c r="C479" s="78"/>
      <c r="D479" s="69">
        <v>45350</v>
      </c>
      <c r="E479" s="14">
        <v>520</v>
      </c>
      <c r="F479" s="69">
        <v>45349</v>
      </c>
      <c r="G479" s="76">
        <v>32609</v>
      </c>
      <c r="H479" s="70" t="s">
        <v>1044</v>
      </c>
      <c r="I479" s="7">
        <f t="shared" ca="1" si="2"/>
        <v>0</v>
      </c>
      <c r="J479" s="85">
        <v>45350</v>
      </c>
      <c r="K479" s="7"/>
    </row>
    <row r="480" spans="1:11" ht="14.25" customHeight="1">
      <c r="A480" s="14" t="s">
        <v>394</v>
      </c>
      <c r="B480" s="78"/>
      <c r="C480" s="78"/>
      <c r="D480" s="69">
        <v>45355</v>
      </c>
      <c r="E480" s="14">
        <v>521</v>
      </c>
      <c r="F480" s="69">
        <v>45351</v>
      </c>
      <c r="G480" s="76">
        <v>119404</v>
      </c>
      <c r="H480" s="70" t="s">
        <v>1044</v>
      </c>
      <c r="I480" s="7">
        <f t="shared" ca="1" si="2"/>
        <v>0</v>
      </c>
      <c r="J480" s="85">
        <v>45350</v>
      </c>
      <c r="K480" s="7"/>
    </row>
    <row r="481" spans="1:11" ht="14.25" customHeight="1">
      <c r="A481" s="14" t="s">
        <v>628</v>
      </c>
      <c r="B481" s="78"/>
      <c r="C481" s="78"/>
      <c r="D481" s="69">
        <v>45355</v>
      </c>
      <c r="E481" s="14">
        <v>522</v>
      </c>
      <c r="F481" s="69">
        <v>45355</v>
      </c>
      <c r="G481" s="76">
        <v>210383</v>
      </c>
      <c r="H481" s="70" t="s">
        <v>1044</v>
      </c>
      <c r="I481" s="7">
        <f t="shared" ca="1" si="2"/>
        <v>0</v>
      </c>
      <c r="J481" s="86">
        <v>45405</v>
      </c>
      <c r="K481" s="7"/>
    </row>
    <row r="482" spans="1:11" ht="14.25" customHeight="1">
      <c r="A482" s="14" t="s">
        <v>622</v>
      </c>
      <c r="B482" s="78"/>
      <c r="C482" s="78"/>
      <c r="D482" s="69">
        <v>45355</v>
      </c>
      <c r="E482" s="14">
        <v>523</v>
      </c>
      <c r="F482" s="77">
        <v>45355</v>
      </c>
      <c r="G482" s="76">
        <v>93643</v>
      </c>
      <c r="H482" s="70" t="s">
        <v>1044</v>
      </c>
      <c r="I482" s="7">
        <f t="shared" ca="1" si="2"/>
        <v>0</v>
      </c>
      <c r="J482" s="85">
        <v>45383</v>
      </c>
      <c r="K482" s="7"/>
    </row>
    <row r="483" spans="1:11" ht="14.25" customHeight="1">
      <c r="A483" s="14" t="s">
        <v>1211</v>
      </c>
      <c r="B483" s="78"/>
      <c r="C483" s="78"/>
      <c r="D483" s="69">
        <v>45355</v>
      </c>
      <c r="E483" s="15">
        <v>524</v>
      </c>
      <c r="F483" s="69">
        <v>45356</v>
      </c>
      <c r="G483" s="76">
        <v>116740</v>
      </c>
      <c r="H483" s="70" t="s">
        <v>1100</v>
      </c>
      <c r="I483" s="7">
        <f t="shared" ca="1" si="2"/>
        <v>0</v>
      </c>
      <c r="J483" s="85">
        <v>45383</v>
      </c>
      <c r="K483" s="7"/>
    </row>
    <row r="484" spans="1:11" ht="14.25" customHeight="1">
      <c r="A484" s="14" t="s">
        <v>143</v>
      </c>
      <c r="B484" s="78"/>
      <c r="C484" s="78"/>
      <c r="D484" s="69">
        <v>45359</v>
      </c>
      <c r="E484" s="68">
        <v>525</v>
      </c>
      <c r="F484" s="69"/>
      <c r="G484" s="76">
        <v>124858</v>
      </c>
      <c r="H484" s="70" t="s">
        <v>1100</v>
      </c>
      <c r="I484" s="7">
        <f t="shared" ca="1" si="2"/>
        <v>0</v>
      </c>
      <c r="J484" s="86">
        <v>45393</v>
      </c>
      <c r="K484" s="7"/>
    </row>
    <row r="485" spans="1:11" ht="14.25" customHeight="1">
      <c r="A485" s="14" t="s">
        <v>226</v>
      </c>
      <c r="B485" s="78"/>
      <c r="C485" s="78"/>
      <c r="D485" s="69">
        <v>45359</v>
      </c>
      <c r="E485" s="14">
        <v>526</v>
      </c>
      <c r="F485" s="69"/>
      <c r="G485" s="76">
        <v>210383</v>
      </c>
      <c r="H485" s="70" t="s">
        <v>1100</v>
      </c>
      <c r="I485" s="7">
        <f t="shared" ca="1" si="2"/>
        <v>0</v>
      </c>
      <c r="J485" s="86">
        <v>45400</v>
      </c>
      <c r="K485" s="7" t="s">
        <v>1163</v>
      </c>
    </row>
    <row r="486" spans="1:11" ht="14.25" customHeight="1">
      <c r="A486" s="14" t="s">
        <v>571</v>
      </c>
      <c r="B486" s="78"/>
      <c r="C486" s="78"/>
      <c r="D486" s="69">
        <v>45359</v>
      </c>
      <c r="E486" s="14">
        <v>527</v>
      </c>
      <c r="F486" s="69"/>
      <c r="G486" s="76">
        <v>110311</v>
      </c>
      <c r="H486" s="70" t="s">
        <v>1100</v>
      </c>
      <c r="I486" s="7">
        <f t="shared" ca="1" si="2"/>
        <v>0</v>
      </c>
      <c r="J486" s="85">
        <v>45399</v>
      </c>
      <c r="K486" s="7"/>
    </row>
    <row r="487" spans="1:11" ht="14.25" customHeight="1">
      <c r="A487" s="14" t="s">
        <v>634</v>
      </c>
      <c r="B487" s="78"/>
      <c r="C487" s="78"/>
      <c r="D487" s="69">
        <v>45362</v>
      </c>
      <c r="E487" s="14">
        <v>528</v>
      </c>
      <c r="F487" s="69">
        <v>45362</v>
      </c>
      <c r="G487" s="76">
        <v>121497</v>
      </c>
      <c r="H487" s="70" t="s">
        <v>1100</v>
      </c>
      <c r="I487" s="7">
        <f t="shared" ca="1" si="2"/>
        <v>0</v>
      </c>
      <c r="J487" s="86">
        <v>45400</v>
      </c>
      <c r="K487" s="7"/>
    </row>
    <row r="488" spans="1:11" ht="14.25" customHeight="1">
      <c r="A488" s="14" t="s">
        <v>600</v>
      </c>
      <c r="B488" s="78"/>
      <c r="C488" s="78"/>
      <c r="D488" s="69">
        <v>45366</v>
      </c>
      <c r="E488" s="14">
        <v>529</v>
      </c>
      <c r="F488" s="69">
        <v>45368</v>
      </c>
      <c r="G488" s="76">
        <v>81547</v>
      </c>
      <c r="H488" s="70" t="s">
        <v>1100</v>
      </c>
      <c r="I488" s="7">
        <f t="shared" ca="1" si="2"/>
        <v>0</v>
      </c>
      <c r="J488" s="85">
        <v>45366</v>
      </c>
      <c r="K488" s="7"/>
    </row>
    <row r="489" spans="1:11" ht="14.25" customHeight="1">
      <c r="A489" s="14" t="s">
        <v>600</v>
      </c>
      <c r="B489" s="78"/>
      <c r="C489" s="78"/>
      <c r="D489" s="69">
        <v>45366</v>
      </c>
      <c r="E489" s="14">
        <v>530</v>
      </c>
      <c r="F489" s="69">
        <v>45368</v>
      </c>
      <c r="G489" s="76">
        <v>30885</v>
      </c>
      <c r="H489" s="70" t="s">
        <v>1100</v>
      </c>
      <c r="I489" s="7">
        <f t="shared" ca="1" si="2"/>
        <v>0</v>
      </c>
      <c r="J489" s="85">
        <v>45366</v>
      </c>
      <c r="K489" s="7"/>
    </row>
    <row r="490" spans="1:11" ht="14.25" customHeight="1">
      <c r="A490" s="14" t="s">
        <v>342</v>
      </c>
      <c r="B490" s="78"/>
      <c r="C490" s="78"/>
      <c r="D490" s="69">
        <v>45366</v>
      </c>
      <c r="E490" s="15">
        <v>531</v>
      </c>
      <c r="F490" s="69">
        <v>45368</v>
      </c>
      <c r="G490" s="76">
        <v>127648</v>
      </c>
      <c r="H490" s="70" t="s">
        <v>1100</v>
      </c>
      <c r="I490" s="7">
        <f t="shared" ca="1" si="2"/>
        <v>0</v>
      </c>
      <c r="J490" s="85">
        <v>45397</v>
      </c>
      <c r="K490" s="7"/>
    </row>
    <row r="491" spans="1:11" ht="14.25" customHeight="1">
      <c r="A491" s="14" t="s">
        <v>622</v>
      </c>
      <c r="B491" s="78"/>
      <c r="C491" s="78"/>
      <c r="D491" s="69">
        <v>45371</v>
      </c>
      <c r="E491" s="68">
        <v>532</v>
      </c>
      <c r="F491" s="69">
        <v>45371</v>
      </c>
      <c r="G491" s="76">
        <v>97828</v>
      </c>
      <c r="H491" s="70" t="s">
        <v>1044</v>
      </c>
      <c r="I491" s="7">
        <f t="shared" ca="1" si="2"/>
        <v>0</v>
      </c>
      <c r="J491" s="85">
        <v>45385</v>
      </c>
      <c r="K491" s="7"/>
    </row>
    <row r="492" spans="1:11" ht="14.25" customHeight="1">
      <c r="A492" s="14" t="s">
        <v>1068</v>
      </c>
      <c r="B492" s="78"/>
      <c r="C492" s="78"/>
      <c r="D492" s="69">
        <v>45371</v>
      </c>
      <c r="E492" s="14">
        <v>533</v>
      </c>
      <c r="F492" s="69">
        <v>45368</v>
      </c>
      <c r="G492" s="76">
        <v>335020</v>
      </c>
      <c r="H492" s="70" t="s">
        <v>1100</v>
      </c>
      <c r="I492" s="7">
        <f t="shared" ca="1" si="2"/>
        <v>0</v>
      </c>
      <c r="J492" s="86">
        <v>45414</v>
      </c>
      <c r="K492" s="7"/>
    </row>
    <row r="493" spans="1:11" ht="14.25" customHeight="1">
      <c r="A493" s="14" t="s">
        <v>1212</v>
      </c>
      <c r="B493" s="78"/>
      <c r="C493" s="78"/>
      <c r="D493" s="69">
        <v>45371</v>
      </c>
      <c r="E493" s="14">
        <v>534</v>
      </c>
      <c r="F493" s="69">
        <v>45371</v>
      </c>
      <c r="G493" s="76">
        <v>107506</v>
      </c>
      <c r="H493" s="70" t="s">
        <v>1100</v>
      </c>
      <c r="I493" s="7">
        <f t="shared" ca="1" si="2"/>
        <v>0</v>
      </c>
      <c r="J493" s="86">
        <v>45418</v>
      </c>
      <c r="K493" s="7"/>
    </row>
    <row r="494" spans="1:11" ht="14.25" customHeight="1">
      <c r="A494" s="14" t="s">
        <v>493</v>
      </c>
      <c r="B494" s="78"/>
      <c r="C494" s="78"/>
      <c r="D494" s="69">
        <v>45371</v>
      </c>
      <c r="E494" s="14">
        <v>535</v>
      </c>
      <c r="F494" s="69">
        <v>45371</v>
      </c>
      <c r="G494" s="76">
        <v>123589</v>
      </c>
      <c r="H494" s="70" t="s">
        <v>1044</v>
      </c>
      <c r="I494" s="7">
        <f t="shared" ca="1" si="2"/>
        <v>0</v>
      </c>
      <c r="J494" s="86">
        <v>45412</v>
      </c>
      <c r="K494" s="7"/>
    </row>
    <row r="495" spans="1:11" ht="14.25" customHeight="1">
      <c r="A495" s="14" t="s">
        <v>615</v>
      </c>
      <c r="B495" s="78"/>
      <c r="C495" s="78"/>
      <c r="D495" s="69">
        <v>45371</v>
      </c>
      <c r="E495" s="14">
        <v>537</v>
      </c>
      <c r="F495" s="69">
        <v>45371</v>
      </c>
      <c r="G495" s="76">
        <v>126253</v>
      </c>
      <c r="H495" s="70" t="s">
        <v>1100</v>
      </c>
      <c r="I495" s="7">
        <f t="shared" ca="1" si="2"/>
        <v>0</v>
      </c>
      <c r="J495" s="86">
        <v>45372</v>
      </c>
      <c r="K495" s="7"/>
    </row>
    <row r="496" spans="1:11" ht="14.25" customHeight="1">
      <c r="A496" s="14" t="s">
        <v>559</v>
      </c>
      <c r="B496" s="78"/>
      <c r="C496" s="78"/>
      <c r="D496" s="69">
        <v>45371</v>
      </c>
      <c r="E496" s="14">
        <v>538</v>
      </c>
      <c r="F496" s="69">
        <v>45373</v>
      </c>
      <c r="G496" s="76">
        <v>187413</v>
      </c>
      <c r="H496" s="70" t="s">
        <v>1177</v>
      </c>
      <c r="I496" s="7">
        <f t="shared" ca="1" si="2"/>
        <v>0</v>
      </c>
      <c r="J496" s="7"/>
      <c r="K496" s="7" t="s">
        <v>1213</v>
      </c>
    </row>
    <row r="497" spans="1:11" ht="14.25" customHeight="1">
      <c r="A497" s="14" t="s">
        <v>283</v>
      </c>
      <c r="B497" s="78"/>
      <c r="C497" s="78"/>
      <c r="D497" s="69">
        <v>45373</v>
      </c>
      <c r="E497" s="15">
        <v>540</v>
      </c>
      <c r="F497" s="69">
        <v>45373</v>
      </c>
      <c r="G497" s="76">
        <v>119977</v>
      </c>
      <c r="H497" s="70" t="s">
        <v>1044</v>
      </c>
      <c r="I497" s="7">
        <f t="shared" ca="1" si="2"/>
        <v>0</v>
      </c>
      <c r="J497" s="85">
        <v>45391</v>
      </c>
      <c r="K497" s="7"/>
    </row>
    <row r="498" spans="1:11" ht="14.25" customHeight="1">
      <c r="A498" s="14" t="s">
        <v>640</v>
      </c>
      <c r="B498" s="78"/>
      <c r="C498" s="78"/>
      <c r="D498" s="69">
        <v>45376</v>
      </c>
      <c r="E498" s="68">
        <v>541</v>
      </c>
      <c r="F498" s="69">
        <v>45376</v>
      </c>
      <c r="G498" s="76">
        <v>139769</v>
      </c>
      <c r="H498" s="70" t="s">
        <v>1044</v>
      </c>
      <c r="I498" s="7">
        <f t="shared" ca="1" si="2"/>
        <v>0</v>
      </c>
      <c r="J498" s="86">
        <v>45387</v>
      </c>
      <c r="K498" s="7"/>
    </row>
    <row r="499" spans="1:11" ht="14.25" customHeight="1">
      <c r="A499" s="14" t="s">
        <v>278</v>
      </c>
      <c r="B499" s="78"/>
      <c r="C499" s="78"/>
      <c r="D499" s="69">
        <v>45376</v>
      </c>
      <c r="E499" s="14">
        <v>543</v>
      </c>
      <c r="F499" s="69">
        <v>45383</v>
      </c>
      <c r="G499" s="76">
        <v>80000</v>
      </c>
      <c r="H499" s="70" t="s">
        <v>1044</v>
      </c>
      <c r="I499" s="7">
        <f t="shared" ca="1" si="2"/>
        <v>0</v>
      </c>
      <c r="J499" s="69">
        <v>45383</v>
      </c>
      <c r="K499" s="7" t="s">
        <v>1214</v>
      </c>
    </row>
    <row r="500" spans="1:11" ht="14.25" customHeight="1">
      <c r="A500" s="14" t="s">
        <v>646</v>
      </c>
      <c r="B500" s="78"/>
      <c r="C500" s="78"/>
      <c r="D500" s="69">
        <v>45377</v>
      </c>
      <c r="E500" s="14">
        <v>544</v>
      </c>
      <c r="F500" s="69">
        <v>45377</v>
      </c>
      <c r="G500" s="76">
        <v>147954</v>
      </c>
      <c r="H500" s="70" t="s">
        <v>1100</v>
      </c>
      <c r="I500" s="7">
        <f t="shared" ca="1" si="2"/>
        <v>0</v>
      </c>
      <c r="J500" s="86">
        <v>45385</v>
      </c>
      <c r="K500" s="7"/>
    </row>
    <row r="501" spans="1:11" ht="14.25" customHeight="1">
      <c r="A501" s="14" t="s">
        <v>1068</v>
      </c>
      <c r="B501" s="78"/>
      <c r="C501" s="78"/>
      <c r="D501" s="69">
        <v>45383</v>
      </c>
      <c r="E501" s="14">
        <v>546</v>
      </c>
      <c r="F501" s="69">
        <v>45379</v>
      </c>
      <c r="G501" s="76">
        <v>891400</v>
      </c>
      <c r="H501" s="70" t="s">
        <v>1100</v>
      </c>
      <c r="I501" s="7">
        <f t="shared" ca="1" si="2"/>
        <v>0</v>
      </c>
      <c r="J501" s="86">
        <v>45414</v>
      </c>
      <c r="K501" s="7"/>
    </row>
    <row r="502" spans="1:11" ht="14.25" customHeight="1">
      <c r="A502" s="14" t="s">
        <v>622</v>
      </c>
      <c r="B502" s="78"/>
      <c r="C502" s="78"/>
      <c r="D502" s="69">
        <v>45383</v>
      </c>
      <c r="E502" s="14">
        <v>548</v>
      </c>
      <c r="F502" s="69">
        <v>45377</v>
      </c>
      <c r="G502" s="76">
        <v>65219</v>
      </c>
      <c r="H502" s="70" t="s">
        <v>1044</v>
      </c>
      <c r="I502" s="7">
        <f t="shared" ca="1" si="2"/>
        <v>0</v>
      </c>
      <c r="J502" s="87">
        <v>45385</v>
      </c>
      <c r="K502" s="7"/>
    </row>
    <row r="503" spans="1:11" ht="14.25" customHeight="1">
      <c r="A503" s="14" t="s">
        <v>1088</v>
      </c>
      <c r="B503" s="78"/>
      <c r="C503" s="78"/>
      <c r="D503" s="69">
        <v>45383</v>
      </c>
      <c r="E503" s="14">
        <v>550</v>
      </c>
      <c r="F503" s="69">
        <v>45383</v>
      </c>
      <c r="G503" s="76">
        <v>224494</v>
      </c>
      <c r="H503" s="70" t="s">
        <v>1100</v>
      </c>
      <c r="I503" s="7">
        <f t="shared" ca="1" si="2"/>
        <v>0</v>
      </c>
      <c r="J503" s="86">
        <v>45400</v>
      </c>
      <c r="K503" s="7"/>
    </row>
    <row r="504" spans="1:11" ht="14.25" customHeight="1">
      <c r="A504" s="14" t="s">
        <v>1215</v>
      </c>
      <c r="B504" s="78"/>
      <c r="C504" s="78"/>
      <c r="D504" s="69">
        <v>45383</v>
      </c>
      <c r="E504" s="15">
        <v>552</v>
      </c>
      <c r="F504" s="69">
        <v>45383</v>
      </c>
      <c r="G504" s="76">
        <v>90853</v>
      </c>
      <c r="H504" s="70" t="s">
        <v>1100</v>
      </c>
      <c r="I504" s="7">
        <f t="shared" ca="1" si="2"/>
        <v>0</v>
      </c>
      <c r="J504" s="87">
        <v>45414</v>
      </c>
      <c r="K504" s="7"/>
    </row>
    <row r="505" spans="1:11" ht="14.25" customHeight="1">
      <c r="A505" s="14" t="s">
        <v>487</v>
      </c>
      <c r="B505" s="78"/>
      <c r="C505" s="78"/>
      <c r="D505" s="69">
        <v>45383</v>
      </c>
      <c r="E505" s="68">
        <v>553</v>
      </c>
      <c r="F505" s="69">
        <v>45383</v>
      </c>
      <c r="G505" s="76">
        <v>177774</v>
      </c>
      <c r="H505" s="70" t="s">
        <v>1044</v>
      </c>
      <c r="I505" s="7">
        <f t="shared" ca="1" si="2"/>
        <v>0</v>
      </c>
      <c r="J505" s="87">
        <v>45419</v>
      </c>
      <c r="K505" s="7"/>
    </row>
    <row r="506" spans="1:11" ht="14.25" customHeight="1">
      <c r="A506" s="14" t="s">
        <v>404</v>
      </c>
      <c r="B506" s="78"/>
      <c r="C506" s="78"/>
      <c r="D506" s="69">
        <v>45384</v>
      </c>
      <c r="E506" s="14">
        <v>554</v>
      </c>
      <c r="F506" s="69">
        <v>45384</v>
      </c>
      <c r="G506" s="76">
        <v>120779</v>
      </c>
      <c r="H506" s="70" t="s">
        <v>1100</v>
      </c>
      <c r="I506" s="7">
        <f t="shared" ca="1" si="2"/>
        <v>0</v>
      </c>
      <c r="J506" s="86">
        <v>45414</v>
      </c>
      <c r="K506" s="7"/>
    </row>
    <row r="507" spans="1:11" ht="14.25" customHeight="1">
      <c r="A507" s="14" t="s">
        <v>126</v>
      </c>
      <c r="B507" s="78"/>
      <c r="C507" s="78"/>
      <c r="D507" s="69">
        <v>45383</v>
      </c>
      <c r="E507" s="14">
        <v>555</v>
      </c>
      <c r="F507" s="69">
        <v>45383</v>
      </c>
      <c r="G507" s="76">
        <v>153117</v>
      </c>
      <c r="H507" s="70" t="s">
        <v>1044</v>
      </c>
      <c r="I507" s="7">
        <f t="shared" ca="1" si="2"/>
        <v>0</v>
      </c>
      <c r="J507" s="69">
        <v>45383</v>
      </c>
      <c r="K507" s="7"/>
    </row>
    <row r="508" spans="1:11" ht="14.25" customHeight="1">
      <c r="A508" s="14" t="s">
        <v>1209</v>
      </c>
      <c r="B508" s="78"/>
      <c r="C508" s="78"/>
      <c r="D508" s="69">
        <v>45386</v>
      </c>
      <c r="E508" s="14">
        <v>557</v>
      </c>
      <c r="F508" s="69">
        <v>45386</v>
      </c>
      <c r="G508" s="76">
        <v>122194</v>
      </c>
      <c r="H508" s="70" t="s">
        <v>1177</v>
      </c>
      <c r="I508" s="7">
        <f t="shared" ca="1" si="2"/>
        <v>0</v>
      </c>
      <c r="J508" s="7"/>
      <c r="K508" s="7" t="s">
        <v>1216</v>
      </c>
    </row>
    <row r="509" spans="1:11" ht="14.25" customHeight="1">
      <c r="A509" s="14" t="s">
        <v>622</v>
      </c>
      <c r="B509" s="78"/>
      <c r="C509" s="78"/>
      <c r="D509" s="69">
        <v>45386</v>
      </c>
      <c r="E509" s="14">
        <v>558</v>
      </c>
      <c r="F509" s="69">
        <v>45386</v>
      </c>
      <c r="G509" s="76">
        <v>55579</v>
      </c>
      <c r="H509" s="70" t="s">
        <v>1044</v>
      </c>
      <c r="I509" s="7">
        <f t="shared" ca="1" si="2"/>
        <v>0</v>
      </c>
      <c r="J509" s="69">
        <v>45390</v>
      </c>
      <c r="K509" s="7"/>
    </row>
    <row r="510" spans="1:11" ht="14.25" customHeight="1">
      <c r="A510" s="14" t="s">
        <v>1160</v>
      </c>
      <c r="B510" s="78"/>
      <c r="C510" s="78"/>
      <c r="D510" s="69">
        <v>45387</v>
      </c>
      <c r="E510" s="68">
        <v>559</v>
      </c>
      <c r="F510" s="69">
        <v>45387</v>
      </c>
      <c r="G510" s="76">
        <v>122194</v>
      </c>
      <c r="H510" s="70" t="s">
        <v>1100</v>
      </c>
      <c r="I510" s="7">
        <f t="shared" ca="1" si="2"/>
        <v>0</v>
      </c>
      <c r="J510" s="86">
        <v>45425</v>
      </c>
      <c r="K510" s="7"/>
    </row>
    <row r="511" spans="1:11" ht="14.25" customHeight="1">
      <c r="A511" s="14" t="s">
        <v>652</v>
      </c>
      <c r="B511" s="78"/>
      <c r="C511" s="78"/>
      <c r="D511" s="69">
        <v>45391</v>
      </c>
      <c r="E511" s="14">
        <v>560</v>
      </c>
      <c r="F511" s="69">
        <v>45392</v>
      </c>
      <c r="G511" s="76">
        <v>143223</v>
      </c>
      <c r="H511" s="70" t="s">
        <v>1100</v>
      </c>
      <c r="I511" s="7">
        <f t="shared" ca="1" si="2"/>
        <v>0</v>
      </c>
      <c r="J511" s="88">
        <v>45427</v>
      </c>
      <c r="K511" s="7"/>
    </row>
    <row r="512" spans="1:11" ht="14.25" customHeight="1">
      <c r="A512" s="14" t="s">
        <v>226</v>
      </c>
      <c r="B512" s="78"/>
      <c r="C512" s="78"/>
      <c r="D512" s="69">
        <v>45392</v>
      </c>
      <c r="E512" s="14">
        <v>561</v>
      </c>
      <c r="F512" s="69">
        <v>45392</v>
      </c>
      <c r="G512" s="76">
        <v>172206</v>
      </c>
      <c r="H512" s="70" t="s">
        <v>1100</v>
      </c>
      <c r="I512" s="7">
        <f t="shared" ca="1" si="2"/>
        <v>0</v>
      </c>
      <c r="J512" s="87">
        <v>45420</v>
      </c>
      <c r="K512" s="7" t="s">
        <v>1163</v>
      </c>
    </row>
    <row r="513" spans="1:11" ht="14.25" customHeight="1">
      <c r="A513" s="14" t="s">
        <v>143</v>
      </c>
      <c r="B513" s="78"/>
      <c r="C513" s="78"/>
      <c r="D513" s="69">
        <v>45392</v>
      </c>
      <c r="E513" s="68">
        <v>562</v>
      </c>
      <c r="F513" s="69">
        <v>45394</v>
      </c>
      <c r="G513" s="76">
        <v>112561</v>
      </c>
      <c r="H513" s="70" t="s">
        <v>1100</v>
      </c>
      <c r="I513" s="7">
        <f t="shared" ca="1" si="2"/>
        <v>0</v>
      </c>
      <c r="J513" s="86">
        <v>45422</v>
      </c>
      <c r="K513" s="7"/>
    </row>
    <row r="514" spans="1:11" ht="14.25" customHeight="1">
      <c r="A514" s="14" t="s">
        <v>547</v>
      </c>
      <c r="B514" s="78"/>
      <c r="C514" s="78"/>
      <c r="D514" s="69">
        <v>45396</v>
      </c>
      <c r="E514" s="14">
        <v>563</v>
      </c>
      <c r="F514" s="69">
        <v>45395</v>
      </c>
      <c r="G514" s="76">
        <v>115345</v>
      </c>
      <c r="H514" s="70" t="s">
        <v>1044</v>
      </c>
      <c r="I514" s="7">
        <f t="shared" ca="1" si="2"/>
        <v>0</v>
      </c>
      <c r="J514" s="86">
        <v>45398</v>
      </c>
      <c r="K514" s="7"/>
    </row>
    <row r="515" spans="1:11" ht="14.25" customHeight="1">
      <c r="A515" s="14" t="s">
        <v>1164</v>
      </c>
      <c r="B515" s="78"/>
      <c r="C515" s="78"/>
      <c r="D515" s="69">
        <v>45396</v>
      </c>
      <c r="E515" s="14">
        <v>564</v>
      </c>
      <c r="F515" s="69">
        <v>45395</v>
      </c>
      <c r="G515" s="76">
        <v>123589</v>
      </c>
      <c r="H515" s="70" t="s">
        <v>1044</v>
      </c>
      <c r="I515" s="7">
        <f t="shared" ca="1" si="2"/>
        <v>0</v>
      </c>
      <c r="J515" s="86">
        <v>45425</v>
      </c>
      <c r="K515" s="7"/>
    </row>
    <row r="516" spans="1:11" ht="14.25" customHeight="1">
      <c r="A516" s="384" t="s">
        <v>675</v>
      </c>
      <c r="B516" s="78"/>
      <c r="C516" s="78"/>
      <c r="D516" s="69">
        <v>45397</v>
      </c>
      <c r="E516" s="14">
        <v>571</v>
      </c>
      <c r="F516" s="69">
        <v>45395</v>
      </c>
      <c r="G516" s="76">
        <v>232047</v>
      </c>
      <c r="H516" s="70" t="s">
        <v>1100</v>
      </c>
      <c r="I516" s="7">
        <f t="shared" ca="1" si="2"/>
        <v>0</v>
      </c>
      <c r="J516" s="87">
        <v>45453</v>
      </c>
      <c r="K516" s="7"/>
    </row>
    <row r="517" spans="1:11" ht="14.25" customHeight="1">
      <c r="A517" s="14" t="s">
        <v>251</v>
      </c>
      <c r="B517" s="78"/>
      <c r="C517" s="78"/>
      <c r="D517" s="69">
        <v>45397</v>
      </c>
      <c r="E517" s="14">
        <v>565</v>
      </c>
      <c r="F517" s="77">
        <v>45397</v>
      </c>
      <c r="G517" s="76">
        <v>211457</v>
      </c>
      <c r="H517" s="70" t="s">
        <v>1100</v>
      </c>
      <c r="I517" s="7">
        <f t="shared" ca="1" si="2"/>
        <v>0</v>
      </c>
      <c r="J517" s="86">
        <v>45454</v>
      </c>
      <c r="K517" s="7"/>
    </row>
    <row r="518" spans="1:11" ht="14.25" customHeight="1">
      <c r="A518" s="14" t="s">
        <v>1105</v>
      </c>
      <c r="B518" s="78"/>
      <c r="C518" s="78"/>
      <c r="D518" s="69">
        <v>45397</v>
      </c>
      <c r="E518" s="68">
        <v>566</v>
      </c>
      <c r="F518" s="77">
        <v>45397</v>
      </c>
      <c r="G518" s="76">
        <v>118135</v>
      </c>
      <c r="H518" s="70" t="s">
        <v>1177</v>
      </c>
      <c r="I518" s="7">
        <f t="shared" ca="1" si="2"/>
        <v>0</v>
      </c>
      <c r="J518" s="89">
        <v>45398</v>
      </c>
      <c r="K518" s="7" t="s">
        <v>1217</v>
      </c>
    </row>
    <row r="519" spans="1:11" ht="14.25" customHeight="1">
      <c r="A519" s="14" t="s">
        <v>1218</v>
      </c>
      <c r="B519" s="78"/>
      <c r="C519" s="78"/>
      <c r="D519" s="69">
        <v>45397</v>
      </c>
      <c r="E519" s="14">
        <v>567</v>
      </c>
      <c r="F519" s="77">
        <v>45397</v>
      </c>
      <c r="G519" s="76">
        <v>119530</v>
      </c>
      <c r="H519" s="70" t="s">
        <v>1044</v>
      </c>
      <c r="I519" s="7">
        <f t="shared" ca="1" si="2"/>
        <v>0</v>
      </c>
      <c r="J519" s="89">
        <v>45398</v>
      </c>
      <c r="K519" s="7"/>
    </row>
    <row r="520" spans="1:11" ht="14.25" customHeight="1">
      <c r="A520" s="14" t="s">
        <v>126</v>
      </c>
      <c r="B520" s="78"/>
      <c r="C520" s="78"/>
      <c r="D520" s="69">
        <v>45397</v>
      </c>
      <c r="E520" s="14">
        <v>568</v>
      </c>
      <c r="F520" s="77">
        <v>45397</v>
      </c>
      <c r="G520" s="76">
        <v>96433</v>
      </c>
      <c r="H520" s="70" t="s">
        <v>1100</v>
      </c>
      <c r="I520" s="7">
        <f t="shared" ca="1" si="2"/>
        <v>0</v>
      </c>
      <c r="J520" s="86">
        <v>45415</v>
      </c>
      <c r="K520" s="7"/>
    </row>
    <row r="521" spans="1:11" ht="14.25" customHeight="1">
      <c r="A521" s="14" t="s">
        <v>663</v>
      </c>
      <c r="B521" s="78"/>
      <c r="C521" s="78"/>
      <c r="D521" s="69">
        <v>45397</v>
      </c>
      <c r="E521" s="14">
        <v>569</v>
      </c>
      <c r="F521" s="69">
        <v>45398</v>
      </c>
      <c r="G521" s="76">
        <v>117911</v>
      </c>
      <c r="H521" s="70" t="s">
        <v>1044</v>
      </c>
      <c r="I521" s="7">
        <f t="shared" ca="1" si="2"/>
        <v>0</v>
      </c>
      <c r="J521" s="80">
        <v>45416</v>
      </c>
      <c r="K521" s="7"/>
    </row>
    <row r="522" spans="1:11" ht="14.25" customHeight="1">
      <c r="A522" s="14" t="s">
        <v>1142</v>
      </c>
      <c r="B522" s="78"/>
      <c r="C522" s="78"/>
      <c r="D522" s="69">
        <v>45397</v>
      </c>
      <c r="E522" s="14">
        <v>570</v>
      </c>
      <c r="F522" s="77">
        <v>45397</v>
      </c>
      <c r="G522" s="76">
        <v>348055</v>
      </c>
      <c r="H522" s="70" t="s">
        <v>1100</v>
      </c>
      <c r="I522" s="7">
        <f t="shared" ca="1" si="2"/>
        <v>0</v>
      </c>
      <c r="J522" s="86">
        <v>45446</v>
      </c>
      <c r="K522" s="7"/>
    </row>
    <row r="523" spans="1:11" ht="14.25" customHeight="1">
      <c r="A523" s="18" t="s">
        <v>1121</v>
      </c>
      <c r="B523" s="78"/>
      <c r="C523" s="78"/>
      <c r="D523" s="69">
        <v>45398</v>
      </c>
      <c r="E523" s="68">
        <v>572</v>
      </c>
      <c r="F523" s="77">
        <v>45400</v>
      </c>
      <c r="G523" s="76">
        <v>231915</v>
      </c>
      <c r="H523" s="70" t="s">
        <v>1044</v>
      </c>
      <c r="I523" s="7">
        <f t="shared" ca="1" si="2"/>
        <v>0</v>
      </c>
      <c r="J523" s="86">
        <v>45398</v>
      </c>
      <c r="K523" s="7"/>
    </row>
    <row r="524" spans="1:11" ht="14.25" customHeight="1">
      <c r="A524" s="14" t="s">
        <v>342</v>
      </c>
      <c r="B524" s="78"/>
      <c r="C524" s="78"/>
      <c r="D524" s="69">
        <v>45398</v>
      </c>
      <c r="E524" s="14">
        <v>573</v>
      </c>
      <c r="F524" s="69">
        <v>45398</v>
      </c>
      <c r="G524" s="76">
        <v>149349</v>
      </c>
      <c r="H524" s="70" t="s">
        <v>1100</v>
      </c>
      <c r="I524" s="7">
        <f t="shared" ca="1" si="2"/>
        <v>0</v>
      </c>
      <c r="J524" s="86">
        <v>45435</v>
      </c>
      <c r="K524" s="7"/>
    </row>
    <row r="525" spans="1:11" ht="14.25" customHeight="1">
      <c r="A525" s="14" t="s">
        <v>1105</v>
      </c>
      <c r="B525" s="78"/>
      <c r="C525" s="78"/>
      <c r="D525" s="69">
        <v>45399</v>
      </c>
      <c r="E525" s="14">
        <v>574</v>
      </c>
      <c r="F525" s="77">
        <v>45397</v>
      </c>
      <c r="G525" s="76">
        <v>118135</v>
      </c>
      <c r="H525" s="70" t="s">
        <v>1044</v>
      </c>
      <c r="I525" s="7">
        <f t="shared" ca="1" si="2"/>
        <v>0</v>
      </c>
      <c r="J525" s="89">
        <v>45398</v>
      </c>
      <c r="K525" s="7"/>
    </row>
    <row r="526" spans="1:11" ht="14.25" customHeight="1">
      <c r="A526" s="14" t="s">
        <v>1219</v>
      </c>
      <c r="B526" s="78"/>
      <c r="C526" s="78"/>
      <c r="D526" s="69">
        <v>45399</v>
      </c>
      <c r="E526" s="14">
        <v>575</v>
      </c>
      <c r="F526" s="69">
        <v>45399</v>
      </c>
      <c r="G526" s="76">
        <v>134216</v>
      </c>
      <c r="H526" s="70" t="s">
        <v>1100</v>
      </c>
      <c r="I526" s="7">
        <f t="shared" ca="1" si="2"/>
        <v>0</v>
      </c>
      <c r="J526" s="86">
        <v>38491</v>
      </c>
      <c r="K526" s="7"/>
    </row>
    <row r="527" spans="1:11" ht="14.25" customHeight="1">
      <c r="A527" s="14" t="s">
        <v>565</v>
      </c>
      <c r="B527" s="78"/>
      <c r="C527" s="78"/>
      <c r="D527" s="69">
        <v>45399</v>
      </c>
      <c r="E527" s="14">
        <v>576</v>
      </c>
      <c r="F527" s="69">
        <v>45399</v>
      </c>
      <c r="G527" s="76">
        <v>94786</v>
      </c>
      <c r="H527" s="70" t="s">
        <v>1044</v>
      </c>
      <c r="I527" s="7"/>
      <c r="J527" s="90">
        <v>45430</v>
      </c>
      <c r="K527" s="7"/>
    </row>
    <row r="528" spans="1:11" ht="14.25" customHeight="1">
      <c r="A528" s="14" t="s">
        <v>1220</v>
      </c>
      <c r="B528" s="78"/>
      <c r="C528" s="78"/>
      <c r="D528" s="69">
        <v>45402</v>
      </c>
      <c r="E528" s="68" t="s">
        <v>1221</v>
      </c>
      <c r="F528" s="69">
        <v>45402</v>
      </c>
      <c r="G528" s="76">
        <v>300000</v>
      </c>
      <c r="H528" s="70" t="s">
        <v>1044</v>
      </c>
      <c r="I528" s="7">
        <f t="shared" ref="I528:I635" ca="1" si="3">IF(OR(H528="Pagado",H528="Anulada"),0,IF(ISNUMBER(E528),TODAY()-D528,TODAY()-F528))</f>
        <v>0</v>
      </c>
      <c r="J528" s="89">
        <v>45401</v>
      </c>
      <c r="K528" s="7"/>
    </row>
    <row r="529" spans="1:11" ht="14.25" customHeight="1">
      <c r="A529" s="14" t="s">
        <v>1068</v>
      </c>
      <c r="B529" s="78"/>
      <c r="C529" s="78"/>
      <c r="D529" s="69">
        <v>45404</v>
      </c>
      <c r="E529" s="14">
        <v>577</v>
      </c>
      <c r="F529" s="69">
        <v>45404</v>
      </c>
      <c r="G529" s="76">
        <v>306008</v>
      </c>
      <c r="H529" s="70" t="s">
        <v>1100</v>
      </c>
      <c r="I529" s="7">
        <f t="shared" ca="1" si="3"/>
        <v>0</v>
      </c>
      <c r="J529" s="86">
        <v>45439</v>
      </c>
      <c r="K529" s="7"/>
    </row>
    <row r="530" spans="1:11" ht="14.25" customHeight="1">
      <c r="A530" s="14" t="s">
        <v>1105</v>
      </c>
      <c r="B530" s="78"/>
      <c r="C530" s="78"/>
      <c r="D530" s="69">
        <v>45405</v>
      </c>
      <c r="E530" s="14">
        <v>578</v>
      </c>
      <c r="F530" s="69">
        <v>45405</v>
      </c>
      <c r="G530" s="76">
        <v>61034</v>
      </c>
      <c r="H530" s="70" t="s">
        <v>1100</v>
      </c>
      <c r="I530" s="7">
        <f t="shared" ca="1" si="3"/>
        <v>0</v>
      </c>
      <c r="J530" s="86">
        <v>45441</v>
      </c>
      <c r="K530" s="7"/>
    </row>
    <row r="531" spans="1:11" ht="14.25" customHeight="1">
      <c r="A531" s="14" t="s">
        <v>1218</v>
      </c>
      <c r="B531" s="78"/>
      <c r="C531" s="78"/>
      <c r="D531" s="69">
        <v>45405</v>
      </c>
      <c r="E531" s="14">
        <v>579</v>
      </c>
      <c r="F531" s="69">
        <v>45405</v>
      </c>
      <c r="G531" s="76">
        <v>61034</v>
      </c>
      <c r="H531" s="70" t="s">
        <v>1100</v>
      </c>
      <c r="I531" s="7">
        <f t="shared" ca="1" si="3"/>
        <v>0</v>
      </c>
      <c r="J531" s="86">
        <v>45414</v>
      </c>
      <c r="K531" s="7"/>
    </row>
    <row r="532" spans="1:11" ht="14.25" customHeight="1">
      <c r="A532" s="14" t="s">
        <v>1052</v>
      </c>
      <c r="B532" s="78"/>
      <c r="C532" s="78"/>
      <c r="D532" s="69">
        <v>45405</v>
      </c>
      <c r="E532" s="14">
        <v>580</v>
      </c>
      <c r="F532" s="69">
        <v>45405</v>
      </c>
      <c r="G532" s="76">
        <v>180258</v>
      </c>
      <c r="H532" s="70" t="s">
        <v>1044</v>
      </c>
      <c r="I532" s="7">
        <f t="shared" ca="1" si="3"/>
        <v>0</v>
      </c>
      <c r="J532" s="86">
        <v>45439</v>
      </c>
      <c r="K532" s="7" t="s">
        <v>1222</v>
      </c>
    </row>
    <row r="533" spans="1:11" ht="14.25" customHeight="1">
      <c r="A533" s="14" t="s">
        <v>1157</v>
      </c>
      <c r="B533" s="78"/>
      <c r="C533" s="78"/>
      <c r="D533" s="69">
        <v>45406</v>
      </c>
      <c r="E533" s="14">
        <v>581</v>
      </c>
      <c r="F533" s="69">
        <v>45406</v>
      </c>
      <c r="G533" s="76">
        <v>123589</v>
      </c>
      <c r="H533" s="70" t="s">
        <v>1100</v>
      </c>
      <c r="I533" s="7">
        <f t="shared" ca="1" si="3"/>
        <v>0</v>
      </c>
      <c r="J533" s="80">
        <v>45449</v>
      </c>
      <c r="K533" s="7"/>
    </row>
    <row r="534" spans="1:11" ht="14.25" customHeight="1">
      <c r="A534" s="14" t="s">
        <v>559</v>
      </c>
      <c r="B534" s="78"/>
      <c r="C534" s="78"/>
      <c r="D534" s="69">
        <v>45371</v>
      </c>
      <c r="E534" s="14">
        <v>582</v>
      </c>
      <c r="F534" s="77">
        <v>45372</v>
      </c>
      <c r="G534" s="76">
        <v>122194</v>
      </c>
      <c r="H534" s="70" t="s">
        <v>1100</v>
      </c>
      <c r="I534" s="7">
        <f t="shared" ca="1" si="3"/>
        <v>0</v>
      </c>
      <c r="J534" s="86">
        <v>45410</v>
      </c>
      <c r="K534" s="7" t="s">
        <v>1223</v>
      </c>
    </row>
    <row r="535" spans="1:11" ht="14.25" customHeight="1">
      <c r="A535" s="14" t="s">
        <v>1224</v>
      </c>
      <c r="B535" s="78"/>
      <c r="C535" s="78"/>
      <c r="D535" s="69">
        <v>45411</v>
      </c>
      <c r="E535" s="14">
        <v>583</v>
      </c>
      <c r="F535" s="69">
        <v>45412</v>
      </c>
      <c r="G535" s="76">
        <v>153087</v>
      </c>
      <c r="H535" s="70" t="s">
        <v>1044</v>
      </c>
      <c r="I535" s="7">
        <f t="shared" ca="1" si="3"/>
        <v>0</v>
      </c>
      <c r="J535" s="86">
        <v>45439</v>
      </c>
      <c r="K535" s="7"/>
    </row>
    <row r="536" spans="1:11" ht="14.25" customHeight="1">
      <c r="A536" s="14" t="s">
        <v>1225</v>
      </c>
      <c r="B536" s="78"/>
      <c r="C536" s="78"/>
      <c r="D536" s="69">
        <v>45411</v>
      </c>
      <c r="E536" s="14">
        <v>584</v>
      </c>
      <c r="F536" s="77">
        <v>45411</v>
      </c>
      <c r="G536" s="76">
        <v>117919</v>
      </c>
      <c r="H536" s="70" t="s">
        <v>1177</v>
      </c>
      <c r="I536" s="7">
        <f t="shared" ca="1" si="3"/>
        <v>0</v>
      </c>
      <c r="J536" s="7"/>
      <c r="K536" s="7" t="s">
        <v>1226</v>
      </c>
    </row>
    <row r="537" spans="1:11" ht="14.25" customHeight="1">
      <c r="A537" s="14" t="s">
        <v>646</v>
      </c>
      <c r="B537" s="78"/>
      <c r="C537" s="78"/>
      <c r="D537" s="69">
        <v>45411</v>
      </c>
      <c r="E537" s="14">
        <v>585</v>
      </c>
      <c r="F537" s="69">
        <v>45412</v>
      </c>
      <c r="G537" s="76">
        <v>124287</v>
      </c>
      <c r="H537" s="70" t="s">
        <v>1044</v>
      </c>
      <c r="I537" s="7">
        <f t="shared" ca="1" si="3"/>
        <v>0</v>
      </c>
      <c r="J537" s="80">
        <v>45420</v>
      </c>
      <c r="K537" s="7"/>
    </row>
    <row r="538" spans="1:11" ht="14.25" customHeight="1">
      <c r="A538" s="14" t="s">
        <v>1227</v>
      </c>
      <c r="B538" s="78"/>
      <c r="C538" s="78"/>
      <c r="D538" s="69">
        <v>45411</v>
      </c>
      <c r="E538" s="14">
        <v>586</v>
      </c>
      <c r="F538" s="77">
        <v>45411</v>
      </c>
      <c r="G538" s="76">
        <v>118769</v>
      </c>
      <c r="H538" s="70" t="s">
        <v>1100</v>
      </c>
      <c r="I538" s="7">
        <f t="shared" ca="1" si="3"/>
        <v>0</v>
      </c>
      <c r="J538" s="86">
        <v>45444</v>
      </c>
      <c r="K538" s="7"/>
    </row>
    <row r="539" spans="1:11" ht="14.25" customHeight="1">
      <c r="A539" s="14" t="s">
        <v>1219</v>
      </c>
      <c r="B539" s="78"/>
      <c r="C539" s="78"/>
      <c r="D539" s="69">
        <v>45411</v>
      </c>
      <c r="E539" s="14">
        <v>587</v>
      </c>
      <c r="F539" s="69">
        <v>45412</v>
      </c>
      <c r="G539" s="76">
        <v>134376</v>
      </c>
      <c r="H539" s="70" t="s">
        <v>1100</v>
      </c>
      <c r="I539" s="7">
        <f t="shared" ca="1" si="3"/>
        <v>0</v>
      </c>
      <c r="J539" s="86">
        <v>45444</v>
      </c>
      <c r="K539" s="7"/>
    </row>
    <row r="540" spans="1:11" ht="14.25" customHeight="1">
      <c r="A540" s="14" t="s">
        <v>1228</v>
      </c>
      <c r="B540" s="78"/>
      <c r="C540" s="78"/>
      <c r="D540" s="69">
        <v>45411</v>
      </c>
      <c r="E540" s="14">
        <v>588</v>
      </c>
      <c r="F540" s="77">
        <v>45411</v>
      </c>
      <c r="G540" s="76">
        <v>117508</v>
      </c>
      <c r="H540" s="70" t="s">
        <v>1100</v>
      </c>
      <c r="I540" s="7">
        <f t="shared" ca="1" si="3"/>
        <v>0</v>
      </c>
      <c r="J540" s="86">
        <v>45435</v>
      </c>
      <c r="K540" s="7"/>
    </row>
    <row r="541" spans="1:11" ht="14.25" customHeight="1">
      <c r="A541" s="14" t="s">
        <v>1229</v>
      </c>
      <c r="B541" s="78"/>
      <c r="C541" s="78"/>
      <c r="D541" s="69">
        <v>45411</v>
      </c>
      <c r="E541" s="14">
        <v>589</v>
      </c>
      <c r="F541" s="77">
        <v>45411</v>
      </c>
      <c r="G541" s="76">
        <v>207413</v>
      </c>
      <c r="H541" s="70" t="s">
        <v>1100</v>
      </c>
      <c r="I541" s="7">
        <f t="shared" ca="1" si="3"/>
        <v>0</v>
      </c>
      <c r="J541" s="86">
        <v>45444</v>
      </c>
      <c r="K541" s="7"/>
    </row>
    <row r="542" spans="1:11" ht="14.25" customHeight="1">
      <c r="A542" s="14" t="s">
        <v>1202</v>
      </c>
      <c r="B542" s="78"/>
      <c r="C542" s="78"/>
      <c r="D542" s="69">
        <v>45412</v>
      </c>
      <c r="E542" s="14">
        <v>592</v>
      </c>
      <c r="F542" s="69">
        <v>45415</v>
      </c>
      <c r="G542" s="76">
        <v>123589</v>
      </c>
      <c r="H542" s="70" t="s">
        <v>1100</v>
      </c>
      <c r="I542" s="7">
        <f t="shared" ca="1" si="3"/>
        <v>0</v>
      </c>
      <c r="J542" s="86">
        <v>45455</v>
      </c>
      <c r="K542" s="7"/>
    </row>
    <row r="543" spans="1:11" ht="14.25" customHeight="1">
      <c r="A543" s="14" t="s">
        <v>1225</v>
      </c>
      <c r="B543" s="78"/>
      <c r="C543" s="78"/>
      <c r="D543" s="69">
        <v>45414</v>
      </c>
      <c r="E543" s="14">
        <v>593</v>
      </c>
      <c r="F543" s="77">
        <v>45411</v>
      </c>
      <c r="G543" s="76">
        <v>109297</v>
      </c>
      <c r="H543" s="70" t="s">
        <v>1044</v>
      </c>
      <c r="I543" s="7">
        <f t="shared" ca="1" si="3"/>
        <v>0</v>
      </c>
      <c r="J543" s="86">
        <v>45415</v>
      </c>
      <c r="K543" s="7" t="s">
        <v>1230</v>
      </c>
    </row>
    <row r="544" spans="1:11" ht="14.25" customHeight="1">
      <c r="A544" s="18" t="s">
        <v>1120</v>
      </c>
      <c r="B544" s="78"/>
      <c r="C544" s="78"/>
      <c r="D544" s="69">
        <v>45414</v>
      </c>
      <c r="E544" s="14">
        <v>594</v>
      </c>
      <c r="F544" s="77">
        <v>45412</v>
      </c>
      <c r="G544" s="76">
        <v>127648</v>
      </c>
      <c r="H544" s="70" t="s">
        <v>1100</v>
      </c>
      <c r="I544" s="7">
        <f t="shared" ca="1" si="3"/>
        <v>0</v>
      </c>
      <c r="J544" s="86">
        <v>45460</v>
      </c>
      <c r="K544" s="7"/>
    </row>
    <row r="545" spans="1:11" ht="14.25" customHeight="1">
      <c r="A545" s="14" t="s">
        <v>1056</v>
      </c>
      <c r="B545" s="78"/>
      <c r="C545" s="78"/>
      <c r="D545" s="68" t="s">
        <v>1221</v>
      </c>
      <c r="E545" s="14" t="s">
        <v>1221</v>
      </c>
      <c r="F545" s="77">
        <v>45412</v>
      </c>
      <c r="G545" s="76">
        <v>178000</v>
      </c>
      <c r="H545" s="70" t="s">
        <v>1100</v>
      </c>
      <c r="I545" s="7">
        <f t="shared" ca="1" si="3"/>
        <v>0</v>
      </c>
      <c r="J545" s="87">
        <v>45460</v>
      </c>
      <c r="K545" s="7"/>
    </row>
    <row r="546" spans="1:11" ht="14.25" customHeight="1">
      <c r="A546" s="14" t="s">
        <v>1231</v>
      </c>
      <c r="B546" s="78"/>
      <c r="C546" s="78"/>
      <c r="D546" s="68" t="s">
        <v>1232</v>
      </c>
      <c r="E546" s="14" t="s">
        <v>1232</v>
      </c>
      <c r="F546" s="77">
        <v>45412</v>
      </c>
      <c r="G546" s="76">
        <v>119400</v>
      </c>
      <c r="H546" s="70" t="s">
        <v>1100</v>
      </c>
      <c r="I546" s="7">
        <f t="shared" ca="1" si="3"/>
        <v>0</v>
      </c>
      <c r="J546" s="86">
        <v>45449</v>
      </c>
      <c r="K546" s="7"/>
    </row>
    <row r="547" spans="1:11" ht="14.25" customHeight="1">
      <c r="A547" s="14" t="s">
        <v>1105</v>
      </c>
      <c r="B547" s="78"/>
      <c r="C547" s="78"/>
      <c r="D547" s="69">
        <v>45416</v>
      </c>
      <c r="E547" s="14">
        <v>595</v>
      </c>
      <c r="F547" s="77">
        <v>45415</v>
      </c>
      <c r="G547" s="76">
        <v>349575</v>
      </c>
      <c r="H547" s="70" t="s">
        <v>1177</v>
      </c>
      <c r="I547" s="7">
        <f t="shared" ca="1" si="3"/>
        <v>0</v>
      </c>
      <c r="J547" s="7"/>
      <c r="K547" s="7" t="s">
        <v>1233</v>
      </c>
    </row>
    <row r="548" spans="1:11" ht="14.25" customHeight="1">
      <c r="A548" s="14" t="s">
        <v>470</v>
      </c>
      <c r="B548" s="78"/>
      <c r="C548" s="78"/>
      <c r="D548" s="69">
        <v>45416</v>
      </c>
      <c r="E548" s="14">
        <v>596</v>
      </c>
      <c r="F548" s="77">
        <v>45415</v>
      </c>
      <c r="G548" s="76">
        <v>120799</v>
      </c>
      <c r="H548" s="70" t="s">
        <v>1100</v>
      </c>
      <c r="I548" s="7">
        <f t="shared" ca="1" si="3"/>
        <v>0</v>
      </c>
      <c r="J548" s="87">
        <v>45461</v>
      </c>
      <c r="K548" s="7"/>
    </row>
    <row r="549" spans="1:11" ht="14.25" customHeight="1">
      <c r="A549" s="14" t="s">
        <v>663</v>
      </c>
      <c r="B549" s="78"/>
      <c r="C549" s="78"/>
      <c r="D549" s="69">
        <v>45419</v>
      </c>
      <c r="E549" s="14">
        <v>597</v>
      </c>
      <c r="F549" s="77">
        <v>45421</v>
      </c>
      <c r="G549" s="76">
        <v>127648</v>
      </c>
      <c r="H549" s="70" t="s">
        <v>1100</v>
      </c>
      <c r="I549" s="7">
        <f t="shared" ca="1" si="3"/>
        <v>0</v>
      </c>
      <c r="J549" s="87">
        <v>45463</v>
      </c>
      <c r="K549" s="7"/>
    </row>
    <row r="550" spans="1:11" ht="14.25" customHeight="1">
      <c r="A550" s="14" t="s">
        <v>729</v>
      </c>
      <c r="B550" s="78"/>
      <c r="C550" s="78"/>
      <c r="D550" s="69">
        <v>45419</v>
      </c>
      <c r="E550" s="14">
        <v>598</v>
      </c>
      <c r="F550" s="77">
        <v>45419</v>
      </c>
      <c r="G550" s="76">
        <v>189917</v>
      </c>
      <c r="H550" s="70" t="s">
        <v>1100</v>
      </c>
      <c r="I550" s="7">
        <f t="shared" ca="1" si="3"/>
        <v>0</v>
      </c>
      <c r="J550" s="87">
        <v>45468</v>
      </c>
      <c r="K550" s="7"/>
    </row>
    <row r="551" spans="1:11" ht="14.25" customHeight="1">
      <c r="A551" s="14" t="s">
        <v>126</v>
      </c>
      <c r="B551" s="78"/>
      <c r="C551" s="78"/>
      <c r="D551" s="69">
        <v>45419</v>
      </c>
      <c r="E551" s="14">
        <v>599</v>
      </c>
      <c r="F551" s="77"/>
      <c r="G551" s="76"/>
      <c r="H551" s="70" t="s">
        <v>1177</v>
      </c>
      <c r="I551" s="7">
        <f t="shared" ca="1" si="3"/>
        <v>0</v>
      </c>
      <c r="J551" s="7"/>
      <c r="K551" s="7" t="s">
        <v>1234</v>
      </c>
    </row>
    <row r="552" spans="1:11" ht="14.25" customHeight="1">
      <c r="A552" s="14" t="s">
        <v>126</v>
      </c>
      <c r="B552" s="78"/>
      <c r="C552" s="78"/>
      <c r="D552" s="69">
        <v>45419</v>
      </c>
      <c r="E552" s="14">
        <v>600</v>
      </c>
      <c r="F552" s="77">
        <v>45419</v>
      </c>
      <c r="G552" s="76">
        <v>268608</v>
      </c>
      <c r="H552" s="70" t="s">
        <v>1100</v>
      </c>
      <c r="I552" s="7">
        <f t="shared" ca="1" si="3"/>
        <v>0</v>
      </c>
      <c r="J552" s="86">
        <v>45426</v>
      </c>
      <c r="K552" s="7"/>
    </row>
    <row r="553" spans="1:11" ht="14.25" customHeight="1">
      <c r="A553" s="14" t="s">
        <v>487</v>
      </c>
      <c r="B553" s="78"/>
      <c r="C553" s="78"/>
      <c r="D553" s="69">
        <v>45419</v>
      </c>
      <c r="E553" s="14">
        <v>601</v>
      </c>
      <c r="F553" s="77">
        <v>45419</v>
      </c>
      <c r="G553" s="76">
        <v>190078</v>
      </c>
      <c r="H553" s="70" t="s">
        <v>1044</v>
      </c>
      <c r="I553" s="7">
        <f t="shared" ca="1" si="3"/>
        <v>0</v>
      </c>
      <c r="J553" s="86">
        <v>45454</v>
      </c>
      <c r="K553" s="7"/>
    </row>
    <row r="554" spans="1:11" ht="14.25" customHeight="1">
      <c r="A554" s="14" t="s">
        <v>143</v>
      </c>
      <c r="B554" s="78"/>
      <c r="C554" s="78"/>
      <c r="D554" s="69">
        <v>45419</v>
      </c>
      <c r="E554" s="14">
        <v>602</v>
      </c>
      <c r="F554" s="77">
        <v>45419</v>
      </c>
      <c r="G554" s="76">
        <v>121179</v>
      </c>
      <c r="H554" s="70" t="s">
        <v>1044</v>
      </c>
      <c r="I554" s="7">
        <f t="shared" ca="1" si="3"/>
        <v>0</v>
      </c>
      <c r="J554" s="86">
        <v>45453</v>
      </c>
      <c r="K554" s="7"/>
    </row>
    <row r="555" spans="1:11" ht="14.25" customHeight="1">
      <c r="A555" s="384" t="s">
        <v>1235</v>
      </c>
      <c r="B555" s="78"/>
      <c r="C555" s="78"/>
      <c r="D555" s="69">
        <v>45421</v>
      </c>
      <c r="E555" s="14">
        <v>603</v>
      </c>
      <c r="F555" s="77">
        <v>45422</v>
      </c>
      <c r="G555" s="76">
        <v>122194</v>
      </c>
      <c r="H555" s="70" t="s">
        <v>1100</v>
      </c>
      <c r="I555" s="7">
        <f t="shared" ca="1" si="3"/>
        <v>0</v>
      </c>
      <c r="J555" s="7"/>
      <c r="K555" s="7"/>
    </row>
    <row r="556" spans="1:11" ht="14.25" customHeight="1">
      <c r="A556" s="14" t="s">
        <v>675</v>
      </c>
      <c r="B556" s="78"/>
      <c r="C556" s="78"/>
      <c r="D556" s="69">
        <v>45421</v>
      </c>
      <c r="E556" s="14">
        <v>604</v>
      </c>
      <c r="F556" s="69">
        <v>45420</v>
      </c>
      <c r="G556" s="76">
        <v>84603</v>
      </c>
      <c r="H556" s="70" t="s">
        <v>1100</v>
      </c>
      <c r="I556" s="7">
        <f t="shared" ca="1" si="3"/>
        <v>0</v>
      </c>
      <c r="J556" s="87">
        <v>45460</v>
      </c>
      <c r="K556" s="7"/>
    </row>
    <row r="557" spans="1:11" ht="14.25" customHeight="1">
      <c r="A557" s="14" t="s">
        <v>226</v>
      </c>
      <c r="B557" s="78"/>
      <c r="C557" s="78"/>
      <c r="D557" s="69">
        <v>45425</v>
      </c>
      <c r="E557" s="14">
        <v>605</v>
      </c>
      <c r="F557" s="69">
        <v>45425</v>
      </c>
      <c r="G557" s="76">
        <v>207413</v>
      </c>
      <c r="H557" s="70" t="s">
        <v>1100</v>
      </c>
      <c r="I557" s="7">
        <f t="shared" ca="1" si="3"/>
        <v>0</v>
      </c>
      <c r="J557" s="87">
        <v>45511</v>
      </c>
      <c r="K557" s="7" t="s">
        <v>1236</v>
      </c>
    </row>
    <row r="558" spans="1:11" ht="14.25" customHeight="1">
      <c r="A558" s="14" t="s">
        <v>1237</v>
      </c>
      <c r="B558" s="78"/>
      <c r="C558" s="78"/>
      <c r="D558" s="69">
        <v>45425</v>
      </c>
      <c r="E558" s="14">
        <v>606</v>
      </c>
      <c r="F558" s="69">
        <v>45425</v>
      </c>
      <c r="G558" s="76">
        <v>107812</v>
      </c>
      <c r="H558" s="70" t="s">
        <v>1100</v>
      </c>
      <c r="I558" s="7">
        <f t="shared" ca="1" si="3"/>
        <v>0</v>
      </c>
      <c r="J558" s="87">
        <v>45467</v>
      </c>
      <c r="K558" s="7"/>
    </row>
    <row r="559" spans="1:11" ht="14.25" customHeight="1">
      <c r="A559" s="14" t="s">
        <v>1208</v>
      </c>
      <c r="B559" s="78"/>
      <c r="C559" s="78"/>
      <c r="D559" s="69">
        <v>45425</v>
      </c>
      <c r="E559" s="14">
        <v>607</v>
      </c>
      <c r="F559" s="69">
        <v>45425</v>
      </c>
      <c r="G559" s="76">
        <v>123589</v>
      </c>
      <c r="H559" s="70" t="s">
        <v>1100</v>
      </c>
      <c r="I559" s="7">
        <f t="shared" ca="1" si="3"/>
        <v>0</v>
      </c>
      <c r="J559" s="86">
        <v>45434</v>
      </c>
      <c r="K559" s="7"/>
    </row>
    <row r="560" spans="1:11" ht="14.25" customHeight="1">
      <c r="A560" s="14" t="s">
        <v>1225</v>
      </c>
      <c r="B560" s="78"/>
      <c r="C560" s="78"/>
      <c r="D560" s="69">
        <v>45425</v>
      </c>
      <c r="E560" s="14">
        <v>608</v>
      </c>
      <c r="F560" s="69">
        <v>45440</v>
      </c>
      <c r="G560" s="76">
        <v>263451</v>
      </c>
      <c r="H560" s="70" t="s">
        <v>1044</v>
      </c>
      <c r="I560" s="7">
        <f t="shared" ca="1" si="3"/>
        <v>0</v>
      </c>
      <c r="J560" s="86">
        <v>45441</v>
      </c>
      <c r="K560" s="7"/>
    </row>
    <row r="561" spans="1:14" ht="14.25" customHeight="1">
      <c r="A561" s="14" t="s">
        <v>1238</v>
      </c>
      <c r="B561" s="78"/>
      <c r="C561" s="78"/>
      <c r="D561" s="69">
        <v>45425</v>
      </c>
      <c r="E561" s="14">
        <v>609</v>
      </c>
      <c r="F561" s="69">
        <v>45425</v>
      </c>
      <c r="G561" s="76">
        <v>108777</v>
      </c>
      <c r="H561" s="70" t="s">
        <v>1044</v>
      </c>
      <c r="I561" s="7">
        <f t="shared" ca="1" si="3"/>
        <v>0</v>
      </c>
      <c r="J561" s="86">
        <v>45436</v>
      </c>
      <c r="K561" s="7"/>
    </row>
    <row r="562" spans="1:14" ht="14.25" customHeight="1">
      <c r="A562" s="14" t="s">
        <v>547</v>
      </c>
      <c r="B562" s="78"/>
      <c r="C562" s="78"/>
      <c r="D562" s="69">
        <v>45425</v>
      </c>
      <c r="E562" s="14">
        <v>610</v>
      </c>
      <c r="F562" s="77">
        <v>45426</v>
      </c>
      <c r="G562" s="76">
        <v>120799</v>
      </c>
      <c r="H562" s="70" t="s">
        <v>1100</v>
      </c>
      <c r="I562" s="7">
        <f t="shared" ca="1" si="3"/>
        <v>0</v>
      </c>
      <c r="J562" s="86">
        <v>45426</v>
      </c>
      <c r="K562" s="7"/>
    </row>
    <row r="563" spans="1:14" ht="14.25" customHeight="1">
      <c r="A563" s="14" t="s">
        <v>752</v>
      </c>
      <c r="B563" s="78"/>
      <c r="C563" s="78"/>
      <c r="D563" s="69">
        <v>45425</v>
      </c>
      <c r="E563" s="14">
        <v>611</v>
      </c>
      <c r="F563" s="77">
        <v>45426</v>
      </c>
      <c r="G563" s="76">
        <v>120799</v>
      </c>
      <c r="H563" s="70" t="s">
        <v>1177</v>
      </c>
      <c r="I563" s="7">
        <f t="shared" ca="1" si="3"/>
        <v>0</v>
      </c>
      <c r="J563" s="7"/>
      <c r="K563" s="7" t="s">
        <v>1239</v>
      </c>
    </row>
    <row r="564" spans="1:14" ht="14.25" customHeight="1">
      <c r="A564" s="82" t="s">
        <v>752</v>
      </c>
      <c r="B564" s="78"/>
      <c r="C564" s="78"/>
      <c r="D564" s="69">
        <v>45425</v>
      </c>
      <c r="E564" s="14">
        <v>612</v>
      </c>
      <c r="F564" s="77">
        <v>45426</v>
      </c>
      <c r="G564" s="76">
        <v>65219</v>
      </c>
      <c r="H564" s="70" t="s">
        <v>1177</v>
      </c>
      <c r="I564" s="7">
        <f t="shared" ca="1" si="3"/>
        <v>0</v>
      </c>
      <c r="J564" s="7"/>
      <c r="K564" s="7" t="s">
        <v>1240</v>
      </c>
    </row>
    <row r="565" spans="1:14" ht="14.25" customHeight="1">
      <c r="A565" s="14" t="s">
        <v>752</v>
      </c>
      <c r="B565" s="78"/>
      <c r="C565" s="78"/>
      <c r="D565" s="69">
        <v>45425</v>
      </c>
      <c r="E565" s="14">
        <v>613</v>
      </c>
      <c r="F565" s="77">
        <v>45426</v>
      </c>
      <c r="G565" s="76">
        <v>112004</v>
      </c>
      <c r="H565" s="70" t="s">
        <v>1044</v>
      </c>
      <c r="I565" s="7">
        <f t="shared" ca="1" si="3"/>
        <v>0</v>
      </c>
      <c r="J565" s="86">
        <v>45435</v>
      </c>
      <c r="K565" s="7"/>
    </row>
    <row r="566" spans="1:14" ht="14.25" customHeight="1">
      <c r="A566" s="82" t="s">
        <v>752</v>
      </c>
      <c r="B566" s="78"/>
      <c r="C566" s="78"/>
      <c r="D566" s="69">
        <v>45425</v>
      </c>
      <c r="E566" s="14">
        <v>614</v>
      </c>
      <c r="F566" s="77">
        <v>45426</v>
      </c>
      <c r="G566" s="76">
        <v>60340</v>
      </c>
      <c r="H566" s="70" t="s">
        <v>1044</v>
      </c>
      <c r="I566" s="7">
        <f t="shared" ca="1" si="3"/>
        <v>0</v>
      </c>
      <c r="J566" s="86">
        <v>45436</v>
      </c>
      <c r="K566" s="7"/>
    </row>
    <row r="567" spans="1:14" ht="14.25" customHeight="1">
      <c r="A567" s="14" t="s">
        <v>198</v>
      </c>
      <c r="B567" s="78"/>
      <c r="C567" s="78"/>
      <c r="D567" s="69">
        <v>45425</v>
      </c>
      <c r="E567" s="14">
        <v>615</v>
      </c>
      <c r="F567" s="77">
        <v>45426</v>
      </c>
      <c r="G567" s="76">
        <v>119404</v>
      </c>
      <c r="H567" s="70" t="s">
        <v>1100</v>
      </c>
      <c r="I567" s="7">
        <f t="shared" ca="1" si="3"/>
        <v>0</v>
      </c>
      <c r="J567" s="87">
        <v>45463</v>
      </c>
      <c r="K567" s="7" t="s">
        <v>1241</v>
      </c>
    </row>
    <row r="568" spans="1:14" ht="14.25" customHeight="1">
      <c r="A568" s="14" t="s">
        <v>1229</v>
      </c>
      <c r="B568" s="78"/>
      <c r="C568" s="78"/>
      <c r="D568" s="69">
        <v>45425</v>
      </c>
      <c r="E568" s="14">
        <v>616</v>
      </c>
      <c r="F568" s="77">
        <v>45428</v>
      </c>
      <c r="G568" s="76">
        <v>171013</v>
      </c>
      <c r="H568" s="70" t="s">
        <v>1100</v>
      </c>
      <c r="I568" s="7">
        <f t="shared" ca="1" si="3"/>
        <v>0</v>
      </c>
      <c r="J568" s="86">
        <v>45455</v>
      </c>
      <c r="K568" s="7"/>
    </row>
    <row r="569" spans="1:14" ht="14.25" customHeight="1">
      <c r="A569" s="14" t="s">
        <v>1105</v>
      </c>
      <c r="B569" s="78"/>
      <c r="C569" s="78"/>
      <c r="D569" s="69">
        <v>45416</v>
      </c>
      <c r="E569" s="14">
        <v>617</v>
      </c>
      <c r="F569" s="77">
        <v>45415</v>
      </c>
      <c r="G569" s="76">
        <v>349575</v>
      </c>
      <c r="H569" s="70" t="s">
        <v>1100</v>
      </c>
      <c r="I569" s="7">
        <f t="shared" ca="1" si="3"/>
        <v>0</v>
      </c>
      <c r="J569" s="86">
        <v>45446</v>
      </c>
      <c r="K569" s="7"/>
    </row>
    <row r="570" spans="1:14" ht="14.25" customHeight="1">
      <c r="A570" s="14" t="s">
        <v>1242</v>
      </c>
      <c r="B570" s="78"/>
      <c r="C570" s="78"/>
      <c r="D570" s="69">
        <v>45426</v>
      </c>
      <c r="E570" s="14">
        <v>618</v>
      </c>
      <c r="F570" s="69">
        <v>45426</v>
      </c>
      <c r="G570" s="76">
        <v>116676</v>
      </c>
      <c r="H570" s="70" t="s">
        <v>1100</v>
      </c>
      <c r="I570" s="7">
        <f t="shared" ca="1" si="3"/>
        <v>0</v>
      </c>
      <c r="J570" s="7"/>
      <c r="K570" s="7"/>
    </row>
    <row r="571" spans="1:14" ht="14.25" customHeight="1">
      <c r="A571" s="14" t="s">
        <v>1164</v>
      </c>
      <c r="B571" s="78"/>
      <c r="C571" s="78"/>
      <c r="D571" s="69">
        <v>45426</v>
      </c>
      <c r="E571" s="14">
        <v>619</v>
      </c>
      <c r="F571" s="69">
        <v>45426</v>
      </c>
      <c r="G571" s="76">
        <v>118660</v>
      </c>
      <c r="H571" s="70" t="s">
        <v>1100</v>
      </c>
      <c r="I571" s="7">
        <f t="shared" ca="1" si="3"/>
        <v>0</v>
      </c>
      <c r="J571" s="86">
        <v>45453</v>
      </c>
      <c r="K571" s="7"/>
    </row>
    <row r="572" spans="1:14" ht="14.25" customHeight="1">
      <c r="A572" s="14" t="s">
        <v>652</v>
      </c>
      <c r="B572" s="78"/>
      <c r="C572" s="78"/>
      <c r="D572" s="69">
        <v>45427</v>
      </c>
      <c r="E572" s="14">
        <v>620</v>
      </c>
      <c r="F572" s="69">
        <v>45427</v>
      </c>
      <c r="G572" s="76">
        <v>123526</v>
      </c>
      <c r="H572" s="70" t="s">
        <v>1100</v>
      </c>
      <c r="I572" s="7">
        <f t="shared" ca="1" si="3"/>
        <v>0</v>
      </c>
      <c r="J572" s="86">
        <v>45460</v>
      </c>
      <c r="K572" s="7"/>
      <c r="N572" s="91">
        <f>9*17.5</f>
        <v>157.5</v>
      </c>
    </row>
    <row r="573" spans="1:14" ht="14.25" customHeight="1">
      <c r="A573" s="14" t="s">
        <v>1088</v>
      </c>
      <c r="B573" s="78"/>
      <c r="C573" s="78"/>
      <c r="D573" s="69">
        <v>45427</v>
      </c>
      <c r="E573" s="14">
        <v>621</v>
      </c>
      <c r="F573" s="69">
        <v>45427</v>
      </c>
      <c r="G573" s="76">
        <v>123463</v>
      </c>
      <c r="H573" s="70" t="s">
        <v>1100</v>
      </c>
      <c r="I573" s="7">
        <f t="shared" ca="1" si="3"/>
        <v>0</v>
      </c>
      <c r="J573" s="86">
        <v>45469</v>
      </c>
      <c r="K573" s="7"/>
    </row>
    <row r="574" spans="1:14" ht="14.25" customHeight="1">
      <c r="A574" s="14" t="s">
        <v>126</v>
      </c>
      <c r="B574" s="78"/>
      <c r="C574" s="78"/>
      <c r="D574" s="69">
        <v>45427</v>
      </c>
      <c r="E574" s="14">
        <v>622</v>
      </c>
      <c r="F574" s="69">
        <v>45427</v>
      </c>
      <c r="G574" s="76">
        <v>186643</v>
      </c>
      <c r="H574" s="70" t="s">
        <v>1044</v>
      </c>
      <c r="I574" s="7">
        <f t="shared" ca="1" si="3"/>
        <v>0</v>
      </c>
      <c r="J574" s="86">
        <v>45437</v>
      </c>
      <c r="K574" s="7" t="s">
        <v>1243</v>
      </c>
    </row>
    <row r="575" spans="1:14" ht="14.25" customHeight="1">
      <c r="A575" s="14" t="s">
        <v>1244</v>
      </c>
      <c r="B575" s="78"/>
      <c r="C575" s="78"/>
      <c r="D575" s="69">
        <v>45427</v>
      </c>
      <c r="E575" s="14">
        <v>623</v>
      </c>
      <c r="F575" s="69">
        <v>45427</v>
      </c>
      <c r="G575" s="76">
        <v>203839</v>
      </c>
      <c r="H575" s="70" t="s">
        <v>1100</v>
      </c>
      <c r="I575" s="7">
        <f t="shared" ca="1" si="3"/>
        <v>0</v>
      </c>
      <c r="J575" s="87">
        <v>45468</v>
      </c>
      <c r="K575" s="7"/>
    </row>
    <row r="576" spans="1:14" ht="14.25" customHeight="1">
      <c r="A576" s="14" t="s">
        <v>360</v>
      </c>
      <c r="B576" s="78"/>
      <c r="C576" s="78"/>
      <c r="D576" s="69">
        <v>45432</v>
      </c>
      <c r="E576" s="14">
        <v>624</v>
      </c>
      <c r="F576" s="77"/>
      <c r="G576" s="76">
        <v>203212</v>
      </c>
      <c r="H576" s="70" t="s">
        <v>1177</v>
      </c>
      <c r="I576" s="7">
        <f t="shared" ca="1" si="3"/>
        <v>0</v>
      </c>
      <c r="J576" s="7"/>
      <c r="K576" s="7" t="s">
        <v>1245</v>
      </c>
    </row>
    <row r="577" spans="1:11" ht="14.25" customHeight="1">
      <c r="A577" s="14" t="s">
        <v>1246</v>
      </c>
      <c r="B577" s="78"/>
      <c r="C577" s="78"/>
      <c r="D577" s="69">
        <v>45434</v>
      </c>
      <c r="E577" s="14">
        <v>625</v>
      </c>
      <c r="F577" s="77"/>
      <c r="G577" s="76">
        <v>117214</v>
      </c>
      <c r="H577" s="70" t="s">
        <v>1044</v>
      </c>
      <c r="I577" s="7">
        <f t="shared" ca="1" si="3"/>
        <v>0</v>
      </c>
      <c r="J577" s="7"/>
      <c r="K577" s="7"/>
    </row>
    <row r="578" spans="1:11" ht="14.25" customHeight="1">
      <c r="A578" s="14" t="s">
        <v>600</v>
      </c>
      <c r="B578" s="78"/>
      <c r="C578" s="78"/>
      <c r="D578" s="69">
        <v>45434</v>
      </c>
      <c r="E578" s="14">
        <v>626</v>
      </c>
      <c r="F578" s="77"/>
      <c r="G578" s="76">
        <v>116024</v>
      </c>
      <c r="H578" s="70" t="s">
        <v>1100</v>
      </c>
      <c r="I578" s="7">
        <f t="shared" ca="1" si="3"/>
        <v>0</v>
      </c>
      <c r="J578" s="87">
        <v>45468</v>
      </c>
      <c r="K578" s="7"/>
    </row>
    <row r="579" spans="1:11" ht="14.25" customHeight="1">
      <c r="A579" s="14" t="s">
        <v>1052</v>
      </c>
      <c r="B579" s="78"/>
      <c r="C579" s="78"/>
      <c r="D579" s="69">
        <v>45439</v>
      </c>
      <c r="E579" s="14">
        <v>627</v>
      </c>
      <c r="F579" s="77"/>
      <c r="G579" s="76">
        <v>122892</v>
      </c>
      <c r="H579" s="70" t="s">
        <v>1100</v>
      </c>
      <c r="I579" s="7">
        <f t="shared" ca="1" si="3"/>
        <v>0</v>
      </c>
      <c r="J579" s="87">
        <v>45469</v>
      </c>
      <c r="K579" s="7"/>
    </row>
    <row r="580" spans="1:11" ht="14.25" customHeight="1">
      <c r="A580" s="14" t="s">
        <v>622</v>
      </c>
      <c r="B580" s="78"/>
      <c r="C580" s="78"/>
      <c r="D580" s="69">
        <v>45439</v>
      </c>
      <c r="E580" s="14">
        <v>628</v>
      </c>
      <c r="F580" s="69">
        <v>45439</v>
      </c>
      <c r="G580" s="76">
        <v>58063</v>
      </c>
      <c r="H580" s="70" t="s">
        <v>1044</v>
      </c>
      <c r="I580" s="7">
        <f t="shared" ca="1" si="3"/>
        <v>0</v>
      </c>
      <c r="J580" s="87">
        <v>45448</v>
      </c>
      <c r="K580" s="7"/>
    </row>
    <row r="581" spans="1:11" ht="14.25" customHeight="1">
      <c r="A581" s="14" t="s">
        <v>675</v>
      </c>
      <c r="B581" s="78"/>
      <c r="C581" s="78"/>
      <c r="D581" s="69">
        <v>45440</v>
      </c>
      <c r="E581" s="14">
        <v>629</v>
      </c>
      <c r="F581" s="69">
        <v>45439</v>
      </c>
      <c r="G581" s="76">
        <v>206557</v>
      </c>
      <c r="H581" s="70" t="s">
        <v>1100</v>
      </c>
      <c r="I581" s="7">
        <f t="shared" ca="1" si="3"/>
        <v>0</v>
      </c>
      <c r="J581" s="87">
        <v>45496</v>
      </c>
      <c r="K581" s="7"/>
    </row>
    <row r="582" spans="1:11" ht="14.25" customHeight="1">
      <c r="A582" s="14" t="s">
        <v>675</v>
      </c>
      <c r="B582" s="78"/>
      <c r="C582" s="78"/>
      <c r="D582" s="69">
        <v>45440</v>
      </c>
      <c r="E582" s="14" t="s">
        <v>1221</v>
      </c>
      <c r="F582" s="69">
        <v>45439</v>
      </c>
      <c r="G582" s="76">
        <v>240000</v>
      </c>
      <c r="H582" s="70" t="s">
        <v>1100</v>
      </c>
      <c r="I582" s="7">
        <f t="shared" ca="1" si="3"/>
        <v>0</v>
      </c>
      <c r="J582" s="87">
        <v>45504</v>
      </c>
      <c r="K582" s="7" t="s">
        <v>1247</v>
      </c>
    </row>
    <row r="583" spans="1:11" ht="14.25" customHeight="1">
      <c r="A583" s="14" t="s">
        <v>126</v>
      </c>
      <c r="B583" s="78"/>
      <c r="C583" s="78"/>
      <c r="D583" s="69">
        <v>45440</v>
      </c>
      <c r="E583" s="14">
        <v>630</v>
      </c>
      <c r="F583" s="69">
        <v>45440</v>
      </c>
      <c r="G583" s="76">
        <v>176183</v>
      </c>
      <c r="H583" s="70" t="s">
        <v>1100</v>
      </c>
      <c r="I583" s="7">
        <f t="shared" ca="1" si="3"/>
        <v>0</v>
      </c>
      <c r="J583" s="86">
        <v>45454</v>
      </c>
      <c r="K583" s="7"/>
    </row>
    <row r="584" spans="1:11" ht="14.25" customHeight="1">
      <c r="A584" s="14" t="s">
        <v>1224</v>
      </c>
      <c r="B584" s="78"/>
      <c r="C584" s="78"/>
      <c r="D584" s="69">
        <v>45440</v>
      </c>
      <c r="E584" s="14">
        <v>631</v>
      </c>
      <c r="F584" s="77"/>
      <c r="G584" s="76">
        <v>127648</v>
      </c>
      <c r="H584" s="70" t="s">
        <v>1100</v>
      </c>
      <c r="I584" s="7">
        <f t="shared" ca="1" si="3"/>
        <v>0</v>
      </c>
      <c r="J584" s="7"/>
      <c r="K584" s="7"/>
    </row>
    <row r="585" spans="1:11" ht="14.25" customHeight="1">
      <c r="A585" s="14" t="s">
        <v>1248</v>
      </c>
      <c r="B585" s="78"/>
      <c r="C585" s="78"/>
      <c r="D585" s="69">
        <v>45443</v>
      </c>
      <c r="E585" s="14">
        <v>632</v>
      </c>
      <c r="F585" s="77"/>
      <c r="G585" s="76">
        <v>128348</v>
      </c>
      <c r="H585" s="70" t="s">
        <v>1100</v>
      </c>
      <c r="I585" s="7">
        <f t="shared" ca="1" si="3"/>
        <v>0</v>
      </c>
      <c r="J585" s="86">
        <v>45476</v>
      </c>
      <c r="K585" s="7"/>
    </row>
    <row r="586" spans="1:11" ht="14.25" customHeight="1">
      <c r="A586" s="14" t="s">
        <v>95</v>
      </c>
      <c r="B586" s="78"/>
      <c r="C586" s="78"/>
      <c r="D586" s="69">
        <v>45443</v>
      </c>
      <c r="E586" s="14">
        <v>633</v>
      </c>
      <c r="F586" s="77"/>
      <c r="G586" s="76">
        <v>203212</v>
      </c>
      <c r="H586" s="70" t="s">
        <v>1100</v>
      </c>
      <c r="I586" s="7">
        <f t="shared" ca="1" si="3"/>
        <v>0</v>
      </c>
      <c r="J586" s="86">
        <v>45554</v>
      </c>
      <c r="K586" s="7"/>
    </row>
    <row r="587" spans="1:11" ht="14.25" customHeight="1">
      <c r="A587" s="14" t="s">
        <v>1105</v>
      </c>
      <c r="B587" s="78"/>
      <c r="C587" s="78"/>
      <c r="D587" s="69">
        <v>45443</v>
      </c>
      <c r="E587" s="14">
        <v>634</v>
      </c>
      <c r="F587" s="77"/>
      <c r="G587" s="76">
        <v>112359</v>
      </c>
      <c r="H587" s="70" t="s">
        <v>1100</v>
      </c>
      <c r="I587" s="7">
        <f t="shared" ca="1" si="3"/>
        <v>0</v>
      </c>
      <c r="J587" s="80">
        <v>45481</v>
      </c>
      <c r="K587" s="7"/>
    </row>
    <row r="588" spans="1:11" ht="14.25" customHeight="1">
      <c r="A588" s="14" t="s">
        <v>126</v>
      </c>
      <c r="B588" s="78"/>
      <c r="C588" s="78"/>
      <c r="D588" s="69">
        <v>45443</v>
      </c>
      <c r="E588" s="14">
        <v>635</v>
      </c>
      <c r="F588" s="77">
        <v>45444</v>
      </c>
      <c r="G588" s="76">
        <v>145121</v>
      </c>
      <c r="H588" s="70" t="s">
        <v>1100</v>
      </c>
      <c r="I588" s="7">
        <f t="shared" ca="1" si="3"/>
        <v>0</v>
      </c>
      <c r="J588" s="86">
        <v>45454</v>
      </c>
      <c r="K588" s="7"/>
    </row>
    <row r="589" spans="1:11" ht="14.25" customHeight="1">
      <c r="A589" s="14" t="s">
        <v>226</v>
      </c>
      <c r="B589" s="78"/>
      <c r="C589" s="78"/>
      <c r="D589" s="69">
        <v>45447</v>
      </c>
      <c r="E589" s="14">
        <v>636</v>
      </c>
      <c r="F589" s="69">
        <v>45447</v>
      </c>
      <c r="G589" s="76">
        <v>353612</v>
      </c>
      <c r="H589" s="70" t="s">
        <v>1100</v>
      </c>
      <c r="I589" s="7">
        <f t="shared" ca="1" si="3"/>
        <v>0</v>
      </c>
      <c r="J589" s="87">
        <v>45511</v>
      </c>
      <c r="K589" s="7" t="s">
        <v>1249</v>
      </c>
    </row>
    <row r="590" spans="1:11" ht="14.25" customHeight="1">
      <c r="A590" s="14" t="s">
        <v>1250</v>
      </c>
      <c r="B590" s="78"/>
      <c r="C590" s="78"/>
      <c r="D590" s="69">
        <v>45447</v>
      </c>
      <c r="E590" s="14">
        <v>637</v>
      </c>
      <c r="F590" s="77"/>
      <c r="G590" s="76">
        <v>203212</v>
      </c>
      <c r="H590" s="70" t="s">
        <v>1177</v>
      </c>
      <c r="I590" s="7">
        <f t="shared" ca="1" si="3"/>
        <v>0</v>
      </c>
      <c r="J590" s="7"/>
      <c r="K590" s="7" t="s">
        <v>1251</v>
      </c>
    </row>
    <row r="591" spans="1:11" ht="14.25" customHeight="1">
      <c r="A591" s="14" t="s">
        <v>1250</v>
      </c>
      <c r="B591" s="78"/>
      <c r="C591" s="78"/>
      <c r="D591" s="69">
        <v>45447</v>
      </c>
      <c r="E591" s="14">
        <v>638</v>
      </c>
      <c r="F591" s="77"/>
      <c r="G591" s="76">
        <v>184893</v>
      </c>
      <c r="H591" s="70" t="s">
        <v>1177</v>
      </c>
      <c r="I591" s="7">
        <f t="shared" ca="1" si="3"/>
        <v>0</v>
      </c>
      <c r="J591" s="7"/>
      <c r="K591" s="7" t="s">
        <v>1252</v>
      </c>
    </row>
    <row r="592" spans="1:11" ht="14.25" customHeight="1">
      <c r="A592" s="14" t="s">
        <v>143</v>
      </c>
      <c r="B592" s="78"/>
      <c r="C592" s="78"/>
      <c r="D592" s="69">
        <v>45447</v>
      </c>
      <c r="E592" s="14">
        <v>639</v>
      </c>
      <c r="F592" s="69">
        <v>45447</v>
      </c>
      <c r="G592" s="76">
        <v>108763</v>
      </c>
      <c r="H592" s="70" t="s">
        <v>1100</v>
      </c>
      <c r="I592" s="7">
        <f t="shared" ca="1" si="3"/>
        <v>0</v>
      </c>
      <c r="J592" s="86">
        <v>45488</v>
      </c>
      <c r="K592" s="7"/>
    </row>
    <row r="593" spans="1:11" ht="14.25" customHeight="1">
      <c r="A593" s="14" t="s">
        <v>634</v>
      </c>
      <c r="B593" s="78"/>
      <c r="C593" s="78"/>
      <c r="D593" s="69">
        <v>45448</v>
      </c>
      <c r="E593" s="14">
        <v>640</v>
      </c>
      <c r="F593" s="77"/>
      <c r="G593" s="76">
        <v>111619</v>
      </c>
      <c r="H593" s="70" t="s">
        <v>1177</v>
      </c>
      <c r="I593" s="7">
        <f t="shared" ca="1" si="3"/>
        <v>0</v>
      </c>
      <c r="J593" s="7"/>
      <c r="K593" s="7" t="s">
        <v>1253</v>
      </c>
    </row>
    <row r="594" spans="1:11" ht="14.25" customHeight="1">
      <c r="A594" s="14" t="s">
        <v>342</v>
      </c>
      <c r="B594" s="78"/>
      <c r="C594" s="78"/>
      <c r="D594" s="69">
        <v>45448</v>
      </c>
      <c r="E594" s="14">
        <v>641</v>
      </c>
      <c r="F594" s="69">
        <v>45448</v>
      </c>
      <c r="G594" s="76">
        <v>110953</v>
      </c>
      <c r="H594" s="70" t="s">
        <v>1100</v>
      </c>
      <c r="I594" s="7">
        <f t="shared" ca="1" si="3"/>
        <v>0</v>
      </c>
      <c r="J594" s="86">
        <v>45490</v>
      </c>
      <c r="K594" s="7"/>
    </row>
    <row r="595" spans="1:11" ht="14.25" customHeight="1">
      <c r="A595" s="14" t="s">
        <v>126</v>
      </c>
      <c r="B595" s="78"/>
      <c r="C595" s="78"/>
      <c r="D595" s="69">
        <v>45448</v>
      </c>
      <c r="E595" s="14">
        <v>642</v>
      </c>
      <c r="F595" s="69">
        <v>45448</v>
      </c>
      <c r="G595" s="76">
        <v>107785</v>
      </c>
      <c r="H595" s="70" t="s">
        <v>1100</v>
      </c>
      <c r="I595" s="7">
        <f t="shared" ca="1" si="3"/>
        <v>0</v>
      </c>
      <c r="J595" s="86">
        <v>45461</v>
      </c>
      <c r="K595" s="7">
        <f>15000/48</f>
        <v>312.5</v>
      </c>
    </row>
    <row r="596" spans="1:11" ht="14.25" customHeight="1">
      <c r="A596" s="14" t="s">
        <v>1254</v>
      </c>
      <c r="B596" s="78"/>
      <c r="C596" s="78"/>
      <c r="D596" s="92">
        <v>45448</v>
      </c>
      <c r="E596" s="14">
        <v>643</v>
      </c>
      <c r="F596" s="77"/>
      <c r="G596" s="76">
        <v>142059</v>
      </c>
      <c r="H596" s="70" t="s">
        <v>1177</v>
      </c>
      <c r="I596" s="7">
        <f t="shared" ca="1" si="3"/>
        <v>0</v>
      </c>
      <c r="J596" s="7"/>
      <c r="K596" s="7" t="s">
        <v>1255</v>
      </c>
    </row>
    <row r="597" spans="1:11" ht="14.25" customHeight="1">
      <c r="A597" s="14" t="s">
        <v>1142</v>
      </c>
      <c r="B597" s="78"/>
      <c r="C597" s="78"/>
      <c r="D597" s="92">
        <v>45448</v>
      </c>
      <c r="E597" s="14">
        <v>644</v>
      </c>
      <c r="F597" s="77"/>
      <c r="G597" s="76">
        <v>275410</v>
      </c>
      <c r="H597" s="70" t="s">
        <v>1100</v>
      </c>
      <c r="I597" s="7">
        <f t="shared" ca="1" si="3"/>
        <v>0</v>
      </c>
      <c r="J597" s="86">
        <v>45502</v>
      </c>
      <c r="K597" s="7"/>
    </row>
    <row r="598" spans="1:11" ht="14.25" customHeight="1">
      <c r="A598" s="14" t="s">
        <v>1254</v>
      </c>
      <c r="B598" s="78"/>
      <c r="C598" s="78"/>
      <c r="D598" s="92">
        <v>45449</v>
      </c>
      <c r="E598" s="14">
        <v>645</v>
      </c>
      <c r="F598" s="77"/>
      <c r="G598" s="76">
        <v>164732</v>
      </c>
      <c r="H598" s="70" t="s">
        <v>1100</v>
      </c>
      <c r="I598" s="7">
        <f t="shared" ca="1" si="3"/>
        <v>0</v>
      </c>
      <c r="J598" s="86">
        <v>45495</v>
      </c>
      <c r="K598" s="7"/>
    </row>
    <row r="599" spans="1:11" ht="14.25" customHeight="1">
      <c r="A599" s="14" t="s">
        <v>634</v>
      </c>
      <c r="B599" s="78"/>
      <c r="C599" s="78"/>
      <c r="D599" s="92">
        <v>45450</v>
      </c>
      <c r="E599" s="14">
        <v>646</v>
      </c>
      <c r="F599" s="77"/>
      <c r="G599" s="76">
        <v>109401</v>
      </c>
      <c r="H599" s="70" t="s">
        <v>1100</v>
      </c>
      <c r="I599" s="7">
        <f t="shared" ca="1" si="3"/>
        <v>0</v>
      </c>
      <c r="J599" s="7"/>
      <c r="K599" s="7" t="s">
        <v>1256</v>
      </c>
    </row>
    <row r="600" spans="1:11" ht="14.25" customHeight="1">
      <c r="A600" s="14" t="s">
        <v>787</v>
      </c>
      <c r="B600" s="78"/>
      <c r="C600" s="78"/>
      <c r="D600" s="92">
        <v>45450</v>
      </c>
      <c r="E600" s="14">
        <v>647</v>
      </c>
      <c r="F600" s="77"/>
      <c r="G600" s="76">
        <v>112288</v>
      </c>
      <c r="H600" s="70" t="s">
        <v>1100</v>
      </c>
      <c r="I600" s="7">
        <f t="shared" ca="1" si="3"/>
        <v>0</v>
      </c>
      <c r="J600" s="86">
        <v>45453</v>
      </c>
      <c r="K600" s="7"/>
    </row>
    <row r="601" spans="1:11" ht="14.25" customHeight="1">
      <c r="A601" s="14" t="s">
        <v>1235</v>
      </c>
      <c r="B601" s="78"/>
      <c r="C601" s="78"/>
      <c r="D601" s="92">
        <v>45450</v>
      </c>
      <c r="E601" s="14">
        <v>648</v>
      </c>
      <c r="F601" s="77"/>
      <c r="G601" s="76">
        <v>237217</v>
      </c>
      <c r="H601" s="70" t="s">
        <v>1100</v>
      </c>
      <c r="I601" s="7">
        <f t="shared" ca="1" si="3"/>
        <v>0</v>
      </c>
      <c r="J601" s="86">
        <v>45479</v>
      </c>
      <c r="K601" s="7"/>
    </row>
    <row r="602" spans="1:11" ht="14.25" customHeight="1">
      <c r="A602" s="14" t="s">
        <v>778</v>
      </c>
      <c r="B602" s="78"/>
      <c r="C602" s="78"/>
      <c r="D602" s="92">
        <v>45453</v>
      </c>
      <c r="E602" s="14">
        <v>649</v>
      </c>
      <c r="F602" s="77"/>
      <c r="G602" s="76">
        <v>154591</v>
      </c>
      <c r="H602" s="70" t="s">
        <v>1177</v>
      </c>
      <c r="I602" s="7">
        <f t="shared" ca="1" si="3"/>
        <v>0</v>
      </c>
      <c r="J602" s="7"/>
      <c r="K602" s="7" t="s">
        <v>1257</v>
      </c>
    </row>
    <row r="603" spans="1:11" ht="14.25" customHeight="1">
      <c r="A603" s="14" t="s">
        <v>1056</v>
      </c>
      <c r="B603" s="78"/>
      <c r="C603" s="78"/>
      <c r="D603" s="92">
        <v>45462</v>
      </c>
      <c r="E603" s="14" t="s">
        <v>1221</v>
      </c>
      <c r="F603" s="92">
        <v>45462</v>
      </c>
      <c r="G603" s="76">
        <v>131000</v>
      </c>
      <c r="H603" s="70" t="s">
        <v>1258</v>
      </c>
      <c r="I603" s="7">
        <f t="shared" ca="1" si="3"/>
        <v>337</v>
      </c>
      <c r="J603" s="87">
        <v>45559</v>
      </c>
      <c r="K603" s="7" t="s">
        <v>1259</v>
      </c>
    </row>
    <row r="604" spans="1:11" ht="14.25" customHeight="1">
      <c r="A604" s="14" t="s">
        <v>1260</v>
      </c>
      <c r="B604" s="78"/>
      <c r="C604" s="78"/>
      <c r="D604" s="92">
        <v>45454</v>
      </c>
      <c r="E604" s="14">
        <v>650</v>
      </c>
      <c r="F604" s="77">
        <v>45455</v>
      </c>
      <c r="G604" s="76">
        <v>105712</v>
      </c>
      <c r="H604" s="70" t="s">
        <v>1100</v>
      </c>
      <c r="I604" s="7">
        <f t="shared" ca="1" si="3"/>
        <v>0</v>
      </c>
      <c r="J604" s="86">
        <v>45545</v>
      </c>
      <c r="K604" s="7"/>
    </row>
    <row r="605" spans="1:11" ht="14.25" customHeight="1">
      <c r="A605" s="14" t="s">
        <v>778</v>
      </c>
      <c r="B605" s="78"/>
      <c r="C605" s="78"/>
      <c r="D605" s="92">
        <v>45454</v>
      </c>
      <c r="E605" s="14">
        <v>651</v>
      </c>
      <c r="F605" s="77">
        <v>45453</v>
      </c>
      <c r="G605" s="76">
        <v>105712</v>
      </c>
      <c r="H605" s="70" t="s">
        <v>1100</v>
      </c>
      <c r="I605" s="7">
        <f t="shared" ca="1" si="3"/>
        <v>0</v>
      </c>
      <c r="J605" s="86">
        <v>45545</v>
      </c>
      <c r="K605" s="7"/>
    </row>
    <row r="606" spans="1:11" ht="14.25" customHeight="1">
      <c r="A606" s="14" t="s">
        <v>1250</v>
      </c>
      <c r="B606" s="78"/>
      <c r="C606" s="78"/>
      <c r="D606" s="92">
        <v>45456</v>
      </c>
      <c r="E606" s="14">
        <v>652</v>
      </c>
      <c r="F606" s="77"/>
      <c r="G606" s="76">
        <v>184893</v>
      </c>
      <c r="H606" s="70" t="s">
        <v>1100</v>
      </c>
      <c r="I606" s="7">
        <f t="shared" ca="1" si="3"/>
        <v>0</v>
      </c>
      <c r="J606" s="86">
        <v>45483</v>
      </c>
      <c r="K606" s="7"/>
    </row>
    <row r="607" spans="1:11" ht="14.25" customHeight="1">
      <c r="A607" s="14" t="s">
        <v>1228</v>
      </c>
      <c r="B607" s="78"/>
      <c r="C607" s="78"/>
      <c r="D607" s="92">
        <v>45457</v>
      </c>
      <c r="E607" s="14">
        <v>653</v>
      </c>
      <c r="F607" s="77"/>
      <c r="G607" s="76">
        <v>204750</v>
      </c>
      <c r="H607" s="70" t="s">
        <v>1100</v>
      </c>
      <c r="I607" s="7">
        <f t="shared" ca="1" si="3"/>
        <v>0</v>
      </c>
      <c r="J607" s="86">
        <v>45490</v>
      </c>
      <c r="K607" s="7"/>
    </row>
    <row r="608" spans="1:11" ht="14.25" customHeight="1">
      <c r="A608" s="57" t="s">
        <v>1261</v>
      </c>
      <c r="B608" s="78"/>
      <c r="C608" s="78"/>
      <c r="D608" s="92">
        <v>45457</v>
      </c>
      <c r="E608" s="14">
        <v>654</v>
      </c>
      <c r="F608" s="77"/>
      <c r="G608" s="76">
        <v>118609</v>
      </c>
      <c r="H608" s="70" t="s">
        <v>1100</v>
      </c>
      <c r="I608" s="7">
        <f t="shared" ca="1" si="3"/>
        <v>0</v>
      </c>
      <c r="J608" s="86">
        <v>45495</v>
      </c>
      <c r="K608" s="7"/>
    </row>
    <row r="609" spans="1:11" ht="14.25" customHeight="1">
      <c r="A609" s="14" t="s">
        <v>1110</v>
      </c>
      <c r="B609" s="78"/>
      <c r="C609" s="78"/>
      <c r="D609" s="92">
        <v>45457</v>
      </c>
      <c r="E609" s="14">
        <v>655</v>
      </c>
      <c r="F609" s="77"/>
      <c r="G609" s="76">
        <v>116418</v>
      </c>
      <c r="H609" s="70" t="s">
        <v>1100</v>
      </c>
      <c r="I609" s="7">
        <f t="shared" ca="1" si="3"/>
        <v>0</v>
      </c>
      <c r="J609" s="86">
        <v>45490</v>
      </c>
      <c r="K609" s="7"/>
    </row>
    <row r="610" spans="1:11" ht="14.25" customHeight="1">
      <c r="A610" s="14" t="s">
        <v>1194</v>
      </c>
      <c r="B610" s="78"/>
      <c r="C610" s="78"/>
      <c r="D610" s="92">
        <v>45457</v>
      </c>
      <c r="E610" s="14">
        <v>656</v>
      </c>
      <c r="F610" s="77"/>
      <c r="G610" s="76">
        <v>112369</v>
      </c>
      <c r="H610" s="70" t="s">
        <v>1100</v>
      </c>
      <c r="I610" s="7">
        <f t="shared" ca="1" si="3"/>
        <v>0</v>
      </c>
      <c r="J610" s="86">
        <v>45504</v>
      </c>
      <c r="K610" s="7" t="s">
        <v>1262</v>
      </c>
    </row>
    <row r="611" spans="1:11" ht="14.25" customHeight="1">
      <c r="A611" s="14" t="s">
        <v>646</v>
      </c>
      <c r="B611" s="78"/>
      <c r="C611" s="78"/>
      <c r="D611" s="92">
        <v>45457</v>
      </c>
      <c r="E611" s="14">
        <v>657</v>
      </c>
      <c r="F611" s="77"/>
      <c r="G611" s="76">
        <v>116427</v>
      </c>
      <c r="H611" s="70" t="s">
        <v>1100</v>
      </c>
      <c r="I611" s="7">
        <f t="shared" ca="1" si="3"/>
        <v>0</v>
      </c>
      <c r="J611" s="86">
        <v>45461</v>
      </c>
      <c r="K611" s="7"/>
    </row>
    <row r="612" spans="1:11" ht="14.25" customHeight="1">
      <c r="A612" s="14" t="s">
        <v>1153</v>
      </c>
      <c r="B612" s="78"/>
      <c r="C612" s="78"/>
      <c r="D612" s="92">
        <v>45460</v>
      </c>
      <c r="E612" s="14">
        <v>658</v>
      </c>
      <c r="F612" s="77"/>
      <c r="G612" s="76">
        <v>123463</v>
      </c>
      <c r="H612" s="70" t="s">
        <v>1100</v>
      </c>
      <c r="I612" s="7">
        <f t="shared" ca="1" si="3"/>
        <v>0</v>
      </c>
      <c r="J612" s="86">
        <v>45497</v>
      </c>
      <c r="K612" s="7"/>
    </row>
    <row r="613" spans="1:11" ht="14.25" customHeight="1">
      <c r="A613" s="14" t="s">
        <v>1263</v>
      </c>
      <c r="B613" s="78"/>
      <c r="C613" s="78"/>
      <c r="D613" s="92">
        <v>45460</v>
      </c>
      <c r="E613" s="14">
        <v>659</v>
      </c>
      <c r="F613" s="77">
        <v>45460</v>
      </c>
      <c r="G613" s="76">
        <v>56179</v>
      </c>
      <c r="H613" s="70" t="s">
        <v>1100</v>
      </c>
      <c r="I613" s="7">
        <f t="shared" ca="1" si="3"/>
        <v>0</v>
      </c>
      <c r="J613" s="87">
        <v>45467</v>
      </c>
      <c r="K613" s="7"/>
    </row>
    <row r="614" spans="1:11" ht="14.25" customHeight="1">
      <c r="A614" s="14" t="s">
        <v>547</v>
      </c>
      <c r="B614" s="78"/>
      <c r="C614" s="78"/>
      <c r="D614" s="92">
        <v>45462</v>
      </c>
      <c r="E614" s="14">
        <v>660</v>
      </c>
      <c r="F614" s="92">
        <v>45462</v>
      </c>
      <c r="G614" s="76">
        <v>105646</v>
      </c>
      <c r="H614" s="70" t="s">
        <v>1100</v>
      </c>
      <c r="I614" s="7">
        <f t="shared" ca="1" si="3"/>
        <v>0</v>
      </c>
      <c r="J614" s="86">
        <v>45462</v>
      </c>
      <c r="K614" s="7"/>
    </row>
    <row r="615" spans="1:11" ht="14.25" customHeight="1">
      <c r="A615" s="14" t="s">
        <v>126</v>
      </c>
      <c r="B615" s="78"/>
      <c r="C615" s="78"/>
      <c r="D615" s="92">
        <v>45462</v>
      </c>
      <c r="E615" s="14">
        <v>661</v>
      </c>
      <c r="F615" s="92">
        <v>45462</v>
      </c>
      <c r="G615" s="76">
        <v>321007</v>
      </c>
      <c r="H615" s="70" t="s">
        <v>1100</v>
      </c>
      <c r="I615" s="7">
        <f t="shared" ca="1" si="3"/>
        <v>0</v>
      </c>
      <c r="J615" s="86">
        <v>45483</v>
      </c>
      <c r="K615" s="7"/>
    </row>
    <row r="616" spans="1:11" ht="14.25" customHeight="1">
      <c r="A616" s="14" t="s">
        <v>1264</v>
      </c>
      <c r="B616" s="78"/>
      <c r="C616" s="78"/>
      <c r="D616" s="92">
        <v>45462</v>
      </c>
      <c r="E616" s="14">
        <v>662</v>
      </c>
      <c r="F616" s="77"/>
      <c r="G616" s="76">
        <v>115819</v>
      </c>
      <c r="H616" s="70" t="s">
        <v>1100</v>
      </c>
      <c r="I616" s="7">
        <f t="shared" ca="1" si="3"/>
        <v>0</v>
      </c>
      <c r="J616" s="86">
        <v>45505</v>
      </c>
      <c r="K616" s="7"/>
    </row>
    <row r="617" spans="1:11" ht="14.25" customHeight="1">
      <c r="A617" s="14" t="s">
        <v>816</v>
      </c>
      <c r="B617" s="78"/>
      <c r="C617" s="78"/>
      <c r="D617" s="92">
        <v>45462</v>
      </c>
      <c r="E617" s="14">
        <v>663</v>
      </c>
      <c r="F617" s="77"/>
      <c r="G617" s="76">
        <v>117687</v>
      </c>
      <c r="H617" s="70" t="s">
        <v>1100</v>
      </c>
      <c r="I617" s="7">
        <f t="shared" ca="1" si="3"/>
        <v>0</v>
      </c>
      <c r="J617" s="86">
        <v>45490</v>
      </c>
      <c r="K617" s="7"/>
    </row>
    <row r="618" spans="1:11" ht="14.25" customHeight="1">
      <c r="A618" s="14" t="s">
        <v>1265</v>
      </c>
      <c r="B618" s="78"/>
      <c r="C618" s="78"/>
      <c r="D618" s="92">
        <v>45462</v>
      </c>
      <c r="E618" s="14">
        <v>664</v>
      </c>
      <c r="F618" s="92">
        <v>45462</v>
      </c>
      <c r="G618" s="76">
        <v>88726</v>
      </c>
      <c r="H618" s="70" t="s">
        <v>1100</v>
      </c>
      <c r="I618" s="7">
        <f t="shared" ca="1" si="3"/>
        <v>0</v>
      </c>
      <c r="J618" s="87">
        <v>45468</v>
      </c>
      <c r="K618" s="7"/>
    </row>
    <row r="619" spans="1:11" ht="14.25" customHeight="1">
      <c r="A619" s="14" t="s">
        <v>1254</v>
      </c>
      <c r="B619" s="78"/>
      <c r="C619" s="78"/>
      <c r="D619" s="92">
        <v>45464</v>
      </c>
      <c r="E619" s="14">
        <v>665</v>
      </c>
      <c r="F619" s="77"/>
      <c r="G619" s="76">
        <v>118015</v>
      </c>
      <c r="H619" s="70" t="s">
        <v>1100</v>
      </c>
      <c r="I619" s="7">
        <f t="shared" ca="1" si="3"/>
        <v>0</v>
      </c>
      <c r="J619" s="86">
        <v>45491</v>
      </c>
      <c r="K619" s="7"/>
    </row>
    <row r="620" spans="1:11" ht="14.25" customHeight="1">
      <c r="A620" s="14" t="s">
        <v>1266</v>
      </c>
      <c r="B620" s="78"/>
      <c r="C620" s="78"/>
      <c r="D620" s="92">
        <v>45464</v>
      </c>
      <c r="E620" s="14">
        <v>667</v>
      </c>
      <c r="F620" s="92">
        <v>45464</v>
      </c>
      <c r="G620" s="76">
        <v>291708</v>
      </c>
      <c r="H620" s="70" t="s">
        <v>1100</v>
      </c>
      <c r="I620" s="7">
        <f t="shared" ca="1" si="3"/>
        <v>0</v>
      </c>
      <c r="J620" s="86">
        <v>45530</v>
      </c>
      <c r="K620" s="7"/>
    </row>
    <row r="621" spans="1:11" ht="14.25" customHeight="1">
      <c r="A621" s="14" t="s">
        <v>1248</v>
      </c>
      <c r="B621" s="78"/>
      <c r="C621" s="78"/>
      <c r="D621" s="92">
        <v>45467</v>
      </c>
      <c r="E621" s="14">
        <v>666</v>
      </c>
      <c r="F621" s="92">
        <v>45467</v>
      </c>
      <c r="G621" s="76">
        <v>120938</v>
      </c>
      <c r="H621" s="70" t="s">
        <v>1100</v>
      </c>
      <c r="I621" s="7">
        <f t="shared" ca="1" si="3"/>
        <v>0</v>
      </c>
      <c r="J621" s="86">
        <v>45504</v>
      </c>
      <c r="K621" s="7"/>
    </row>
    <row r="622" spans="1:11" ht="14.25" customHeight="1">
      <c r="A622" s="14" t="s">
        <v>1212</v>
      </c>
      <c r="B622" s="78"/>
      <c r="C622" s="78"/>
      <c r="D622" s="92">
        <v>45468</v>
      </c>
      <c r="E622" s="14">
        <v>668</v>
      </c>
      <c r="F622" s="92">
        <v>45467</v>
      </c>
      <c r="G622" s="76">
        <v>92121</v>
      </c>
      <c r="H622" s="70" t="s">
        <v>1267</v>
      </c>
      <c r="I622" s="7">
        <f t="shared" ca="1" si="3"/>
        <v>331</v>
      </c>
      <c r="J622" s="7"/>
      <c r="K622" s="7"/>
    </row>
    <row r="623" spans="1:11" ht="14.25" customHeight="1">
      <c r="A623" s="57" t="s">
        <v>1268</v>
      </c>
      <c r="B623" s="78"/>
      <c r="C623" s="78"/>
      <c r="D623" s="92">
        <v>45468</v>
      </c>
      <c r="E623" s="14">
        <v>670</v>
      </c>
      <c r="F623" s="77"/>
      <c r="G623" s="76">
        <v>117053</v>
      </c>
      <c r="H623" s="70" t="s">
        <v>1100</v>
      </c>
      <c r="I623" s="7">
        <f t="shared" ca="1" si="3"/>
        <v>0</v>
      </c>
      <c r="J623" s="86">
        <v>45509</v>
      </c>
      <c r="K623" s="7"/>
    </row>
    <row r="624" spans="1:11" ht="14.25" customHeight="1">
      <c r="A624" s="14" t="s">
        <v>360</v>
      </c>
      <c r="B624" s="78"/>
      <c r="C624" s="78"/>
      <c r="D624" s="69">
        <v>45432</v>
      </c>
      <c r="E624" s="14">
        <v>671</v>
      </c>
      <c r="F624" s="77"/>
      <c r="G624" s="76">
        <v>203212</v>
      </c>
      <c r="H624" s="70" t="s">
        <v>1100</v>
      </c>
      <c r="I624" s="7">
        <f t="shared" ca="1" si="3"/>
        <v>0</v>
      </c>
      <c r="J624" s="86">
        <v>45487</v>
      </c>
      <c r="K624" s="7" t="s">
        <v>1269</v>
      </c>
    </row>
    <row r="625" spans="1:11" ht="14.25" customHeight="1">
      <c r="A625" s="14" t="s">
        <v>487</v>
      </c>
      <c r="B625" s="78"/>
      <c r="C625" s="78"/>
      <c r="D625" s="92">
        <v>45469</v>
      </c>
      <c r="E625" s="14">
        <v>673</v>
      </c>
      <c r="F625" s="77"/>
      <c r="G625" s="76">
        <v>260661</v>
      </c>
      <c r="H625" s="70" t="s">
        <v>1100</v>
      </c>
      <c r="I625" s="7">
        <f t="shared" ca="1" si="3"/>
        <v>0</v>
      </c>
      <c r="J625" s="86">
        <v>45509</v>
      </c>
      <c r="K625" s="7"/>
    </row>
    <row r="626" spans="1:11" ht="14.25" customHeight="1">
      <c r="A626" s="14" t="s">
        <v>1270</v>
      </c>
      <c r="B626" s="78"/>
      <c r="C626" s="78"/>
      <c r="D626" s="92">
        <v>45471</v>
      </c>
      <c r="E626" s="14">
        <v>674</v>
      </c>
      <c r="F626" s="77"/>
      <c r="G626" s="76">
        <v>59720</v>
      </c>
      <c r="H626" s="70" t="s">
        <v>1100</v>
      </c>
      <c r="I626" s="7">
        <f t="shared" ca="1" si="3"/>
        <v>0</v>
      </c>
      <c r="J626" s="86">
        <v>45509</v>
      </c>
      <c r="K626" s="7"/>
    </row>
    <row r="627" spans="1:11" ht="14.25" customHeight="1">
      <c r="A627" s="14" t="s">
        <v>1271</v>
      </c>
      <c r="B627" s="78"/>
      <c r="C627" s="78"/>
      <c r="D627" s="92">
        <v>45471</v>
      </c>
      <c r="E627" s="14">
        <v>675</v>
      </c>
      <c r="F627" s="77"/>
      <c r="G627" s="76">
        <v>59720</v>
      </c>
      <c r="H627" s="70" t="s">
        <v>1100</v>
      </c>
      <c r="I627" s="7">
        <f t="shared" ca="1" si="3"/>
        <v>0</v>
      </c>
      <c r="J627" s="86">
        <v>45509</v>
      </c>
      <c r="K627" s="7"/>
    </row>
    <row r="628" spans="1:11" ht="14.25" customHeight="1">
      <c r="A628" s="14" t="s">
        <v>1272</v>
      </c>
      <c r="B628" s="78"/>
      <c r="C628" s="78"/>
      <c r="D628" s="92">
        <v>45471</v>
      </c>
      <c r="E628" s="14">
        <v>676</v>
      </c>
      <c r="F628" s="77"/>
      <c r="G628" s="76">
        <v>179245</v>
      </c>
      <c r="H628" s="70" t="s">
        <v>1177</v>
      </c>
      <c r="I628" s="7">
        <f t="shared" ca="1" si="3"/>
        <v>0</v>
      </c>
      <c r="J628" s="7"/>
      <c r="K628" s="7" t="s">
        <v>1273</v>
      </c>
    </row>
    <row r="629" spans="1:11" ht="14.25" customHeight="1">
      <c r="A629" s="57" t="s">
        <v>1272</v>
      </c>
      <c r="B629" s="78"/>
      <c r="C629" s="78"/>
      <c r="D629" s="92">
        <v>45474</v>
      </c>
      <c r="E629" s="14">
        <v>677</v>
      </c>
      <c r="F629" s="77"/>
      <c r="G629" s="76">
        <v>175757</v>
      </c>
      <c r="H629" s="70" t="s">
        <v>1100</v>
      </c>
      <c r="I629" s="7">
        <f t="shared" ca="1" si="3"/>
        <v>0</v>
      </c>
      <c r="J629" s="87">
        <v>45511</v>
      </c>
      <c r="K629" s="7"/>
    </row>
    <row r="630" spans="1:11" ht="14.25" customHeight="1">
      <c r="A630" s="14" t="s">
        <v>1263</v>
      </c>
      <c r="B630" s="78"/>
      <c r="C630" s="78"/>
      <c r="D630" s="92">
        <v>45474</v>
      </c>
      <c r="E630" s="14">
        <v>678</v>
      </c>
      <c r="F630" s="92">
        <v>45474</v>
      </c>
      <c r="G630" s="76">
        <v>55579</v>
      </c>
      <c r="H630" s="70" t="s">
        <v>1177</v>
      </c>
      <c r="I630" s="7">
        <f t="shared" ca="1" si="3"/>
        <v>0</v>
      </c>
      <c r="J630" s="7"/>
      <c r="K630" s="7" t="s">
        <v>1274</v>
      </c>
    </row>
    <row r="631" spans="1:11" ht="14.25" customHeight="1">
      <c r="A631" s="14" t="s">
        <v>126</v>
      </c>
      <c r="B631" s="78"/>
      <c r="C631" s="78"/>
      <c r="D631" s="92">
        <v>45475</v>
      </c>
      <c r="E631" s="14">
        <v>679</v>
      </c>
      <c r="F631" s="77"/>
      <c r="G631" s="76">
        <v>262472</v>
      </c>
      <c r="H631" s="70" t="s">
        <v>1100</v>
      </c>
      <c r="I631" s="7">
        <f t="shared" ca="1" si="3"/>
        <v>0</v>
      </c>
      <c r="J631" s="86">
        <v>45487</v>
      </c>
      <c r="K631" s="7"/>
    </row>
    <row r="632" spans="1:11" ht="14.25" customHeight="1">
      <c r="A632" s="14" t="s">
        <v>1199</v>
      </c>
      <c r="B632" s="78"/>
      <c r="C632" s="78"/>
      <c r="D632" s="92">
        <v>45475</v>
      </c>
      <c r="E632" s="14">
        <v>680</v>
      </c>
      <c r="F632" s="92">
        <v>45471</v>
      </c>
      <c r="G632" s="76">
        <v>92121</v>
      </c>
      <c r="H632" s="70" t="s">
        <v>1267</v>
      </c>
      <c r="I632" s="7">
        <f t="shared" ca="1" si="3"/>
        <v>324</v>
      </c>
      <c r="J632" s="7"/>
      <c r="K632" s="7"/>
    </row>
    <row r="633" spans="1:11" ht="14.25" customHeight="1">
      <c r="A633" s="14" t="s">
        <v>126</v>
      </c>
      <c r="B633" s="78"/>
      <c r="C633" s="78"/>
      <c r="D633" s="92">
        <v>45476</v>
      </c>
      <c r="E633" s="14">
        <v>681</v>
      </c>
      <c r="F633" s="92">
        <v>45475</v>
      </c>
      <c r="G633" s="76">
        <v>62429</v>
      </c>
      <c r="H633" s="70" t="s">
        <v>1100</v>
      </c>
      <c r="I633" s="7">
        <f t="shared" ca="1" si="3"/>
        <v>0</v>
      </c>
      <c r="J633" s="86">
        <v>45495</v>
      </c>
      <c r="K633" s="7"/>
    </row>
    <row r="634" spans="1:11" ht="14.25" customHeight="1">
      <c r="A634" s="14" t="s">
        <v>1266</v>
      </c>
      <c r="B634" s="78"/>
      <c r="C634" s="78"/>
      <c r="D634" s="92">
        <v>45476</v>
      </c>
      <c r="E634" s="14">
        <v>682</v>
      </c>
      <c r="F634" s="92">
        <v>45474</v>
      </c>
      <c r="G634" s="76">
        <v>267993</v>
      </c>
      <c r="H634" s="70" t="s">
        <v>1100</v>
      </c>
      <c r="I634" s="7">
        <f t="shared" ca="1" si="3"/>
        <v>0</v>
      </c>
      <c r="J634" s="86">
        <v>45530</v>
      </c>
      <c r="K634" s="7"/>
    </row>
    <row r="635" spans="1:11" ht="14.25" customHeight="1">
      <c r="A635" s="14" t="s">
        <v>1203</v>
      </c>
      <c r="B635" s="78"/>
      <c r="C635" s="78"/>
      <c r="D635" s="92">
        <v>45520</v>
      </c>
      <c r="E635" s="14">
        <v>683</v>
      </c>
      <c r="F635" s="92"/>
      <c r="G635" s="76">
        <v>269773</v>
      </c>
      <c r="H635" s="70" t="s">
        <v>1100</v>
      </c>
      <c r="I635" s="7">
        <f t="shared" ca="1" si="3"/>
        <v>0</v>
      </c>
      <c r="J635" s="87">
        <v>45566</v>
      </c>
      <c r="K635" s="7" t="s">
        <v>1275</v>
      </c>
    </row>
    <row r="636" spans="1:11" ht="14.25" customHeight="1">
      <c r="A636" s="14" t="s">
        <v>1276</v>
      </c>
      <c r="B636" s="78"/>
      <c r="C636" s="78"/>
      <c r="D636" s="92">
        <v>45478</v>
      </c>
      <c r="E636" s="14" t="s">
        <v>1221</v>
      </c>
      <c r="F636" s="92">
        <v>45548</v>
      </c>
      <c r="G636" s="76">
        <v>120000</v>
      </c>
      <c r="H636" s="70" t="s">
        <v>1100</v>
      </c>
      <c r="I636" s="7">
        <f ca="1">IF(OR(H636="Pagado",H636="Anulada"),0,IF(ISNUMBER(E636),TODAY()-D636,TODAY()-J636))</f>
        <v>0</v>
      </c>
      <c r="J636" s="92">
        <v>45476</v>
      </c>
      <c r="K636" s="7" t="s">
        <v>1277</v>
      </c>
    </row>
    <row r="637" spans="1:11" ht="14.25" customHeight="1">
      <c r="A637" s="93" t="s">
        <v>1278</v>
      </c>
      <c r="B637" s="78"/>
      <c r="C637" s="78"/>
      <c r="D637" s="92">
        <v>45478</v>
      </c>
      <c r="E637" s="14">
        <v>684</v>
      </c>
      <c r="F637" s="92">
        <v>45478</v>
      </c>
      <c r="G637" s="93">
        <v>118135</v>
      </c>
      <c r="H637" s="70" t="s">
        <v>1100</v>
      </c>
      <c r="I637" s="7">
        <f t="shared" ref="I637:I675" ca="1" si="4">IF(OR(H637="Pagado",H637="Anulada"),0,IF(ISNUMBER(E637),TODAY()-D637,TODAY()-F637))</f>
        <v>0</v>
      </c>
      <c r="J637" s="86">
        <v>45538</v>
      </c>
      <c r="K637" s="7"/>
    </row>
    <row r="638" spans="1:11" ht="14.25" customHeight="1">
      <c r="A638" s="76" t="s">
        <v>1279</v>
      </c>
      <c r="B638" s="78"/>
      <c r="C638" s="78"/>
      <c r="D638" s="92">
        <v>45478</v>
      </c>
      <c r="E638" s="14">
        <v>685</v>
      </c>
      <c r="F638" s="92">
        <v>45478</v>
      </c>
      <c r="G638" s="76">
        <v>55579</v>
      </c>
      <c r="H638" s="70" t="s">
        <v>1100</v>
      </c>
      <c r="I638" s="7">
        <f t="shared" ca="1" si="4"/>
        <v>0</v>
      </c>
      <c r="J638" s="86">
        <v>45485</v>
      </c>
      <c r="K638" s="7"/>
    </row>
    <row r="639" spans="1:11" ht="14.25" customHeight="1">
      <c r="A639" s="76" t="s">
        <v>1280</v>
      </c>
      <c r="B639" s="78"/>
      <c r="C639" s="78"/>
      <c r="D639" s="92">
        <v>45481</v>
      </c>
      <c r="E639" s="14">
        <v>686</v>
      </c>
      <c r="F639" s="92">
        <v>45481</v>
      </c>
      <c r="G639" s="76">
        <v>184749</v>
      </c>
      <c r="H639" s="70" t="s">
        <v>1100</v>
      </c>
      <c r="I639" s="7">
        <f t="shared" ca="1" si="4"/>
        <v>0</v>
      </c>
      <c r="J639" s="86">
        <v>45520</v>
      </c>
      <c r="K639" s="7"/>
    </row>
    <row r="640" spans="1:11" ht="14.25" customHeight="1">
      <c r="A640" s="14" t="s">
        <v>1199</v>
      </c>
      <c r="B640" s="78"/>
      <c r="C640" s="78"/>
      <c r="D640" s="92">
        <v>45481</v>
      </c>
      <c r="E640" s="14">
        <v>687</v>
      </c>
      <c r="F640" s="92">
        <v>45481</v>
      </c>
      <c r="G640" s="76">
        <v>92121</v>
      </c>
      <c r="H640" s="70" t="s">
        <v>1267</v>
      </c>
      <c r="I640" s="7">
        <f t="shared" ca="1" si="4"/>
        <v>318</v>
      </c>
      <c r="J640" s="7"/>
      <c r="K640" s="7"/>
    </row>
    <row r="641" spans="1:11" ht="14.25" customHeight="1">
      <c r="A641" s="14" t="s">
        <v>1281</v>
      </c>
      <c r="B641" s="78"/>
      <c r="C641" s="78"/>
      <c r="D641" s="92">
        <v>45482</v>
      </c>
      <c r="E641" s="14">
        <v>688</v>
      </c>
      <c r="F641" s="92">
        <v>45482</v>
      </c>
      <c r="G641" s="76">
        <v>133034</v>
      </c>
      <c r="H641" s="70" t="s">
        <v>1100</v>
      </c>
      <c r="I641" s="7">
        <f t="shared" ca="1" si="4"/>
        <v>0</v>
      </c>
      <c r="J641" s="86">
        <v>45559</v>
      </c>
      <c r="K641" s="7"/>
    </row>
    <row r="642" spans="1:11" ht="14.25" customHeight="1">
      <c r="A642" s="14" t="s">
        <v>1068</v>
      </c>
      <c r="B642" s="78"/>
      <c r="C642" s="78"/>
      <c r="D642" s="92">
        <v>45482</v>
      </c>
      <c r="E642" s="14">
        <v>689</v>
      </c>
      <c r="F642" s="92">
        <v>45482</v>
      </c>
      <c r="G642" s="76">
        <v>421670</v>
      </c>
      <c r="H642" s="70" t="s">
        <v>1100</v>
      </c>
      <c r="I642" s="7">
        <f t="shared" ca="1" si="4"/>
        <v>0</v>
      </c>
      <c r="J642" s="85">
        <v>45516</v>
      </c>
      <c r="K642" s="7" t="s">
        <v>1282</v>
      </c>
    </row>
    <row r="643" spans="1:11" ht="14.25" customHeight="1">
      <c r="A643" s="14" t="s">
        <v>547</v>
      </c>
      <c r="B643" s="78"/>
      <c r="C643" s="78"/>
      <c r="D643" s="92">
        <v>45484</v>
      </c>
      <c r="E643" s="14">
        <v>690</v>
      </c>
      <c r="F643" s="92">
        <v>45484</v>
      </c>
      <c r="G643" s="76">
        <v>103053</v>
      </c>
      <c r="H643" s="70" t="s">
        <v>1100</v>
      </c>
      <c r="I643" s="7">
        <f t="shared" ca="1" si="4"/>
        <v>0</v>
      </c>
      <c r="J643" s="86">
        <v>45485</v>
      </c>
      <c r="K643" s="7"/>
    </row>
    <row r="644" spans="1:11" ht="14.25" customHeight="1">
      <c r="A644" s="57" t="s">
        <v>1283</v>
      </c>
      <c r="B644" s="78"/>
      <c r="C644" s="78"/>
      <c r="D644" s="92">
        <v>45484</v>
      </c>
      <c r="E644" s="14">
        <v>691</v>
      </c>
      <c r="F644" s="92">
        <v>45484</v>
      </c>
      <c r="G644" s="93">
        <v>188808</v>
      </c>
      <c r="H644" s="70" t="s">
        <v>1100</v>
      </c>
      <c r="I644" s="7">
        <f t="shared" ca="1" si="4"/>
        <v>0</v>
      </c>
      <c r="J644" s="86">
        <v>45522</v>
      </c>
      <c r="K644" s="7"/>
    </row>
    <row r="645" spans="1:11" ht="14.25" customHeight="1">
      <c r="A645" s="57" t="s">
        <v>1284</v>
      </c>
      <c r="B645" s="78"/>
      <c r="C645" s="78"/>
      <c r="D645" s="92">
        <v>45485</v>
      </c>
      <c r="E645" s="14">
        <v>692</v>
      </c>
      <c r="F645" s="92">
        <v>45485</v>
      </c>
      <c r="G645" s="93">
        <v>175198</v>
      </c>
      <c r="H645" s="70" t="s">
        <v>1100</v>
      </c>
      <c r="I645" s="7">
        <f t="shared" ca="1" si="4"/>
        <v>0</v>
      </c>
      <c r="J645" s="86">
        <v>45501</v>
      </c>
      <c r="K645" s="7"/>
    </row>
    <row r="646" spans="1:11" ht="14.25" customHeight="1">
      <c r="A646" s="14" t="s">
        <v>1120</v>
      </c>
      <c r="B646" s="78"/>
      <c r="C646" s="78"/>
      <c r="D646" s="92">
        <v>45488</v>
      </c>
      <c r="E646" s="14">
        <v>693</v>
      </c>
      <c r="F646" s="92">
        <v>45488</v>
      </c>
      <c r="G646" s="76">
        <v>127648</v>
      </c>
      <c r="H646" s="70" t="s">
        <v>1100</v>
      </c>
      <c r="I646" s="7">
        <f t="shared" ca="1" si="4"/>
        <v>0</v>
      </c>
      <c r="J646" s="86">
        <v>45530</v>
      </c>
      <c r="K646" s="7"/>
    </row>
    <row r="647" spans="1:11" ht="14.25" customHeight="1">
      <c r="A647" s="14" t="s">
        <v>126</v>
      </c>
      <c r="B647" s="78"/>
      <c r="C647" s="78"/>
      <c r="D647" s="92">
        <v>45490</v>
      </c>
      <c r="E647" s="14">
        <v>694</v>
      </c>
      <c r="F647" s="92">
        <v>45490</v>
      </c>
      <c r="G647" s="76">
        <v>283290</v>
      </c>
      <c r="H647" s="70" t="s">
        <v>1100</v>
      </c>
      <c r="I647" s="7">
        <f t="shared" ca="1" si="4"/>
        <v>0</v>
      </c>
      <c r="J647" s="85">
        <v>45502</v>
      </c>
      <c r="K647" s="7"/>
    </row>
    <row r="648" spans="1:11" ht="14.25" customHeight="1">
      <c r="A648" s="14" t="s">
        <v>126</v>
      </c>
      <c r="B648" s="78"/>
      <c r="C648" s="78"/>
      <c r="D648" s="92">
        <v>45490</v>
      </c>
      <c r="E648" s="14">
        <v>695</v>
      </c>
      <c r="F648" s="92">
        <v>45490</v>
      </c>
      <c r="G648" s="76">
        <v>31214</v>
      </c>
      <c r="H648" s="70" t="s">
        <v>1100</v>
      </c>
      <c r="I648" s="7">
        <f t="shared" ca="1" si="4"/>
        <v>0</v>
      </c>
      <c r="J648" s="86">
        <v>45519</v>
      </c>
      <c r="K648" s="7"/>
    </row>
    <row r="649" spans="1:11" ht="14.25" customHeight="1">
      <c r="A649" s="14" t="s">
        <v>226</v>
      </c>
      <c r="B649" s="78"/>
      <c r="C649" s="78"/>
      <c r="D649" s="92">
        <v>45490</v>
      </c>
      <c r="E649" s="14">
        <v>696</v>
      </c>
      <c r="F649" s="92">
        <v>45490</v>
      </c>
      <c r="G649" s="76">
        <v>177327</v>
      </c>
      <c r="H649" s="70" t="s">
        <v>1100</v>
      </c>
      <c r="I649" s="7">
        <f t="shared" ca="1" si="4"/>
        <v>0</v>
      </c>
      <c r="J649" s="71">
        <v>45616</v>
      </c>
      <c r="K649" s="7"/>
    </row>
    <row r="650" spans="1:11" ht="14.25" customHeight="1">
      <c r="A650" s="14" t="s">
        <v>1068</v>
      </c>
      <c r="B650" s="78"/>
      <c r="C650" s="78"/>
      <c r="D650" s="92">
        <v>45490</v>
      </c>
      <c r="E650" s="14">
        <v>697</v>
      </c>
      <c r="F650" s="92">
        <v>45490</v>
      </c>
      <c r="G650" s="76">
        <v>142123</v>
      </c>
      <c r="H650" s="70" t="s">
        <v>1100</v>
      </c>
      <c r="I650" s="7">
        <f t="shared" ca="1" si="4"/>
        <v>0</v>
      </c>
      <c r="J650" s="86">
        <v>45523</v>
      </c>
      <c r="K650" s="7"/>
    </row>
    <row r="651" spans="1:11" ht="14.25" customHeight="1">
      <c r="A651" s="14" t="s">
        <v>1052</v>
      </c>
      <c r="B651" s="78"/>
      <c r="C651" s="78"/>
      <c r="D651" s="92">
        <v>45491</v>
      </c>
      <c r="E651" s="14">
        <v>698</v>
      </c>
      <c r="F651" s="92">
        <v>45491</v>
      </c>
      <c r="G651" s="76">
        <v>114635</v>
      </c>
      <c r="H651" s="70" t="s">
        <v>1100</v>
      </c>
      <c r="I651" s="7">
        <f t="shared" ca="1" si="4"/>
        <v>0</v>
      </c>
      <c r="J651" s="86">
        <v>45531</v>
      </c>
      <c r="K651" s="7"/>
    </row>
    <row r="652" spans="1:11" ht="14.25" customHeight="1">
      <c r="A652" s="14" t="s">
        <v>1285</v>
      </c>
      <c r="B652" s="78"/>
      <c r="C652" s="78"/>
      <c r="D652" s="92">
        <v>45491</v>
      </c>
      <c r="E652" s="14">
        <v>699</v>
      </c>
      <c r="F652" s="92">
        <v>45491</v>
      </c>
      <c r="G652" s="76">
        <v>126253</v>
      </c>
      <c r="H652" s="70" t="s">
        <v>1100</v>
      </c>
      <c r="I652" s="7">
        <f t="shared" ca="1" si="4"/>
        <v>0</v>
      </c>
      <c r="J652" s="7"/>
      <c r="K652" s="7"/>
    </row>
    <row r="653" spans="1:11" ht="14.25" customHeight="1">
      <c r="A653" s="14" t="s">
        <v>652</v>
      </c>
      <c r="B653" s="78"/>
      <c r="C653" s="78"/>
      <c r="D653" s="92">
        <v>45492</v>
      </c>
      <c r="E653" s="14">
        <v>700</v>
      </c>
      <c r="F653" s="92">
        <v>45492</v>
      </c>
      <c r="G653" s="76">
        <v>154804</v>
      </c>
      <c r="H653" s="70" t="s">
        <v>1100</v>
      </c>
      <c r="I653" s="7">
        <f t="shared" ca="1" si="4"/>
        <v>0</v>
      </c>
      <c r="J653" s="86">
        <v>45503</v>
      </c>
      <c r="K653" s="7"/>
    </row>
    <row r="654" spans="1:11" ht="14.25" customHeight="1">
      <c r="A654" s="14" t="s">
        <v>342</v>
      </c>
      <c r="B654" s="78"/>
      <c r="C654" s="78"/>
      <c r="D654" s="92">
        <v>45492</v>
      </c>
      <c r="E654" s="14">
        <v>702</v>
      </c>
      <c r="F654" s="92">
        <v>45492</v>
      </c>
      <c r="G654" s="76">
        <v>120492</v>
      </c>
      <c r="H654" s="70" t="s">
        <v>1100</v>
      </c>
      <c r="I654" s="7">
        <f t="shared" ca="1" si="4"/>
        <v>0</v>
      </c>
      <c r="J654" s="86">
        <v>45565</v>
      </c>
      <c r="K654" s="7"/>
    </row>
    <row r="655" spans="1:11" ht="14.25" customHeight="1">
      <c r="A655" s="14" t="s">
        <v>126</v>
      </c>
      <c r="B655" s="78"/>
      <c r="C655" s="78"/>
      <c r="D655" s="92">
        <v>45496</v>
      </c>
      <c r="E655" s="14">
        <v>703</v>
      </c>
      <c r="F655" s="92">
        <v>45496</v>
      </c>
      <c r="G655" s="76">
        <v>243271</v>
      </c>
      <c r="H655" s="70" t="s">
        <v>1100</v>
      </c>
      <c r="I655" s="7">
        <f t="shared" ca="1" si="4"/>
        <v>0</v>
      </c>
      <c r="J655" s="85">
        <v>45518</v>
      </c>
      <c r="K655" s="7"/>
    </row>
    <row r="656" spans="1:11" ht="14.25" customHeight="1">
      <c r="A656" s="14" t="s">
        <v>143</v>
      </c>
      <c r="B656" s="78"/>
      <c r="C656" s="78"/>
      <c r="D656" s="92">
        <v>45496</v>
      </c>
      <c r="E656" s="14">
        <v>704</v>
      </c>
      <c r="F656" s="92">
        <v>45496</v>
      </c>
      <c r="G656" s="76">
        <v>118015</v>
      </c>
      <c r="H656" s="70" t="s">
        <v>1100</v>
      </c>
      <c r="I656" s="7">
        <f t="shared" ca="1" si="4"/>
        <v>0</v>
      </c>
      <c r="J656" s="86">
        <v>45547</v>
      </c>
      <c r="K656" s="7"/>
    </row>
    <row r="657" spans="1:11" ht="14.25" customHeight="1">
      <c r="A657" s="14" t="s">
        <v>646</v>
      </c>
      <c r="B657" s="78"/>
      <c r="C657" s="78"/>
      <c r="D657" s="92">
        <v>45496</v>
      </c>
      <c r="E657" s="14">
        <v>705</v>
      </c>
      <c r="F657" s="92">
        <v>45496</v>
      </c>
      <c r="G657" s="76">
        <v>181316</v>
      </c>
      <c r="H657" s="70" t="s">
        <v>1177</v>
      </c>
      <c r="I657" s="7">
        <f t="shared" ca="1" si="4"/>
        <v>0</v>
      </c>
      <c r="J657" s="7"/>
      <c r="K657" s="7" t="s">
        <v>1286</v>
      </c>
    </row>
    <row r="658" spans="1:11" ht="14.25" customHeight="1">
      <c r="A658" s="14" t="s">
        <v>1254</v>
      </c>
      <c r="B658" s="78"/>
      <c r="C658" s="78"/>
      <c r="D658" s="92">
        <v>45496</v>
      </c>
      <c r="E658" s="14">
        <v>706</v>
      </c>
      <c r="F658" s="92">
        <v>45496</v>
      </c>
      <c r="G658" s="76">
        <v>119404</v>
      </c>
      <c r="H658" s="70" t="s">
        <v>1100</v>
      </c>
      <c r="I658" s="7">
        <f t="shared" ca="1" si="4"/>
        <v>0</v>
      </c>
      <c r="J658" s="86">
        <v>45537</v>
      </c>
      <c r="K658" s="7"/>
    </row>
    <row r="659" spans="1:11" ht="14.25" customHeight="1">
      <c r="A659" s="14" t="s">
        <v>816</v>
      </c>
      <c r="B659" s="78"/>
      <c r="C659" s="78"/>
      <c r="D659" s="92">
        <v>45497</v>
      </c>
      <c r="E659" s="14">
        <v>707</v>
      </c>
      <c r="F659" s="92">
        <v>45497</v>
      </c>
      <c r="G659" s="76">
        <v>118135</v>
      </c>
      <c r="H659" s="70" t="s">
        <v>1100</v>
      </c>
      <c r="I659" s="7">
        <f t="shared" ca="1" si="4"/>
        <v>0</v>
      </c>
      <c r="J659" s="86">
        <v>45531</v>
      </c>
      <c r="K659" s="7"/>
    </row>
    <row r="660" spans="1:11" ht="14.25" customHeight="1">
      <c r="A660" s="14" t="s">
        <v>646</v>
      </c>
      <c r="B660" s="78"/>
      <c r="C660" s="78"/>
      <c r="D660" s="92">
        <v>45497</v>
      </c>
      <c r="E660" s="14">
        <v>708</v>
      </c>
      <c r="F660" s="92">
        <v>45497</v>
      </c>
      <c r="G660" s="76">
        <v>127648</v>
      </c>
      <c r="H660" s="70" t="s">
        <v>1100</v>
      </c>
      <c r="I660" s="7">
        <f t="shared" ca="1" si="4"/>
        <v>0</v>
      </c>
      <c r="J660" s="7"/>
      <c r="K660" s="7"/>
    </row>
    <row r="661" spans="1:11" ht="14.25" customHeight="1">
      <c r="A661" s="14" t="s">
        <v>1105</v>
      </c>
      <c r="B661" s="78"/>
      <c r="C661" s="78"/>
      <c r="D661" s="92">
        <v>45497</v>
      </c>
      <c r="E661" s="14">
        <v>709</v>
      </c>
      <c r="F661" s="92">
        <v>45497</v>
      </c>
      <c r="G661" s="76">
        <v>122194</v>
      </c>
      <c r="H661" s="70" t="s">
        <v>1100</v>
      </c>
      <c r="I661" s="7">
        <f t="shared" ca="1" si="4"/>
        <v>0</v>
      </c>
      <c r="J661" s="86">
        <v>45538</v>
      </c>
      <c r="K661" s="7"/>
    </row>
    <row r="662" spans="1:11" ht="14.25" customHeight="1">
      <c r="A662" s="14" t="s">
        <v>1105</v>
      </c>
      <c r="B662" s="78"/>
      <c r="C662" s="78"/>
      <c r="D662" s="92">
        <v>45497</v>
      </c>
      <c r="E662" s="14">
        <v>710</v>
      </c>
      <c r="F662" s="92">
        <v>45497</v>
      </c>
      <c r="G662" s="76">
        <v>62429</v>
      </c>
      <c r="H662" s="70" t="s">
        <v>1100</v>
      </c>
      <c r="I662" s="7">
        <f t="shared" ca="1" si="4"/>
        <v>0</v>
      </c>
      <c r="J662" s="86">
        <v>45542</v>
      </c>
      <c r="K662" s="7"/>
    </row>
    <row r="663" spans="1:11" ht="14.25" customHeight="1">
      <c r="A663" s="14" t="s">
        <v>1287</v>
      </c>
      <c r="B663" s="78"/>
      <c r="C663" s="78"/>
      <c r="D663" s="92">
        <v>45492</v>
      </c>
      <c r="E663" s="14" t="s">
        <v>1221</v>
      </c>
      <c r="F663" s="92">
        <v>45492</v>
      </c>
      <c r="G663" s="76">
        <v>300000</v>
      </c>
      <c r="H663" s="70" t="s">
        <v>1100</v>
      </c>
      <c r="I663" s="7">
        <f t="shared" ca="1" si="4"/>
        <v>0</v>
      </c>
      <c r="J663" s="7"/>
      <c r="K663" s="7"/>
    </row>
    <row r="664" spans="1:11" ht="14.25" customHeight="1">
      <c r="A664" s="57" t="s">
        <v>1288</v>
      </c>
      <c r="B664" s="78"/>
      <c r="C664" s="78"/>
      <c r="D664" s="92">
        <v>45499</v>
      </c>
      <c r="E664" s="14">
        <v>711</v>
      </c>
      <c r="F664" s="92">
        <v>45499</v>
      </c>
      <c r="G664" s="93">
        <v>150619</v>
      </c>
      <c r="H664" s="70" t="s">
        <v>1100</v>
      </c>
      <c r="I664" s="7">
        <f t="shared" ca="1" si="4"/>
        <v>0</v>
      </c>
      <c r="J664" s="86">
        <v>45531</v>
      </c>
      <c r="K664" s="7" t="s">
        <v>1289</v>
      </c>
    </row>
    <row r="665" spans="1:11" ht="14.25" customHeight="1">
      <c r="A665" s="14" t="s">
        <v>1290</v>
      </c>
      <c r="B665" s="78"/>
      <c r="C665" s="78"/>
      <c r="D665" s="92">
        <v>45503</v>
      </c>
      <c r="E665" s="14">
        <v>712</v>
      </c>
      <c r="F665" s="92">
        <v>45503</v>
      </c>
      <c r="G665" s="76">
        <v>117214</v>
      </c>
      <c r="H665" s="70" t="s">
        <v>1100</v>
      </c>
      <c r="I665" s="7">
        <f t="shared" ca="1" si="4"/>
        <v>0</v>
      </c>
      <c r="J665" s="80">
        <v>45529</v>
      </c>
      <c r="K665" s="7"/>
    </row>
    <row r="666" spans="1:11" ht="14.25" customHeight="1">
      <c r="A666" s="14" t="s">
        <v>1218</v>
      </c>
      <c r="B666" s="78"/>
      <c r="C666" s="78"/>
      <c r="D666" s="92">
        <v>45503</v>
      </c>
      <c r="E666" s="14">
        <v>713</v>
      </c>
      <c r="F666" s="92">
        <v>45503</v>
      </c>
      <c r="G666" s="76">
        <v>119530</v>
      </c>
      <c r="H666" s="70" t="s">
        <v>1100</v>
      </c>
      <c r="I666" s="7">
        <f t="shared" ca="1" si="4"/>
        <v>0</v>
      </c>
      <c r="J666" s="86">
        <v>45533</v>
      </c>
      <c r="K666" s="7"/>
    </row>
    <row r="667" spans="1:11" ht="14.25" customHeight="1">
      <c r="A667" s="14" t="s">
        <v>1142</v>
      </c>
      <c r="B667" s="78"/>
      <c r="C667" s="78"/>
      <c r="D667" s="92">
        <v>45503</v>
      </c>
      <c r="E667" s="14">
        <v>714</v>
      </c>
      <c r="F667" s="92">
        <v>45503</v>
      </c>
      <c r="G667" s="76">
        <v>235026</v>
      </c>
      <c r="H667" s="70" t="s">
        <v>1100</v>
      </c>
      <c r="I667" s="7">
        <f t="shared" ca="1" si="4"/>
        <v>0</v>
      </c>
      <c r="J667" s="86">
        <v>45558</v>
      </c>
      <c r="K667" s="7"/>
    </row>
    <row r="668" spans="1:11" ht="14.25" customHeight="1">
      <c r="A668" s="14" t="s">
        <v>126</v>
      </c>
      <c r="B668" s="78"/>
      <c r="C668" s="78"/>
      <c r="D668" s="92">
        <v>45503</v>
      </c>
      <c r="E668" s="14">
        <v>715</v>
      </c>
      <c r="F668" s="92">
        <v>45503</v>
      </c>
      <c r="G668" s="76">
        <v>90657</v>
      </c>
      <c r="H668" s="70" t="s">
        <v>1100</v>
      </c>
      <c r="I668" s="7">
        <f t="shared" ca="1" si="4"/>
        <v>0</v>
      </c>
      <c r="J668" s="86">
        <v>45527</v>
      </c>
      <c r="K668" s="7"/>
    </row>
    <row r="669" spans="1:11" ht="14.25" customHeight="1">
      <c r="A669" s="57" t="s">
        <v>1291</v>
      </c>
      <c r="B669" s="78"/>
      <c r="C669" s="78"/>
      <c r="D669" s="92">
        <v>45504</v>
      </c>
      <c r="E669" s="14">
        <v>716</v>
      </c>
      <c r="F669" s="92">
        <v>45504</v>
      </c>
      <c r="G669" s="93">
        <v>183228</v>
      </c>
      <c r="H669" s="70" t="s">
        <v>1267</v>
      </c>
      <c r="I669" s="7">
        <f t="shared" ca="1" si="4"/>
        <v>295</v>
      </c>
      <c r="J669" s="7"/>
      <c r="K669" s="7"/>
    </row>
    <row r="670" spans="1:11" ht="14.25" customHeight="1">
      <c r="A670" s="14" t="s">
        <v>729</v>
      </c>
      <c r="B670" s="78"/>
      <c r="C670" s="78"/>
      <c r="D670" s="92">
        <v>45504</v>
      </c>
      <c r="E670" s="14">
        <v>717</v>
      </c>
      <c r="F670" s="92">
        <v>45504</v>
      </c>
      <c r="G670" s="76">
        <v>172067</v>
      </c>
      <c r="H670" s="70" t="s">
        <v>1100</v>
      </c>
      <c r="I670" s="7">
        <f t="shared" ca="1" si="4"/>
        <v>0</v>
      </c>
      <c r="J670" s="86">
        <v>45543</v>
      </c>
      <c r="K670" s="7"/>
    </row>
    <row r="671" spans="1:11" ht="14.25" customHeight="1">
      <c r="A671" s="14" t="s">
        <v>1292</v>
      </c>
      <c r="B671" s="78"/>
      <c r="C671" s="78"/>
      <c r="D671" s="92">
        <v>45504</v>
      </c>
      <c r="E671" s="14" t="s">
        <v>1293</v>
      </c>
      <c r="F671" s="92">
        <v>45504</v>
      </c>
      <c r="G671" s="76">
        <v>178500</v>
      </c>
      <c r="H671" s="70" t="s">
        <v>1100</v>
      </c>
      <c r="I671" s="7">
        <f t="shared" ca="1" si="4"/>
        <v>0</v>
      </c>
      <c r="J671" s="7"/>
      <c r="K671" s="7" t="s">
        <v>1294</v>
      </c>
    </row>
    <row r="672" spans="1:11" ht="14.25" customHeight="1">
      <c r="A672" s="14" t="s">
        <v>1208</v>
      </c>
      <c r="B672" s="78"/>
      <c r="C672" s="78"/>
      <c r="D672" s="92">
        <v>45504</v>
      </c>
      <c r="E672" s="14">
        <v>718</v>
      </c>
      <c r="F672" s="92">
        <v>45504</v>
      </c>
      <c r="G672" s="76">
        <v>123589</v>
      </c>
      <c r="H672" s="70" t="s">
        <v>1100</v>
      </c>
      <c r="I672" s="7">
        <f t="shared" ca="1" si="4"/>
        <v>0</v>
      </c>
      <c r="J672" s="80">
        <v>45537</v>
      </c>
      <c r="K672" s="7"/>
    </row>
    <row r="673" spans="1:11" ht="14.25" customHeight="1">
      <c r="A673" s="57" t="s">
        <v>883</v>
      </c>
      <c r="B673" s="78"/>
      <c r="C673" s="78"/>
      <c r="D673" s="92">
        <v>45505</v>
      </c>
      <c r="E673" s="14">
        <v>719</v>
      </c>
      <c r="F673" s="92">
        <v>45505</v>
      </c>
      <c r="H673" s="70" t="s">
        <v>1100</v>
      </c>
      <c r="I673" s="7">
        <f t="shared" ca="1" si="4"/>
        <v>0</v>
      </c>
      <c r="J673" s="86">
        <v>45537</v>
      </c>
      <c r="K673" s="7"/>
    </row>
    <row r="674" spans="1:11" ht="14.25" customHeight="1">
      <c r="A674" s="14" t="s">
        <v>1219</v>
      </c>
      <c r="B674" s="78"/>
      <c r="C674" s="78"/>
      <c r="D674" s="92">
        <v>45505</v>
      </c>
      <c r="E674" s="14">
        <v>720</v>
      </c>
      <c r="F674" s="92">
        <v>45505</v>
      </c>
      <c r="G674" s="76">
        <v>176057</v>
      </c>
      <c r="H674" s="70" t="s">
        <v>1100</v>
      </c>
      <c r="I674" s="7">
        <f t="shared" ca="1" si="4"/>
        <v>0</v>
      </c>
      <c r="J674" s="86">
        <v>45545</v>
      </c>
      <c r="K674" s="7"/>
    </row>
    <row r="675" spans="1:11" ht="14.25" customHeight="1">
      <c r="A675" s="57" t="s">
        <v>1261</v>
      </c>
      <c r="B675" s="78"/>
      <c r="C675" s="78"/>
      <c r="D675" s="92">
        <v>45509</v>
      </c>
      <c r="E675" s="14">
        <v>721</v>
      </c>
      <c r="F675" s="92">
        <v>45509</v>
      </c>
      <c r="G675" s="76">
        <v>171998</v>
      </c>
      <c r="H675" s="70" t="s">
        <v>1100</v>
      </c>
      <c r="I675" s="7">
        <f t="shared" ca="1" si="4"/>
        <v>0</v>
      </c>
      <c r="J675" s="86">
        <v>45558</v>
      </c>
      <c r="K675" s="7"/>
    </row>
    <row r="676" spans="1:11" ht="14.25" customHeight="1">
      <c r="A676" s="14" t="s">
        <v>126</v>
      </c>
      <c r="B676" s="78"/>
      <c r="C676" s="78"/>
      <c r="D676" s="92">
        <v>45511</v>
      </c>
      <c r="E676" s="14">
        <v>722</v>
      </c>
      <c r="F676" s="92">
        <v>45511</v>
      </c>
      <c r="G676" s="93">
        <v>120477</v>
      </c>
      <c r="H676" s="70" t="s">
        <v>1258</v>
      </c>
      <c r="I676" s="7">
        <v>0</v>
      </c>
      <c r="K676" s="7"/>
    </row>
    <row r="677" spans="1:11" ht="14.25" customHeight="1">
      <c r="A677" s="57" t="s">
        <v>1272</v>
      </c>
      <c r="B677" s="78"/>
      <c r="C677" s="78"/>
      <c r="D677" s="92">
        <v>45512</v>
      </c>
      <c r="E677" s="14">
        <v>723</v>
      </c>
      <c r="F677" s="92">
        <v>45512</v>
      </c>
      <c r="G677" s="76">
        <v>243745</v>
      </c>
      <c r="H677" s="70" t="s">
        <v>1100</v>
      </c>
      <c r="I677" s="7">
        <f t="shared" ref="I677:I833" ca="1" si="5">IF(OR(H677="Pagado",H677="Anulada"),0,IF(ISNUMBER(E677),TODAY()-D677,TODAY()-F677))</f>
        <v>0</v>
      </c>
      <c r="J677" s="80">
        <v>45607</v>
      </c>
      <c r="K677" s="7"/>
    </row>
    <row r="678" spans="1:11" ht="14.25" customHeight="1">
      <c r="A678" s="14" t="s">
        <v>675</v>
      </c>
      <c r="B678" s="78"/>
      <c r="C678" s="78"/>
      <c r="D678" s="92">
        <v>45512</v>
      </c>
      <c r="E678" s="14">
        <v>724</v>
      </c>
      <c r="F678" s="92">
        <v>45512</v>
      </c>
      <c r="G678" s="76">
        <v>187913</v>
      </c>
      <c r="H678" s="70" t="s">
        <v>1100</v>
      </c>
      <c r="I678" s="7">
        <f t="shared" ca="1" si="5"/>
        <v>0</v>
      </c>
      <c r="J678" s="94">
        <v>45580</v>
      </c>
      <c r="K678" s="7"/>
    </row>
    <row r="679" spans="1:11" ht="14.25" customHeight="1">
      <c r="A679" s="14" t="s">
        <v>1235</v>
      </c>
      <c r="B679" s="78"/>
      <c r="C679" s="78"/>
      <c r="D679" s="92">
        <v>45516</v>
      </c>
      <c r="E679" s="14">
        <v>725</v>
      </c>
      <c r="F679" s="92">
        <v>45516</v>
      </c>
      <c r="G679" s="76">
        <v>115345</v>
      </c>
      <c r="H679" s="70" t="s">
        <v>1100</v>
      </c>
      <c r="I679" s="7">
        <f t="shared" ca="1" si="5"/>
        <v>0</v>
      </c>
      <c r="J679" s="86">
        <v>45535</v>
      </c>
      <c r="K679" s="7"/>
    </row>
    <row r="680" spans="1:11" ht="14.25" customHeight="1">
      <c r="A680" s="14" t="s">
        <v>1164</v>
      </c>
      <c r="B680" s="78"/>
      <c r="C680" s="78"/>
      <c r="D680" s="92">
        <v>45517</v>
      </c>
      <c r="E680" s="14">
        <v>726</v>
      </c>
      <c r="F680" s="92">
        <v>45517</v>
      </c>
      <c r="G680" s="76">
        <v>111106</v>
      </c>
      <c r="H680" s="70" t="s">
        <v>1100</v>
      </c>
      <c r="I680" s="7">
        <f t="shared" ca="1" si="5"/>
        <v>0</v>
      </c>
      <c r="J680" s="86">
        <v>45559</v>
      </c>
      <c r="K680" s="7"/>
    </row>
    <row r="681" spans="1:11" ht="14.25" customHeight="1">
      <c r="A681" s="14" t="s">
        <v>1218</v>
      </c>
      <c r="B681" s="78"/>
      <c r="C681" s="78"/>
      <c r="D681" s="92">
        <v>45517</v>
      </c>
      <c r="E681" s="14">
        <v>727</v>
      </c>
      <c r="F681" s="92">
        <v>45517</v>
      </c>
      <c r="G681" s="76">
        <v>117687</v>
      </c>
      <c r="H681" s="70" t="s">
        <v>1100</v>
      </c>
      <c r="I681" s="7">
        <f t="shared" ca="1" si="5"/>
        <v>0</v>
      </c>
      <c r="J681" s="80">
        <v>45537</v>
      </c>
      <c r="K681" s="7"/>
    </row>
    <row r="682" spans="1:11" ht="14.25" customHeight="1">
      <c r="A682" s="14" t="s">
        <v>646</v>
      </c>
      <c r="B682" s="78"/>
      <c r="C682" s="78"/>
      <c r="D682" s="92">
        <v>45523</v>
      </c>
      <c r="E682" s="14">
        <v>728</v>
      </c>
      <c r="F682" s="92">
        <v>45523</v>
      </c>
      <c r="G682" s="76">
        <v>120477</v>
      </c>
      <c r="H682" s="70" t="s">
        <v>1100</v>
      </c>
      <c r="I682" s="7">
        <f t="shared" ca="1" si="5"/>
        <v>0</v>
      </c>
      <c r="J682" s="86">
        <v>45525</v>
      </c>
      <c r="K682" s="7"/>
    </row>
    <row r="683" spans="1:11" ht="14.25" customHeight="1">
      <c r="A683" s="14" t="s">
        <v>729</v>
      </c>
      <c r="B683" s="78"/>
      <c r="C683" s="78"/>
      <c r="D683" s="92">
        <v>45523</v>
      </c>
      <c r="E683" s="14">
        <v>729</v>
      </c>
      <c r="F683" s="92">
        <v>45523</v>
      </c>
      <c r="G683" s="76">
        <v>136812</v>
      </c>
      <c r="H683" s="70" t="s">
        <v>1100</v>
      </c>
      <c r="I683" s="7">
        <f t="shared" ca="1" si="5"/>
        <v>0</v>
      </c>
      <c r="J683" s="80">
        <v>45572</v>
      </c>
      <c r="K683" s="7"/>
    </row>
    <row r="684" spans="1:11" ht="14.25" customHeight="1">
      <c r="A684" s="14" t="s">
        <v>1295</v>
      </c>
      <c r="B684" s="78"/>
      <c r="C684" s="78"/>
      <c r="D684" s="92">
        <v>45523</v>
      </c>
      <c r="E684" s="14">
        <v>730</v>
      </c>
      <c r="F684" s="92">
        <v>45523</v>
      </c>
      <c r="G684" s="76">
        <v>176057</v>
      </c>
      <c r="H684" s="70" t="s">
        <v>1100</v>
      </c>
      <c r="I684" s="7">
        <f t="shared" ca="1" si="5"/>
        <v>0</v>
      </c>
      <c r="J684" s="80">
        <v>45583</v>
      </c>
      <c r="K684" s="7"/>
    </row>
    <row r="685" spans="1:11" ht="14.25" customHeight="1">
      <c r="A685" s="14" t="s">
        <v>1238</v>
      </c>
      <c r="B685" s="78"/>
      <c r="C685" s="78"/>
      <c r="D685" s="92">
        <v>45524</v>
      </c>
      <c r="E685" s="14">
        <v>731</v>
      </c>
      <c r="F685" s="92">
        <v>45524</v>
      </c>
      <c r="G685" s="76">
        <v>120799</v>
      </c>
      <c r="H685" s="70" t="s">
        <v>1100</v>
      </c>
      <c r="I685" s="7">
        <f t="shared" ca="1" si="5"/>
        <v>0</v>
      </c>
      <c r="J685" s="86">
        <v>45531</v>
      </c>
      <c r="K685" s="7"/>
    </row>
    <row r="686" spans="1:11" ht="14.25" customHeight="1">
      <c r="A686" s="76" t="s">
        <v>1279</v>
      </c>
      <c r="B686" s="78"/>
      <c r="C686" s="78"/>
      <c r="D686" s="92">
        <v>45524</v>
      </c>
      <c r="E686" s="14">
        <v>732</v>
      </c>
      <c r="F686" s="92">
        <v>45524</v>
      </c>
      <c r="G686" s="76">
        <v>117214</v>
      </c>
      <c r="H686" s="70" t="s">
        <v>1100</v>
      </c>
      <c r="I686" s="7">
        <f t="shared" ca="1" si="5"/>
        <v>0</v>
      </c>
      <c r="J686" s="86">
        <v>45567</v>
      </c>
      <c r="K686" s="7"/>
    </row>
    <row r="687" spans="1:11" ht="14.25" customHeight="1">
      <c r="A687" s="14" t="s">
        <v>487</v>
      </c>
      <c r="B687" s="78"/>
      <c r="C687" s="78"/>
      <c r="D687" s="92">
        <v>45524</v>
      </c>
      <c r="E687" s="14">
        <v>733</v>
      </c>
      <c r="F687" s="92">
        <v>45524</v>
      </c>
      <c r="G687" s="76">
        <v>180716</v>
      </c>
      <c r="H687" s="70" t="s">
        <v>1100</v>
      </c>
      <c r="I687" s="7">
        <f t="shared" ca="1" si="5"/>
        <v>0</v>
      </c>
      <c r="J687" s="86">
        <v>45565</v>
      </c>
      <c r="K687" s="7"/>
    </row>
    <row r="688" spans="1:11" ht="14.25" customHeight="1">
      <c r="A688" s="15" t="s">
        <v>1296</v>
      </c>
      <c r="B688" s="78"/>
      <c r="C688" s="78"/>
      <c r="D688" s="92">
        <v>45524</v>
      </c>
      <c r="E688" s="14">
        <v>734</v>
      </c>
      <c r="F688" s="92">
        <v>45524</v>
      </c>
      <c r="G688" s="76">
        <v>119000</v>
      </c>
      <c r="H688" s="70" t="s">
        <v>1100</v>
      </c>
      <c r="I688" s="7">
        <f t="shared" ca="1" si="5"/>
        <v>0</v>
      </c>
      <c r="J688" s="92">
        <v>45524</v>
      </c>
      <c r="K688" s="7" t="s">
        <v>1297</v>
      </c>
    </row>
    <row r="689" spans="1:11" ht="14.25" customHeight="1">
      <c r="A689" s="14" t="s">
        <v>1229</v>
      </c>
      <c r="B689" s="78"/>
      <c r="C689" s="78"/>
      <c r="D689" s="92">
        <v>45525</v>
      </c>
      <c r="E689" s="14">
        <v>735</v>
      </c>
      <c r="F689" s="92">
        <v>45525</v>
      </c>
      <c r="G689" s="76">
        <v>147648</v>
      </c>
      <c r="H689" s="70" t="s">
        <v>1100</v>
      </c>
      <c r="I689" s="7">
        <f t="shared" ca="1" si="5"/>
        <v>0</v>
      </c>
      <c r="J689" s="7"/>
      <c r="K689" s="7"/>
    </row>
    <row r="690" spans="1:11" ht="14.25" customHeight="1">
      <c r="A690" s="14" t="s">
        <v>1283</v>
      </c>
      <c r="B690" s="78"/>
      <c r="C690" s="78"/>
      <c r="D690" s="92">
        <v>45530</v>
      </c>
      <c r="E690" s="14">
        <v>736</v>
      </c>
      <c r="F690" s="92">
        <v>45530</v>
      </c>
      <c r="G690" s="76">
        <v>266840</v>
      </c>
      <c r="H690" s="70" t="s">
        <v>1267</v>
      </c>
      <c r="I690" s="7">
        <f t="shared" ca="1" si="5"/>
        <v>269</v>
      </c>
      <c r="J690" s="7"/>
      <c r="K690" s="7" t="s">
        <v>1298</v>
      </c>
    </row>
    <row r="691" spans="1:11" ht="14.25" customHeight="1">
      <c r="A691" s="14" t="s">
        <v>816</v>
      </c>
      <c r="B691" s="78"/>
      <c r="C691" s="78"/>
      <c r="D691" s="92">
        <v>45530</v>
      </c>
      <c r="E691" s="14">
        <v>737</v>
      </c>
      <c r="F691" s="92">
        <v>45530</v>
      </c>
      <c r="G691" s="76">
        <v>558372</v>
      </c>
      <c r="H691" s="70" t="s">
        <v>1100</v>
      </c>
      <c r="I691" s="7">
        <f t="shared" ca="1" si="5"/>
        <v>0</v>
      </c>
      <c r="J691" s="80">
        <v>45626</v>
      </c>
      <c r="K691" s="7" t="s">
        <v>1299</v>
      </c>
    </row>
    <row r="692" spans="1:11" ht="14.25" customHeight="1">
      <c r="A692" s="14" t="s">
        <v>126</v>
      </c>
      <c r="B692" s="78"/>
      <c r="C692" s="78"/>
      <c r="D692" s="92">
        <v>45530</v>
      </c>
      <c r="E692" s="14">
        <v>739</v>
      </c>
      <c r="F692" s="92">
        <v>45530</v>
      </c>
      <c r="G692" s="76">
        <v>647630</v>
      </c>
      <c r="H692" s="70" t="s">
        <v>1177</v>
      </c>
      <c r="I692" s="7">
        <f t="shared" ca="1" si="5"/>
        <v>0</v>
      </c>
      <c r="J692" s="7"/>
      <c r="K692" s="7" t="s">
        <v>1300</v>
      </c>
    </row>
    <row r="693" spans="1:11" ht="14.25" customHeight="1">
      <c r="A693" s="14" t="s">
        <v>1263</v>
      </c>
      <c r="B693" s="78"/>
      <c r="C693" s="78"/>
      <c r="D693" s="92">
        <v>45530</v>
      </c>
      <c r="E693" s="14">
        <v>738</v>
      </c>
      <c r="F693" s="92">
        <v>45530</v>
      </c>
      <c r="G693" s="76">
        <v>65219</v>
      </c>
      <c r="H693" s="70" t="s">
        <v>1177</v>
      </c>
      <c r="I693" s="7">
        <f t="shared" ca="1" si="5"/>
        <v>0</v>
      </c>
      <c r="J693" s="7"/>
      <c r="K693" s="7" t="s">
        <v>1301</v>
      </c>
    </row>
    <row r="694" spans="1:11" ht="14.25" customHeight="1">
      <c r="A694" s="14" t="s">
        <v>1248</v>
      </c>
      <c r="B694" s="78"/>
      <c r="C694" s="78"/>
      <c r="D694" s="92">
        <v>45530</v>
      </c>
      <c r="E694" s="14">
        <v>740</v>
      </c>
      <c r="F694" s="92">
        <v>45530</v>
      </c>
      <c r="G694" s="76">
        <v>124287</v>
      </c>
      <c r="H694" s="70" t="s">
        <v>1100</v>
      </c>
      <c r="I694" s="7">
        <f t="shared" ca="1" si="5"/>
        <v>0</v>
      </c>
      <c r="J694" s="86">
        <v>45531</v>
      </c>
      <c r="K694" s="7"/>
    </row>
    <row r="695" spans="1:11" ht="14.25" customHeight="1">
      <c r="A695" s="14" t="s">
        <v>470</v>
      </c>
      <c r="B695" s="78"/>
      <c r="C695" s="78"/>
      <c r="D695" s="92">
        <v>45530</v>
      </c>
      <c r="E695" s="14">
        <v>741</v>
      </c>
      <c r="F695" s="92">
        <v>45530</v>
      </c>
      <c r="G695" s="76">
        <v>147033</v>
      </c>
      <c r="H695" s="70" t="s">
        <v>1100</v>
      </c>
      <c r="I695" s="7">
        <f t="shared" ca="1" si="5"/>
        <v>0</v>
      </c>
      <c r="J695" s="94">
        <v>45622</v>
      </c>
      <c r="K695" s="7"/>
    </row>
    <row r="696" spans="1:11" ht="14.25" customHeight="1">
      <c r="A696" s="14" t="s">
        <v>1280</v>
      </c>
      <c r="B696" s="78"/>
      <c r="C696" s="78"/>
      <c r="D696" s="92">
        <v>45531</v>
      </c>
      <c r="E696" s="14">
        <v>742</v>
      </c>
      <c r="F696" s="92">
        <v>45531</v>
      </c>
      <c r="G696" s="76">
        <v>119530</v>
      </c>
      <c r="H696" s="70" t="s">
        <v>1100</v>
      </c>
      <c r="I696" s="7">
        <f t="shared" ca="1" si="5"/>
        <v>0</v>
      </c>
      <c r="J696" s="80">
        <v>45600</v>
      </c>
      <c r="K696" s="7"/>
    </row>
    <row r="697" spans="1:11" ht="14.25" customHeight="1">
      <c r="A697" s="14" t="s">
        <v>1120</v>
      </c>
      <c r="B697" s="78"/>
      <c r="C697" s="78"/>
      <c r="D697" s="92">
        <v>45531</v>
      </c>
      <c r="E697" s="14">
        <v>743</v>
      </c>
      <c r="F697" s="77"/>
      <c r="G697" s="76">
        <v>111166</v>
      </c>
      <c r="H697" s="70" t="s">
        <v>1100</v>
      </c>
      <c r="I697" s="7">
        <f t="shared" ca="1" si="5"/>
        <v>0</v>
      </c>
      <c r="J697" s="80">
        <v>45579</v>
      </c>
      <c r="K697" s="7"/>
    </row>
    <row r="698" spans="1:11" ht="14.25" customHeight="1">
      <c r="A698" s="14" t="s">
        <v>1263</v>
      </c>
      <c r="B698" s="78"/>
      <c r="C698" s="78"/>
      <c r="D698" s="92">
        <v>45531</v>
      </c>
      <c r="E698" s="14">
        <v>744</v>
      </c>
      <c r="F698" s="92">
        <v>45531</v>
      </c>
      <c r="G698" s="76">
        <v>65219</v>
      </c>
      <c r="H698" s="70" t="s">
        <v>1100</v>
      </c>
      <c r="I698" s="7">
        <f t="shared" ca="1" si="5"/>
        <v>0</v>
      </c>
      <c r="J698" s="86">
        <v>45532</v>
      </c>
      <c r="K698" s="7"/>
    </row>
    <row r="699" spans="1:11" ht="14.25" customHeight="1">
      <c r="A699" s="14" t="s">
        <v>226</v>
      </c>
      <c r="B699" s="78"/>
      <c r="C699" s="78"/>
      <c r="D699" s="92">
        <v>45531</v>
      </c>
      <c r="E699" s="14">
        <v>745</v>
      </c>
      <c r="F699" s="92">
        <v>45531</v>
      </c>
      <c r="G699" s="76">
        <v>177327</v>
      </c>
      <c r="H699" s="70" t="s">
        <v>1100</v>
      </c>
      <c r="I699" s="7">
        <f t="shared" ca="1" si="5"/>
        <v>0</v>
      </c>
      <c r="J699" s="71">
        <v>45616</v>
      </c>
      <c r="K699" s="7"/>
    </row>
    <row r="700" spans="1:11" ht="14.25" customHeight="1">
      <c r="A700" s="14" t="s">
        <v>143</v>
      </c>
      <c r="B700" s="78"/>
      <c r="C700" s="78"/>
      <c r="D700" s="92">
        <v>45531</v>
      </c>
      <c r="E700" s="14">
        <v>746</v>
      </c>
      <c r="F700" s="92">
        <v>45531</v>
      </c>
      <c r="G700" s="76">
        <v>121272</v>
      </c>
      <c r="H700" s="70" t="s">
        <v>1100</v>
      </c>
      <c r="I700" s="7">
        <f t="shared" ca="1" si="5"/>
        <v>0</v>
      </c>
      <c r="J700" s="80">
        <v>45570</v>
      </c>
      <c r="K700" s="7"/>
    </row>
    <row r="701" spans="1:11" ht="14.25" customHeight="1">
      <c r="A701" s="14" t="s">
        <v>675</v>
      </c>
      <c r="B701" s="78"/>
      <c r="C701" s="78"/>
      <c r="D701" s="92">
        <v>45531</v>
      </c>
      <c r="E701" s="14">
        <v>747</v>
      </c>
      <c r="F701" s="92">
        <v>45531</v>
      </c>
      <c r="G701" s="76">
        <v>309241</v>
      </c>
      <c r="H701" s="70" t="s">
        <v>1100</v>
      </c>
      <c r="I701" s="7">
        <f t="shared" ca="1" si="5"/>
        <v>0</v>
      </c>
      <c r="J701" s="80">
        <v>45594</v>
      </c>
      <c r="K701" s="7"/>
    </row>
    <row r="702" spans="1:11" ht="14.25" customHeight="1">
      <c r="A702" s="14" t="s">
        <v>126</v>
      </c>
      <c r="B702" s="78"/>
      <c r="C702" s="78"/>
      <c r="D702" s="70" t="s">
        <v>1302</v>
      </c>
      <c r="E702" s="14">
        <v>748</v>
      </c>
      <c r="F702" s="92">
        <v>45531</v>
      </c>
      <c r="G702" s="76">
        <v>253792</v>
      </c>
      <c r="H702" s="70" t="s">
        <v>1100</v>
      </c>
      <c r="I702" s="7">
        <f t="shared" ca="1" si="5"/>
        <v>0</v>
      </c>
      <c r="J702" s="86">
        <v>45559</v>
      </c>
      <c r="K702" s="7"/>
    </row>
    <row r="703" spans="1:11" ht="14.25" customHeight="1">
      <c r="A703" s="14" t="s">
        <v>1303</v>
      </c>
      <c r="B703" s="78"/>
      <c r="C703" s="78"/>
      <c r="D703" s="77">
        <v>45537</v>
      </c>
      <c r="E703" s="14">
        <v>749</v>
      </c>
      <c r="F703" s="77"/>
      <c r="G703" s="76">
        <v>116418</v>
      </c>
      <c r="H703" s="70" t="s">
        <v>1100</v>
      </c>
      <c r="I703" s="7">
        <f t="shared" ca="1" si="5"/>
        <v>0</v>
      </c>
      <c r="J703" s="80">
        <v>45592</v>
      </c>
      <c r="K703" s="7"/>
    </row>
    <row r="704" spans="1:11" ht="14.25" customHeight="1">
      <c r="A704" s="14" t="s">
        <v>1088</v>
      </c>
      <c r="B704" s="78"/>
      <c r="C704" s="78"/>
      <c r="D704" s="77">
        <v>45537</v>
      </c>
      <c r="E704" s="14">
        <v>750</v>
      </c>
      <c r="F704" s="77">
        <v>45534</v>
      </c>
      <c r="G704" s="76">
        <v>181959</v>
      </c>
      <c r="H704" s="70" t="s">
        <v>1100</v>
      </c>
      <c r="I704" s="7">
        <f t="shared" ca="1" si="5"/>
        <v>0</v>
      </c>
      <c r="J704" s="94">
        <v>45639</v>
      </c>
      <c r="K704" s="7"/>
    </row>
    <row r="705" spans="1:11" ht="14.25" customHeight="1">
      <c r="A705" s="14" t="s">
        <v>1270</v>
      </c>
      <c r="B705" s="78"/>
      <c r="C705" s="78"/>
      <c r="D705" s="77">
        <v>45538</v>
      </c>
      <c r="E705" s="14">
        <v>751</v>
      </c>
      <c r="F705" s="77"/>
      <c r="G705" s="76">
        <v>112567</v>
      </c>
      <c r="H705" s="70" t="s">
        <v>1100</v>
      </c>
      <c r="I705" s="7">
        <f t="shared" ca="1" si="5"/>
        <v>0</v>
      </c>
      <c r="J705" s="80">
        <v>45588</v>
      </c>
      <c r="K705" s="7"/>
    </row>
    <row r="706" spans="1:11" ht="14.25" customHeight="1">
      <c r="A706" s="14" t="s">
        <v>126</v>
      </c>
      <c r="B706" s="78"/>
      <c r="C706" s="78"/>
      <c r="D706" s="77">
        <v>45539</v>
      </c>
      <c r="E706" s="14">
        <v>752</v>
      </c>
      <c r="F706" s="77">
        <v>45539</v>
      </c>
      <c r="G706" s="76">
        <v>195101</v>
      </c>
      <c r="H706" s="70" t="s">
        <v>1100</v>
      </c>
      <c r="I706" s="7">
        <f t="shared" ca="1" si="5"/>
        <v>0</v>
      </c>
      <c r="J706" s="80">
        <v>45575</v>
      </c>
      <c r="K706" s="7"/>
    </row>
    <row r="707" spans="1:11" ht="14.25" customHeight="1">
      <c r="A707" s="14" t="s">
        <v>1285</v>
      </c>
      <c r="B707" s="78"/>
      <c r="C707" s="78"/>
      <c r="D707" s="77">
        <v>45539</v>
      </c>
      <c r="E707" s="14">
        <v>753</v>
      </c>
      <c r="F707" s="77"/>
      <c r="G707" s="76">
        <v>122033</v>
      </c>
      <c r="H707" s="70" t="s">
        <v>1100</v>
      </c>
      <c r="I707" s="7">
        <f t="shared" ca="1" si="5"/>
        <v>0</v>
      </c>
      <c r="J707" s="80">
        <v>45575</v>
      </c>
      <c r="K707" s="7"/>
    </row>
    <row r="708" spans="1:11" ht="14.25" customHeight="1">
      <c r="A708" s="14" t="s">
        <v>1227</v>
      </c>
      <c r="B708" s="78"/>
      <c r="C708" s="78"/>
      <c r="D708" s="77">
        <v>45539</v>
      </c>
      <c r="E708" s="14">
        <v>754</v>
      </c>
      <c r="F708" s="77"/>
      <c r="G708" s="76">
        <v>113359</v>
      </c>
      <c r="H708" s="70" t="s">
        <v>1044</v>
      </c>
      <c r="I708" s="7">
        <f t="shared" ca="1" si="5"/>
        <v>0</v>
      </c>
      <c r="J708" s="80">
        <v>45575</v>
      </c>
      <c r="K708" s="7"/>
    </row>
    <row r="709" spans="1:11" ht="14.25" customHeight="1">
      <c r="A709" s="14" t="s">
        <v>883</v>
      </c>
      <c r="B709" s="78"/>
      <c r="C709" s="78"/>
      <c r="D709" s="77">
        <v>45539</v>
      </c>
      <c r="E709" s="14">
        <v>755</v>
      </c>
      <c r="F709" s="77"/>
      <c r="G709" s="76">
        <v>126986</v>
      </c>
      <c r="H709" s="70" t="s">
        <v>1100</v>
      </c>
      <c r="I709" s="7">
        <f t="shared" ca="1" si="5"/>
        <v>0</v>
      </c>
      <c r="J709" s="86">
        <v>45573</v>
      </c>
      <c r="K709" s="7"/>
    </row>
    <row r="710" spans="1:11" ht="14.25" customHeight="1">
      <c r="A710" s="14" t="s">
        <v>1159</v>
      </c>
      <c r="B710" s="78"/>
      <c r="C710" s="78"/>
      <c r="D710" s="77">
        <v>45545</v>
      </c>
      <c r="E710" s="14">
        <v>757</v>
      </c>
      <c r="F710" s="77"/>
      <c r="G710" s="76">
        <v>63824</v>
      </c>
      <c r="H710" s="70" t="s">
        <v>1100</v>
      </c>
      <c r="I710" s="7">
        <f t="shared" ca="1" si="5"/>
        <v>0</v>
      </c>
      <c r="J710" s="7"/>
      <c r="K710" s="7"/>
    </row>
    <row r="711" spans="1:11" ht="14.25" customHeight="1">
      <c r="A711" s="14" t="s">
        <v>1272</v>
      </c>
      <c r="B711" s="78"/>
      <c r="C711" s="78"/>
      <c r="D711" s="77">
        <v>45545</v>
      </c>
      <c r="E711" s="14">
        <v>758</v>
      </c>
      <c r="F711" s="77"/>
      <c r="G711" s="76">
        <v>143573</v>
      </c>
      <c r="H711" s="70" t="s">
        <v>1100</v>
      </c>
      <c r="I711" s="7">
        <f t="shared" ca="1" si="5"/>
        <v>0</v>
      </c>
      <c r="J711" s="80">
        <v>45608</v>
      </c>
      <c r="K711" s="7"/>
    </row>
    <row r="712" spans="1:11" ht="14.25" customHeight="1">
      <c r="A712" s="14" t="s">
        <v>1147</v>
      </c>
      <c r="B712" s="78"/>
      <c r="C712" s="78"/>
      <c r="D712" s="77">
        <v>45545</v>
      </c>
      <c r="E712" s="14">
        <v>759</v>
      </c>
      <c r="F712" s="77"/>
      <c r="G712" s="76">
        <v>156199</v>
      </c>
      <c r="H712" s="70" t="s">
        <v>1100</v>
      </c>
      <c r="I712" s="7">
        <f t="shared" ca="1" si="5"/>
        <v>0</v>
      </c>
      <c r="J712" s="86">
        <v>45553</v>
      </c>
      <c r="K712" s="7"/>
    </row>
    <row r="713" spans="1:11" ht="14.25" customHeight="1">
      <c r="A713" s="14" t="s">
        <v>1225</v>
      </c>
      <c r="B713" s="78"/>
      <c r="C713" s="78"/>
      <c r="D713" s="77">
        <v>45545</v>
      </c>
      <c r="E713" s="14">
        <v>760</v>
      </c>
      <c r="F713" s="77"/>
      <c r="G713" s="76">
        <v>170728</v>
      </c>
      <c r="H713" s="70" t="s">
        <v>1044</v>
      </c>
      <c r="I713" s="7">
        <f t="shared" ca="1" si="5"/>
        <v>0</v>
      </c>
      <c r="J713" s="7"/>
      <c r="K713" s="7"/>
    </row>
    <row r="714" spans="1:11" ht="14.25" customHeight="1">
      <c r="A714" s="14" t="s">
        <v>1242</v>
      </c>
      <c r="B714" s="78"/>
      <c r="C714" s="78"/>
      <c r="D714" s="77">
        <v>45545</v>
      </c>
      <c r="E714" s="14">
        <v>761</v>
      </c>
      <c r="F714" s="77"/>
      <c r="G714" s="76">
        <v>115247</v>
      </c>
      <c r="H714" s="70" t="s">
        <v>1100</v>
      </c>
      <c r="I714" s="7">
        <f t="shared" ca="1" si="5"/>
        <v>0</v>
      </c>
      <c r="J714" s="80">
        <v>45610</v>
      </c>
      <c r="K714" s="7"/>
    </row>
    <row r="715" spans="1:11" ht="14.25" customHeight="1">
      <c r="A715" s="14" t="s">
        <v>126</v>
      </c>
      <c r="B715" s="78"/>
      <c r="C715" s="78"/>
      <c r="D715" s="77">
        <v>45545</v>
      </c>
      <c r="E715" s="14">
        <v>762</v>
      </c>
      <c r="F715" s="77"/>
      <c r="G715" s="76">
        <v>119681</v>
      </c>
      <c r="H715" s="70" t="s">
        <v>1177</v>
      </c>
      <c r="I715" s="7">
        <f t="shared" ca="1" si="5"/>
        <v>0</v>
      </c>
      <c r="J715" s="7"/>
      <c r="K715" s="7" t="s">
        <v>1304</v>
      </c>
    </row>
    <row r="716" spans="1:11" ht="14.25" customHeight="1">
      <c r="A716" s="14" t="s">
        <v>1305</v>
      </c>
      <c r="B716" s="78"/>
      <c r="C716" s="78"/>
      <c r="D716" s="77">
        <v>45545</v>
      </c>
      <c r="E716" s="14">
        <v>763</v>
      </c>
      <c r="F716" s="77"/>
      <c r="G716" s="76">
        <v>114388</v>
      </c>
      <c r="H716" s="70" t="s">
        <v>1100</v>
      </c>
      <c r="I716" s="7">
        <f t="shared" ca="1" si="5"/>
        <v>0</v>
      </c>
      <c r="J716" s="86">
        <v>45574</v>
      </c>
      <c r="K716" s="7"/>
    </row>
    <row r="717" spans="1:11" ht="14.25" customHeight="1">
      <c r="A717" s="14" t="s">
        <v>565</v>
      </c>
      <c r="B717" s="78"/>
      <c r="C717" s="78"/>
      <c r="D717" s="92">
        <v>45546</v>
      </c>
      <c r="E717" s="14">
        <v>764</v>
      </c>
      <c r="F717" s="77"/>
      <c r="G717" s="76">
        <v>143573</v>
      </c>
      <c r="H717" s="70" t="s">
        <v>1100</v>
      </c>
      <c r="I717" s="7">
        <f t="shared" ca="1" si="5"/>
        <v>0</v>
      </c>
      <c r="J717" s="94">
        <v>45580</v>
      </c>
      <c r="K717" s="7"/>
    </row>
    <row r="718" spans="1:11" ht="14.25" customHeight="1">
      <c r="A718" s="14" t="s">
        <v>1142</v>
      </c>
      <c r="B718" s="78"/>
      <c r="C718" s="78"/>
      <c r="D718" s="92">
        <v>45547</v>
      </c>
      <c r="E718" s="14">
        <v>765</v>
      </c>
      <c r="F718" s="77"/>
      <c r="G718" s="76">
        <v>370829</v>
      </c>
      <c r="H718" s="70" t="s">
        <v>1100</v>
      </c>
      <c r="I718" s="7">
        <f t="shared" ca="1" si="5"/>
        <v>0</v>
      </c>
      <c r="J718" s="86">
        <v>45604</v>
      </c>
      <c r="K718" s="7"/>
    </row>
    <row r="719" spans="1:11" ht="14.25" customHeight="1">
      <c r="A719" s="14" t="s">
        <v>1268</v>
      </c>
      <c r="B719" s="78"/>
      <c r="C719" s="78"/>
      <c r="D719" s="92">
        <v>45552</v>
      </c>
      <c r="E719" s="14">
        <v>766</v>
      </c>
      <c r="F719" s="77"/>
      <c r="G719" s="76">
        <v>116426</v>
      </c>
      <c r="H719" s="70" t="s">
        <v>1100</v>
      </c>
      <c r="I719" s="7">
        <f t="shared" ca="1" si="5"/>
        <v>0</v>
      </c>
      <c r="J719" s="86">
        <v>45601</v>
      </c>
      <c r="K719" s="7"/>
    </row>
    <row r="720" spans="1:11" ht="14.25" customHeight="1">
      <c r="A720" s="14" t="s">
        <v>1306</v>
      </c>
      <c r="B720" s="78"/>
      <c r="C720" s="78"/>
      <c r="D720" s="92">
        <v>45551</v>
      </c>
      <c r="E720" s="14" t="s">
        <v>1307</v>
      </c>
      <c r="F720" s="77"/>
      <c r="G720" s="76">
        <v>1000000</v>
      </c>
      <c r="H720" s="70" t="s">
        <v>1100</v>
      </c>
      <c r="I720" s="7">
        <f t="shared" ca="1" si="5"/>
        <v>0</v>
      </c>
      <c r="J720" s="92">
        <v>45551</v>
      </c>
      <c r="K720" s="7" t="s">
        <v>1308</v>
      </c>
    </row>
    <row r="721" spans="1:11" ht="14.25" customHeight="1">
      <c r="A721" s="15" t="s">
        <v>1296</v>
      </c>
      <c r="B721" s="78"/>
      <c r="C721" s="78"/>
      <c r="D721" s="92">
        <v>45551</v>
      </c>
      <c r="E721" s="14">
        <v>734</v>
      </c>
      <c r="F721" s="77"/>
      <c r="G721" s="76">
        <v>119000</v>
      </c>
      <c r="H721" s="70" t="s">
        <v>1100</v>
      </c>
      <c r="I721" s="7">
        <f t="shared" ca="1" si="5"/>
        <v>0</v>
      </c>
      <c r="J721" s="92">
        <v>45551</v>
      </c>
      <c r="K721" s="7" t="s">
        <v>1309</v>
      </c>
    </row>
    <row r="722" spans="1:11" ht="14.25" customHeight="1">
      <c r="A722" s="14" t="s">
        <v>1292</v>
      </c>
      <c r="B722" s="78"/>
      <c r="C722" s="78"/>
      <c r="D722" s="92">
        <v>45551</v>
      </c>
      <c r="E722" s="14" t="s">
        <v>1293</v>
      </c>
      <c r="F722" s="92"/>
      <c r="G722" s="76">
        <v>178500</v>
      </c>
      <c r="H722" s="70" t="s">
        <v>1100</v>
      </c>
      <c r="I722" s="7">
        <f t="shared" ca="1" si="5"/>
        <v>0</v>
      </c>
      <c r="J722" s="92">
        <v>45551</v>
      </c>
      <c r="K722" s="7" t="s">
        <v>1309</v>
      </c>
    </row>
    <row r="723" spans="1:11" ht="14.25" customHeight="1">
      <c r="A723" s="14" t="s">
        <v>1292</v>
      </c>
      <c r="B723" s="78"/>
      <c r="C723" s="78"/>
      <c r="D723" s="92">
        <v>45551</v>
      </c>
      <c r="E723" s="14" t="s">
        <v>1221</v>
      </c>
      <c r="F723" s="77"/>
      <c r="G723" s="76">
        <v>80000</v>
      </c>
      <c r="H723" s="70" t="s">
        <v>1100</v>
      </c>
      <c r="I723" s="7">
        <f t="shared" ca="1" si="5"/>
        <v>0</v>
      </c>
      <c r="J723" s="92">
        <v>45551</v>
      </c>
      <c r="K723" s="7" t="s">
        <v>1310</v>
      </c>
    </row>
    <row r="724" spans="1:11" ht="14.25" customHeight="1">
      <c r="A724" s="14" t="s">
        <v>1276</v>
      </c>
      <c r="B724" s="78"/>
      <c r="C724" s="78"/>
      <c r="D724" s="92">
        <v>45551</v>
      </c>
      <c r="E724" s="14" t="s">
        <v>1221</v>
      </c>
      <c r="F724" s="77"/>
      <c r="G724" s="76">
        <v>120000</v>
      </c>
      <c r="H724" s="70" t="s">
        <v>1100</v>
      </c>
      <c r="I724" s="7">
        <f t="shared" ca="1" si="5"/>
        <v>0</v>
      </c>
      <c r="J724" s="92">
        <v>45551</v>
      </c>
      <c r="K724" s="7" t="s">
        <v>1309</v>
      </c>
    </row>
    <row r="725" spans="1:11" ht="14.25" customHeight="1">
      <c r="A725" s="14" t="s">
        <v>126</v>
      </c>
      <c r="B725" s="78"/>
      <c r="C725" s="78"/>
      <c r="D725" s="92">
        <v>45558</v>
      </c>
      <c r="E725" s="14">
        <v>767</v>
      </c>
      <c r="F725" s="92">
        <v>45530</v>
      </c>
      <c r="G725" s="76">
        <v>325455</v>
      </c>
      <c r="H725" s="70" t="s">
        <v>1100</v>
      </c>
      <c r="I725" s="7">
        <f t="shared" ca="1" si="5"/>
        <v>0</v>
      </c>
      <c r="J725" s="86">
        <v>45558</v>
      </c>
      <c r="K725" s="7" t="s">
        <v>1311</v>
      </c>
    </row>
    <row r="726" spans="1:11" ht="14.25" customHeight="1">
      <c r="A726" s="14" t="s">
        <v>126</v>
      </c>
      <c r="B726" s="78"/>
      <c r="C726" s="78"/>
      <c r="D726" s="92">
        <v>45558</v>
      </c>
      <c r="E726" s="14">
        <v>768</v>
      </c>
      <c r="F726" s="77"/>
      <c r="G726" s="76">
        <v>177730</v>
      </c>
      <c r="H726" s="70" t="s">
        <v>1100</v>
      </c>
      <c r="I726" s="7">
        <f t="shared" ca="1" si="5"/>
        <v>0</v>
      </c>
      <c r="J726" s="94">
        <v>45587</v>
      </c>
      <c r="K726" s="7"/>
    </row>
    <row r="727" spans="1:11" ht="14.25" customHeight="1">
      <c r="A727" s="14" t="s">
        <v>1159</v>
      </c>
      <c r="B727" s="78"/>
      <c r="C727" s="78"/>
      <c r="D727" s="92">
        <v>45558</v>
      </c>
      <c r="E727" s="14">
        <v>769</v>
      </c>
      <c r="F727" s="77"/>
      <c r="G727" s="76">
        <v>56849</v>
      </c>
      <c r="H727" s="70" t="s">
        <v>1100</v>
      </c>
      <c r="I727" s="7">
        <f t="shared" ca="1" si="5"/>
        <v>0</v>
      </c>
      <c r="J727" s="7"/>
      <c r="K727" s="7"/>
    </row>
    <row r="728" spans="1:11" ht="14.25" customHeight="1">
      <c r="A728" s="14" t="s">
        <v>675</v>
      </c>
      <c r="B728" s="78"/>
      <c r="C728" s="78"/>
      <c r="D728" s="92">
        <v>45558</v>
      </c>
      <c r="E728" s="14">
        <v>770</v>
      </c>
      <c r="F728" s="77">
        <v>45552</v>
      </c>
      <c r="G728" s="76">
        <v>184656</v>
      </c>
      <c r="H728" s="70" t="s">
        <v>1100</v>
      </c>
      <c r="I728" s="7">
        <f t="shared" ca="1" si="5"/>
        <v>0</v>
      </c>
      <c r="J728" s="94">
        <v>45625</v>
      </c>
      <c r="K728" s="7"/>
    </row>
    <row r="729" spans="1:11" ht="14.25" customHeight="1">
      <c r="A729" s="14" t="s">
        <v>1312</v>
      </c>
      <c r="B729" s="78"/>
      <c r="C729" s="78"/>
      <c r="D729" s="92">
        <v>45549</v>
      </c>
      <c r="E729" s="14" t="s">
        <v>1293</v>
      </c>
      <c r="F729" s="77"/>
      <c r="G729" s="76">
        <v>147000</v>
      </c>
      <c r="H729" s="70" t="s">
        <v>1100</v>
      </c>
      <c r="I729" s="7">
        <f t="shared" ca="1" si="5"/>
        <v>0</v>
      </c>
      <c r="J729" s="80"/>
      <c r="K729" s="7" t="s">
        <v>1313</v>
      </c>
    </row>
    <row r="730" spans="1:11" ht="14.25" customHeight="1">
      <c r="A730" s="14" t="s">
        <v>1056</v>
      </c>
      <c r="B730" s="78"/>
      <c r="C730" s="78"/>
      <c r="D730" s="92">
        <v>45559</v>
      </c>
      <c r="E730" s="14" t="s">
        <v>1314</v>
      </c>
      <c r="F730" s="92">
        <v>45559</v>
      </c>
      <c r="G730" s="76">
        <v>100000</v>
      </c>
      <c r="H730" s="70" t="s">
        <v>1100</v>
      </c>
      <c r="I730" s="7">
        <f t="shared" ca="1" si="5"/>
        <v>0</v>
      </c>
      <c r="J730" s="94">
        <v>45611</v>
      </c>
      <c r="K730" s="7"/>
    </row>
    <row r="731" spans="1:11" ht="14.25" customHeight="1">
      <c r="A731" s="14" t="s">
        <v>1288</v>
      </c>
      <c r="B731" s="78"/>
      <c r="C731" s="78"/>
      <c r="D731" s="92">
        <v>45566</v>
      </c>
      <c r="E731" s="14">
        <v>771</v>
      </c>
      <c r="F731" s="77"/>
      <c r="G731" s="76">
        <v>122194</v>
      </c>
      <c r="H731" s="70" t="s">
        <v>1100</v>
      </c>
      <c r="I731" s="7">
        <f t="shared" ca="1" si="5"/>
        <v>0</v>
      </c>
      <c r="J731" s="80">
        <v>45608</v>
      </c>
      <c r="K731" s="7"/>
    </row>
    <row r="732" spans="1:11" ht="14.25" customHeight="1">
      <c r="A732" s="14" t="s">
        <v>1105</v>
      </c>
      <c r="B732" s="78"/>
      <c r="C732" s="78"/>
      <c r="D732" s="92">
        <v>45566</v>
      </c>
      <c r="E732" s="14">
        <v>772</v>
      </c>
      <c r="F732" s="77"/>
      <c r="G732" s="76">
        <v>145764</v>
      </c>
      <c r="H732" s="70" t="s">
        <v>1100</v>
      </c>
      <c r="I732" s="7">
        <f t="shared" ca="1" si="5"/>
        <v>0</v>
      </c>
      <c r="J732" s="80">
        <v>45608</v>
      </c>
      <c r="K732" s="7"/>
    </row>
    <row r="733" spans="1:11" ht="14.25" customHeight="1">
      <c r="A733" s="14" t="s">
        <v>646</v>
      </c>
      <c r="B733" s="78"/>
      <c r="C733" s="78"/>
      <c r="D733" s="92">
        <v>45566</v>
      </c>
      <c r="E733" s="14">
        <v>773</v>
      </c>
      <c r="F733" s="77"/>
      <c r="G733" s="76">
        <v>116418</v>
      </c>
      <c r="H733" s="70" t="s">
        <v>1100</v>
      </c>
      <c r="I733" s="7">
        <f t="shared" ca="1" si="5"/>
        <v>0</v>
      </c>
      <c r="J733" s="80">
        <v>45577</v>
      </c>
      <c r="K733" s="7"/>
    </row>
    <row r="734" spans="1:11" ht="14.25" customHeight="1">
      <c r="A734" s="14" t="s">
        <v>126</v>
      </c>
      <c r="B734" s="78"/>
      <c r="C734" s="78"/>
      <c r="D734" s="92">
        <v>45566</v>
      </c>
      <c r="E734" s="14">
        <v>774</v>
      </c>
      <c r="F734" s="77"/>
      <c r="G734" s="76">
        <v>108349</v>
      </c>
      <c r="H734" s="70" t="s">
        <v>1100</v>
      </c>
      <c r="I734" s="7">
        <f t="shared" ca="1" si="5"/>
        <v>0</v>
      </c>
      <c r="J734" s="80">
        <v>45593</v>
      </c>
      <c r="K734" s="7"/>
    </row>
    <row r="735" spans="1:11" ht="14.25" customHeight="1">
      <c r="A735" s="14" t="s">
        <v>126</v>
      </c>
      <c r="B735" s="78"/>
      <c r="C735" s="78"/>
      <c r="D735" s="92">
        <v>45566</v>
      </c>
      <c r="E735" s="14">
        <v>775</v>
      </c>
      <c r="F735" s="77">
        <v>45560</v>
      </c>
      <c r="G735" s="76">
        <v>164232</v>
      </c>
      <c r="H735" s="70" t="s">
        <v>1100</v>
      </c>
      <c r="I735" s="7">
        <f t="shared" ca="1" si="5"/>
        <v>0</v>
      </c>
      <c r="J735" s="80">
        <v>45593</v>
      </c>
      <c r="K735" s="7"/>
    </row>
    <row r="736" spans="1:11" ht="14.25" customHeight="1">
      <c r="A736" s="57" t="s">
        <v>1068</v>
      </c>
      <c r="B736" s="78"/>
      <c r="C736" s="78"/>
      <c r="D736" s="92">
        <v>45566</v>
      </c>
      <c r="E736" s="14">
        <v>776</v>
      </c>
      <c r="F736" s="77"/>
      <c r="G736" s="76">
        <v>935464</v>
      </c>
      <c r="H736" s="70" t="s">
        <v>1100</v>
      </c>
      <c r="I736" s="7">
        <f t="shared" ca="1" si="5"/>
        <v>0</v>
      </c>
      <c r="J736" s="87">
        <v>45602</v>
      </c>
      <c r="K736" s="7"/>
    </row>
    <row r="737" spans="1:11" ht="14.25" customHeight="1">
      <c r="A737" s="14" t="s">
        <v>143</v>
      </c>
      <c r="B737" s="78"/>
      <c r="C737" s="78"/>
      <c r="D737" s="92">
        <v>45572</v>
      </c>
      <c r="E737" s="14">
        <v>777</v>
      </c>
      <c r="F737" s="77"/>
      <c r="G737" s="76">
        <v>89584</v>
      </c>
      <c r="H737" s="70" t="s">
        <v>1100</v>
      </c>
      <c r="I737" s="7">
        <f t="shared" ca="1" si="5"/>
        <v>0</v>
      </c>
      <c r="J737" s="87">
        <v>45627</v>
      </c>
      <c r="K737" s="7"/>
    </row>
    <row r="738" spans="1:11" ht="14.25" customHeight="1">
      <c r="A738" s="95" t="s">
        <v>1315</v>
      </c>
      <c r="B738" s="78"/>
      <c r="C738" s="78"/>
      <c r="D738" s="92">
        <v>45572</v>
      </c>
      <c r="E738" s="14">
        <v>779</v>
      </c>
      <c r="F738" s="77"/>
      <c r="G738" s="76">
        <v>171057</v>
      </c>
      <c r="H738" s="70" t="s">
        <v>1100</v>
      </c>
      <c r="I738" s="7">
        <f t="shared" ca="1" si="5"/>
        <v>0</v>
      </c>
      <c r="J738" s="80">
        <v>45608</v>
      </c>
      <c r="K738" s="7"/>
    </row>
    <row r="739" spans="1:11" ht="14.25" customHeight="1">
      <c r="A739" s="14" t="s">
        <v>470</v>
      </c>
      <c r="B739" s="78"/>
      <c r="C739" s="78"/>
      <c r="D739" s="92">
        <v>45572</v>
      </c>
      <c r="E739" s="14">
        <v>780</v>
      </c>
      <c r="F739" s="77"/>
      <c r="G739" s="76">
        <v>177774</v>
      </c>
      <c r="H739" s="70" t="s">
        <v>1267</v>
      </c>
      <c r="I739" s="7">
        <f t="shared" ca="1" si="5"/>
        <v>227</v>
      </c>
      <c r="J739" s="7"/>
      <c r="K739" s="7" t="s">
        <v>1316</v>
      </c>
    </row>
    <row r="740" spans="1:11" ht="14.25" customHeight="1">
      <c r="A740" s="14" t="s">
        <v>126</v>
      </c>
      <c r="B740" s="78"/>
      <c r="C740" s="78"/>
      <c r="D740" s="92">
        <v>45573</v>
      </c>
      <c r="E740" s="14">
        <v>782</v>
      </c>
      <c r="F740" s="77"/>
      <c r="G740" s="76">
        <v>239364</v>
      </c>
      <c r="H740" s="70" t="s">
        <v>1100</v>
      </c>
      <c r="I740" s="7">
        <f t="shared" ca="1" si="5"/>
        <v>0</v>
      </c>
      <c r="J740" s="87">
        <v>45601</v>
      </c>
      <c r="K740" s="7"/>
    </row>
    <row r="741" spans="1:11" ht="14.25" customHeight="1">
      <c r="A741" s="14" t="s">
        <v>1317</v>
      </c>
      <c r="B741" s="78"/>
      <c r="C741" s="78"/>
      <c r="D741" s="92">
        <v>45573</v>
      </c>
      <c r="E741" s="14">
        <v>783</v>
      </c>
      <c r="F741" s="77"/>
      <c r="G741" s="76">
        <v>119466</v>
      </c>
      <c r="H741" s="70" t="s">
        <v>1100</v>
      </c>
      <c r="I741" s="7">
        <f t="shared" ca="1" si="5"/>
        <v>0</v>
      </c>
      <c r="J741" s="87">
        <v>45601</v>
      </c>
      <c r="K741" s="7"/>
    </row>
    <row r="742" spans="1:11" ht="14.25" customHeight="1">
      <c r="A742" s="14" t="s">
        <v>226</v>
      </c>
      <c r="B742" s="78"/>
      <c r="C742" s="78"/>
      <c r="D742" s="92">
        <v>45573</v>
      </c>
      <c r="E742" s="14">
        <v>784</v>
      </c>
      <c r="F742" s="77"/>
      <c r="G742" s="76">
        <v>152014</v>
      </c>
      <c r="H742" s="70" t="s">
        <v>1100</v>
      </c>
      <c r="I742" s="7">
        <f t="shared" ca="1" si="5"/>
        <v>0</v>
      </c>
      <c r="J742" s="7"/>
      <c r="K742" s="7"/>
    </row>
    <row r="743" spans="1:11" ht="14.25" customHeight="1">
      <c r="A743" s="14" t="s">
        <v>883</v>
      </c>
      <c r="B743" s="78"/>
      <c r="C743" s="78"/>
      <c r="D743" s="92">
        <v>45574</v>
      </c>
      <c r="E743" s="14">
        <v>785</v>
      </c>
      <c r="F743" s="77"/>
      <c r="G743" s="76">
        <v>157468</v>
      </c>
      <c r="H743" s="70" t="s">
        <v>1100</v>
      </c>
      <c r="I743" s="7">
        <f t="shared" ca="1" si="5"/>
        <v>0</v>
      </c>
      <c r="J743" s="80">
        <v>45609</v>
      </c>
      <c r="K743" s="7"/>
    </row>
    <row r="744" spans="1:11" ht="14.25" customHeight="1">
      <c r="A744" s="14" t="s">
        <v>1318</v>
      </c>
      <c r="B744" s="78"/>
      <c r="C744" s="78"/>
      <c r="D744" s="92">
        <v>45572</v>
      </c>
      <c r="E744" s="14" t="s">
        <v>1293</v>
      </c>
      <c r="F744" s="77"/>
      <c r="G744" s="76">
        <v>3883403</v>
      </c>
      <c r="H744" s="70" t="s">
        <v>1100</v>
      </c>
      <c r="I744" s="7">
        <f t="shared" ca="1" si="5"/>
        <v>0</v>
      </c>
      <c r="J744" s="80" t="s">
        <v>1387</v>
      </c>
      <c r="K744" s="7"/>
    </row>
    <row r="745" spans="1:11" ht="14.25" customHeight="1">
      <c r="A745" s="14" t="s">
        <v>1208</v>
      </c>
      <c r="B745" s="78"/>
      <c r="C745" s="78"/>
      <c r="D745" s="92">
        <v>45579</v>
      </c>
      <c r="E745" s="14">
        <v>786</v>
      </c>
      <c r="F745" s="77"/>
      <c r="G745" s="76">
        <v>115127</v>
      </c>
      <c r="H745" s="70" t="s">
        <v>1100</v>
      </c>
      <c r="I745" s="7">
        <f t="shared" ca="1" si="5"/>
        <v>0</v>
      </c>
      <c r="J745" s="80">
        <v>45622</v>
      </c>
      <c r="K745" s="7"/>
    </row>
    <row r="746" spans="1:11" ht="14.25" customHeight="1">
      <c r="A746" s="14" t="s">
        <v>1319</v>
      </c>
      <c r="B746" s="78"/>
      <c r="C746" s="78"/>
      <c r="D746" s="92">
        <v>45576</v>
      </c>
      <c r="E746" s="14" t="s">
        <v>1320</v>
      </c>
      <c r="F746" s="77"/>
      <c r="G746" s="76">
        <v>170000</v>
      </c>
      <c r="H746" s="70" t="s">
        <v>1100</v>
      </c>
      <c r="I746" s="7">
        <f t="shared" ca="1" si="5"/>
        <v>0</v>
      </c>
      <c r="J746" s="7"/>
      <c r="K746" s="7" t="s">
        <v>1321</v>
      </c>
    </row>
    <row r="747" spans="1:11" ht="14.25" customHeight="1">
      <c r="A747" s="14" t="s">
        <v>1235</v>
      </c>
      <c r="B747" s="78"/>
      <c r="C747" s="78"/>
      <c r="D747" s="92">
        <v>45579</v>
      </c>
      <c r="E747" s="14">
        <v>787</v>
      </c>
      <c r="F747" s="77"/>
      <c r="G747" s="76">
        <v>117437</v>
      </c>
      <c r="H747" s="70" t="s">
        <v>1100</v>
      </c>
      <c r="I747" s="7">
        <f t="shared" ca="1" si="5"/>
        <v>0</v>
      </c>
      <c r="J747" s="80">
        <v>45607</v>
      </c>
      <c r="K747" s="7"/>
    </row>
    <row r="748" spans="1:11" ht="14.25" customHeight="1">
      <c r="A748" s="14" t="s">
        <v>143</v>
      </c>
      <c r="B748" s="78"/>
      <c r="C748" s="78"/>
      <c r="D748" s="92">
        <v>45580</v>
      </c>
      <c r="E748" s="14">
        <v>788</v>
      </c>
      <c r="F748" s="77"/>
      <c r="G748" s="76">
        <v>93643</v>
      </c>
      <c r="H748" s="70" t="s">
        <v>1100</v>
      </c>
      <c r="I748" s="7">
        <f t="shared" ca="1" si="5"/>
        <v>0</v>
      </c>
      <c r="J748" s="94">
        <v>45632</v>
      </c>
      <c r="K748" s="7"/>
    </row>
    <row r="749" spans="1:11" ht="14.25" customHeight="1">
      <c r="A749" s="14" t="s">
        <v>1068</v>
      </c>
      <c r="B749" s="78"/>
      <c r="C749" s="78"/>
      <c r="D749" s="92">
        <v>45580</v>
      </c>
      <c r="E749" s="14">
        <v>789</v>
      </c>
      <c r="F749" s="77"/>
      <c r="G749" s="76">
        <v>282865</v>
      </c>
      <c r="H749" s="70" t="s">
        <v>1100</v>
      </c>
      <c r="I749" s="7">
        <f t="shared" ca="1" si="5"/>
        <v>0</v>
      </c>
      <c r="J749" s="94">
        <v>45615</v>
      </c>
      <c r="K749" s="7"/>
    </row>
    <row r="750" spans="1:11" ht="14.25" customHeight="1">
      <c r="A750" s="14" t="s">
        <v>1306</v>
      </c>
      <c r="B750" s="78"/>
      <c r="C750" s="78"/>
      <c r="D750" s="92">
        <v>45581</v>
      </c>
      <c r="E750" s="14" t="s">
        <v>1307</v>
      </c>
      <c r="F750" s="77"/>
      <c r="G750" s="76">
        <v>886400</v>
      </c>
      <c r="H750" s="70" t="s">
        <v>1100</v>
      </c>
      <c r="I750" s="7">
        <f t="shared" ca="1" si="5"/>
        <v>0</v>
      </c>
      <c r="J750" s="7"/>
      <c r="K750" s="7"/>
    </row>
    <row r="751" spans="1:11" ht="14.25" customHeight="1">
      <c r="A751" s="14" t="s">
        <v>1322</v>
      </c>
      <c r="B751" s="78"/>
      <c r="C751" s="78"/>
      <c r="D751" s="92"/>
      <c r="E751" s="14" t="s">
        <v>1307</v>
      </c>
      <c r="F751" s="77"/>
      <c r="G751" s="76">
        <v>340000</v>
      </c>
      <c r="H751" s="70" t="s">
        <v>1100</v>
      </c>
      <c r="I751" s="7">
        <f t="shared" ca="1" si="5"/>
        <v>0</v>
      </c>
      <c r="J751" s="80">
        <v>45585</v>
      </c>
      <c r="K751" s="7"/>
    </row>
    <row r="752" spans="1:11" ht="14.25" customHeight="1">
      <c r="A752" s="14" t="s">
        <v>1305</v>
      </c>
      <c r="B752" s="78"/>
      <c r="C752" s="78"/>
      <c r="D752" s="92">
        <v>45582</v>
      </c>
      <c r="E752" s="14">
        <v>790</v>
      </c>
      <c r="F752" s="77"/>
      <c r="G752" s="76">
        <v>60186</v>
      </c>
      <c r="H752" s="70" t="s">
        <v>1100</v>
      </c>
      <c r="I752" s="7">
        <f t="shared" ca="1" si="5"/>
        <v>0</v>
      </c>
      <c r="J752" s="80">
        <v>45585</v>
      </c>
      <c r="K752" s="7"/>
    </row>
    <row r="753" spans="1:11" ht="14.25" customHeight="1">
      <c r="A753" s="14" t="s">
        <v>1271</v>
      </c>
      <c r="B753" s="78"/>
      <c r="C753" s="78"/>
      <c r="D753" s="92">
        <v>45582</v>
      </c>
      <c r="E753" s="14">
        <v>791</v>
      </c>
      <c r="F753" s="77"/>
      <c r="G753" s="76">
        <v>61731</v>
      </c>
      <c r="H753" s="70" t="s">
        <v>1177</v>
      </c>
      <c r="I753" s="7">
        <f t="shared" ca="1" si="5"/>
        <v>0</v>
      </c>
      <c r="J753" s="7"/>
      <c r="K753" s="7" t="s">
        <v>1323</v>
      </c>
    </row>
    <row r="754" spans="1:11" ht="14.25" customHeight="1">
      <c r="A754" s="14" t="s">
        <v>1254</v>
      </c>
      <c r="B754" s="78"/>
      <c r="C754" s="78"/>
      <c r="D754" s="92">
        <v>45582</v>
      </c>
      <c r="E754" s="14">
        <v>792</v>
      </c>
      <c r="F754" s="77"/>
      <c r="G754" s="76">
        <v>122068</v>
      </c>
      <c r="H754" s="70" t="s">
        <v>1100</v>
      </c>
      <c r="I754" s="7">
        <f t="shared" ca="1" si="5"/>
        <v>0</v>
      </c>
      <c r="J754" s="94">
        <v>45625</v>
      </c>
      <c r="K754" s="7"/>
    </row>
    <row r="755" spans="1:11" ht="14.25" customHeight="1">
      <c r="A755" s="14" t="s">
        <v>1305</v>
      </c>
      <c r="B755" s="78"/>
      <c r="C755" s="78"/>
      <c r="D755" s="92">
        <v>45583</v>
      </c>
      <c r="E755" s="14">
        <v>793</v>
      </c>
      <c r="F755" s="77"/>
      <c r="G755" s="76">
        <v>60822</v>
      </c>
      <c r="H755" s="70" t="s">
        <v>1100</v>
      </c>
      <c r="I755" s="7">
        <f t="shared" ca="1" si="5"/>
        <v>0</v>
      </c>
      <c r="J755" s="80">
        <v>45585</v>
      </c>
      <c r="K755" s="7"/>
    </row>
    <row r="756" spans="1:11" ht="14.25" customHeight="1">
      <c r="A756" s="14" t="s">
        <v>1324</v>
      </c>
      <c r="B756" s="78"/>
      <c r="C756" s="78"/>
      <c r="D756" s="92">
        <v>45587</v>
      </c>
      <c r="E756" s="14">
        <v>794</v>
      </c>
      <c r="F756" s="77"/>
      <c r="G756" s="76">
        <v>210383</v>
      </c>
      <c r="H756" s="70" t="s">
        <v>1177</v>
      </c>
      <c r="I756" s="7">
        <f t="shared" ca="1" si="5"/>
        <v>0</v>
      </c>
      <c r="J756" s="7"/>
      <c r="K756" s="96" t="s">
        <v>1325</v>
      </c>
    </row>
    <row r="757" spans="1:11" ht="14.25" customHeight="1">
      <c r="A757" s="14" t="s">
        <v>729</v>
      </c>
      <c r="B757" s="78"/>
      <c r="C757" s="78"/>
      <c r="D757" s="92">
        <v>45587</v>
      </c>
      <c r="E757" s="14">
        <v>795</v>
      </c>
      <c r="F757" s="77"/>
      <c r="G757" s="76">
        <v>192478</v>
      </c>
      <c r="H757" s="70" t="s">
        <v>1177</v>
      </c>
      <c r="I757" s="7">
        <f t="shared" ca="1" si="5"/>
        <v>0</v>
      </c>
      <c r="J757" s="7"/>
      <c r="K757" s="7" t="s">
        <v>1326</v>
      </c>
    </row>
    <row r="758" spans="1:11" ht="14.25" customHeight="1">
      <c r="A758" s="14" t="s">
        <v>126</v>
      </c>
      <c r="B758" s="78"/>
      <c r="C758" s="78"/>
      <c r="D758" s="92">
        <v>45587</v>
      </c>
      <c r="E758" s="14">
        <v>796</v>
      </c>
      <c r="F758" s="92">
        <v>45587</v>
      </c>
      <c r="G758" s="76">
        <v>129043</v>
      </c>
      <c r="H758" s="70" t="s">
        <v>1100</v>
      </c>
      <c r="I758" s="7">
        <f t="shared" ca="1" si="5"/>
        <v>0</v>
      </c>
      <c r="J758" s="80">
        <v>45614</v>
      </c>
      <c r="K758" s="7"/>
    </row>
    <row r="759" spans="1:11" ht="14.25" customHeight="1">
      <c r="A759" s="14" t="s">
        <v>907</v>
      </c>
      <c r="B759" s="78"/>
      <c r="C759" s="78"/>
      <c r="D759" s="92">
        <v>45587</v>
      </c>
      <c r="E759" s="14">
        <v>798</v>
      </c>
      <c r="F759" s="92">
        <v>45587</v>
      </c>
      <c r="G759" s="76">
        <v>619686</v>
      </c>
      <c r="H759" s="70" t="s">
        <v>1100</v>
      </c>
      <c r="I759" s="7">
        <f t="shared" ca="1" si="5"/>
        <v>0</v>
      </c>
      <c r="J759" s="94">
        <v>45618</v>
      </c>
      <c r="K759" s="7"/>
    </row>
    <row r="760" spans="1:11" ht="14.25" customHeight="1">
      <c r="A760" s="14" t="s">
        <v>1280</v>
      </c>
      <c r="B760" s="78"/>
      <c r="C760" s="78"/>
      <c r="D760" s="92">
        <v>45589</v>
      </c>
      <c r="E760" s="14">
        <v>799</v>
      </c>
      <c r="F760" s="77"/>
      <c r="G760" s="76">
        <v>130438</v>
      </c>
      <c r="H760" s="70" t="s">
        <v>1100</v>
      </c>
      <c r="I760" s="7">
        <f t="shared" ca="1" si="5"/>
        <v>0</v>
      </c>
      <c r="J760" s="80">
        <v>45623</v>
      </c>
      <c r="K760" s="7"/>
    </row>
    <row r="761" spans="1:11" ht="14.25" customHeight="1">
      <c r="A761" s="14" t="s">
        <v>547</v>
      </c>
      <c r="B761" s="78"/>
      <c r="C761" s="78"/>
      <c r="D761" s="92">
        <v>45594</v>
      </c>
      <c r="E761" s="14">
        <v>800</v>
      </c>
      <c r="F761" s="77"/>
      <c r="G761" s="76">
        <v>112804</v>
      </c>
      <c r="H761" s="70" t="s">
        <v>1100</v>
      </c>
      <c r="I761" s="7">
        <f t="shared" ca="1" si="5"/>
        <v>0</v>
      </c>
      <c r="J761" s="80">
        <v>45623</v>
      </c>
      <c r="K761" s="7"/>
    </row>
    <row r="762" spans="1:11" ht="14.25" customHeight="1">
      <c r="A762" s="14" t="s">
        <v>907</v>
      </c>
      <c r="B762" s="78"/>
      <c r="C762" s="78"/>
      <c r="D762" s="92">
        <v>45594</v>
      </c>
      <c r="E762" s="14">
        <v>801</v>
      </c>
      <c r="F762" s="77"/>
      <c r="G762" s="76">
        <v>330768</v>
      </c>
      <c r="H762" s="70" t="s">
        <v>1100</v>
      </c>
      <c r="I762" s="7">
        <f t="shared" ca="1" si="5"/>
        <v>0</v>
      </c>
      <c r="J762" s="94">
        <v>45639</v>
      </c>
      <c r="K762" s="7"/>
    </row>
    <row r="763" spans="1:11" ht="14.25" customHeight="1">
      <c r="A763" s="14" t="s">
        <v>126</v>
      </c>
      <c r="B763" s="78"/>
      <c r="C763" s="78"/>
      <c r="D763" s="92">
        <v>45594</v>
      </c>
      <c r="E763" s="14">
        <v>802</v>
      </c>
      <c r="F763" s="77"/>
      <c r="G763" s="76">
        <v>140189</v>
      </c>
      <c r="H763" s="70" t="s">
        <v>1100</v>
      </c>
      <c r="I763" s="7">
        <f t="shared" ca="1" si="5"/>
        <v>0</v>
      </c>
      <c r="J763" s="80">
        <v>45622</v>
      </c>
      <c r="K763" s="7"/>
    </row>
    <row r="764" spans="1:11" ht="14.25" customHeight="1">
      <c r="A764" s="14" t="s">
        <v>143</v>
      </c>
      <c r="B764" s="78"/>
      <c r="C764" s="78"/>
      <c r="D764" s="92">
        <v>45594</v>
      </c>
      <c r="E764" s="14">
        <v>803</v>
      </c>
      <c r="F764" s="77"/>
      <c r="G764" s="97">
        <v>119404</v>
      </c>
      <c r="H764" s="70" t="s">
        <v>1100</v>
      </c>
      <c r="I764" s="7">
        <f t="shared" ca="1" si="5"/>
        <v>0</v>
      </c>
      <c r="J764" s="80">
        <v>45647</v>
      </c>
      <c r="K764" s="7"/>
    </row>
    <row r="765" spans="1:11" ht="14.25" customHeight="1">
      <c r="A765" s="14" t="s">
        <v>729</v>
      </c>
      <c r="B765" s="78"/>
      <c r="C765" s="78"/>
      <c r="D765" s="92">
        <v>45600</v>
      </c>
      <c r="E765" s="14">
        <v>804</v>
      </c>
      <c r="F765" s="77"/>
      <c r="G765" s="97">
        <v>244989</v>
      </c>
      <c r="H765" s="70" t="s">
        <v>1100</v>
      </c>
      <c r="I765" s="7">
        <f t="shared" ca="1" si="5"/>
        <v>0</v>
      </c>
      <c r="J765" s="86">
        <v>45712</v>
      </c>
      <c r="K765" s="7"/>
    </row>
    <row r="766" spans="1:11" ht="14.25" customHeight="1">
      <c r="A766" s="14" t="s">
        <v>1120</v>
      </c>
      <c r="B766" s="78"/>
      <c r="C766" s="78"/>
      <c r="D766" s="92">
        <v>45602</v>
      </c>
      <c r="E766" s="14">
        <v>806</v>
      </c>
      <c r="F766" s="77"/>
      <c r="G766" s="97">
        <v>127648</v>
      </c>
      <c r="H766" s="70" t="s">
        <v>1100</v>
      </c>
      <c r="I766" s="7">
        <f t="shared" ca="1" si="5"/>
        <v>0</v>
      </c>
      <c r="J766" s="85">
        <v>45300</v>
      </c>
      <c r="K766" s="7"/>
    </row>
    <row r="767" spans="1:11" ht="14.25" customHeight="1">
      <c r="A767" s="14" t="s">
        <v>1285</v>
      </c>
      <c r="B767" s="78"/>
      <c r="C767" s="78"/>
      <c r="D767" s="92">
        <v>45602</v>
      </c>
      <c r="E767" s="14">
        <v>807</v>
      </c>
      <c r="F767" s="77"/>
      <c r="G767" s="97">
        <v>123589</v>
      </c>
      <c r="H767" s="70" t="s">
        <v>1100</v>
      </c>
      <c r="I767" s="7">
        <f t="shared" ca="1" si="5"/>
        <v>0</v>
      </c>
      <c r="J767" s="94">
        <v>45652</v>
      </c>
      <c r="K767" s="7"/>
    </row>
    <row r="768" spans="1:11" ht="14.25" customHeight="1">
      <c r="A768" s="14" t="s">
        <v>126</v>
      </c>
      <c r="B768" s="78"/>
      <c r="C768" s="78"/>
      <c r="D768" s="92">
        <v>45602</v>
      </c>
      <c r="E768" s="14">
        <v>808</v>
      </c>
      <c r="F768" s="92">
        <v>45602</v>
      </c>
      <c r="G768" s="97">
        <v>238290</v>
      </c>
      <c r="H768" s="70" t="s">
        <v>1100</v>
      </c>
      <c r="I768" s="7">
        <f t="shared" ca="1" si="5"/>
        <v>0</v>
      </c>
      <c r="J768" s="90">
        <v>45629</v>
      </c>
      <c r="K768" s="7"/>
    </row>
    <row r="769" spans="1:11" ht="14.25" customHeight="1">
      <c r="A769" s="14" t="s">
        <v>126</v>
      </c>
      <c r="B769" s="78"/>
      <c r="C769" s="78"/>
      <c r="D769" s="92">
        <v>45603</v>
      </c>
      <c r="E769" s="14">
        <v>809</v>
      </c>
      <c r="F769" s="92">
        <v>45603</v>
      </c>
      <c r="G769" s="97">
        <v>126253</v>
      </c>
      <c r="H769" s="70" t="s">
        <v>1100</v>
      </c>
      <c r="I769" s="7">
        <f t="shared" ca="1" si="5"/>
        <v>0</v>
      </c>
      <c r="J769" s="94">
        <v>45638</v>
      </c>
      <c r="K769" s="7" t="s">
        <v>1327</v>
      </c>
    </row>
    <row r="770" spans="1:11" ht="14.25" customHeight="1">
      <c r="A770" s="14" t="s">
        <v>1248</v>
      </c>
      <c r="B770" s="78"/>
      <c r="C770" s="78"/>
      <c r="D770" s="92">
        <v>45603</v>
      </c>
      <c r="E770" s="14"/>
      <c r="F770" s="77">
        <v>45536</v>
      </c>
      <c r="G770" s="97">
        <v>126950</v>
      </c>
      <c r="H770" s="70" t="s">
        <v>1100</v>
      </c>
      <c r="I770" s="7">
        <f t="shared" ca="1" si="5"/>
        <v>0</v>
      </c>
      <c r="J770" s="80">
        <v>45643</v>
      </c>
      <c r="K770" s="7" t="s">
        <v>1328</v>
      </c>
    </row>
    <row r="771" spans="1:11" ht="14.25" customHeight="1">
      <c r="A771" s="14" t="s">
        <v>907</v>
      </c>
      <c r="B771" s="78"/>
      <c r="C771" s="78"/>
      <c r="D771" s="92" t="s">
        <v>1329</v>
      </c>
      <c r="E771" s="14">
        <v>812</v>
      </c>
      <c r="F771" s="77">
        <v>45600</v>
      </c>
      <c r="G771" s="97">
        <v>607131</v>
      </c>
      <c r="H771" s="70" t="s">
        <v>1100</v>
      </c>
      <c r="I771" s="7">
        <f t="shared" ca="1" si="5"/>
        <v>0</v>
      </c>
      <c r="J771" s="94">
        <v>45639</v>
      </c>
      <c r="K771" s="7"/>
    </row>
    <row r="772" spans="1:11" ht="14.25" customHeight="1">
      <c r="A772" s="14" t="s">
        <v>226</v>
      </c>
      <c r="B772" s="78"/>
      <c r="C772" s="78"/>
      <c r="D772" s="92">
        <v>45608</v>
      </c>
      <c r="E772" s="14">
        <v>813</v>
      </c>
      <c r="F772" s="77">
        <v>45607</v>
      </c>
      <c r="G772" s="97">
        <v>147954</v>
      </c>
      <c r="H772" s="70" t="s">
        <v>1100</v>
      </c>
      <c r="I772" s="7">
        <f t="shared" ca="1" si="5"/>
        <v>0</v>
      </c>
      <c r="J772" s="87">
        <v>45685</v>
      </c>
      <c r="K772" s="7"/>
    </row>
    <row r="773" spans="1:11" ht="14.25" customHeight="1">
      <c r="A773" s="14" t="s">
        <v>1142</v>
      </c>
      <c r="B773" s="78"/>
      <c r="C773" s="78"/>
      <c r="D773" s="92">
        <v>45608</v>
      </c>
      <c r="E773" s="14">
        <v>815</v>
      </c>
      <c r="F773" s="77"/>
      <c r="G773" s="97">
        <v>230688</v>
      </c>
      <c r="H773" s="70" t="s">
        <v>1100</v>
      </c>
      <c r="I773" s="7">
        <f t="shared" ca="1" si="5"/>
        <v>0</v>
      </c>
      <c r="J773" s="94">
        <v>45652</v>
      </c>
      <c r="K773" s="7"/>
    </row>
    <row r="774" spans="1:11" ht="14.25" customHeight="1">
      <c r="A774" s="14" t="s">
        <v>1248</v>
      </c>
      <c r="B774" s="78"/>
      <c r="C774" s="78"/>
      <c r="D774" s="92">
        <v>45608</v>
      </c>
      <c r="E774" s="14">
        <v>816</v>
      </c>
      <c r="F774" s="77"/>
      <c r="G774" s="97">
        <v>103313</v>
      </c>
      <c r="H774" s="70" t="s">
        <v>1100</v>
      </c>
      <c r="I774" s="7">
        <f t="shared" ca="1" si="5"/>
        <v>0</v>
      </c>
      <c r="J774" s="94">
        <v>45652</v>
      </c>
      <c r="K774" s="7"/>
    </row>
    <row r="775" spans="1:11" ht="14.25" customHeight="1">
      <c r="A775" s="14" t="s">
        <v>251</v>
      </c>
      <c r="B775" s="78"/>
      <c r="C775" s="78"/>
      <c r="D775" s="92">
        <v>45609</v>
      </c>
      <c r="E775" s="14">
        <v>817</v>
      </c>
      <c r="F775" s="77"/>
      <c r="G775" s="97">
        <v>169208</v>
      </c>
      <c r="H775" s="70" t="s">
        <v>1100</v>
      </c>
      <c r="I775" s="7">
        <f t="shared" ca="1" si="5"/>
        <v>0</v>
      </c>
      <c r="J775" s="94">
        <v>45691</v>
      </c>
      <c r="K775" s="7"/>
    </row>
    <row r="776" spans="1:11" ht="14.25" customHeight="1">
      <c r="A776" s="14" t="s">
        <v>1317</v>
      </c>
      <c r="B776" s="78"/>
      <c r="C776" s="78"/>
      <c r="D776" s="92">
        <v>45609</v>
      </c>
      <c r="E776" s="14">
        <v>818</v>
      </c>
      <c r="F776" s="77"/>
      <c r="G776" s="97">
        <v>104322</v>
      </c>
      <c r="H776" s="70" t="s">
        <v>1100</v>
      </c>
      <c r="I776" s="7">
        <f t="shared" ca="1" si="5"/>
        <v>0</v>
      </c>
      <c r="J776" s="80">
        <v>45649</v>
      </c>
      <c r="K776" s="7"/>
    </row>
    <row r="777" spans="1:11" ht="14.25" customHeight="1">
      <c r="A777" s="14" t="s">
        <v>1235</v>
      </c>
      <c r="B777" s="78"/>
      <c r="C777" s="78"/>
      <c r="D777" s="92">
        <v>45610</v>
      </c>
      <c r="E777" s="14">
        <v>819</v>
      </c>
      <c r="F777" s="77"/>
      <c r="G777" s="97">
        <v>146559</v>
      </c>
      <c r="H777" s="70" t="s">
        <v>1100</v>
      </c>
      <c r="I777" s="7">
        <f t="shared" ca="1" si="5"/>
        <v>0</v>
      </c>
      <c r="J777" s="94">
        <v>45625</v>
      </c>
      <c r="K777" s="7"/>
    </row>
    <row r="778" spans="1:11" ht="14.25" customHeight="1">
      <c r="A778" s="14" t="s">
        <v>907</v>
      </c>
      <c r="B778" s="78"/>
      <c r="C778" s="78"/>
      <c r="D778" s="92">
        <v>45612</v>
      </c>
      <c r="E778" s="14">
        <v>820</v>
      </c>
      <c r="F778" s="77">
        <v>45611</v>
      </c>
      <c r="G778" s="97">
        <v>330768</v>
      </c>
      <c r="H778" s="70" t="s">
        <v>1100</v>
      </c>
      <c r="I778" s="7">
        <f t="shared" ca="1" si="5"/>
        <v>0</v>
      </c>
      <c r="J778" s="94">
        <v>45647</v>
      </c>
      <c r="K778" s="7"/>
    </row>
    <row r="779" spans="1:11" ht="14.25" customHeight="1">
      <c r="A779" s="14" t="s">
        <v>1056</v>
      </c>
      <c r="B779" s="78"/>
      <c r="C779" s="78"/>
      <c r="D779" s="92">
        <v>45612</v>
      </c>
      <c r="E779" s="14" t="s">
        <v>1221</v>
      </c>
      <c r="F779" s="92">
        <v>45612</v>
      </c>
      <c r="G779" s="97">
        <v>150000</v>
      </c>
      <c r="H779" s="70" t="s">
        <v>1100</v>
      </c>
      <c r="I779" s="7">
        <f t="shared" ca="1" si="5"/>
        <v>0</v>
      </c>
      <c r="J779" s="94">
        <v>45678</v>
      </c>
      <c r="K779" s="7"/>
    </row>
    <row r="780" spans="1:11" ht="14.25" customHeight="1">
      <c r="A780" s="14" t="s">
        <v>126</v>
      </c>
      <c r="B780" s="78"/>
      <c r="C780" s="78"/>
      <c r="D780" s="92">
        <v>45604</v>
      </c>
      <c r="E780" s="14" t="s">
        <v>1221</v>
      </c>
      <c r="F780" s="92">
        <v>45604</v>
      </c>
      <c r="G780" s="97">
        <v>1215650</v>
      </c>
      <c r="H780" s="70" t="s">
        <v>1100</v>
      </c>
      <c r="I780" s="7">
        <f t="shared" ca="1" si="5"/>
        <v>0</v>
      </c>
      <c r="J780" s="94">
        <v>45611</v>
      </c>
      <c r="K780" s="7" t="s">
        <v>1330</v>
      </c>
    </row>
    <row r="781" spans="1:11" ht="14.25" customHeight="1">
      <c r="A781" s="14" t="s">
        <v>1331</v>
      </c>
      <c r="B781" s="78"/>
      <c r="C781" s="78"/>
      <c r="D781" s="92">
        <v>45615</v>
      </c>
      <c r="E781" s="15" t="s">
        <v>1293</v>
      </c>
      <c r="F781" s="77"/>
      <c r="G781" s="97">
        <v>2900000</v>
      </c>
      <c r="H781" s="70" t="s">
        <v>1044</v>
      </c>
      <c r="I781" s="7">
        <f t="shared" ca="1" si="5"/>
        <v>0</v>
      </c>
      <c r="J781" s="7"/>
      <c r="K781" s="7" t="s">
        <v>1332</v>
      </c>
    </row>
    <row r="782" spans="1:11" ht="14.25" customHeight="1">
      <c r="A782" s="14" t="s">
        <v>913</v>
      </c>
      <c r="B782" s="78"/>
      <c r="C782" s="78"/>
      <c r="D782" s="92">
        <v>45615</v>
      </c>
      <c r="E782" s="14">
        <v>821</v>
      </c>
      <c r="F782" s="77"/>
      <c r="G782" s="97">
        <v>107094</v>
      </c>
      <c r="H782" s="70" t="s">
        <v>1100</v>
      </c>
      <c r="I782" s="7">
        <f t="shared" ca="1" si="5"/>
        <v>0</v>
      </c>
      <c r="J782" s="87">
        <v>45684</v>
      </c>
      <c r="K782" s="7"/>
    </row>
    <row r="783" spans="1:11" ht="14.25" customHeight="1">
      <c r="A783" s="14" t="s">
        <v>1268</v>
      </c>
      <c r="B783" s="78"/>
      <c r="C783" s="78"/>
      <c r="D783" s="92">
        <v>45615</v>
      </c>
      <c r="E783" s="14">
        <v>822</v>
      </c>
      <c r="F783" s="77"/>
      <c r="G783" s="97">
        <v>111759</v>
      </c>
      <c r="H783" s="70" t="s">
        <v>1100</v>
      </c>
      <c r="I783" s="7">
        <f t="shared" ca="1" si="5"/>
        <v>0</v>
      </c>
      <c r="J783" s="94">
        <v>45656</v>
      </c>
      <c r="K783" s="7"/>
    </row>
    <row r="784" spans="1:11" ht="14.25" customHeight="1">
      <c r="A784" s="14" t="s">
        <v>1305</v>
      </c>
      <c r="B784" s="78"/>
      <c r="C784" s="78"/>
      <c r="D784" s="92">
        <v>45615</v>
      </c>
      <c r="E784" s="14">
        <v>823</v>
      </c>
      <c r="F784" s="77"/>
      <c r="G784" s="97">
        <v>115345</v>
      </c>
      <c r="H784" s="70" t="s">
        <v>1177</v>
      </c>
      <c r="I784" s="7">
        <f t="shared" ca="1" si="5"/>
        <v>0</v>
      </c>
      <c r="J784" s="7"/>
      <c r="K784" s="7" t="s">
        <v>1333</v>
      </c>
    </row>
    <row r="785" spans="1:11" ht="14.25" customHeight="1">
      <c r="A785" s="14" t="s">
        <v>126</v>
      </c>
      <c r="B785" s="78"/>
      <c r="C785" s="78"/>
      <c r="D785" s="92">
        <v>45615</v>
      </c>
      <c r="E785" s="14">
        <v>824</v>
      </c>
      <c r="F785" s="77"/>
      <c r="G785" s="97">
        <v>320084</v>
      </c>
      <c r="H785" s="70" t="s">
        <v>1100</v>
      </c>
      <c r="I785" s="7">
        <f t="shared" ca="1" si="5"/>
        <v>0</v>
      </c>
      <c r="J785" s="94">
        <v>45642</v>
      </c>
      <c r="K785" s="7"/>
    </row>
    <row r="786" spans="1:11" ht="14.25" customHeight="1">
      <c r="A786" s="14" t="s">
        <v>143</v>
      </c>
      <c r="B786" s="78"/>
      <c r="C786" s="78"/>
      <c r="D786" s="92">
        <v>45615</v>
      </c>
      <c r="E786" s="14">
        <v>825</v>
      </c>
      <c r="F786" s="77"/>
      <c r="G786" s="97">
        <v>83335</v>
      </c>
      <c r="H786" s="70" t="s">
        <v>1100</v>
      </c>
      <c r="I786" s="7">
        <f t="shared" ca="1" si="5"/>
        <v>0</v>
      </c>
      <c r="J786" s="94">
        <v>45656</v>
      </c>
      <c r="K786" s="7"/>
    </row>
    <row r="787" spans="1:11" ht="14.25" customHeight="1">
      <c r="A787" s="14" t="s">
        <v>907</v>
      </c>
      <c r="B787" s="78"/>
      <c r="C787" s="78"/>
      <c r="D787" s="92">
        <v>45615</v>
      </c>
      <c r="E787" s="14">
        <v>826</v>
      </c>
      <c r="F787" s="77"/>
      <c r="G787" s="97">
        <v>220512</v>
      </c>
      <c r="H787" s="70" t="s">
        <v>1100</v>
      </c>
      <c r="I787" s="7">
        <f t="shared" ca="1" si="5"/>
        <v>0</v>
      </c>
      <c r="J787" s="94">
        <v>45647</v>
      </c>
      <c r="K787" s="7"/>
    </row>
    <row r="788" spans="1:11" ht="14.25" customHeight="1">
      <c r="A788" s="14" t="s">
        <v>1296</v>
      </c>
      <c r="B788" s="78"/>
      <c r="C788" s="78"/>
      <c r="D788" s="92">
        <v>45617</v>
      </c>
      <c r="E788" s="14">
        <v>827</v>
      </c>
      <c r="F788" s="92"/>
      <c r="G788" s="97">
        <v>285600</v>
      </c>
      <c r="H788" s="70" t="s">
        <v>1100</v>
      </c>
      <c r="I788" s="7">
        <f t="shared" ca="1" si="5"/>
        <v>0</v>
      </c>
      <c r="J788" s="94">
        <v>45618</v>
      </c>
      <c r="K788" s="7" t="s">
        <v>1334</v>
      </c>
    </row>
    <row r="789" spans="1:11" ht="14.25" customHeight="1">
      <c r="A789" s="14" t="s">
        <v>1280</v>
      </c>
      <c r="B789" s="78"/>
      <c r="C789" s="78"/>
      <c r="D789" s="92">
        <v>45622</v>
      </c>
      <c r="E789" s="14">
        <v>828</v>
      </c>
      <c r="F789" s="92">
        <v>45623</v>
      </c>
      <c r="G789" s="97">
        <v>170407</v>
      </c>
      <c r="H789" s="70" t="s">
        <v>1100</v>
      </c>
      <c r="I789" s="7">
        <f t="shared" ca="1" si="5"/>
        <v>0</v>
      </c>
      <c r="J789" s="86">
        <v>45665</v>
      </c>
      <c r="K789" s="7"/>
    </row>
    <row r="790" spans="1:11" ht="14.25" customHeight="1">
      <c r="A790" s="14" t="s">
        <v>547</v>
      </c>
      <c r="B790" s="78"/>
      <c r="C790" s="78"/>
      <c r="D790" s="92">
        <v>45622</v>
      </c>
      <c r="E790" s="14">
        <v>829</v>
      </c>
      <c r="F790" s="92">
        <v>45623</v>
      </c>
      <c r="G790" s="97">
        <v>113628</v>
      </c>
      <c r="H790" s="70" t="s">
        <v>1100</v>
      </c>
      <c r="I790" s="7">
        <f t="shared" ca="1" si="5"/>
        <v>0</v>
      </c>
      <c r="J790" s="87">
        <v>45629</v>
      </c>
      <c r="K790" s="7"/>
    </row>
    <row r="791" spans="1:11" ht="14.25" customHeight="1">
      <c r="A791" s="14" t="s">
        <v>907</v>
      </c>
      <c r="B791" s="78"/>
      <c r="C791" s="78"/>
      <c r="D791" s="92">
        <v>45622</v>
      </c>
      <c r="E791" s="14">
        <v>830</v>
      </c>
      <c r="F791" s="92">
        <v>45622</v>
      </c>
      <c r="G791" s="97">
        <v>607131</v>
      </c>
      <c r="H791" s="70" t="s">
        <v>1100</v>
      </c>
      <c r="I791" s="7">
        <f t="shared" ca="1" si="5"/>
        <v>0</v>
      </c>
      <c r="J791" s="94">
        <v>45653</v>
      </c>
      <c r="K791" s="7"/>
    </row>
    <row r="792" spans="1:11" ht="14.25" customHeight="1">
      <c r="A792" s="14" t="s">
        <v>1335</v>
      </c>
      <c r="B792" s="78"/>
      <c r="C792" s="78"/>
      <c r="D792" s="92">
        <v>45622</v>
      </c>
      <c r="E792" s="14" t="s">
        <v>1043</v>
      </c>
      <c r="F792" s="77"/>
      <c r="G792" s="97">
        <f>400000+168000</f>
        <v>568000</v>
      </c>
      <c r="H792" s="70" t="s">
        <v>1267</v>
      </c>
      <c r="I792" s="7">
        <f t="shared" ca="1" si="5"/>
        <v>45799</v>
      </c>
      <c r="J792" s="7"/>
      <c r="K792" s="7" t="s">
        <v>1336</v>
      </c>
    </row>
    <row r="793" spans="1:11" ht="14.25" customHeight="1">
      <c r="A793" s="14" t="s">
        <v>1337</v>
      </c>
      <c r="B793" s="78"/>
      <c r="C793" s="78"/>
      <c r="D793" s="92">
        <v>45622</v>
      </c>
      <c r="E793" s="14" t="s">
        <v>1043</v>
      </c>
      <c r="F793" s="77"/>
      <c r="G793" s="97">
        <v>275000</v>
      </c>
      <c r="H793" s="70" t="s">
        <v>1100</v>
      </c>
      <c r="I793" s="7">
        <f t="shared" ca="1" si="5"/>
        <v>0</v>
      </c>
      <c r="J793" s="7"/>
      <c r="K793" s="7" t="s">
        <v>1338</v>
      </c>
    </row>
    <row r="794" spans="1:11" ht="14.25" customHeight="1">
      <c r="A794" s="14" t="s">
        <v>126</v>
      </c>
      <c r="B794" s="78"/>
      <c r="C794" s="78"/>
      <c r="D794" s="92">
        <v>45623</v>
      </c>
      <c r="E794" s="14">
        <v>831</v>
      </c>
      <c r="F794" s="92">
        <v>45625</v>
      </c>
      <c r="G794" s="97">
        <v>213929</v>
      </c>
      <c r="H794" s="70" t="s">
        <v>1100</v>
      </c>
      <c r="I794" s="7">
        <f t="shared" ca="1" si="5"/>
        <v>0</v>
      </c>
      <c r="J794" s="94">
        <v>45649</v>
      </c>
      <c r="K794" s="7"/>
    </row>
    <row r="795" spans="1:11" ht="14.25" customHeight="1">
      <c r="A795" s="14" t="s">
        <v>1271</v>
      </c>
      <c r="B795" s="78"/>
      <c r="C795" s="78"/>
      <c r="D795" s="92">
        <v>45582</v>
      </c>
      <c r="E795" s="14">
        <v>832</v>
      </c>
      <c r="F795" s="77">
        <v>45590</v>
      </c>
      <c r="G795" s="97">
        <v>61731</v>
      </c>
      <c r="H795" s="70" t="s">
        <v>1100</v>
      </c>
      <c r="I795" s="7">
        <f t="shared" ca="1" si="5"/>
        <v>0</v>
      </c>
      <c r="J795" s="94">
        <v>45652</v>
      </c>
      <c r="K795" s="7" t="s">
        <v>1339</v>
      </c>
    </row>
    <row r="796" spans="1:11" ht="14.25" customHeight="1">
      <c r="A796" s="14" t="s">
        <v>1227</v>
      </c>
      <c r="B796" s="78"/>
      <c r="C796" s="78"/>
      <c r="D796" s="92">
        <v>45623</v>
      </c>
      <c r="E796" s="14">
        <v>833</v>
      </c>
      <c r="F796" s="92">
        <v>45628</v>
      </c>
      <c r="G796" s="97">
        <v>273350</v>
      </c>
      <c r="H796" s="70" t="s">
        <v>1100</v>
      </c>
      <c r="I796" s="7">
        <f t="shared" ca="1" si="5"/>
        <v>0</v>
      </c>
      <c r="J796" s="85">
        <v>45300</v>
      </c>
      <c r="K796" s="7"/>
    </row>
    <row r="797" spans="1:11" ht="14.25" customHeight="1">
      <c r="A797" s="14" t="s">
        <v>1208</v>
      </c>
      <c r="B797" s="78"/>
      <c r="C797" s="78"/>
      <c r="D797" s="92">
        <v>45623</v>
      </c>
      <c r="E797" s="14">
        <v>834</v>
      </c>
      <c r="F797" s="92">
        <v>45628</v>
      </c>
      <c r="G797" s="97">
        <v>125619</v>
      </c>
      <c r="H797" s="70" t="s">
        <v>1100</v>
      </c>
      <c r="I797" s="7">
        <f t="shared" ca="1" si="5"/>
        <v>0</v>
      </c>
      <c r="J797" s="87">
        <v>45660</v>
      </c>
      <c r="K797" s="7"/>
    </row>
    <row r="798" spans="1:11" ht="14.25" customHeight="1">
      <c r="A798" s="14" t="s">
        <v>919</v>
      </c>
      <c r="B798" s="78"/>
      <c r="C798" s="78"/>
      <c r="D798" s="92">
        <v>45623</v>
      </c>
      <c r="E798" s="14">
        <v>835</v>
      </c>
      <c r="F798" s="92">
        <v>45628</v>
      </c>
      <c r="G798" s="97">
        <v>201637</v>
      </c>
      <c r="H798" s="70" t="s">
        <v>1267</v>
      </c>
      <c r="I798" s="7">
        <f t="shared" ca="1" si="5"/>
        <v>176</v>
      </c>
      <c r="J798" s="7"/>
      <c r="K798" s="7"/>
    </row>
    <row r="799" spans="1:11" ht="14.25" customHeight="1">
      <c r="A799" s="14" t="s">
        <v>1227</v>
      </c>
      <c r="B799" s="78"/>
      <c r="C799" s="78"/>
      <c r="D799" s="92">
        <v>45624</v>
      </c>
      <c r="E799" s="14">
        <v>836</v>
      </c>
      <c r="F799" s="92">
        <v>45628</v>
      </c>
      <c r="G799" s="76">
        <v>14212</v>
      </c>
      <c r="H799" s="70" t="s">
        <v>1100</v>
      </c>
      <c r="I799" s="7">
        <f t="shared" ca="1" si="5"/>
        <v>0</v>
      </c>
      <c r="J799" s="85">
        <v>45300</v>
      </c>
      <c r="K799" s="7"/>
    </row>
    <row r="800" spans="1:11" ht="14.25" customHeight="1">
      <c r="A800" s="14" t="s">
        <v>1225</v>
      </c>
      <c r="B800" s="78"/>
      <c r="C800" s="78"/>
      <c r="D800" s="92">
        <v>45628</v>
      </c>
      <c r="E800" s="14">
        <v>837</v>
      </c>
      <c r="F800" s="77"/>
      <c r="G800" s="76">
        <v>156073</v>
      </c>
      <c r="H800" s="70" t="s">
        <v>1100</v>
      </c>
      <c r="I800" s="7">
        <f t="shared" ca="1" si="5"/>
        <v>0</v>
      </c>
      <c r="J800" s="80">
        <v>45650</v>
      </c>
      <c r="K800" s="7"/>
    </row>
    <row r="801" spans="1:11" ht="14.25" customHeight="1">
      <c r="A801" s="14" t="s">
        <v>1340</v>
      </c>
      <c r="B801" s="78"/>
      <c r="C801" s="78"/>
      <c r="D801" s="92">
        <v>45640</v>
      </c>
      <c r="E801" s="14" t="s">
        <v>1320</v>
      </c>
      <c r="F801" s="92">
        <v>45640</v>
      </c>
      <c r="G801" s="76">
        <v>100000</v>
      </c>
      <c r="H801" s="70" t="s">
        <v>1100</v>
      </c>
      <c r="I801" s="7">
        <f t="shared" ca="1" si="5"/>
        <v>0</v>
      </c>
      <c r="J801" s="87">
        <v>45629</v>
      </c>
      <c r="K801" s="98">
        <v>0.5</v>
      </c>
    </row>
    <row r="802" spans="1:11" ht="14.25" customHeight="1">
      <c r="A802" s="14" t="s">
        <v>1341</v>
      </c>
      <c r="B802" s="78"/>
      <c r="C802" s="78"/>
      <c r="D802" s="92">
        <v>45633</v>
      </c>
      <c r="E802" s="14" t="s">
        <v>1320</v>
      </c>
      <c r="F802" s="92">
        <v>45633</v>
      </c>
      <c r="G802" s="76">
        <v>140000</v>
      </c>
      <c r="H802" s="70" t="s">
        <v>1100</v>
      </c>
      <c r="I802" s="7">
        <f t="shared" ca="1" si="5"/>
        <v>0</v>
      </c>
      <c r="J802" s="87">
        <v>45629</v>
      </c>
      <c r="K802" s="98">
        <v>0.5</v>
      </c>
    </row>
    <row r="803" spans="1:11" ht="14.25" customHeight="1">
      <c r="A803" s="14" t="s">
        <v>907</v>
      </c>
      <c r="B803" s="78"/>
      <c r="C803" s="78"/>
      <c r="D803" s="92">
        <v>45630</v>
      </c>
      <c r="E803" s="14">
        <v>840</v>
      </c>
      <c r="F803" s="77"/>
      <c r="G803" s="76">
        <v>220512</v>
      </c>
      <c r="H803" s="70" t="s">
        <v>1100</v>
      </c>
      <c r="I803" s="7">
        <f t="shared" ca="1" si="5"/>
        <v>0</v>
      </c>
      <c r="J803" s="87">
        <v>45294</v>
      </c>
      <c r="K803" s="7"/>
    </row>
    <row r="804" spans="1:11" ht="14.25" customHeight="1">
      <c r="A804" s="14" t="s">
        <v>1268</v>
      </c>
      <c r="B804" s="78"/>
      <c r="C804" s="78"/>
      <c r="D804" s="92">
        <v>45629</v>
      </c>
      <c r="E804" s="14">
        <v>839</v>
      </c>
      <c r="F804" s="77">
        <v>45630</v>
      </c>
      <c r="G804" s="76">
        <v>92248</v>
      </c>
      <c r="H804" s="70" t="s">
        <v>1100</v>
      </c>
      <c r="I804" s="7">
        <f t="shared" ca="1" si="5"/>
        <v>0</v>
      </c>
      <c r="J804" s="87">
        <v>45698</v>
      </c>
      <c r="K804" s="7"/>
    </row>
    <row r="805" spans="1:11" ht="14.25" customHeight="1">
      <c r="A805" s="14" t="s">
        <v>1052</v>
      </c>
      <c r="B805" s="78"/>
      <c r="C805" s="78"/>
      <c r="D805" s="92">
        <v>45630</v>
      </c>
      <c r="E805" s="14">
        <v>841</v>
      </c>
      <c r="F805" s="77">
        <v>45630</v>
      </c>
      <c r="G805" s="76">
        <v>123463</v>
      </c>
      <c r="H805" s="70" t="s">
        <v>1100</v>
      </c>
      <c r="I805" s="7">
        <f t="shared" ca="1" si="5"/>
        <v>0</v>
      </c>
      <c r="J805" s="87">
        <v>45665</v>
      </c>
      <c r="K805" s="7"/>
    </row>
    <row r="806" spans="1:11" ht="14.25" customHeight="1">
      <c r="A806" s="14" t="s">
        <v>646</v>
      </c>
      <c r="B806" s="78"/>
      <c r="C806" s="78"/>
      <c r="D806" s="92">
        <v>45630</v>
      </c>
      <c r="E806" s="14">
        <v>842</v>
      </c>
      <c r="F806" s="77">
        <v>45297</v>
      </c>
      <c r="G806" s="76">
        <v>117387</v>
      </c>
      <c r="H806" s="70" t="s">
        <v>1100</v>
      </c>
      <c r="I806" s="7">
        <f t="shared" ca="1" si="5"/>
        <v>0</v>
      </c>
      <c r="J806" s="80">
        <v>45654</v>
      </c>
      <c r="K806" s="7"/>
    </row>
    <row r="807" spans="1:11" ht="14.25" customHeight="1">
      <c r="A807" s="14" t="s">
        <v>126</v>
      </c>
      <c r="B807" s="78"/>
      <c r="C807" s="78"/>
      <c r="D807" s="92">
        <v>45630</v>
      </c>
      <c r="E807" s="14">
        <v>843</v>
      </c>
      <c r="F807" s="92">
        <v>45642</v>
      </c>
      <c r="G807" s="76">
        <v>339383</v>
      </c>
      <c r="H807" s="70" t="s">
        <v>1100</v>
      </c>
      <c r="I807" s="7">
        <f t="shared" ca="1" si="5"/>
        <v>0</v>
      </c>
      <c r="J807" s="80">
        <v>45656</v>
      </c>
      <c r="K807" s="7"/>
    </row>
    <row r="808" spans="1:11" ht="14.25" customHeight="1">
      <c r="A808" s="14" t="s">
        <v>1342</v>
      </c>
      <c r="B808" s="78"/>
      <c r="C808" s="78"/>
      <c r="D808" s="92">
        <v>45631</v>
      </c>
      <c r="E808" s="14">
        <v>844</v>
      </c>
      <c r="F808" s="77"/>
      <c r="G808" s="76">
        <v>156073</v>
      </c>
      <c r="H808" s="70" t="s">
        <v>1177</v>
      </c>
      <c r="I808" s="7">
        <f t="shared" ca="1" si="5"/>
        <v>0</v>
      </c>
      <c r="J808" s="7"/>
      <c r="K808" s="7" t="s">
        <v>1343</v>
      </c>
    </row>
    <row r="809" spans="1:11" ht="14.25" customHeight="1">
      <c r="A809" s="14" t="s">
        <v>1248</v>
      </c>
      <c r="B809" s="78"/>
      <c r="C809" s="78"/>
      <c r="D809" s="92">
        <v>45631</v>
      </c>
      <c r="E809" s="14">
        <v>845</v>
      </c>
      <c r="F809" s="77">
        <v>45633</v>
      </c>
      <c r="G809" s="76">
        <v>118448</v>
      </c>
      <c r="H809" s="70" t="s">
        <v>1100</v>
      </c>
      <c r="I809" s="7">
        <f t="shared" ca="1" si="5"/>
        <v>0</v>
      </c>
      <c r="J809" s="86">
        <v>45664</v>
      </c>
      <c r="K809" s="7"/>
    </row>
    <row r="810" spans="1:11" ht="14.25" customHeight="1">
      <c r="A810" s="14" t="s">
        <v>913</v>
      </c>
      <c r="B810" s="78"/>
      <c r="C810" s="78"/>
      <c r="D810" s="92">
        <v>45631</v>
      </c>
      <c r="E810" s="14">
        <v>846</v>
      </c>
      <c r="F810" s="77">
        <v>45633</v>
      </c>
      <c r="G810" s="76">
        <v>88663</v>
      </c>
      <c r="H810" s="70" t="s">
        <v>1100</v>
      </c>
      <c r="I810" s="7">
        <f t="shared" ca="1" si="5"/>
        <v>0</v>
      </c>
      <c r="J810" s="86">
        <v>45685</v>
      </c>
      <c r="K810" s="7"/>
    </row>
    <row r="811" spans="1:11" ht="14.25" customHeight="1">
      <c r="A811" s="14" t="s">
        <v>1341</v>
      </c>
      <c r="B811" s="78"/>
      <c r="C811" s="78"/>
      <c r="D811" s="92">
        <v>45633</v>
      </c>
      <c r="E811" s="14" t="s">
        <v>1320</v>
      </c>
      <c r="F811" s="77"/>
      <c r="G811" s="76">
        <v>140000</v>
      </c>
      <c r="H811" s="70" t="s">
        <v>1100</v>
      </c>
      <c r="I811" s="7">
        <f t="shared" ca="1" si="5"/>
        <v>0</v>
      </c>
      <c r="J811" s="87">
        <v>45635</v>
      </c>
      <c r="K811" s="7"/>
    </row>
    <row r="812" spans="1:11" ht="14.25" customHeight="1">
      <c r="A812" s="14" t="s">
        <v>907</v>
      </c>
      <c r="B812" s="78"/>
      <c r="C812" s="78"/>
      <c r="D812" s="92">
        <v>45635</v>
      </c>
      <c r="E812" s="14">
        <v>847</v>
      </c>
      <c r="F812" s="92">
        <v>45635</v>
      </c>
      <c r="G812" s="76">
        <v>330768</v>
      </c>
      <c r="H812" s="70" t="s">
        <v>1100</v>
      </c>
      <c r="I812" s="7">
        <f t="shared" ca="1" si="5"/>
        <v>0</v>
      </c>
      <c r="J812" s="87">
        <v>45667</v>
      </c>
      <c r="K812" s="7"/>
    </row>
    <row r="813" spans="1:11" ht="14.25" customHeight="1">
      <c r="A813" s="14" t="s">
        <v>1340</v>
      </c>
      <c r="B813" s="78"/>
      <c r="C813" s="78"/>
      <c r="D813" s="92">
        <v>45640</v>
      </c>
      <c r="E813" s="14" t="s">
        <v>1320</v>
      </c>
      <c r="F813" s="77"/>
      <c r="G813" s="76">
        <v>100000</v>
      </c>
      <c r="H813" s="70" t="s">
        <v>1100</v>
      </c>
      <c r="I813" s="7">
        <f t="shared" ca="1" si="5"/>
        <v>0</v>
      </c>
      <c r="J813" s="94">
        <v>45640</v>
      </c>
      <c r="K813" s="98">
        <v>0.5</v>
      </c>
    </row>
    <row r="814" spans="1:11" ht="14.25" customHeight="1">
      <c r="A814" s="14" t="s">
        <v>907</v>
      </c>
      <c r="B814" s="78"/>
      <c r="C814" s="78"/>
      <c r="D814" s="92">
        <v>45643</v>
      </c>
      <c r="E814" s="14">
        <v>857</v>
      </c>
      <c r="F814" s="92">
        <v>45640</v>
      </c>
      <c r="G814" s="76">
        <v>276363</v>
      </c>
      <c r="H814" s="70" t="s">
        <v>1100</v>
      </c>
      <c r="I814" s="7">
        <f t="shared" ca="1" si="5"/>
        <v>0</v>
      </c>
      <c r="J814" s="87">
        <v>45681</v>
      </c>
      <c r="K814" s="7"/>
    </row>
    <row r="815" spans="1:11" ht="14.25" customHeight="1">
      <c r="A815" s="14" t="s">
        <v>1344</v>
      </c>
      <c r="B815" s="78"/>
      <c r="C815" s="78"/>
      <c r="D815" s="92">
        <v>45642</v>
      </c>
      <c r="E815" s="14" t="s">
        <v>1293</v>
      </c>
      <c r="F815" s="77"/>
      <c r="G815" s="76">
        <f>1512000+150000</f>
        <v>1662000</v>
      </c>
      <c r="H815" s="70" t="s">
        <v>1100</v>
      </c>
      <c r="I815" s="7">
        <f t="shared" ca="1" si="5"/>
        <v>0</v>
      </c>
      <c r="J815" s="7"/>
      <c r="K815" s="7"/>
    </row>
    <row r="816" spans="1:11" ht="14.25" customHeight="1">
      <c r="A816" s="14" t="s">
        <v>226</v>
      </c>
      <c r="B816" s="78"/>
      <c r="C816" s="78"/>
      <c r="D816" s="92">
        <v>45642</v>
      </c>
      <c r="E816" s="14">
        <v>848</v>
      </c>
      <c r="F816" s="92"/>
      <c r="G816" s="76">
        <v>171398</v>
      </c>
      <c r="H816" s="70" t="s">
        <v>1100</v>
      </c>
      <c r="I816" s="7">
        <f t="shared" ca="1" si="5"/>
        <v>0</v>
      </c>
      <c r="J816" s="87">
        <v>45685</v>
      </c>
      <c r="K816" s="7"/>
    </row>
    <row r="817" spans="1:11" ht="14.25" customHeight="1">
      <c r="A817" s="14" t="s">
        <v>126</v>
      </c>
      <c r="B817" s="78"/>
      <c r="C817" s="78"/>
      <c r="D817" s="92">
        <v>45642</v>
      </c>
      <c r="E817" s="14">
        <v>849</v>
      </c>
      <c r="F817" s="92">
        <v>45642</v>
      </c>
      <c r="G817" s="76">
        <v>148706</v>
      </c>
      <c r="H817" s="70" t="s">
        <v>1100</v>
      </c>
      <c r="I817" s="7">
        <f t="shared" ca="1" si="5"/>
        <v>0</v>
      </c>
      <c r="J817" s="7" t="s">
        <v>1388</v>
      </c>
      <c r="K817" s="7"/>
    </row>
    <row r="818" spans="1:11" ht="14.25" customHeight="1">
      <c r="A818" s="14" t="s">
        <v>1052</v>
      </c>
      <c r="B818" s="78"/>
      <c r="C818" s="78"/>
      <c r="D818" s="92">
        <v>45642</v>
      </c>
      <c r="E818" s="14">
        <v>850</v>
      </c>
      <c r="F818" s="92">
        <v>45642</v>
      </c>
      <c r="G818" s="76">
        <v>15373</v>
      </c>
      <c r="H818" s="70" t="s">
        <v>1100</v>
      </c>
      <c r="I818" s="7">
        <f t="shared" ca="1" si="5"/>
        <v>0</v>
      </c>
      <c r="J818" s="87">
        <v>45692</v>
      </c>
      <c r="K818" s="7"/>
    </row>
    <row r="819" spans="1:11" ht="14.25" customHeight="1">
      <c r="A819" s="14" t="s">
        <v>143</v>
      </c>
      <c r="B819" s="78"/>
      <c r="C819" s="78"/>
      <c r="D819" s="92">
        <v>45642</v>
      </c>
      <c r="E819" s="14">
        <v>851</v>
      </c>
      <c r="F819" s="77">
        <v>45639</v>
      </c>
      <c r="G819" s="76">
        <v>90853</v>
      </c>
      <c r="H819" s="70" t="s">
        <v>1100</v>
      </c>
      <c r="I819" s="7">
        <f t="shared" ca="1" si="5"/>
        <v>0</v>
      </c>
      <c r="J819" s="80">
        <v>45692</v>
      </c>
      <c r="K819" s="7"/>
    </row>
    <row r="820" spans="1:11" ht="14.25" customHeight="1">
      <c r="A820" s="14" t="s">
        <v>143</v>
      </c>
      <c r="B820" s="78"/>
      <c r="C820" s="78"/>
      <c r="D820" s="92">
        <v>45642</v>
      </c>
      <c r="E820" s="14">
        <v>852</v>
      </c>
      <c r="F820" s="77">
        <v>45639</v>
      </c>
      <c r="G820" s="76">
        <v>65219</v>
      </c>
      <c r="H820" s="70" t="s">
        <v>1100</v>
      </c>
      <c r="I820" s="7">
        <f t="shared" ca="1" si="5"/>
        <v>0</v>
      </c>
      <c r="J820" s="80">
        <v>45692</v>
      </c>
      <c r="K820" s="7"/>
    </row>
    <row r="821" spans="1:11" ht="14.25" customHeight="1">
      <c r="A821" s="14" t="s">
        <v>487</v>
      </c>
      <c r="B821" s="78"/>
      <c r="C821" s="78"/>
      <c r="D821" s="92">
        <v>45642</v>
      </c>
      <c r="E821" s="14">
        <v>853</v>
      </c>
      <c r="F821" s="77">
        <v>45644</v>
      </c>
      <c r="G821" s="76">
        <v>234427</v>
      </c>
      <c r="H821" s="70" t="s">
        <v>1100</v>
      </c>
      <c r="I821" s="7">
        <f t="shared" ca="1" si="5"/>
        <v>0</v>
      </c>
      <c r="J821" s="86">
        <v>45686</v>
      </c>
      <c r="K821" s="7"/>
    </row>
    <row r="822" spans="1:11" ht="14.25" customHeight="1">
      <c r="A822" s="14" t="s">
        <v>1235</v>
      </c>
      <c r="B822" s="78"/>
      <c r="C822" s="78"/>
      <c r="D822" s="92">
        <v>45642</v>
      </c>
      <c r="E822" s="14">
        <v>854</v>
      </c>
      <c r="F822" s="77">
        <v>45644</v>
      </c>
      <c r="G822" s="76">
        <v>113950</v>
      </c>
      <c r="H822" s="70" t="s">
        <v>1100</v>
      </c>
      <c r="I822" s="7">
        <f t="shared" ca="1" si="5"/>
        <v>0</v>
      </c>
      <c r="J822" s="87">
        <v>45671</v>
      </c>
      <c r="K822" s="7"/>
    </row>
    <row r="823" spans="1:11" ht="14.25" customHeight="1">
      <c r="A823" s="14" t="s">
        <v>787</v>
      </c>
      <c r="B823" s="78"/>
      <c r="C823" s="78"/>
      <c r="D823" s="92">
        <v>45642</v>
      </c>
      <c r="E823" s="14">
        <v>855</v>
      </c>
      <c r="F823" s="77">
        <v>45645</v>
      </c>
      <c r="G823" s="76">
        <v>117687</v>
      </c>
      <c r="H823" s="70" t="s">
        <v>1100</v>
      </c>
      <c r="I823" s="7">
        <f t="shared" ca="1" si="5"/>
        <v>0</v>
      </c>
      <c r="J823" s="94">
        <v>45645</v>
      </c>
      <c r="K823" s="7"/>
    </row>
    <row r="824" spans="1:11" ht="14.25" customHeight="1">
      <c r="A824" s="14" t="s">
        <v>1345</v>
      </c>
      <c r="B824" s="78"/>
      <c r="C824" s="78"/>
      <c r="D824" s="92">
        <v>45642</v>
      </c>
      <c r="E824" s="14">
        <v>856</v>
      </c>
      <c r="F824" s="77">
        <v>45644</v>
      </c>
      <c r="G824" s="76">
        <v>152488</v>
      </c>
      <c r="H824" s="70" t="s">
        <v>1100</v>
      </c>
      <c r="I824" s="7">
        <f t="shared" ca="1" si="5"/>
        <v>0</v>
      </c>
      <c r="J824" s="94">
        <v>45646</v>
      </c>
      <c r="K824" s="7"/>
    </row>
    <row r="825" spans="1:11" ht="14.25" customHeight="1">
      <c r="A825" s="14" t="s">
        <v>907</v>
      </c>
      <c r="B825" s="78"/>
      <c r="C825" s="78"/>
      <c r="D825" s="92">
        <v>45643</v>
      </c>
      <c r="E825" s="14">
        <v>857</v>
      </c>
      <c r="F825" s="92">
        <v>45643</v>
      </c>
      <c r="G825" s="76">
        <v>533145</v>
      </c>
      <c r="H825" s="70" t="s">
        <v>1100</v>
      </c>
      <c r="I825" s="7">
        <f t="shared" ca="1" si="5"/>
        <v>0</v>
      </c>
      <c r="J825" s="87">
        <v>45674</v>
      </c>
      <c r="K825" s="7"/>
    </row>
    <row r="826" spans="1:11" ht="14.25" customHeight="1">
      <c r="A826" s="14" t="s">
        <v>126</v>
      </c>
      <c r="B826" s="78"/>
      <c r="C826" s="78"/>
      <c r="D826" s="92">
        <v>45643</v>
      </c>
      <c r="E826" s="14">
        <v>859</v>
      </c>
      <c r="F826" s="92">
        <v>45642</v>
      </c>
      <c r="G826" s="76">
        <v>290241</v>
      </c>
      <c r="H826" s="70" t="s">
        <v>1100</v>
      </c>
      <c r="I826" s="7">
        <f t="shared" ca="1" si="5"/>
        <v>0</v>
      </c>
      <c r="J826" s="87">
        <v>45671</v>
      </c>
      <c r="K826" s="7"/>
    </row>
    <row r="827" spans="1:11" ht="14.25" customHeight="1">
      <c r="A827" s="14" t="s">
        <v>126</v>
      </c>
      <c r="B827" s="78"/>
      <c r="C827" s="78"/>
      <c r="D827" s="92">
        <v>45649</v>
      </c>
      <c r="E827" s="14">
        <v>861</v>
      </c>
      <c r="F827" s="77">
        <v>45649</v>
      </c>
      <c r="G827" s="76">
        <v>320558</v>
      </c>
      <c r="H827" s="70" t="s">
        <v>1100</v>
      </c>
      <c r="I827" s="7">
        <f t="shared" ca="1" si="5"/>
        <v>0</v>
      </c>
      <c r="J827" s="87">
        <v>45678</v>
      </c>
      <c r="K827" s="7"/>
    </row>
    <row r="828" spans="1:11" ht="14.25" customHeight="1">
      <c r="A828" s="14" t="s">
        <v>1342</v>
      </c>
      <c r="B828" s="78"/>
      <c r="C828" s="78"/>
      <c r="D828" s="92">
        <v>45643</v>
      </c>
      <c r="E828" s="14">
        <v>860</v>
      </c>
      <c r="F828" s="77"/>
      <c r="G828" s="76">
        <v>93643</v>
      </c>
      <c r="H828" s="70" t="s">
        <v>1100</v>
      </c>
      <c r="I828" s="7">
        <f t="shared" ca="1" si="5"/>
        <v>0</v>
      </c>
      <c r="J828" s="87">
        <v>45677</v>
      </c>
      <c r="K828" s="7"/>
    </row>
    <row r="829" spans="1:11" ht="14.25" customHeight="1">
      <c r="A829" s="14" t="s">
        <v>907</v>
      </c>
      <c r="B829" s="78"/>
      <c r="C829" s="78"/>
      <c r="D829" s="92">
        <v>45649</v>
      </c>
      <c r="E829" s="14">
        <v>862</v>
      </c>
      <c r="F829" s="92">
        <v>45649</v>
      </c>
      <c r="G829" s="76">
        <v>496875</v>
      </c>
      <c r="H829" s="70" t="s">
        <v>1100</v>
      </c>
      <c r="I829" s="7">
        <f t="shared" ca="1" si="5"/>
        <v>0</v>
      </c>
      <c r="J829" s="90">
        <v>45681</v>
      </c>
      <c r="K829" s="7"/>
    </row>
    <row r="830" spans="1:11" ht="14.25" customHeight="1">
      <c r="A830" s="68" t="s">
        <v>883</v>
      </c>
      <c r="B830" s="68"/>
      <c r="C830" s="68"/>
      <c r="D830" s="69">
        <v>45650</v>
      </c>
      <c r="E830" s="68">
        <v>863</v>
      </c>
      <c r="F830" s="69">
        <v>45652</v>
      </c>
      <c r="G830" s="76">
        <v>119404</v>
      </c>
      <c r="H830" s="70" t="s">
        <v>1100</v>
      </c>
      <c r="I830" s="7">
        <f t="shared" ca="1" si="5"/>
        <v>0</v>
      </c>
      <c r="J830" s="71">
        <v>45692</v>
      </c>
      <c r="K830" s="7"/>
    </row>
    <row r="831" spans="1:11" ht="14.25" customHeight="1">
      <c r="A831" s="68" t="s">
        <v>1346</v>
      </c>
      <c r="B831" s="68"/>
      <c r="C831" s="68"/>
      <c r="D831" s="69">
        <v>45650</v>
      </c>
      <c r="E831" s="68">
        <v>864</v>
      </c>
      <c r="F831" s="69">
        <v>45652</v>
      </c>
      <c r="G831" s="76">
        <v>110805</v>
      </c>
      <c r="H831" s="70" t="s">
        <v>1100</v>
      </c>
      <c r="I831" s="7">
        <f t="shared" ca="1" si="5"/>
        <v>0</v>
      </c>
      <c r="J831" s="71">
        <v>45318</v>
      </c>
      <c r="K831" s="7"/>
    </row>
    <row r="832" spans="1:11" ht="14.25" customHeight="1">
      <c r="A832" s="68" t="s">
        <v>1347</v>
      </c>
      <c r="B832" s="68"/>
      <c r="C832" s="68"/>
      <c r="D832" s="69">
        <v>45654</v>
      </c>
      <c r="E832" s="68" t="s">
        <v>1320</v>
      </c>
      <c r="F832" s="69">
        <v>45656</v>
      </c>
      <c r="G832" s="76">
        <v>250000</v>
      </c>
      <c r="H832" s="70" t="s">
        <v>1100</v>
      </c>
      <c r="I832" s="7">
        <f t="shared" ca="1" si="5"/>
        <v>0</v>
      </c>
      <c r="J832" s="71">
        <v>45657</v>
      </c>
      <c r="K832" s="7"/>
    </row>
    <row r="833" spans="1:11" ht="14.25" customHeight="1">
      <c r="A833" s="68" t="s">
        <v>547</v>
      </c>
      <c r="B833" s="68"/>
      <c r="C833" s="68"/>
      <c r="D833" s="69">
        <v>45652</v>
      </c>
      <c r="E833" s="68">
        <v>865</v>
      </c>
      <c r="F833" s="69">
        <v>45655</v>
      </c>
      <c r="G833" s="58">
        <v>118071</v>
      </c>
      <c r="H833" s="70" t="s">
        <v>1100</v>
      </c>
      <c r="I833" s="7">
        <f t="shared" ca="1" si="5"/>
        <v>0</v>
      </c>
      <c r="J833" s="71">
        <v>45656</v>
      </c>
      <c r="K833" s="7"/>
    </row>
    <row r="834" spans="1:11" ht="14.25" customHeight="1">
      <c r="A834" s="68" t="s">
        <v>1348</v>
      </c>
      <c r="B834" s="68"/>
      <c r="C834" s="68"/>
      <c r="D834" s="69">
        <v>45651</v>
      </c>
      <c r="E834" s="68" t="s">
        <v>1195</v>
      </c>
      <c r="F834" s="58"/>
      <c r="G834" s="58">
        <v>2761866</v>
      </c>
      <c r="H834" s="70" t="s">
        <v>1349</v>
      </c>
      <c r="I834" s="7"/>
      <c r="J834" s="69">
        <v>45651</v>
      </c>
      <c r="K834" s="7" t="s">
        <v>1350</v>
      </c>
    </row>
    <row r="835" spans="1:11" ht="14.25" customHeight="1">
      <c r="A835" s="68" t="s">
        <v>1351</v>
      </c>
      <c r="B835" s="68"/>
      <c r="C835" s="68"/>
      <c r="D835" s="69">
        <v>45651</v>
      </c>
      <c r="E835" s="68" t="s">
        <v>1195</v>
      </c>
      <c r="F835" s="58"/>
      <c r="G835" s="58">
        <v>138094</v>
      </c>
      <c r="H835" s="70" t="s">
        <v>1349</v>
      </c>
      <c r="I835" s="7"/>
      <c r="J835" s="69">
        <v>45651</v>
      </c>
      <c r="K835" s="7" t="s">
        <v>1352</v>
      </c>
    </row>
    <row r="836" spans="1:11" ht="14.25" customHeight="1">
      <c r="A836" s="68" t="s">
        <v>1353</v>
      </c>
      <c r="B836" s="68"/>
      <c r="C836" s="68"/>
      <c r="D836" s="69">
        <v>45305</v>
      </c>
      <c r="E836" s="68" t="s">
        <v>1195</v>
      </c>
      <c r="F836" s="58"/>
      <c r="G836" s="58">
        <v>111906</v>
      </c>
      <c r="H836" s="70" t="s">
        <v>1349</v>
      </c>
      <c r="I836" s="7"/>
      <c r="J836" s="69">
        <v>45305</v>
      </c>
      <c r="K836" s="7" t="s">
        <v>1354</v>
      </c>
    </row>
    <row r="837" spans="1:11" ht="14.25" customHeight="1">
      <c r="A837" s="68" t="s">
        <v>1355</v>
      </c>
      <c r="B837" s="68"/>
      <c r="C837" s="68"/>
      <c r="D837" s="69">
        <v>45305</v>
      </c>
      <c r="E837" s="68" t="s">
        <v>1195</v>
      </c>
      <c r="F837" s="69"/>
      <c r="G837" s="58">
        <v>2238134</v>
      </c>
      <c r="H837" s="70" t="s">
        <v>1349</v>
      </c>
      <c r="I837" s="7"/>
      <c r="J837" s="69">
        <v>45305</v>
      </c>
      <c r="K837" s="7" t="s">
        <v>1356</v>
      </c>
    </row>
    <row r="838" spans="1:11" ht="14.25" customHeight="1">
      <c r="A838" s="14" t="s">
        <v>907</v>
      </c>
      <c r="B838" s="68"/>
      <c r="C838" s="68"/>
      <c r="D838" s="69">
        <v>45653</v>
      </c>
      <c r="E838" s="68">
        <v>866</v>
      </c>
      <c r="F838" s="69">
        <v>45653</v>
      </c>
      <c r="G838" s="58">
        <v>110256</v>
      </c>
      <c r="H838" s="70" t="s">
        <v>1100</v>
      </c>
      <c r="I838" s="7">
        <f ca="1">IF(OR(H838="Pagado",H838="Anulada"),0,IF(ISNUMBER(E838),TODAY()-F838,TODAY()-#REF!))</f>
        <v>0</v>
      </c>
      <c r="J838" s="71">
        <v>45688</v>
      </c>
      <c r="K838" s="7"/>
    </row>
    <row r="839" spans="1:11" ht="14.25" customHeight="1">
      <c r="A839" s="68" t="s">
        <v>1285</v>
      </c>
      <c r="B839" s="68"/>
      <c r="C839" s="68"/>
      <c r="D839" s="69">
        <v>45656</v>
      </c>
      <c r="E839" s="68">
        <v>869</v>
      </c>
      <c r="F839" s="69">
        <v>45656</v>
      </c>
      <c r="G839" s="58">
        <v>121272</v>
      </c>
      <c r="H839" s="70" t="s">
        <v>1100</v>
      </c>
      <c r="I839" s="7">
        <f t="shared" ref="I839:I857" ca="1" si="6">IF(OR(H839="Pagado",H839="Anulada"),0,IF(ISNUMBER(E839),TODAY()-D839,TODAY()-F839))</f>
        <v>0</v>
      </c>
      <c r="J839" s="71">
        <v>45693</v>
      </c>
      <c r="K839" s="7"/>
    </row>
    <row r="840" spans="1:11" ht="14.25" customHeight="1">
      <c r="A840" s="68" t="s">
        <v>1357</v>
      </c>
      <c r="B840" s="68"/>
      <c r="C840" s="68"/>
      <c r="D840" s="69">
        <v>45656</v>
      </c>
      <c r="E840" s="68">
        <v>867</v>
      </c>
      <c r="F840" s="99">
        <v>45657</v>
      </c>
      <c r="G840" s="58">
        <v>320425</v>
      </c>
      <c r="H840" s="70" t="s">
        <v>1100</v>
      </c>
      <c r="I840" s="7">
        <f t="shared" ca="1" si="6"/>
        <v>0</v>
      </c>
      <c r="J840" s="86">
        <v>45702</v>
      </c>
      <c r="K840" s="7"/>
    </row>
    <row r="841" spans="1:11" ht="14.25" customHeight="1">
      <c r="A841" s="68" t="s">
        <v>143</v>
      </c>
      <c r="B841" s="68"/>
      <c r="C841" s="68"/>
      <c r="D841" s="69">
        <v>45656</v>
      </c>
      <c r="E841" s="68">
        <v>870</v>
      </c>
      <c r="F841" s="69">
        <v>45656</v>
      </c>
      <c r="G841" s="58">
        <v>88189</v>
      </c>
      <c r="H841" s="70" t="s">
        <v>1100</v>
      </c>
      <c r="I841" s="7">
        <f t="shared" ca="1" si="6"/>
        <v>0</v>
      </c>
      <c r="J841" s="71">
        <v>45709</v>
      </c>
      <c r="K841" s="7"/>
    </row>
    <row r="842" spans="1:11" ht="14.25" customHeight="1">
      <c r="A842" s="68" t="s">
        <v>1358</v>
      </c>
      <c r="B842" s="68"/>
      <c r="C842" s="68"/>
      <c r="D842" s="69">
        <v>45656</v>
      </c>
      <c r="E842" s="68">
        <v>871</v>
      </c>
      <c r="F842" s="69">
        <v>45656</v>
      </c>
      <c r="G842" s="58">
        <v>150619</v>
      </c>
      <c r="H842" s="70" t="s">
        <v>1267</v>
      </c>
      <c r="I842" s="7">
        <f t="shared" ca="1" si="6"/>
        <v>143</v>
      </c>
      <c r="J842" s="71"/>
      <c r="K842" s="7"/>
    </row>
    <row r="843" spans="1:11" ht="14.25" customHeight="1">
      <c r="A843" s="68" t="s">
        <v>925</v>
      </c>
      <c r="B843" s="68"/>
      <c r="C843" s="68"/>
      <c r="D843" s="69">
        <v>45656</v>
      </c>
      <c r="E843" s="68">
        <v>872</v>
      </c>
      <c r="F843" s="69">
        <v>45656</v>
      </c>
      <c r="G843" s="58">
        <v>101231</v>
      </c>
      <c r="H843" s="70" t="s">
        <v>1100</v>
      </c>
      <c r="I843" s="7">
        <f t="shared" ca="1" si="6"/>
        <v>0</v>
      </c>
      <c r="J843" s="71">
        <v>45688</v>
      </c>
      <c r="K843" s="7"/>
    </row>
    <row r="844" spans="1:11" ht="14.25" customHeight="1">
      <c r="A844" s="68" t="s">
        <v>126</v>
      </c>
      <c r="B844" s="68"/>
      <c r="C844" s="68"/>
      <c r="D844" s="69">
        <v>45657</v>
      </c>
      <c r="E844" s="68">
        <v>873</v>
      </c>
      <c r="F844" s="69">
        <v>45657</v>
      </c>
      <c r="G844" s="58">
        <v>311785</v>
      </c>
      <c r="H844" s="70" t="s">
        <v>1100</v>
      </c>
      <c r="I844" s="7">
        <f t="shared" ca="1" si="6"/>
        <v>0</v>
      </c>
      <c r="J844" s="71">
        <v>45685</v>
      </c>
      <c r="K844" s="7"/>
    </row>
    <row r="845" spans="1:11" ht="14.25" customHeight="1">
      <c r="A845" s="68" t="s">
        <v>440</v>
      </c>
      <c r="B845" s="68"/>
      <c r="C845" s="68"/>
      <c r="D845" s="69">
        <v>45657</v>
      </c>
      <c r="E845" s="68">
        <v>874</v>
      </c>
      <c r="F845" s="100">
        <v>45661</v>
      </c>
      <c r="G845" s="58">
        <v>111942</v>
      </c>
      <c r="H845" s="70" t="s">
        <v>1100</v>
      </c>
      <c r="I845" s="7">
        <f t="shared" ca="1" si="6"/>
        <v>0</v>
      </c>
      <c r="J845" s="71">
        <v>45671</v>
      </c>
      <c r="K845" s="7"/>
    </row>
    <row r="846" spans="1:11" ht="14.25" customHeight="1">
      <c r="A846" s="68" t="s">
        <v>1359</v>
      </c>
      <c r="B846" s="68"/>
      <c r="C846" s="68"/>
      <c r="D846" s="69">
        <v>45657</v>
      </c>
      <c r="E846" s="68" t="s">
        <v>1293</v>
      </c>
      <c r="F846" s="58"/>
      <c r="G846" s="58">
        <v>237606</v>
      </c>
      <c r="H846" s="70" t="s">
        <v>1100</v>
      </c>
      <c r="I846" s="7">
        <f t="shared" ca="1" si="6"/>
        <v>0</v>
      </c>
      <c r="J846" s="71">
        <v>45657</v>
      </c>
      <c r="K846" s="7"/>
    </row>
    <row r="847" spans="1:11" ht="14.25" customHeight="1">
      <c r="A847" s="68" t="s">
        <v>1360</v>
      </c>
      <c r="B847" s="68"/>
      <c r="C847" s="68"/>
      <c r="D847" s="69">
        <v>45659</v>
      </c>
      <c r="E847" s="68">
        <v>875</v>
      </c>
      <c r="F847" s="69"/>
      <c r="G847" s="58">
        <v>345100</v>
      </c>
      <c r="H847" s="70" t="s">
        <v>1100</v>
      </c>
      <c r="I847" s="7">
        <f t="shared" ca="1" si="6"/>
        <v>0</v>
      </c>
      <c r="J847" s="71">
        <v>45660</v>
      </c>
      <c r="K847" s="7"/>
    </row>
    <row r="848" spans="1:11" ht="14.25" customHeight="1">
      <c r="A848" s="68" t="s">
        <v>907</v>
      </c>
      <c r="B848" s="68"/>
      <c r="C848" s="68"/>
      <c r="D848" s="69">
        <v>45659</v>
      </c>
      <c r="E848" s="68">
        <v>876</v>
      </c>
      <c r="F848" s="69">
        <v>45659</v>
      </c>
      <c r="G848" s="58">
        <v>312633</v>
      </c>
      <c r="H848" s="70" t="s">
        <v>1100</v>
      </c>
      <c r="I848" s="7">
        <f t="shared" ca="1" si="6"/>
        <v>0</v>
      </c>
      <c r="J848" s="71">
        <v>45698</v>
      </c>
      <c r="K848" s="7"/>
    </row>
    <row r="849" spans="1:11" ht="14.25" customHeight="1">
      <c r="A849" s="68" t="s">
        <v>440</v>
      </c>
      <c r="B849" s="68"/>
      <c r="C849" s="68"/>
      <c r="D849" s="69">
        <v>45663</v>
      </c>
      <c r="E849" s="68">
        <v>877</v>
      </c>
      <c r="F849" s="58"/>
      <c r="G849" s="58">
        <v>20958</v>
      </c>
      <c r="H849" s="70" t="s">
        <v>1177</v>
      </c>
      <c r="I849" s="7">
        <f t="shared" ca="1" si="6"/>
        <v>0</v>
      </c>
      <c r="J849" s="71"/>
      <c r="K849" s="7" t="s">
        <v>1361</v>
      </c>
    </row>
    <row r="850" spans="1:11" ht="14.25" customHeight="1">
      <c r="A850" s="68" t="s">
        <v>1248</v>
      </c>
      <c r="B850" s="68"/>
      <c r="C850" s="68"/>
      <c r="D850" s="69">
        <v>45663</v>
      </c>
      <c r="E850" s="68">
        <v>878</v>
      </c>
      <c r="F850" s="69">
        <v>45666</v>
      </c>
      <c r="G850" s="58">
        <v>124858</v>
      </c>
      <c r="H850" s="70" t="s">
        <v>1044</v>
      </c>
      <c r="I850" s="7">
        <f t="shared" ca="1" si="6"/>
        <v>0</v>
      </c>
      <c r="J850" s="71">
        <v>45692</v>
      </c>
      <c r="K850" s="7"/>
    </row>
    <row r="851" spans="1:11" ht="14.25" customHeight="1">
      <c r="A851" s="68" t="s">
        <v>126</v>
      </c>
      <c r="B851" s="68"/>
      <c r="C851" s="68"/>
      <c r="D851" s="69">
        <v>45664</v>
      </c>
      <c r="E851" s="68">
        <v>879</v>
      </c>
      <c r="F851" s="69">
        <v>45664</v>
      </c>
      <c r="G851" s="58">
        <v>92427</v>
      </c>
      <c r="H851" s="70" t="s">
        <v>1100</v>
      </c>
      <c r="I851" s="7">
        <f t="shared" ca="1" si="6"/>
        <v>0</v>
      </c>
      <c r="J851" s="71">
        <v>45691</v>
      </c>
      <c r="K851" s="7"/>
    </row>
    <row r="852" spans="1:11" ht="14.25" customHeight="1">
      <c r="A852" s="14" t="s">
        <v>440</v>
      </c>
      <c r="B852" s="68"/>
      <c r="C852" s="68"/>
      <c r="D852" s="69">
        <v>45664</v>
      </c>
      <c r="E852" s="68">
        <v>880</v>
      </c>
      <c r="F852" s="100">
        <v>45661</v>
      </c>
      <c r="G852" s="58">
        <v>17612</v>
      </c>
      <c r="H852" s="70" t="s">
        <v>1100</v>
      </c>
      <c r="I852" s="7">
        <f t="shared" ca="1" si="6"/>
        <v>0</v>
      </c>
      <c r="J852" s="71">
        <v>45694</v>
      </c>
      <c r="K852" s="7"/>
    </row>
    <row r="853" spans="1:11" ht="14.25" customHeight="1">
      <c r="A853" s="68" t="s">
        <v>907</v>
      </c>
      <c r="B853" s="68"/>
      <c r="C853" s="68"/>
      <c r="D853" s="69">
        <v>45664</v>
      </c>
      <c r="E853" s="68">
        <v>881</v>
      </c>
      <c r="F853" s="69">
        <v>45664</v>
      </c>
      <c r="G853" s="58">
        <v>633636</v>
      </c>
      <c r="H853" s="70" t="s">
        <v>1100</v>
      </c>
      <c r="I853" s="7">
        <f t="shared" ca="1" si="6"/>
        <v>0</v>
      </c>
      <c r="J853" s="71">
        <v>45698</v>
      </c>
      <c r="K853" s="7"/>
    </row>
    <row r="854" spans="1:11" ht="14.25" customHeight="1">
      <c r="A854" s="68" t="s">
        <v>1280</v>
      </c>
      <c r="B854" s="68"/>
      <c r="C854" s="68"/>
      <c r="D854" s="69">
        <v>45664</v>
      </c>
      <c r="E854" s="68">
        <v>882</v>
      </c>
      <c r="F854" s="58"/>
      <c r="G854" s="58">
        <v>157734</v>
      </c>
      <c r="H854" s="70" t="s">
        <v>1100</v>
      </c>
      <c r="I854" s="7">
        <f t="shared" ca="1" si="6"/>
        <v>0</v>
      </c>
      <c r="J854" s="71">
        <v>45660</v>
      </c>
      <c r="K854" s="7"/>
    </row>
    <row r="855" spans="1:11" ht="14.25" customHeight="1">
      <c r="A855" s="14" t="s">
        <v>925</v>
      </c>
      <c r="B855" s="68"/>
      <c r="C855" s="68"/>
      <c r="D855" s="69">
        <v>45666</v>
      </c>
      <c r="E855" s="68">
        <v>883</v>
      </c>
      <c r="F855" s="69">
        <v>45665</v>
      </c>
      <c r="G855" s="58">
        <v>213867</v>
      </c>
      <c r="H855" s="70" t="s">
        <v>1100</v>
      </c>
      <c r="I855" s="7">
        <f t="shared" ca="1" si="6"/>
        <v>0</v>
      </c>
      <c r="J855" s="71">
        <v>45695</v>
      </c>
      <c r="K855" s="7"/>
    </row>
    <row r="856" spans="1:11" ht="14.25" customHeight="1">
      <c r="A856" s="68" t="s">
        <v>1362</v>
      </c>
      <c r="B856" s="68"/>
      <c r="C856" s="68"/>
      <c r="D856" s="69">
        <v>45303</v>
      </c>
      <c r="E856" s="68" t="s">
        <v>1293</v>
      </c>
      <c r="F856" s="69">
        <v>45671</v>
      </c>
      <c r="G856" s="58">
        <v>214000</v>
      </c>
      <c r="H856" s="70" t="s">
        <v>1100</v>
      </c>
      <c r="I856" s="7">
        <f t="shared" ca="1" si="6"/>
        <v>0</v>
      </c>
      <c r="J856" s="69">
        <v>45671</v>
      </c>
      <c r="K856" s="7"/>
    </row>
    <row r="857" spans="1:11" ht="14.25" customHeight="1">
      <c r="A857" s="68" t="s">
        <v>1363</v>
      </c>
      <c r="B857" s="68"/>
      <c r="C857" s="68"/>
      <c r="D857" s="69">
        <v>45671</v>
      </c>
      <c r="E857" s="68">
        <v>884</v>
      </c>
      <c r="F857" s="58"/>
      <c r="G857" s="58">
        <v>126694</v>
      </c>
      <c r="H857" s="70" t="s">
        <v>1267</v>
      </c>
      <c r="I857" s="7">
        <f t="shared" ca="1" si="6"/>
        <v>128</v>
      </c>
      <c r="J857" s="71"/>
      <c r="K857" s="7"/>
    </row>
    <row r="858" spans="1:11" ht="14.25" customHeight="1">
      <c r="A858" s="68" t="s">
        <v>937</v>
      </c>
      <c r="B858" s="68"/>
      <c r="C858" s="68"/>
      <c r="D858" s="69">
        <v>45671</v>
      </c>
      <c r="E858" s="68">
        <v>885</v>
      </c>
      <c r="G858" s="58">
        <v>292897</v>
      </c>
      <c r="H858" s="70" t="s">
        <v>1177</v>
      </c>
      <c r="I858" s="7">
        <f ca="1">IF(OR(H858="Pagado",H858="Anulada"),0,IF(ISNUMBER(E858),TODAY()-D858,TODAY()-F867))</f>
        <v>0</v>
      </c>
      <c r="J858" s="71"/>
      <c r="K858" s="7"/>
    </row>
    <row r="859" spans="1:11" ht="14.25" customHeight="1">
      <c r="A859" s="68" t="s">
        <v>1364</v>
      </c>
      <c r="B859" s="68"/>
      <c r="C859" s="68"/>
      <c r="D859" s="69">
        <v>45671</v>
      </c>
      <c r="E859" s="68">
        <v>886</v>
      </c>
      <c r="F859" s="69">
        <v>45674</v>
      </c>
      <c r="G859" s="58">
        <v>123842</v>
      </c>
      <c r="H859" s="70" t="s">
        <v>1100</v>
      </c>
      <c r="I859" s="7">
        <f t="shared" ref="I859:I866" ca="1" si="7">IF(OR(H859="Pagado",H859="Anulada"),0,IF(ISNUMBER(E859),TODAY()-D859,TODAY()-F859))</f>
        <v>0</v>
      </c>
      <c r="J859" s="71">
        <v>45700</v>
      </c>
      <c r="K859" s="7"/>
    </row>
    <row r="860" spans="1:11" ht="14.25" customHeight="1">
      <c r="A860" s="68" t="s">
        <v>1219</v>
      </c>
      <c r="B860" s="68"/>
      <c r="C860" s="68"/>
      <c r="D860" s="69">
        <v>45671</v>
      </c>
      <c r="E860" s="68">
        <v>887</v>
      </c>
      <c r="F860" s="69">
        <v>45674</v>
      </c>
      <c r="G860" s="58">
        <v>309704</v>
      </c>
      <c r="H860" s="70" t="s">
        <v>1100</v>
      </c>
      <c r="I860" s="7">
        <f t="shared" ca="1" si="7"/>
        <v>0</v>
      </c>
      <c r="J860" s="71">
        <v>45727</v>
      </c>
      <c r="K860" s="7"/>
    </row>
    <row r="861" spans="1:11" ht="14.25" customHeight="1">
      <c r="A861" s="68" t="s">
        <v>925</v>
      </c>
      <c r="B861" s="68"/>
      <c r="C861" s="68"/>
      <c r="D861" s="69">
        <v>45673</v>
      </c>
      <c r="E861" s="68">
        <v>889</v>
      </c>
      <c r="F861" s="69">
        <v>45672</v>
      </c>
      <c r="G861" s="58">
        <v>213867</v>
      </c>
      <c r="H861" s="70" t="s">
        <v>1100</v>
      </c>
      <c r="I861" s="7">
        <f t="shared" ca="1" si="7"/>
        <v>0</v>
      </c>
      <c r="J861" s="71">
        <v>45700</v>
      </c>
      <c r="K861" s="7"/>
    </row>
    <row r="862" spans="1:11" ht="14.25" customHeight="1">
      <c r="A862" s="68" t="s">
        <v>907</v>
      </c>
      <c r="B862" s="68"/>
      <c r="C862" s="68"/>
      <c r="D862" s="69">
        <v>45673</v>
      </c>
      <c r="E862" s="68">
        <v>888</v>
      </c>
      <c r="F862" s="69">
        <v>45672</v>
      </c>
      <c r="G862" s="58">
        <v>559080</v>
      </c>
      <c r="H862" s="70" t="s">
        <v>1100</v>
      </c>
      <c r="I862" s="7">
        <f t="shared" ca="1" si="7"/>
        <v>0</v>
      </c>
      <c r="J862" s="71">
        <v>45709</v>
      </c>
      <c r="K862" s="7"/>
    </row>
    <row r="863" spans="1:11" ht="14.25" customHeight="1">
      <c r="A863" s="68" t="s">
        <v>126</v>
      </c>
      <c r="B863" s="68"/>
      <c r="C863" s="68"/>
      <c r="D863" s="69">
        <v>45673</v>
      </c>
      <c r="E863" s="68">
        <v>890</v>
      </c>
      <c r="F863" s="69">
        <v>45673</v>
      </c>
      <c r="G863" s="58">
        <v>156339</v>
      </c>
      <c r="H863" s="70" t="s">
        <v>1100</v>
      </c>
      <c r="I863" s="7">
        <f t="shared" ca="1" si="7"/>
        <v>0</v>
      </c>
      <c r="J863" s="71">
        <v>45698</v>
      </c>
      <c r="K863" s="7"/>
    </row>
    <row r="864" spans="1:11" ht="14.25" customHeight="1">
      <c r="A864" s="68" t="s">
        <v>143</v>
      </c>
      <c r="B864" s="68"/>
      <c r="C864" s="68"/>
      <c r="D864" s="69">
        <v>45673</v>
      </c>
      <c r="E864" s="68">
        <v>891</v>
      </c>
      <c r="F864" s="69">
        <v>45673</v>
      </c>
      <c r="G864" s="58">
        <v>63414</v>
      </c>
      <c r="H864" s="70" t="s">
        <v>1267</v>
      </c>
      <c r="I864" s="7">
        <f t="shared" ca="1" si="7"/>
        <v>126</v>
      </c>
      <c r="J864" s="71"/>
      <c r="K864" s="7"/>
    </row>
    <row r="865" spans="1:11" ht="14.25" customHeight="1">
      <c r="A865" s="68" t="s">
        <v>360</v>
      </c>
      <c r="B865" s="68"/>
      <c r="C865" s="68"/>
      <c r="D865" s="69">
        <v>45675</v>
      </c>
      <c r="E865" s="68">
        <v>892</v>
      </c>
      <c r="F865" s="69">
        <v>45674</v>
      </c>
      <c r="G865" s="58">
        <v>221950</v>
      </c>
      <c r="H865" s="70" t="s">
        <v>1100</v>
      </c>
      <c r="I865" s="7">
        <f t="shared" ca="1" si="7"/>
        <v>0</v>
      </c>
      <c r="J865" s="71">
        <v>45732</v>
      </c>
      <c r="K865" s="7"/>
    </row>
    <row r="866" spans="1:11" ht="14.25" customHeight="1">
      <c r="A866" s="68" t="s">
        <v>925</v>
      </c>
      <c r="B866" s="68"/>
      <c r="C866" s="68"/>
      <c r="D866" s="69">
        <v>45675</v>
      </c>
      <c r="E866" s="68">
        <v>893</v>
      </c>
      <c r="F866" s="69">
        <v>45676</v>
      </c>
      <c r="G866" s="58">
        <v>213867</v>
      </c>
      <c r="H866" s="70" t="s">
        <v>1100</v>
      </c>
      <c r="I866" s="7">
        <f t="shared" ca="1" si="7"/>
        <v>0</v>
      </c>
      <c r="J866" s="71">
        <v>45726</v>
      </c>
      <c r="K866" s="7"/>
    </row>
    <row r="867" spans="1:11" ht="14.25" customHeight="1">
      <c r="A867" s="68" t="s">
        <v>937</v>
      </c>
      <c r="B867" s="68"/>
      <c r="C867" s="68"/>
      <c r="D867" s="69">
        <v>45679</v>
      </c>
      <c r="E867" s="68">
        <v>894</v>
      </c>
      <c r="F867" s="69">
        <v>45675</v>
      </c>
      <c r="G867" s="58">
        <v>221950</v>
      </c>
      <c r="H867" s="70" t="s">
        <v>1177</v>
      </c>
      <c r="I867" s="7">
        <f ca="1">IF(OR(H867="Pagado",H867="Anulada"),0,IF(ISNUMBER(E867),TODAY()-D867,TODAY()-#REF!))</f>
        <v>0</v>
      </c>
      <c r="J867" s="71"/>
      <c r="K867" s="7"/>
    </row>
    <row r="868" spans="1:11" ht="14.25" customHeight="1">
      <c r="A868" s="14" t="s">
        <v>944</v>
      </c>
      <c r="B868" s="68"/>
      <c r="C868" s="68"/>
      <c r="D868" s="69">
        <v>45679</v>
      </c>
      <c r="E868" s="68">
        <v>895</v>
      </c>
      <c r="F868" s="69">
        <v>45679</v>
      </c>
      <c r="G868" s="58">
        <v>187453</v>
      </c>
      <c r="H868" s="70" t="s">
        <v>1100</v>
      </c>
      <c r="I868" s="7">
        <f t="shared" ref="I868:I888" ca="1" si="8">IF(OR(H868="Pagado",H868="Anulada"),0,IF(ISNUMBER(E868),TODAY()-D868,TODAY()-F868))</f>
        <v>0</v>
      </c>
      <c r="J868" s="71">
        <v>45680</v>
      </c>
      <c r="K868" s="7"/>
    </row>
    <row r="869" spans="1:11" ht="14.25" customHeight="1">
      <c r="A869" s="14" t="s">
        <v>1270</v>
      </c>
      <c r="B869" s="68"/>
      <c r="C869" s="68"/>
      <c r="D869" s="69">
        <v>45680</v>
      </c>
      <c r="E869" s="68">
        <v>896</v>
      </c>
      <c r="F869" s="69">
        <v>45682</v>
      </c>
      <c r="G869" s="58">
        <v>131013</v>
      </c>
      <c r="H869" s="70" t="s">
        <v>1267</v>
      </c>
      <c r="I869" s="7">
        <f t="shared" ca="1" si="8"/>
        <v>119</v>
      </c>
      <c r="J869" s="71"/>
      <c r="K869" s="7"/>
    </row>
    <row r="870" spans="1:11" ht="14.25" customHeight="1">
      <c r="A870" s="68" t="s">
        <v>226</v>
      </c>
      <c r="B870" s="68"/>
      <c r="C870" s="68"/>
      <c r="D870" s="69">
        <v>45684</v>
      </c>
      <c r="E870" s="68">
        <v>897</v>
      </c>
      <c r="F870" s="69">
        <v>45680</v>
      </c>
      <c r="G870" s="58">
        <v>193033</v>
      </c>
      <c r="H870" s="70" t="s">
        <v>1100</v>
      </c>
      <c r="I870" s="7">
        <f t="shared" ca="1" si="8"/>
        <v>0</v>
      </c>
      <c r="J870" s="71">
        <v>45723</v>
      </c>
      <c r="K870" s="7"/>
    </row>
    <row r="871" spans="1:11" ht="14.25" customHeight="1">
      <c r="A871" s="68" t="s">
        <v>1052</v>
      </c>
      <c r="D871" s="69">
        <v>45685</v>
      </c>
      <c r="E871" s="68">
        <v>900</v>
      </c>
      <c r="F871" s="69"/>
      <c r="G871" s="58">
        <v>123388</v>
      </c>
      <c r="H871" s="70" t="s">
        <v>1100</v>
      </c>
      <c r="I871" s="7">
        <f t="shared" ca="1" si="8"/>
        <v>0</v>
      </c>
      <c r="J871" s="71">
        <v>45723</v>
      </c>
      <c r="K871" s="7">
        <f>4.5*48</f>
        <v>216</v>
      </c>
    </row>
    <row r="872" spans="1:11" ht="14.25" customHeight="1">
      <c r="A872" s="68" t="s">
        <v>1285</v>
      </c>
      <c r="B872" s="68"/>
      <c r="C872" s="68"/>
      <c r="D872" s="69">
        <v>45685</v>
      </c>
      <c r="E872" s="68">
        <v>898</v>
      </c>
      <c r="F872" s="58"/>
      <c r="G872" s="58">
        <v>125520</v>
      </c>
      <c r="H872" s="70" t="s">
        <v>1100</v>
      </c>
      <c r="I872" s="7">
        <f t="shared" ca="1" si="8"/>
        <v>0</v>
      </c>
      <c r="J872" s="71">
        <v>45693</v>
      </c>
      <c r="K872" s="7"/>
    </row>
    <row r="873" spans="1:11" ht="14.25" customHeight="1">
      <c r="A873" s="68" t="s">
        <v>470</v>
      </c>
      <c r="B873" s="68"/>
      <c r="C873" s="68"/>
      <c r="D873" s="69">
        <v>45685</v>
      </c>
      <c r="E873" s="68">
        <v>899</v>
      </c>
      <c r="F873" s="69"/>
      <c r="G873" s="58">
        <v>125433</v>
      </c>
      <c r="H873" s="70" t="s">
        <v>1267</v>
      </c>
      <c r="I873" s="7">
        <f t="shared" ca="1" si="8"/>
        <v>114</v>
      </c>
      <c r="J873" s="71"/>
      <c r="K873" s="7"/>
    </row>
    <row r="874" spans="1:11" ht="14.25" customHeight="1">
      <c r="A874" s="68" t="s">
        <v>1056</v>
      </c>
      <c r="B874" s="68"/>
      <c r="C874" s="68"/>
      <c r="D874" s="69">
        <v>45681</v>
      </c>
      <c r="E874" s="68" t="s">
        <v>1221</v>
      </c>
      <c r="F874" s="69">
        <v>45681</v>
      </c>
      <c r="G874" s="58">
        <v>175000</v>
      </c>
      <c r="H874" s="70" t="s">
        <v>1100</v>
      </c>
      <c r="I874" s="7">
        <f t="shared" ca="1" si="8"/>
        <v>0</v>
      </c>
      <c r="J874" s="71">
        <v>45691</v>
      </c>
      <c r="K874" s="7"/>
    </row>
    <row r="875" spans="1:11" ht="14.25" customHeight="1">
      <c r="A875" s="68" t="s">
        <v>1272</v>
      </c>
      <c r="B875" s="68"/>
      <c r="C875" s="68"/>
      <c r="D875" s="69">
        <v>45686</v>
      </c>
      <c r="E875" s="68">
        <v>901</v>
      </c>
      <c r="F875" s="69"/>
      <c r="G875" s="58">
        <v>211501</v>
      </c>
      <c r="H875" s="70" t="s">
        <v>1100</v>
      </c>
      <c r="I875" s="7">
        <f t="shared" ca="1" si="8"/>
        <v>0</v>
      </c>
      <c r="J875" s="71">
        <v>45726</v>
      </c>
      <c r="K875" s="7" t="s">
        <v>1365</v>
      </c>
    </row>
    <row r="876" spans="1:11" ht="14.25" customHeight="1">
      <c r="A876" s="68" t="s">
        <v>1235</v>
      </c>
      <c r="B876" s="68"/>
      <c r="C876" s="68"/>
      <c r="D876" s="69">
        <v>45687</v>
      </c>
      <c r="E876" s="68">
        <v>902</v>
      </c>
      <c r="F876" s="69">
        <v>45685</v>
      </c>
      <c r="G876" s="58">
        <v>154351</v>
      </c>
      <c r="H876" s="70" t="s">
        <v>1100</v>
      </c>
      <c r="I876" s="7">
        <f t="shared" ca="1" si="8"/>
        <v>0</v>
      </c>
      <c r="J876" s="71">
        <v>45903</v>
      </c>
      <c r="K876" s="7"/>
    </row>
    <row r="877" spans="1:11" ht="14.25" customHeight="1">
      <c r="A877" s="15" t="s">
        <v>925</v>
      </c>
      <c r="B877" s="68"/>
      <c r="C877" s="68"/>
      <c r="D877" s="69">
        <v>45687</v>
      </c>
      <c r="E877" s="68">
        <v>903</v>
      </c>
      <c r="F877" s="69">
        <v>45685</v>
      </c>
      <c r="G877" s="58">
        <v>213867</v>
      </c>
      <c r="H877" s="70" t="s">
        <v>1100</v>
      </c>
      <c r="I877" s="7">
        <f t="shared" ca="1" si="8"/>
        <v>0</v>
      </c>
      <c r="J877" s="71">
        <v>45726</v>
      </c>
      <c r="K877" s="7"/>
    </row>
    <row r="878" spans="1:11" ht="14.25" customHeight="1">
      <c r="A878" s="68" t="s">
        <v>907</v>
      </c>
      <c r="B878" s="68"/>
      <c r="C878" s="68"/>
      <c r="D878" s="69">
        <v>45687</v>
      </c>
      <c r="E878" s="68">
        <v>904</v>
      </c>
      <c r="F878" s="69">
        <v>45686</v>
      </c>
      <c r="G878" s="58">
        <v>441684</v>
      </c>
      <c r="H878" s="70" t="s">
        <v>1100</v>
      </c>
      <c r="I878" s="7">
        <f t="shared" ca="1" si="8"/>
        <v>0</v>
      </c>
      <c r="J878" s="71">
        <v>45723</v>
      </c>
      <c r="K878" s="7"/>
    </row>
    <row r="879" spans="1:11" ht="14.25" customHeight="1">
      <c r="A879" s="68" t="s">
        <v>634</v>
      </c>
      <c r="B879" s="68"/>
      <c r="C879" s="68"/>
      <c r="D879" s="69">
        <v>45691</v>
      </c>
      <c r="E879" s="68">
        <v>905</v>
      </c>
      <c r="F879" s="58"/>
      <c r="G879" s="58">
        <v>128223</v>
      </c>
      <c r="H879" s="70" t="s">
        <v>1100</v>
      </c>
      <c r="I879" s="7">
        <f t="shared" ca="1" si="8"/>
        <v>0</v>
      </c>
      <c r="J879" s="71">
        <v>45719</v>
      </c>
      <c r="K879" s="7"/>
    </row>
    <row r="880" spans="1:11" ht="14.25" customHeight="1">
      <c r="A880" s="68" t="s">
        <v>1120</v>
      </c>
      <c r="B880" s="68"/>
      <c r="C880" s="68"/>
      <c r="D880" s="69">
        <v>45691</v>
      </c>
      <c r="E880" s="68">
        <v>906</v>
      </c>
      <c r="F880" s="58"/>
      <c r="G880" s="58">
        <v>125930</v>
      </c>
      <c r="H880" s="70" t="s">
        <v>1267</v>
      </c>
      <c r="I880" s="7">
        <f t="shared" ca="1" si="8"/>
        <v>108</v>
      </c>
      <c r="J880" s="71"/>
      <c r="K880" s="7"/>
    </row>
    <row r="881" spans="1:11" ht="14.25" customHeight="1">
      <c r="A881" s="68" t="s">
        <v>126</v>
      </c>
      <c r="B881" s="68"/>
      <c r="C881" s="68"/>
      <c r="D881" s="69">
        <v>45691</v>
      </c>
      <c r="E881" s="68">
        <v>907</v>
      </c>
      <c r="F881" s="58"/>
      <c r="G881" s="58">
        <v>399447</v>
      </c>
      <c r="H881" s="70" t="s">
        <v>1100</v>
      </c>
      <c r="I881" s="7">
        <f t="shared" ca="1" si="8"/>
        <v>0</v>
      </c>
      <c r="J881" s="71">
        <v>45705</v>
      </c>
      <c r="K881" s="7"/>
    </row>
    <row r="882" spans="1:11" ht="14.25" customHeight="1">
      <c r="A882" s="68" t="s">
        <v>1088</v>
      </c>
      <c r="B882" s="68"/>
      <c r="C882" s="68"/>
      <c r="D882" s="69">
        <v>45691</v>
      </c>
      <c r="E882" s="68">
        <v>908</v>
      </c>
      <c r="F882" s="69">
        <v>45691</v>
      </c>
      <c r="G882" s="58">
        <v>226135</v>
      </c>
      <c r="H882" s="70" t="s">
        <v>1267</v>
      </c>
      <c r="I882" s="7">
        <f t="shared" ca="1" si="8"/>
        <v>108</v>
      </c>
      <c r="J882" s="71"/>
      <c r="K882" s="7"/>
    </row>
    <row r="883" spans="1:11" ht="14.25" customHeight="1">
      <c r="A883" s="14" t="s">
        <v>143</v>
      </c>
      <c r="B883" s="68"/>
      <c r="C883" s="68"/>
      <c r="D883" s="69">
        <v>45691</v>
      </c>
      <c r="E883" s="68">
        <v>909</v>
      </c>
      <c r="F883" s="69"/>
      <c r="G883" s="58">
        <v>99306</v>
      </c>
      <c r="H883" s="70" t="s">
        <v>1267</v>
      </c>
      <c r="I883" s="7">
        <f t="shared" ca="1" si="8"/>
        <v>108</v>
      </c>
      <c r="J883" s="71"/>
      <c r="K883" s="7"/>
    </row>
    <row r="884" spans="1:11" ht="14.25" customHeight="1">
      <c r="A884" s="14" t="s">
        <v>1345</v>
      </c>
      <c r="B884" s="68"/>
      <c r="C884" s="68"/>
      <c r="D884" s="69">
        <v>45692</v>
      </c>
      <c r="E884" s="68">
        <v>910</v>
      </c>
      <c r="F884" s="58"/>
      <c r="G884" s="58">
        <v>186555</v>
      </c>
      <c r="H884" s="70" t="s">
        <v>1100</v>
      </c>
      <c r="I884" s="7">
        <f t="shared" ca="1" si="8"/>
        <v>0</v>
      </c>
      <c r="J884" s="71">
        <v>45705</v>
      </c>
      <c r="K884" s="7"/>
    </row>
    <row r="885" spans="1:11" ht="14.25" customHeight="1">
      <c r="A885" s="68" t="s">
        <v>883</v>
      </c>
      <c r="B885" s="68"/>
      <c r="C885" s="68"/>
      <c r="D885" s="69">
        <v>45692</v>
      </c>
      <c r="E885" s="68">
        <v>911</v>
      </c>
      <c r="F885" s="58"/>
      <c r="G885" s="58">
        <v>145786</v>
      </c>
      <c r="H885" s="70" t="s">
        <v>1267</v>
      </c>
      <c r="I885" s="7">
        <f t="shared" ca="1" si="8"/>
        <v>107</v>
      </c>
      <c r="J885" s="71"/>
      <c r="K885" s="7"/>
    </row>
    <row r="886" spans="1:11" ht="14.25" customHeight="1">
      <c r="A886" s="68" t="s">
        <v>251</v>
      </c>
      <c r="B886" s="68"/>
      <c r="C886" s="68"/>
      <c r="D886" s="69">
        <v>45692</v>
      </c>
      <c r="E886" s="68">
        <v>912</v>
      </c>
      <c r="F886" s="58"/>
      <c r="G886" s="58">
        <v>263021</v>
      </c>
      <c r="H886" s="70" t="s">
        <v>1267</v>
      </c>
      <c r="I886" s="7">
        <f t="shared" ca="1" si="8"/>
        <v>107</v>
      </c>
      <c r="J886" s="71"/>
      <c r="K886" s="7"/>
    </row>
    <row r="887" spans="1:11" ht="14.25" customHeight="1">
      <c r="A887" s="14" t="s">
        <v>1315</v>
      </c>
      <c r="B887" s="68"/>
      <c r="C887" s="68"/>
      <c r="D887" s="69">
        <v>45692</v>
      </c>
      <c r="E887" s="68">
        <v>913</v>
      </c>
      <c r="F887" s="58"/>
      <c r="G887" s="58">
        <v>130315</v>
      </c>
      <c r="H887" s="70" t="s">
        <v>1100</v>
      </c>
      <c r="I887" s="7">
        <f t="shared" ca="1" si="8"/>
        <v>0</v>
      </c>
      <c r="J887" s="71">
        <v>45729</v>
      </c>
      <c r="K887" s="7"/>
    </row>
    <row r="888" spans="1:11" ht="14.25" customHeight="1">
      <c r="A888" s="14" t="s">
        <v>925</v>
      </c>
      <c r="B888" s="68"/>
      <c r="C888" s="68"/>
      <c r="D888" s="69">
        <v>45693</v>
      </c>
      <c r="E888" s="68">
        <v>914</v>
      </c>
      <c r="F888" s="69">
        <v>45662</v>
      </c>
      <c r="G888" s="58">
        <v>96471</v>
      </c>
      <c r="H888" s="70" t="s">
        <v>1100</v>
      </c>
      <c r="I888" s="7">
        <f t="shared" ca="1" si="8"/>
        <v>0</v>
      </c>
      <c r="J888" s="71">
        <v>45728</v>
      </c>
      <c r="K888" s="7"/>
    </row>
    <row r="889" spans="1:11" ht="14.25" customHeight="1">
      <c r="A889" s="14" t="s">
        <v>1366</v>
      </c>
      <c r="B889" s="68"/>
      <c r="C889" s="68"/>
      <c r="D889" s="69">
        <v>45691</v>
      </c>
      <c r="E889" s="68" t="s">
        <v>1221</v>
      </c>
      <c r="F889" s="69"/>
      <c r="G889" s="58">
        <v>68000</v>
      </c>
      <c r="H889" s="70" t="s">
        <v>1267</v>
      </c>
      <c r="I889" s="7"/>
      <c r="J889" s="71"/>
      <c r="K889" s="7"/>
    </row>
    <row r="890" spans="1:11" ht="14.25" customHeight="1">
      <c r="A890" s="14" t="s">
        <v>547</v>
      </c>
      <c r="B890" s="68"/>
      <c r="C890" s="68"/>
      <c r="D890" s="69">
        <v>45694</v>
      </c>
      <c r="E890" s="68">
        <v>916</v>
      </c>
      <c r="F890" s="58"/>
      <c r="G890" s="58">
        <v>118955</v>
      </c>
      <c r="H890" s="70" t="s">
        <v>1044</v>
      </c>
      <c r="I890" s="7">
        <f t="shared" ref="I890:I938" ca="1" si="9">IF(OR(H890="Pagado",H890="Anulada"),0,IF(ISNUMBER(E890),TODAY()-D890,TODAY()-F890))</f>
        <v>0</v>
      </c>
      <c r="J890" s="71"/>
      <c r="K890" s="7"/>
    </row>
    <row r="891" spans="1:11" ht="14.25" customHeight="1">
      <c r="A891" s="68" t="s">
        <v>1367</v>
      </c>
      <c r="B891" s="68"/>
      <c r="C891" s="68"/>
      <c r="D891" s="69">
        <v>45694</v>
      </c>
      <c r="E891" s="68" t="s">
        <v>1221</v>
      </c>
      <c r="F891" s="58"/>
      <c r="G891" s="58">
        <v>200000</v>
      </c>
      <c r="H891" s="70" t="s">
        <v>1100</v>
      </c>
      <c r="I891" s="7">
        <f t="shared" ca="1" si="9"/>
        <v>0</v>
      </c>
      <c r="J891" s="71">
        <v>45694</v>
      </c>
      <c r="K891" s="7" t="s">
        <v>1368</v>
      </c>
    </row>
    <row r="892" spans="1:11" ht="14.25" customHeight="1">
      <c r="A892" s="68" t="s">
        <v>937</v>
      </c>
      <c r="B892" s="68"/>
      <c r="C892" s="68"/>
      <c r="D892" s="69">
        <v>45695</v>
      </c>
      <c r="E892" s="68">
        <v>917</v>
      </c>
      <c r="F892" s="69">
        <v>45675</v>
      </c>
      <c r="G892" s="58">
        <v>193033</v>
      </c>
      <c r="H892" s="70" t="s">
        <v>1267</v>
      </c>
      <c r="I892" s="7">
        <f t="shared" ca="1" si="9"/>
        <v>104</v>
      </c>
      <c r="J892" s="71"/>
      <c r="K892" s="7"/>
    </row>
    <row r="893" spans="1:11" ht="14.25" customHeight="1">
      <c r="A893" s="14" t="s">
        <v>1369</v>
      </c>
      <c r="B893" s="68"/>
      <c r="C893" s="68"/>
      <c r="D893" s="69">
        <v>45695</v>
      </c>
      <c r="E893" s="68">
        <v>918</v>
      </c>
      <c r="F893" s="69"/>
      <c r="G893" s="58">
        <v>124535</v>
      </c>
      <c r="H893" s="70" t="s">
        <v>1100</v>
      </c>
      <c r="I893" s="7">
        <f t="shared" ca="1" si="9"/>
        <v>0</v>
      </c>
      <c r="J893" s="71">
        <v>45729</v>
      </c>
      <c r="K893" s="7"/>
    </row>
    <row r="894" spans="1:11" ht="14.25" customHeight="1">
      <c r="A894" s="14" t="s">
        <v>907</v>
      </c>
      <c r="B894" s="68"/>
      <c r="C894" s="68"/>
      <c r="D894" s="69">
        <v>45696</v>
      </c>
      <c r="E894" s="68">
        <v>919</v>
      </c>
      <c r="F894" s="69">
        <v>45696</v>
      </c>
      <c r="G894" s="58">
        <v>559080</v>
      </c>
      <c r="H894" s="70" t="s">
        <v>1100</v>
      </c>
      <c r="I894" s="7">
        <f t="shared" ca="1" si="9"/>
        <v>0</v>
      </c>
      <c r="J894" s="71">
        <v>45733</v>
      </c>
      <c r="K894" s="7"/>
    </row>
    <row r="895" spans="1:11" ht="14.25" customHeight="1">
      <c r="A895" s="14" t="s">
        <v>1068</v>
      </c>
      <c r="B895" s="68"/>
      <c r="C895" s="68"/>
      <c r="D895" s="69">
        <v>45698</v>
      </c>
      <c r="E895" s="68">
        <v>920</v>
      </c>
      <c r="F895" s="58"/>
      <c r="G895" s="58">
        <v>849625</v>
      </c>
      <c r="H895" s="70" t="s">
        <v>1100</v>
      </c>
      <c r="I895" s="7">
        <f t="shared" ca="1" si="9"/>
        <v>0</v>
      </c>
      <c r="J895" s="71">
        <v>45728</v>
      </c>
      <c r="K895" s="7"/>
    </row>
    <row r="896" spans="1:11" ht="14.25" customHeight="1">
      <c r="A896" s="68" t="s">
        <v>1370</v>
      </c>
      <c r="B896" s="68"/>
      <c r="C896" s="68"/>
      <c r="D896" s="69">
        <v>45699</v>
      </c>
      <c r="E896" s="68">
        <v>921</v>
      </c>
      <c r="F896" s="69"/>
      <c r="G896" s="58">
        <v>155896</v>
      </c>
      <c r="H896" s="70" t="s">
        <v>1267</v>
      </c>
      <c r="I896" s="7">
        <f t="shared" ca="1" si="9"/>
        <v>100</v>
      </c>
      <c r="J896" s="71"/>
      <c r="K896" s="7"/>
    </row>
    <row r="897" spans="1:15" ht="14.25" customHeight="1">
      <c r="A897" s="68" t="s">
        <v>919</v>
      </c>
      <c r="B897" s="68"/>
      <c r="C897" s="68"/>
      <c r="D897" s="69">
        <v>45705</v>
      </c>
      <c r="E897" s="68">
        <v>922</v>
      </c>
      <c r="F897" s="69"/>
      <c r="G897" s="58">
        <v>252759</v>
      </c>
      <c r="H897" s="70" t="s">
        <v>1267</v>
      </c>
      <c r="I897" s="7">
        <f t="shared" ca="1" si="9"/>
        <v>94</v>
      </c>
      <c r="J897" s="71"/>
      <c r="K897" s="7"/>
    </row>
    <row r="898" spans="1:15" ht="14.25" customHeight="1">
      <c r="A898" s="68" t="s">
        <v>126</v>
      </c>
      <c r="B898" s="68"/>
      <c r="C898" s="68"/>
      <c r="D898" s="69">
        <v>45705</v>
      </c>
      <c r="E898" s="68">
        <v>923</v>
      </c>
      <c r="F898" s="58"/>
      <c r="G898" s="58">
        <v>215664</v>
      </c>
      <c r="H898" s="70" t="s">
        <v>1267</v>
      </c>
      <c r="I898" s="7">
        <f t="shared" ca="1" si="9"/>
        <v>94</v>
      </c>
      <c r="J898" s="71"/>
      <c r="K898" s="7"/>
    </row>
    <row r="899" spans="1:15" ht="14.25" customHeight="1">
      <c r="A899" s="68" t="s">
        <v>1225</v>
      </c>
      <c r="B899" s="68"/>
      <c r="C899" s="68"/>
      <c r="D899" s="69">
        <v>45705</v>
      </c>
      <c r="E899" s="68">
        <v>924</v>
      </c>
      <c r="F899" s="58"/>
      <c r="G899" s="58">
        <v>186555</v>
      </c>
      <c r="H899" s="70" t="s">
        <v>1267</v>
      </c>
      <c r="I899" s="7">
        <f t="shared" ca="1" si="9"/>
        <v>94</v>
      </c>
      <c r="J899" s="71"/>
      <c r="K899" s="7"/>
    </row>
    <row r="900" spans="1:15" ht="14.25" customHeight="1">
      <c r="A900" s="68" t="s">
        <v>1357</v>
      </c>
      <c r="B900" s="68"/>
      <c r="C900" s="68"/>
      <c r="D900" s="69">
        <v>45705</v>
      </c>
      <c r="E900" s="68">
        <v>925</v>
      </c>
      <c r="F900" s="58"/>
      <c r="G900" s="58">
        <v>310192</v>
      </c>
      <c r="H900" s="70" t="s">
        <v>1267</v>
      </c>
      <c r="I900" s="7">
        <f t="shared" ca="1" si="9"/>
        <v>94</v>
      </c>
      <c r="J900" s="71"/>
      <c r="K900" s="7"/>
    </row>
    <row r="901" spans="1:15" ht="14.25" customHeight="1">
      <c r="A901" s="68" t="s">
        <v>126</v>
      </c>
      <c r="B901" s="68"/>
      <c r="C901" s="68"/>
      <c r="D901" s="69">
        <v>45705</v>
      </c>
      <c r="E901" s="68">
        <v>926</v>
      </c>
      <c r="F901" s="58"/>
      <c r="G901" s="58">
        <v>220412</v>
      </c>
      <c r="H901" s="70" t="s">
        <v>1100</v>
      </c>
      <c r="I901" s="7">
        <f t="shared" ca="1" si="9"/>
        <v>0</v>
      </c>
      <c r="J901" s="71">
        <v>45726</v>
      </c>
      <c r="K901" s="7"/>
    </row>
    <row r="902" spans="1:15" ht="14.25" customHeight="1">
      <c r="A902" s="68" t="s">
        <v>907</v>
      </c>
      <c r="B902" s="68"/>
      <c r="C902" s="68"/>
      <c r="D902" s="69">
        <v>45705</v>
      </c>
      <c r="E902" s="68">
        <v>927</v>
      </c>
      <c r="F902" s="100">
        <v>45702</v>
      </c>
      <c r="G902" s="58">
        <v>324288</v>
      </c>
      <c r="H902" s="70" t="s">
        <v>1177</v>
      </c>
      <c r="I902" s="7">
        <f t="shared" ca="1" si="9"/>
        <v>0</v>
      </c>
      <c r="J902" s="71"/>
      <c r="K902" s="7"/>
    </row>
    <row r="903" spans="1:15" ht="14.25" customHeight="1">
      <c r="A903" s="68" t="s">
        <v>925</v>
      </c>
      <c r="B903" s="68"/>
      <c r="C903" s="68"/>
      <c r="D903" s="69">
        <v>45705</v>
      </c>
      <c r="E903" s="68">
        <v>928</v>
      </c>
      <c r="F903" s="100">
        <v>45702</v>
      </c>
      <c r="G903" s="58">
        <v>117396</v>
      </c>
      <c r="H903" s="70" t="s">
        <v>1100</v>
      </c>
      <c r="I903" s="7">
        <f t="shared" ca="1" si="9"/>
        <v>0</v>
      </c>
      <c r="J903" s="71">
        <v>45735</v>
      </c>
      <c r="K903" s="7"/>
    </row>
    <row r="904" spans="1:15" ht="14.25" customHeight="1">
      <c r="A904" s="68" t="s">
        <v>1305</v>
      </c>
      <c r="B904" s="68"/>
      <c r="C904" s="68"/>
      <c r="D904" s="69">
        <v>45707</v>
      </c>
      <c r="E904" s="68">
        <v>929</v>
      </c>
      <c r="F904" s="58"/>
      <c r="G904" s="58">
        <v>128022</v>
      </c>
      <c r="H904" s="70" t="s">
        <v>1100</v>
      </c>
      <c r="I904" s="7">
        <f t="shared" ca="1" si="9"/>
        <v>0</v>
      </c>
      <c r="J904" s="71">
        <v>45733</v>
      </c>
      <c r="K904" s="7"/>
    </row>
    <row r="905" spans="1:15" ht="14.25" customHeight="1">
      <c r="A905" s="68" t="s">
        <v>907</v>
      </c>
      <c r="B905" s="68"/>
      <c r="C905" s="68"/>
      <c r="D905" s="69">
        <v>45707</v>
      </c>
      <c r="E905" s="68">
        <v>930</v>
      </c>
      <c r="F905" s="99">
        <v>45979</v>
      </c>
      <c r="G905" s="58">
        <v>220842</v>
      </c>
      <c r="H905" s="70" t="s">
        <v>1100</v>
      </c>
      <c r="I905" s="7">
        <f t="shared" ca="1" si="9"/>
        <v>0</v>
      </c>
      <c r="J905" s="71">
        <v>45737</v>
      </c>
      <c r="K905" s="7"/>
    </row>
    <row r="906" spans="1:15" ht="14.25" customHeight="1">
      <c r="A906" s="68" t="s">
        <v>226</v>
      </c>
      <c r="B906" s="68"/>
      <c r="C906" s="68"/>
      <c r="D906" s="69">
        <v>45708</v>
      </c>
      <c r="E906" s="68">
        <v>931</v>
      </c>
      <c r="F906" s="58"/>
      <c r="G906" s="58">
        <v>249071</v>
      </c>
      <c r="H906" s="70" t="s">
        <v>1100</v>
      </c>
      <c r="I906" s="7">
        <f t="shared" ca="1" si="9"/>
        <v>0</v>
      </c>
      <c r="J906" s="71"/>
      <c r="K906" s="7" t="s">
        <v>1371</v>
      </c>
    </row>
    <row r="907" spans="1:15" ht="14.25" customHeight="1">
      <c r="A907" s="68" t="s">
        <v>1183</v>
      </c>
      <c r="B907" s="68"/>
      <c r="C907" s="68"/>
      <c r="D907" s="69">
        <v>45708</v>
      </c>
      <c r="E907" s="68">
        <v>932</v>
      </c>
      <c r="F907" s="58"/>
      <c r="G907" s="58">
        <v>256447</v>
      </c>
      <c r="H907" s="70" t="s">
        <v>1177</v>
      </c>
      <c r="I907" s="7">
        <f t="shared" ca="1" si="9"/>
        <v>0</v>
      </c>
      <c r="J907" s="71"/>
      <c r="K907" s="7" t="s">
        <v>1372</v>
      </c>
      <c r="O907" s="91">
        <f>4890*0.7</f>
        <v>3423</v>
      </c>
    </row>
    <row r="908" spans="1:15" ht="14.25" customHeight="1">
      <c r="A908" s="68" t="s">
        <v>565</v>
      </c>
      <c r="B908" s="68"/>
      <c r="C908" s="68"/>
      <c r="D908" s="69">
        <v>45708</v>
      </c>
      <c r="E908" s="68">
        <v>933</v>
      </c>
      <c r="F908" s="58"/>
      <c r="G908" s="58">
        <v>227530</v>
      </c>
      <c r="H908" s="70" t="s">
        <v>1267</v>
      </c>
      <c r="I908" s="7">
        <f t="shared" ca="1" si="9"/>
        <v>91</v>
      </c>
      <c r="J908" s="71"/>
      <c r="K908" s="7"/>
    </row>
    <row r="909" spans="1:15" ht="14.25" customHeight="1">
      <c r="A909" s="68" t="s">
        <v>907</v>
      </c>
      <c r="B909" s="68"/>
      <c r="C909" s="68"/>
      <c r="D909" s="69">
        <v>45708</v>
      </c>
      <c r="E909" s="68">
        <v>934</v>
      </c>
      <c r="F909" s="58"/>
      <c r="G909" s="58">
        <v>338238</v>
      </c>
      <c r="H909" s="70" t="s">
        <v>1100</v>
      </c>
      <c r="I909" s="7">
        <f t="shared" ca="1" si="9"/>
        <v>0</v>
      </c>
      <c r="J909" s="71">
        <v>45744</v>
      </c>
      <c r="K909" s="7"/>
    </row>
    <row r="910" spans="1:15" ht="14.25" customHeight="1">
      <c r="A910" s="68" t="s">
        <v>925</v>
      </c>
      <c r="B910" s="68"/>
      <c r="C910" s="68"/>
      <c r="D910" s="69">
        <v>45708</v>
      </c>
      <c r="E910" s="68">
        <v>935</v>
      </c>
      <c r="F910" s="58"/>
      <c r="G910" s="58">
        <v>220842</v>
      </c>
      <c r="H910" s="70" t="s">
        <v>1100</v>
      </c>
      <c r="I910" s="7">
        <f t="shared" ca="1" si="9"/>
        <v>0</v>
      </c>
      <c r="J910" s="71">
        <v>45736</v>
      </c>
      <c r="K910" s="7"/>
    </row>
    <row r="911" spans="1:15" ht="14.25" customHeight="1">
      <c r="A911" s="68" t="s">
        <v>440</v>
      </c>
      <c r="B911" s="68"/>
      <c r="C911" s="68"/>
      <c r="D911" s="69">
        <v>45709</v>
      </c>
      <c r="E911" s="68">
        <v>936</v>
      </c>
      <c r="F911" s="58"/>
      <c r="G911" s="58">
        <v>310192</v>
      </c>
      <c r="H911" s="70" t="s">
        <v>1177</v>
      </c>
      <c r="I911" s="7">
        <f t="shared" ca="1" si="9"/>
        <v>0</v>
      </c>
      <c r="J911" s="71"/>
      <c r="K911" s="7"/>
    </row>
    <row r="912" spans="1:15" ht="14.25" customHeight="1">
      <c r="A912" s="68" t="s">
        <v>440</v>
      </c>
      <c r="B912" s="68"/>
      <c r="C912" s="68"/>
      <c r="D912" s="69">
        <v>45712</v>
      </c>
      <c r="E912" s="68">
        <v>937</v>
      </c>
      <c r="F912" s="58"/>
      <c r="G912" s="58">
        <v>189345</v>
      </c>
      <c r="H912" s="70" t="s">
        <v>1267</v>
      </c>
      <c r="I912" s="7">
        <f t="shared" ca="1" si="9"/>
        <v>87</v>
      </c>
      <c r="J912" s="71"/>
      <c r="K912" s="7"/>
    </row>
    <row r="913" spans="1:11" ht="14.25" customHeight="1">
      <c r="A913" s="68" t="s">
        <v>1280</v>
      </c>
      <c r="B913" s="68"/>
      <c r="C913" s="68"/>
      <c r="D913" s="69">
        <v>45713</v>
      </c>
      <c r="E913" s="68">
        <v>938</v>
      </c>
      <c r="F913" s="58"/>
      <c r="G913" s="58">
        <v>125032</v>
      </c>
      <c r="H913" s="70" t="s">
        <v>1267</v>
      </c>
      <c r="I913" s="7">
        <f t="shared" ca="1" si="9"/>
        <v>86</v>
      </c>
      <c r="J913" s="71"/>
      <c r="K913" s="7"/>
    </row>
    <row r="914" spans="1:11" ht="14.25" customHeight="1">
      <c r="A914" s="68" t="s">
        <v>937</v>
      </c>
      <c r="B914" s="68"/>
      <c r="C914" s="68"/>
      <c r="D914" s="92">
        <v>45679</v>
      </c>
      <c r="E914" s="70">
        <v>939</v>
      </c>
      <c r="F914" s="92">
        <v>45675</v>
      </c>
      <c r="G914" s="58">
        <v>199754</v>
      </c>
      <c r="H914" s="70" t="s">
        <v>1177</v>
      </c>
      <c r="I914" s="7">
        <f t="shared" ca="1" si="9"/>
        <v>0</v>
      </c>
      <c r="J914" s="71"/>
      <c r="K914" s="7"/>
    </row>
    <row r="915" spans="1:11" ht="14.25" customHeight="1">
      <c r="A915" s="68" t="s">
        <v>907</v>
      </c>
      <c r="B915" s="68"/>
      <c r="C915" s="68"/>
      <c r="D915" s="69">
        <v>45713</v>
      </c>
      <c r="E915" s="68">
        <v>940</v>
      </c>
      <c r="F915" s="69">
        <v>45713</v>
      </c>
      <c r="G915" s="58">
        <v>234792</v>
      </c>
      <c r="H915" s="70" t="s">
        <v>1100</v>
      </c>
      <c r="I915" s="7">
        <f t="shared" ca="1" si="9"/>
        <v>0</v>
      </c>
      <c r="J915" s="71">
        <v>45744</v>
      </c>
      <c r="K915" s="7"/>
    </row>
    <row r="916" spans="1:11" ht="14.25" customHeight="1">
      <c r="A916" s="68" t="s">
        <v>1342</v>
      </c>
      <c r="B916" s="68"/>
      <c r="C916" s="68"/>
      <c r="D916" s="69">
        <v>45715</v>
      </c>
      <c r="E916" s="68">
        <v>941</v>
      </c>
      <c r="F916" s="58"/>
      <c r="G916" s="58">
        <v>153950</v>
      </c>
      <c r="H916" s="70" t="s">
        <v>1267</v>
      </c>
      <c r="I916" s="7">
        <f t="shared" ca="1" si="9"/>
        <v>84</v>
      </c>
      <c r="J916" s="71"/>
      <c r="K916" s="7"/>
    </row>
    <row r="917" spans="1:11" ht="14.25" customHeight="1">
      <c r="A917" s="68" t="s">
        <v>1344</v>
      </c>
      <c r="B917" s="68"/>
      <c r="C917" s="68"/>
      <c r="D917" s="69">
        <v>45720</v>
      </c>
      <c r="E917" s="68" t="s">
        <v>1293</v>
      </c>
      <c r="F917" s="58"/>
      <c r="G917" s="58">
        <v>1722550</v>
      </c>
      <c r="H917" s="70" t="s">
        <v>1100</v>
      </c>
      <c r="I917" s="7">
        <f t="shared" ca="1" si="9"/>
        <v>0</v>
      </c>
      <c r="J917" s="71">
        <v>45720</v>
      </c>
      <c r="K917" s="7" t="s">
        <v>1373</v>
      </c>
    </row>
    <row r="918" spans="1:11" ht="14.25" customHeight="1">
      <c r="A918" s="68" t="s">
        <v>1344</v>
      </c>
      <c r="B918" s="68"/>
      <c r="C918" s="68"/>
      <c r="D918" s="69">
        <v>45720</v>
      </c>
      <c r="E918" s="68" t="s">
        <v>1320</v>
      </c>
      <c r="F918" s="58"/>
      <c r="G918" s="58">
        <v>98000</v>
      </c>
      <c r="H918" s="70" t="s">
        <v>1100</v>
      </c>
      <c r="I918" s="7">
        <f t="shared" ca="1" si="9"/>
        <v>0</v>
      </c>
      <c r="J918" s="71"/>
      <c r="K918" s="7" t="s">
        <v>1374</v>
      </c>
    </row>
    <row r="919" spans="1:11" ht="14.25" customHeight="1">
      <c r="A919" s="68" t="s">
        <v>1077</v>
      </c>
      <c r="B919" s="68"/>
      <c r="C919" s="68"/>
      <c r="D919" s="69">
        <v>45720</v>
      </c>
      <c r="E919" s="68">
        <v>942</v>
      </c>
      <c r="F919" s="69">
        <v>45716</v>
      </c>
      <c r="G919" s="58">
        <v>234792</v>
      </c>
      <c r="H919" s="70" t="s">
        <v>1177</v>
      </c>
      <c r="I919" s="7">
        <f t="shared" ca="1" si="9"/>
        <v>0</v>
      </c>
      <c r="J919" s="71"/>
      <c r="K919" s="7" t="s">
        <v>1375</v>
      </c>
    </row>
    <row r="920" spans="1:11" ht="14.25" customHeight="1">
      <c r="A920" s="68" t="s">
        <v>126</v>
      </c>
      <c r="B920" s="68"/>
      <c r="C920" s="68"/>
      <c r="D920" s="69">
        <v>45720</v>
      </c>
      <c r="E920" s="68">
        <v>943</v>
      </c>
      <c r="F920" s="69">
        <v>45720</v>
      </c>
      <c r="G920" s="58">
        <v>285460</v>
      </c>
      <c r="H920" s="70" t="s">
        <v>1267</v>
      </c>
      <c r="I920" s="7">
        <f t="shared" ca="1" si="9"/>
        <v>79</v>
      </c>
      <c r="J920" s="71"/>
      <c r="K920" s="7"/>
    </row>
    <row r="921" spans="1:11" ht="14.25" customHeight="1">
      <c r="A921" s="68" t="s">
        <v>126</v>
      </c>
      <c r="B921" s="68"/>
      <c r="C921" s="68"/>
      <c r="D921" s="69">
        <v>45720</v>
      </c>
      <c r="E921" s="68">
        <v>944</v>
      </c>
      <c r="F921" s="69">
        <v>45720</v>
      </c>
      <c r="G921" s="58">
        <v>135198</v>
      </c>
      <c r="H921" s="70" t="s">
        <v>1267</v>
      </c>
      <c r="I921" s="7">
        <f t="shared" ca="1" si="9"/>
        <v>79</v>
      </c>
      <c r="J921" s="71"/>
      <c r="K921" s="7"/>
    </row>
    <row r="922" spans="1:11" ht="14.25" customHeight="1">
      <c r="A922" s="68" t="s">
        <v>1225</v>
      </c>
      <c r="B922" s="68"/>
      <c r="C922" s="68"/>
      <c r="D922" s="69">
        <v>45720</v>
      </c>
      <c r="E922" s="68">
        <v>945</v>
      </c>
      <c r="F922" s="58"/>
      <c r="G922" s="58">
        <v>524765</v>
      </c>
      <c r="H922" s="70" t="s">
        <v>1267</v>
      </c>
      <c r="I922" s="7">
        <f t="shared" ca="1" si="9"/>
        <v>79</v>
      </c>
      <c r="J922" s="71"/>
      <c r="K922" s="7"/>
    </row>
    <row r="923" spans="1:11" ht="14.25" customHeight="1">
      <c r="A923" s="68" t="s">
        <v>1268</v>
      </c>
      <c r="B923" s="68"/>
      <c r="C923" s="68"/>
      <c r="D923" s="69">
        <v>45720</v>
      </c>
      <c r="E923" s="68">
        <v>946</v>
      </c>
      <c r="F923" s="58"/>
      <c r="G923" s="58">
        <v>131510</v>
      </c>
      <c r="H923" s="70" t="s">
        <v>1267</v>
      </c>
      <c r="I923" s="7">
        <f t="shared" ca="1" si="9"/>
        <v>79</v>
      </c>
      <c r="J923" s="71"/>
      <c r="K923" s="7"/>
    </row>
    <row r="924" spans="1:11" ht="14.25" customHeight="1">
      <c r="A924" s="68" t="s">
        <v>937</v>
      </c>
      <c r="B924" s="68"/>
      <c r="C924" s="68"/>
      <c r="D924" s="92">
        <v>45679</v>
      </c>
      <c r="E924" s="68">
        <v>948</v>
      </c>
      <c r="F924" s="92">
        <v>45675</v>
      </c>
      <c r="G924" s="58">
        <v>173729</v>
      </c>
      <c r="H924" s="70" t="s">
        <v>1100</v>
      </c>
      <c r="I924" s="7">
        <f t="shared" ca="1" si="9"/>
        <v>0</v>
      </c>
      <c r="J924" s="71">
        <v>45750</v>
      </c>
      <c r="K924" s="7" t="s">
        <v>1376</v>
      </c>
    </row>
    <row r="925" spans="1:11" ht="14.25" customHeight="1">
      <c r="A925" s="101" t="s">
        <v>937</v>
      </c>
      <c r="B925" s="68"/>
      <c r="C925" s="68"/>
      <c r="D925" s="69">
        <v>45721</v>
      </c>
      <c r="E925" s="68">
        <v>949</v>
      </c>
      <c r="F925" s="58"/>
      <c r="G925" s="58">
        <v>127325</v>
      </c>
      <c r="H925" s="70" t="s">
        <v>1100</v>
      </c>
      <c r="I925" s="7">
        <f t="shared" ca="1" si="9"/>
        <v>0</v>
      </c>
      <c r="J925" s="71">
        <v>45933</v>
      </c>
      <c r="K925" s="7"/>
    </row>
    <row r="926" spans="1:11" ht="14.25" customHeight="1">
      <c r="A926" s="68" t="s">
        <v>907</v>
      </c>
      <c r="B926" s="68"/>
      <c r="C926" s="68"/>
      <c r="D926" s="69">
        <v>45722</v>
      </c>
      <c r="E926" s="68">
        <v>950</v>
      </c>
      <c r="F926" s="69">
        <v>45722</v>
      </c>
      <c r="G926" s="58">
        <v>676476</v>
      </c>
      <c r="H926" s="70" t="s">
        <v>1267</v>
      </c>
      <c r="I926" s="7">
        <f t="shared" ca="1" si="9"/>
        <v>77</v>
      </c>
      <c r="J926" s="71"/>
      <c r="K926" s="7"/>
    </row>
    <row r="927" spans="1:11" ht="14.25" customHeight="1">
      <c r="A927" s="101" t="s">
        <v>1270</v>
      </c>
      <c r="B927" s="68"/>
      <c r="C927" s="68"/>
      <c r="D927" s="69">
        <v>45726</v>
      </c>
      <c r="E927" s="68">
        <v>951</v>
      </c>
      <c r="F927" s="58"/>
      <c r="G927" s="58">
        <v>125193</v>
      </c>
      <c r="H927" s="70" t="s">
        <v>1267</v>
      </c>
      <c r="I927" s="7">
        <f t="shared" ca="1" si="9"/>
        <v>73</v>
      </c>
      <c r="J927" s="71"/>
      <c r="K927" s="7"/>
    </row>
    <row r="928" spans="1:11" ht="14.25" customHeight="1">
      <c r="A928" s="68" t="s">
        <v>1208</v>
      </c>
      <c r="B928" s="68"/>
      <c r="C928" s="68"/>
      <c r="D928" s="69">
        <v>45726</v>
      </c>
      <c r="E928" s="68">
        <v>952</v>
      </c>
      <c r="F928" s="58"/>
      <c r="G928" s="58">
        <v>122364</v>
      </c>
      <c r="H928" s="70" t="s">
        <v>1267</v>
      </c>
      <c r="I928" s="7">
        <f t="shared" ca="1" si="9"/>
        <v>73</v>
      </c>
      <c r="J928" s="71"/>
      <c r="K928" s="7"/>
    </row>
    <row r="929" spans="1:11" ht="14.25" customHeight="1">
      <c r="A929" s="68" t="s">
        <v>1377</v>
      </c>
      <c r="B929" s="68"/>
      <c r="C929" s="68"/>
      <c r="D929" s="69">
        <v>45722</v>
      </c>
      <c r="E929" s="68" t="s">
        <v>1195</v>
      </c>
      <c r="F929" s="69">
        <v>45724</v>
      </c>
      <c r="G929" s="58">
        <v>170000</v>
      </c>
      <c r="H929" s="70" t="s">
        <v>1100</v>
      </c>
      <c r="I929" s="7">
        <f t="shared" ca="1" si="9"/>
        <v>0</v>
      </c>
      <c r="J929" s="71">
        <v>45722</v>
      </c>
      <c r="K929" s="7" t="s">
        <v>1378</v>
      </c>
    </row>
    <row r="930" spans="1:11" ht="14.25" customHeight="1">
      <c r="A930" s="68" t="s">
        <v>925</v>
      </c>
      <c r="B930" s="68"/>
      <c r="C930" s="68"/>
      <c r="D930" s="69">
        <v>45728</v>
      </c>
      <c r="E930" s="68">
        <v>956</v>
      </c>
      <c r="F930" s="69">
        <v>45727</v>
      </c>
      <c r="G930" s="58">
        <v>117396</v>
      </c>
      <c r="H930" s="70" t="s">
        <v>1267</v>
      </c>
      <c r="I930" s="7">
        <f t="shared" ca="1" si="9"/>
        <v>71</v>
      </c>
      <c r="J930" s="71"/>
      <c r="K930" s="7"/>
    </row>
    <row r="931" spans="1:11" ht="14.25" customHeight="1">
      <c r="A931" s="68" t="s">
        <v>1088</v>
      </c>
      <c r="B931" s="68"/>
      <c r="C931" s="68"/>
      <c r="D931" s="69">
        <v>45736</v>
      </c>
      <c r="E931" s="68">
        <v>964</v>
      </c>
      <c r="F931" s="58"/>
      <c r="G931" s="58">
        <v>126828</v>
      </c>
      <c r="H931" s="70" t="s">
        <v>1267</v>
      </c>
      <c r="I931" s="7">
        <f t="shared" ca="1" si="9"/>
        <v>63</v>
      </c>
      <c r="J931" s="71"/>
      <c r="K931" s="7"/>
    </row>
    <row r="932" spans="1:11" ht="14.25" customHeight="1">
      <c r="A932" s="68" t="s">
        <v>1379</v>
      </c>
      <c r="B932" s="68"/>
      <c r="C932" s="68"/>
      <c r="D932" s="69">
        <v>45726</v>
      </c>
      <c r="E932" s="68">
        <v>953</v>
      </c>
      <c r="F932" s="58"/>
      <c r="G932" s="58">
        <v>173617</v>
      </c>
      <c r="H932" s="70" t="s">
        <v>1267</v>
      </c>
      <c r="I932" s="7">
        <f t="shared" ca="1" si="9"/>
        <v>73</v>
      </c>
      <c r="J932" s="71"/>
      <c r="K932" s="7"/>
    </row>
    <row r="933" spans="1:11" ht="14.25" customHeight="1">
      <c r="A933" s="68" t="s">
        <v>1272</v>
      </c>
      <c r="B933" s="68"/>
      <c r="C933" s="68"/>
      <c r="D933" s="69">
        <v>45727</v>
      </c>
      <c r="E933" s="68">
        <v>954</v>
      </c>
      <c r="F933" s="58"/>
      <c r="G933" s="58">
        <v>256447</v>
      </c>
      <c r="H933" s="70" t="s">
        <v>1267</v>
      </c>
      <c r="I933" s="7">
        <f t="shared" ca="1" si="9"/>
        <v>72</v>
      </c>
      <c r="J933" s="71"/>
      <c r="K933" s="7"/>
    </row>
    <row r="934" spans="1:11" ht="14.25" customHeight="1">
      <c r="A934" s="68" t="s">
        <v>1056</v>
      </c>
      <c r="B934" s="68"/>
      <c r="C934" s="68"/>
      <c r="D934" s="69">
        <v>45724</v>
      </c>
      <c r="E934" s="68" t="s">
        <v>1195</v>
      </c>
      <c r="F934" s="69">
        <v>45724</v>
      </c>
      <c r="G934" s="58">
        <v>150000</v>
      </c>
      <c r="H934" s="70" t="s">
        <v>1100</v>
      </c>
      <c r="I934" s="7">
        <f t="shared" ca="1" si="9"/>
        <v>0</v>
      </c>
      <c r="J934" s="71">
        <v>45734</v>
      </c>
      <c r="K934" s="7"/>
    </row>
    <row r="935" spans="1:11" ht="14.25" customHeight="1">
      <c r="A935" s="68" t="s">
        <v>907</v>
      </c>
      <c r="B935" s="68"/>
      <c r="C935" s="68"/>
      <c r="D935" s="69">
        <v>45727</v>
      </c>
      <c r="E935" s="68">
        <v>955</v>
      </c>
      <c r="F935" s="69">
        <v>45727</v>
      </c>
      <c r="G935" s="58">
        <v>220842</v>
      </c>
      <c r="H935" s="70" t="s">
        <v>1267</v>
      </c>
      <c r="I935" s="7">
        <f t="shared" ca="1" si="9"/>
        <v>72</v>
      </c>
      <c r="J935" s="71"/>
      <c r="K935" s="7"/>
    </row>
    <row r="936" spans="1:11" ht="14.25" customHeight="1">
      <c r="A936" s="68" t="s">
        <v>226</v>
      </c>
      <c r="B936" s="68"/>
      <c r="C936" s="68"/>
      <c r="D936" s="69">
        <v>45733</v>
      </c>
      <c r="E936" s="68">
        <v>957</v>
      </c>
      <c r="F936" s="69">
        <v>45733</v>
      </c>
      <c r="G936" s="58">
        <v>256447</v>
      </c>
      <c r="H936" s="70" t="s">
        <v>1267</v>
      </c>
      <c r="I936" s="7">
        <f t="shared" ca="1" si="9"/>
        <v>66</v>
      </c>
      <c r="J936" s="71"/>
      <c r="K936" s="7"/>
    </row>
    <row r="937" spans="1:11" ht="14.25" customHeight="1">
      <c r="A937" s="68" t="s">
        <v>126</v>
      </c>
      <c r="B937" s="68"/>
      <c r="C937" s="68"/>
      <c r="D937" s="69">
        <v>45733</v>
      </c>
      <c r="E937" s="68">
        <v>958</v>
      </c>
      <c r="F937" s="69">
        <v>45733</v>
      </c>
      <c r="G937" s="58">
        <v>103491</v>
      </c>
      <c r="H937" s="70" t="s">
        <v>1267</v>
      </c>
      <c r="I937" s="7">
        <f t="shared" ca="1" si="9"/>
        <v>66</v>
      </c>
      <c r="J937" s="71"/>
      <c r="K937" s="7"/>
    </row>
    <row r="938" spans="1:11" ht="14.25" customHeight="1">
      <c r="A938" s="68" t="s">
        <v>646</v>
      </c>
      <c r="B938" s="68"/>
      <c r="C938" s="68"/>
      <c r="D938" s="69">
        <v>45733</v>
      </c>
      <c r="E938" s="68">
        <v>959</v>
      </c>
      <c r="F938" s="58"/>
      <c r="G938" s="58">
        <v>79844</v>
      </c>
      <c r="H938" s="70" t="s">
        <v>1177</v>
      </c>
      <c r="I938" s="7">
        <f t="shared" ca="1" si="9"/>
        <v>0</v>
      </c>
      <c r="J938" s="71"/>
      <c r="K938" s="7" t="s">
        <v>1380</v>
      </c>
    </row>
    <row r="939" spans="1:11" ht="14.25" customHeight="1">
      <c r="A939" s="68" t="s">
        <v>1056</v>
      </c>
      <c r="B939" s="68"/>
      <c r="C939" s="68"/>
      <c r="D939" s="69">
        <v>45733</v>
      </c>
      <c r="E939" s="68" t="s">
        <v>1195</v>
      </c>
      <c r="F939" s="58"/>
      <c r="G939" s="58"/>
      <c r="H939" s="70" t="s">
        <v>1267</v>
      </c>
      <c r="I939" s="7"/>
      <c r="J939" s="71"/>
      <c r="K939" s="7"/>
    </row>
    <row r="940" spans="1:11" ht="14.25" customHeight="1">
      <c r="A940" s="68" t="s">
        <v>907</v>
      </c>
      <c r="B940" s="68"/>
      <c r="C940" s="68"/>
      <c r="D940" s="69">
        <v>45734</v>
      </c>
      <c r="E940" s="68">
        <v>960</v>
      </c>
      <c r="F940" s="69">
        <v>45734</v>
      </c>
      <c r="G940" s="58">
        <v>455634</v>
      </c>
      <c r="H940" s="70" t="s">
        <v>1267</v>
      </c>
      <c r="I940" s="7">
        <f t="shared" ref="I940:I951" ca="1" si="10">IF(OR(H940="Pagado",H940="Anulada"),0,IF(ISNUMBER(E940),TODAY()-D940,TODAY()-F940))</f>
        <v>65</v>
      </c>
      <c r="J940" s="71"/>
      <c r="K940" s="7"/>
    </row>
    <row r="941" spans="1:11" ht="14.25" customHeight="1">
      <c r="A941" s="68" t="s">
        <v>1367</v>
      </c>
      <c r="B941" s="68"/>
      <c r="C941" s="68"/>
      <c r="D941" s="69">
        <v>45734</v>
      </c>
      <c r="E941" s="68" t="s">
        <v>1221</v>
      </c>
      <c r="F941" s="69">
        <v>45734</v>
      </c>
      <c r="G941" s="58">
        <v>200000</v>
      </c>
      <c r="H941" s="70" t="s">
        <v>1100</v>
      </c>
      <c r="I941" s="7">
        <f t="shared" ca="1" si="10"/>
        <v>0</v>
      </c>
      <c r="J941" s="69">
        <v>45734</v>
      </c>
      <c r="K941" s="7" t="s">
        <v>1368</v>
      </c>
    </row>
    <row r="942" spans="1:11" ht="14.25" customHeight="1">
      <c r="A942" s="68" t="s">
        <v>646</v>
      </c>
      <c r="B942" s="68"/>
      <c r="C942" s="68"/>
      <c r="D942" s="69">
        <v>45734</v>
      </c>
      <c r="E942" s="68">
        <v>961</v>
      </c>
      <c r="F942" s="69">
        <v>45734</v>
      </c>
      <c r="G942" s="58">
        <v>70443</v>
      </c>
      <c r="H942" s="70" t="s">
        <v>1267</v>
      </c>
      <c r="I942" s="7">
        <f t="shared" ca="1" si="10"/>
        <v>65</v>
      </c>
      <c r="J942" s="71"/>
      <c r="K942" s="7"/>
    </row>
    <row r="943" spans="1:11" ht="14.25" customHeight="1">
      <c r="A943" s="68" t="s">
        <v>1381</v>
      </c>
      <c r="B943" s="68"/>
      <c r="C943" s="68"/>
      <c r="D943" s="69">
        <v>45735</v>
      </c>
      <c r="E943" s="68">
        <v>962</v>
      </c>
      <c r="F943" s="58"/>
      <c r="G943" s="58">
        <v>124535</v>
      </c>
      <c r="H943" s="70" t="s">
        <v>1267</v>
      </c>
      <c r="I943" s="7">
        <f t="shared" ca="1" si="10"/>
        <v>64</v>
      </c>
      <c r="J943" s="71"/>
      <c r="K943" s="7"/>
    </row>
    <row r="944" spans="1:11" ht="14.25" customHeight="1">
      <c r="A944" s="68" t="s">
        <v>1382</v>
      </c>
      <c r="B944" s="68"/>
      <c r="C944" s="68"/>
      <c r="D944" s="69">
        <v>45736</v>
      </c>
      <c r="E944" s="68">
        <v>963</v>
      </c>
      <c r="F944" s="58"/>
      <c r="G944" s="58">
        <v>162915</v>
      </c>
      <c r="H944" s="70" t="s">
        <v>1267</v>
      </c>
      <c r="I944" s="7">
        <f t="shared" ca="1" si="10"/>
        <v>63</v>
      </c>
      <c r="J944" s="71"/>
      <c r="K944" s="7"/>
    </row>
    <row r="945" spans="1:11" ht="14.25" customHeight="1">
      <c r="A945" s="68" t="s">
        <v>1077</v>
      </c>
      <c r="B945" s="68"/>
      <c r="C945" s="68"/>
      <c r="D945" s="69">
        <v>45737</v>
      </c>
      <c r="E945" s="68">
        <v>964</v>
      </c>
      <c r="F945" s="69">
        <v>45734</v>
      </c>
      <c r="G945" s="58">
        <v>206892</v>
      </c>
      <c r="H945" s="70" t="s">
        <v>1100</v>
      </c>
      <c r="I945" s="7">
        <f t="shared" ca="1" si="10"/>
        <v>0</v>
      </c>
      <c r="J945" s="71">
        <v>45740</v>
      </c>
      <c r="K945" s="7"/>
    </row>
    <row r="946" spans="1:11" ht="14.25" customHeight="1">
      <c r="A946" s="68" t="s">
        <v>1383</v>
      </c>
      <c r="B946" s="68"/>
      <c r="C946" s="68"/>
      <c r="D946" s="69">
        <v>45737</v>
      </c>
      <c r="E946" s="68">
        <v>966</v>
      </c>
      <c r="F946" s="58"/>
      <c r="G946" s="58">
        <v>115405</v>
      </c>
      <c r="H946" s="70" t="s">
        <v>1267</v>
      </c>
      <c r="I946" s="7">
        <f t="shared" ca="1" si="10"/>
        <v>62</v>
      </c>
      <c r="J946" s="71"/>
      <c r="K946" s="7"/>
    </row>
    <row r="947" spans="1:11" ht="14.25" customHeight="1">
      <c r="A947" s="68" t="s">
        <v>1369</v>
      </c>
      <c r="B947" s="68"/>
      <c r="C947" s="68"/>
      <c r="D947" s="69">
        <v>45740</v>
      </c>
      <c r="E947" s="68">
        <v>967</v>
      </c>
      <c r="F947" s="69">
        <v>45740</v>
      </c>
      <c r="G947" s="58">
        <v>131013</v>
      </c>
      <c r="H947" s="70" t="s">
        <v>1267</v>
      </c>
      <c r="I947" s="7">
        <f t="shared" ca="1" si="10"/>
        <v>59</v>
      </c>
      <c r="J947" s="71"/>
      <c r="K947" s="7"/>
    </row>
    <row r="948" spans="1:11" ht="14.25" customHeight="1">
      <c r="A948" s="68" t="s">
        <v>547</v>
      </c>
      <c r="B948" s="68"/>
      <c r="C948" s="68"/>
      <c r="D948" s="69">
        <v>45740</v>
      </c>
      <c r="E948" s="68">
        <v>968</v>
      </c>
      <c r="F948" s="69">
        <v>45740</v>
      </c>
      <c r="G948" s="58">
        <v>122643</v>
      </c>
      <c r="H948" s="70" t="s">
        <v>1100</v>
      </c>
      <c r="I948" s="7">
        <f t="shared" ca="1" si="10"/>
        <v>0</v>
      </c>
      <c r="J948" s="71">
        <v>45740</v>
      </c>
      <c r="K948" s="7"/>
    </row>
    <row r="949" spans="1:11" ht="14.25" customHeight="1">
      <c r="A949" s="68" t="s">
        <v>1384</v>
      </c>
      <c r="B949" s="68"/>
      <c r="C949" s="68"/>
      <c r="D949" s="69">
        <v>45741</v>
      </c>
      <c r="E949" s="68">
        <v>969</v>
      </c>
      <c r="F949" s="58"/>
      <c r="G949" s="58">
        <v>137988</v>
      </c>
      <c r="H949" s="70" t="s">
        <v>1267</v>
      </c>
      <c r="I949" s="7">
        <f t="shared" ca="1" si="10"/>
        <v>58</v>
      </c>
      <c r="J949" s="71"/>
      <c r="K949" s="7"/>
    </row>
    <row r="950" spans="1:11" ht="14.25" customHeight="1">
      <c r="A950" s="68" t="s">
        <v>126</v>
      </c>
      <c r="B950" s="68"/>
      <c r="C950" s="68"/>
      <c r="D950" s="69">
        <v>45742</v>
      </c>
      <c r="E950" s="68">
        <v>970</v>
      </c>
      <c r="F950" s="58"/>
      <c r="G950" s="58">
        <v>297518</v>
      </c>
      <c r="H950" s="70" t="s">
        <v>1267</v>
      </c>
      <c r="I950" s="7">
        <f t="shared" ca="1" si="10"/>
        <v>57</v>
      </c>
      <c r="J950" s="71"/>
      <c r="K950" s="7"/>
    </row>
    <row r="951" spans="1:11" ht="14.25" customHeight="1">
      <c r="A951" s="68" t="s">
        <v>883</v>
      </c>
      <c r="B951" s="68"/>
      <c r="C951" s="68"/>
      <c r="D951" s="69">
        <v>45742</v>
      </c>
      <c r="E951" s="68">
        <v>971</v>
      </c>
      <c r="F951" s="58"/>
      <c r="G951" s="58">
        <v>123637</v>
      </c>
      <c r="H951" s="70" t="s">
        <v>1267</v>
      </c>
      <c r="I951" s="7">
        <f t="shared" ca="1" si="10"/>
        <v>57</v>
      </c>
      <c r="J951" s="71"/>
      <c r="K951" s="7"/>
    </row>
    <row r="952" spans="1:11" ht="14.25" customHeight="1">
      <c r="A952" s="68" t="s">
        <v>1183</v>
      </c>
      <c r="B952" s="68"/>
      <c r="C952" s="68"/>
      <c r="D952" s="69">
        <v>45742</v>
      </c>
      <c r="E952" s="68">
        <v>972</v>
      </c>
      <c r="F952" s="69">
        <v>45708</v>
      </c>
      <c r="G952" s="58">
        <v>256447</v>
      </c>
      <c r="H952" s="70" t="s">
        <v>1267</v>
      </c>
      <c r="I952" s="7">
        <v>35</v>
      </c>
      <c r="J952" s="71"/>
      <c r="K952" s="7" t="s">
        <v>1385</v>
      </c>
    </row>
    <row r="953" spans="1:11" ht="14.25" customHeight="1">
      <c r="A953" s="68" t="s">
        <v>907</v>
      </c>
      <c r="B953" s="68"/>
      <c r="C953" s="68"/>
      <c r="D953" s="69">
        <v>45745</v>
      </c>
      <c r="E953" s="68">
        <v>973</v>
      </c>
      <c r="F953" s="69">
        <v>45745</v>
      </c>
      <c r="G953" s="58">
        <v>324288</v>
      </c>
      <c r="H953" s="70" t="s">
        <v>1267</v>
      </c>
      <c r="I953" s="7">
        <f ca="1">IF(OR(H953="Pagado",H953="Anulada"),0,IF(ISNUMBER(E953),TODAY()-D953,TODAY()-F953))</f>
        <v>54</v>
      </c>
      <c r="J953" s="71"/>
      <c r="K953" s="7"/>
    </row>
    <row r="954" spans="1:11" ht="14.25" customHeight="1">
      <c r="A954" s="68" t="s">
        <v>1357</v>
      </c>
      <c r="B954" s="68"/>
      <c r="C954" s="68"/>
      <c r="D954" s="69">
        <v>45745</v>
      </c>
      <c r="E954" s="68">
        <v>974</v>
      </c>
      <c r="F954" s="69">
        <v>45744</v>
      </c>
      <c r="G954" s="58">
        <v>306504</v>
      </c>
      <c r="H954" s="70" t="s">
        <v>1267</v>
      </c>
      <c r="I954" s="7"/>
      <c r="J954" s="71"/>
      <c r="K954" s="7"/>
    </row>
    <row r="955" spans="1:11" ht="14.25" customHeight="1">
      <c r="A955" s="68"/>
      <c r="B955" s="68"/>
      <c r="C955" s="68"/>
      <c r="D955" s="69"/>
      <c r="E955" s="68"/>
      <c r="F955" s="58"/>
      <c r="G955" s="58"/>
      <c r="H955" s="70"/>
      <c r="I955" s="7"/>
      <c r="J955" s="71"/>
      <c r="K955" s="7"/>
    </row>
    <row r="956" spans="1:11" ht="14.25" customHeight="1">
      <c r="A956" s="68"/>
      <c r="B956" s="68"/>
      <c r="C956" s="68"/>
      <c r="D956" s="69"/>
      <c r="E956" s="68"/>
      <c r="F956" s="58"/>
      <c r="G956" s="58"/>
      <c r="H956" s="70"/>
      <c r="I956" s="7"/>
      <c r="J956" s="71"/>
      <c r="K956" s="7"/>
    </row>
    <row r="957" spans="1:11" ht="14.25" customHeight="1">
      <c r="A957" s="68"/>
      <c r="B957" s="68"/>
      <c r="C957" s="68"/>
      <c r="D957" s="69"/>
      <c r="E957" s="68"/>
      <c r="F957" s="58"/>
      <c r="G957" s="58"/>
      <c r="H957" s="70"/>
      <c r="I957" s="7"/>
      <c r="J957" s="71"/>
      <c r="K957" s="7"/>
    </row>
    <row r="958" spans="1:11" ht="14.25" customHeight="1">
      <c r="A958" s="68"/>
      <c r="B958" s="68"/>
      <c r="C958" s="68"/>
      <c r="D958" s="69"/>
      <c r="E958" s="68"/>
      <c r="F958" s="58"/>
      <c r="G958" s="58"/>
      <c r="H958" s="70"/>
      <c r="I958" s="7"/>
      <c r="J958" s="71"/>
      <c r="K958" s="7"/>
    </row>
    <row r="959" spans="1:11" ht="14.25" customHeight="1">
      <c r="A959" s="68"/>
      <c r="B959" s="68"/>
      <c r="C959" s="68"/>
      <c r="D959" s="69"/>
      <c r="E959" s="68"/>
      <c r="F959" s="58"/>
      <c r="G959" s="58"/>
      <c r="H959" s="70"/>
      <c r="I959" s="7"/>
      <c r="J959" s="71"/>
      <c r="K959" s="7"/>
    </row>
    <row r="960" spans="1:11" ht="14.25" customHeight="1">
      <c r="A960" s="68"/>
      <c r="B960" s="68"/>
      <c r="C960" s="68"/>
      <c r="D960" s="69"/>
      <c r="E960" s="68"/>
      <c r="F960" s="58"/>
      <c r="G960" s="58"/>
      <c r="H960" s="70"/>
      <c r="I960" s="7"/>
      <c r="J960" s="71"/>
      <c r="K960" s="7"/>
    </row>
    <row r="961" spans="1:11" ht="14.25" customHeight="1">
      <c r="A961" s="68"/>
      <c r="B961" s="68"/>
      <c r="C961" s="68"/>
      <c r="D961" s="69"/>
      <c r="E961" s="68"/>
      <c r="F961" s="58"/>
      <c r="G961" s="58"/>
      <c r="H961" s="70"/>
      <c r="I961" s="7"/>
      <c r="J961" s="71"/>
      <c r="K961" s="7"/>
    </row>
    <row r="962" spans="1:11" ht="14.25" customHeight="1">
      <c r="A962" s="68"/>
      <c r="B962" s="68"/>
      <c r="C962" s="68"/>
      <c r="D962" s="69"/>
      <c r="E962" s="68"/>
      <c r="F962" s="58"/>
      <c r="G962" s="58"/>
      <c r="H962" s="70"/>
      <c r="I962" s="7"/>
      <c r="J962" s="71"/>
      <c r="K962" s="7"/>
    </row>
    <row r="963" spans="1:11" ht="14.25" customHeight="1">
      <c r="A963" s="68"/>
      <c r="B963" s="68"/>
      <c r="C963" s="68"/>
      <c r="D963" s="69"/>
      <c r="E963" s="68"/>
      <c r="F963" s="58"/>
      <c r="G963" s="58"/>
      <c r="H963" s="70"/>
      <c r="I963" s="7"/>
      <c r="J963" s="71"/>
      <c r="K963" s="7"/>
    </row>
    <row r="964" spans="1:11" ht="14.25" customHeight="1">
      <c r="A964" s="68"/>
      <c r="B964" s="68"/>
      <c r="C964" s="68"/>
      <c r="D964" s="69"/>
      <c r="E964" s="68"/>
      <c r="F964" s="58"/>
      <c r="G964" s="58"/>
      <c r="H964" s="70"/>
      <c r="I964" s="7"/>
      <c r="J964" s="71"/>
      <c r="K964" s="7"/>
    </row>
    <row r="965" spans="1:11" ht="14.25" customHeight="1">
      <c r="A965" s="68"/>
      <c r="B965" s="68"/>
      <c r="C965" s="68"/>
      <c r="D965" s="69"/>
      <c r="E965" s="68"/>
      <c r="F965" s="58"/>
      <c r="G965" s="58"/>
      <c r="H965" s="70"/>
      <c r="I965" s="7"/>
      <c r="J965" s="71"/>
      <c r="K965" s="7"/>
    </row>
    <row r="966" spans="1:11" ht="14.25" customHeight="1">
      <c r="A966" s="68"/>
      <c r="B966" s="68"/>
      <c r="C966" s="68"/>
      <c r="D966" s="69"/>
      <c r="E966" s="68"/>
      <c r="F966" s="58"/>
      <c r="G966" s="58"/>
      <c r="H966" s="70"/>
      <c r="I966" s="7"/>
      <c r="J966" s="71"/>
      <c r="K966" s="7"/>
    </row>
    <row r="967" spans="1:11" ht="14.25" customHeight="1">
      <c r="A967" s="68"/>
      <c r="B967" s="68"/>
      <c r="C967" s="68"/>
      <c r="D967" s="69"/>
      <c r="E967" s="68"/>
      <c r="F967" s="58"/>
      <c r="G967" s="58"/>
      <c r="H967" s="70"/>
      <c r="I967" s="7"/>
      <c r="J967" s="71"/>
      <c r="K967" s="7"/>
    </row>
    <row r="968" spans="1:11" ht="14.25" customHeight="1">
      <c r="A968" s="68"/>
      <c r="B968" s="68"/>
      <c r="C968" s="68"/>
      <c r="D968" s="69"/>
      <c r="E968" s="68"/>
      <c r="F968" s="58"/>
      <c r="G968" s="58"/>
      <c r="H968" s="70"/>
      <c r="I968" s="7"/>
      <c r="J968" s="71"/>
      <c r="K968" s="7"/>
    </row>
    <row r="969" spans="1:11" ht="14.25" customHeight="1">
      <c r="A969" s="68"/>
      <c r="B969" s="68"/>
      <c r="C969" s="68"/>
      <c r="D969" s="69"/>
      <c r="E969" s="68"/>
      <c r="F969" s="58"/>
      <c r="G969" s="58"/>
      <c r="H969" s="70"/>
      <c r="I969" s="7"/>
      <c r="J969" s="71"/>
      <c r="K969" s="7"/>
    </row>
    <row r="970" spans="1:11" ht="14.25" customHeight="1">
      <c r="A970" s="68"/>
      <c r="B970" s="68"/>
      <c r="C970" s="68"/>
      <c r="D970" s="69"/>
      <c r="E970" s="68"/>
      <c r="F970" s="58"/>
      <c r="G970" s="58"/>
      <c r="H970" s="70"/>
      <c r="I970" s="7"/>
      <c r="J970" s="71"/>
      <c r="K970" s="7"/>
    </row>
    <row r="971" spans="1:11" ht="14.25" customHeight="1">
      <c r="A971" s="68"/>
      <c r="B971" s="68"/>
      <c r="C971" s="68"/>
      <c r="D971" s="69"/>
      <c r="E971" s="68"/>
      <c r="F971" s="58"/>
      <c r="G971" s="58"/>
      <c r="H971" s="70"/>
      <c r="I971" s="7"/>
      <c r="J971" s="71"/>
      <c r="K971" s="7"/>
    </row>
    <row r="972" spans="1:11" ht="14.25" customHeight="1">
      <c r="A972" s="68"/>
      <c r="B972" s="68"/>
      <c r="C972" s="68"/>
      <c r="D972" s="69"/>
      <c r="E972" s="68"/>
      <c r="F972" s="58"/>
      <c r="G972" s="58"/>
      <c r="H972" s="70"/>
      <c r="I972" s="7"/>
      <c r="J972" s="71"/>
      <c r="K972" s="7"/>
    </row>
    <row r="973" spans="1:11" ht="14.25" customHeight="1">
      <c r="A973" s="68"/>
      <c r="B973" s="68"/>
      <c r="C973" s="68"/>
      <c r="D973" s="69"/>
      <c r="E973" s="68"/>
      <c r="F973" s="58"/>
      <c r="G973" s="58"/>
      <c r="H973" s="70"/>
      <c r="I973" s="7"/>
      <c r="J973" s="71"/>
      <c r="K973" s="7"/>
    </row>
    <row r="974" spans="1:11" ht="14.25" customHeight="1">
      <c r="A974" s="68"/>
      <c r="B974" s="68"/>
      <c r="C974" s="68"/>
      <c r="D974" s="69"/>
      <c r="E974" s="68"/>
      <c r="F974" s="58"/>
      <c r="G974" s="58"/>
      <c r="H974" s="70"/>
      <c r="I974" s="7"/>
      <c r="J974" s="71"/>
      <c r="K974" s="7"/>
    </row>
    <row r="975" spans="1:11" ht="14.25" customHeight="1">
      <c r="A975" s="68"/>
      <c r="B975" s="68"/>
      <c r="C975" s="68"/>
      <c r="D975" s="69"/>
      <c r="E975" s="68"/>
      <c r="F975" s="58"/>
      <c r="G975" s="58"/>
      <c r="H975" s="70"/>
      <c r="I975" s="7"/>
      <c r="J975" s="71"/>
      <c r="K975" s="7"/>
    </row>
    <row r="976" spans="1:11" ht="14.25" customHeight="1">
      <c r="A976" s="68"/>
      <c r="B976" s="68"/>
      <c r="C976" s="68"/>
      <c r="D976" s="69"/>
      <c r="E976" s="68"/>
      <c r="F976" s="58"/>
      <c r="G976" s="58"/>
      <c r="H976" s="70"/>
      <c r="I976" s="7"/>
      <c r="J976" s="71"/>
      <c r="K976" s="7"/>
    </row>
    <row r="977" spans="1:11" ht="14.25" customHeight="1">
      <c r="A977" s="68"/>
      <c r="B977" s="68"/>
      <c r="C977" s="68"/>
      <c r="D977" s="69"/>
      <c r="E977" s="68"/>
      <c r="F977" s="58"/>
      <c r="G977" s="58"/>
      <c r="H977" s="70"/>
      <c r="I977" s="7"/>
      <c r="J977" s="71"/>
      <c r="K977" s="7"/>
    </row>
    <row r="978" spans="1:11" ht="14.25" customHeight="1">
      <c r="A978" s="68"/>
      <c r="B978" s="68"/>
      <c r="C978" s="68"/>
      <c r="D978" s="69"/>
      <c r="E978" s="68"/>
      <c r="F978" s="58"/>
      <c r="G978" s="58"/>
      <c r="H978" s="70"/>
      <c r="I978" s="7"/>
      <c r="J978" s="71"/>
      <c r="K978" s="7"/>
    </row>
    <row r="979" spans="1:11" ht="14.25" customHeight="1">
      <c r="A979" s="68"/>
      <c r="B979" s="68"/>
      <c r="C979" s="68"/>
      <c r="D979" s="69"/>
      <c r="E979" s="68"/>
      <c r="F979" s="58"/>
      <c r="G979" s="58"/>
      <c r="H979" s="70"/>
      <c r="I979" s="7"/>
      <c r="J979" s="71"/>
      <c r="K979" s="7"/>
    </row>
    <row r="980" spans="1:11" ht="14.25" customHeight="1">
      <c r="A980" s="68"/>
      <c r="B980" s="68"/>
      <c r="C980" s="68"/>
      <c r="D980" s="69"/>
      <c r="E980" s="68"/>
      <c r="F980" s="58"/>
      <c r="G980" s="58"/>
      <c r="H980" s="70"/>
      <c r="I980" s="7"/>
      <c r="J980" s="71"/>
      <c r="K980" s="7"/>
    </row>
    <row r="981" spans="1:11" ht="14.25" customHeight="1">
      <c r="A981" s="68"/>
      <c r="B981" s="68"/>
      <c r="C981" s="68"/>
      <c r="D981" s="69"/>
      <c r="E981" s="68"/>
      <c r="F981" s="58"/>
      <c r="G981" s="58"/>
      <c r="H981" s="70"/>
      <c r="I981" s="7"/>
      <c r="J981" s="71"/>
      <c r="K981" s="7"/>
    </row>
    <row r="982" spans="1:11" ht="14.25" customHeight="1">
      <c r="A982" s="68"/>
      <c r="B982" s="68"/>
      <c r="C982" s="68"/>
      <c r="D982" s="69"/>
      <c r="E982" s="68"/>
      <c r="F982" s="58"/>
      <c r="G982" s="58"/>
      <c r="H982" s="70"/>
      <c r="I982" s="7"/>
      <c r="J982" s="71"/>
      <c r="K982" s="7"/>
    </row>
    <row r="983" spans="1:11" ht="14.25" customHeight="1">
      <c r="A983" s="68"/>
      <c r="B983" s="68"/>
      <c r="C983" s="68"/>
      <c r="D983" s="69"/>
      <c r="E983" s="68"/>
      <c r="F983" s="58"/>
      <c r="G983" s="58"/>
      <c r="H983" s="70"/>
      <c r="I983" s="7"/>
      <c r="J983" s="71"/>
      <c r="K983" s="7"/>
    </row>
    <row r="984" spans="1:11" ht="14.25" customHeight="1">
      <c r="A984" s="68"/>
      <c r="B984" s="68"/>
      <c r="C984" s="68"/>
      <c r="D984" s="69"/>
      <c r="E984" s="68"/>
      <c r="F984" s="58"/>
      <c r="G984" s="58"/>
      <c r="H984" s="70"/>
      <c r="I984" s="7"/>
      <c r="J984" s="71"/>
      <c r="K984" s="7"/>
    </row>
    <row r="985" spans="1:11" ht="14.25" customHeight="1">
      <c r="A985" s="68"/>
      <c r="B985" s="68"/>
      <c r="C985" s="68"/>
      <c r="D985" s="69"/>
      <c r="E985" s="68"/>
      <c r="F985" s="58"/>
      <c r="G985" s="58"/>
      <c r="H985" s="70"/>
      <c r="I985" s="7"/>
      <c r="J985" s="71"/>
      <c r="K985" s="7"/>
    </row>
    <row r="986" spans="1:11" ht="14.25" customHeight="1">
      <c r="A986" s="68"/>
      <c r="B986" s="68"/>
      <c r="C986" s="68"/>
      <c r="D986" s="69"/>
      <c r="E986" s="68"/>
      <c r="F986" s="58"/>
      <c r="G986" s="58"/>
      <c r="H986" s="70"/>
      <c r="I986" s="7"/>
      <c r="J986" s="71"/>
      <c r="K986" s="7"/>
    </row>
    <row r="987" spans="1:11" ht="14.25" customHeight="1">
      <c r="A987" s="68"/>
      <c r="B987" s="68"/>
      <c r="C987" s="68"/>
      <c r="D987" s="69"/>
      <c r="E987" s="68"/>
      <c r="F987" s="58"/>
      <c r="G987" s="58"/>
      <c r="H987" s="70"/>
      <c r="I987" s="7"/>
      <c r="J987" s="71"/>
      <c r="K987" s="7"/>
    </row>
    <row r="988" spans="1:11" ht="14.25" customHeight="1">
      <c r="A988" s="68"/>
      <c r="B988" s="68"/>
      <c r="C988" s="68"/>
      <c r="D988" s="69"/>
      <c r="E988" s="68"/>
      <c r="F988" s="58"/>
      <c r="G988" s="58"/>
      <c r="H988" s="70"/>
      <c r="I988" s="7"/>
      <c r="J988" s="71"/>
      <c r="K988" s="7"/>
    </row>
    <row r="989" spans="1:11" ht="14.25" customHeight="1">
      <c r="A989" s="68"/>
      <c r="B989" s="68"/>
      <c r="C989" s="68"/>
      <c r="D989" s="69"/>
      <c r="E989" s="68"/>
      <c r="F989" s="58"/>
      <c r="G989" s="58"/>
      <c r="H989" s="70"/>
      <c r="I989" s="7"/>
      <c r="J989" s="71"/>
      <c r="K989" s="7"/>
    </row>
    <row r="990" spans="1:11" ht="14.25" customHeight="1">
      <c r="A990" s="68"/>
      <c r="B990" s="68"/>
      <c r="C990" s="68"/>
      <c r="D990" s="69"/>
      <c r="E990" s="68"/>
      <c r="F990" s="58"/>
      <c r="G990" s="58"/>
      <c r="H990" s="70"/>
      <c r="I990" s="7"/>
      <c r="J990" s="71"/>
      <c r="K990" s="7"/>
    </row>
    <row r="991" spans="1:11" ht="14.25" customHeight="1">
      <c r="A991" s="68"/>
      <c r="B991" s="68"/>
      <c r="C991" s="68"/>
      <c r="D991" s="69"/>
      <c r="E991" s="68"/>
      <c r="F991" s="58"/>
      <c r="G991" s="58"/>
      <c r="H991" s="70"/>
      <c r="I991" s="7"/>
      <c r="J991" s="71"/>
      <c r="K991" s="7"/>
    </row>
    <row r="992" spans="1:11" ht="14.25" customHeight="1">
      <c r="A992" s="68"/>
      <c r="B992" s="68"/>
      <c r="C992" s="68"/>
      <c r="D992" s="69"/>
      <c r="E992" s="68"/>
      <c r="F992" s="58"/>
      <c r="G992" s="58"/>
      <c r="H992" s="70"/>
      <c r="I992" s="7"/>
      <c r="J992" s="71"/>
      <c r="K992" s="7"/>
    </row>
    <row r="993" spans="1:11" ht="14.25" customHeight="1">
      <c r="A993" s="68"/>
      <c r="B993" s="68"/>
      <c r="C993" s="68"/>
      <c r="D993" s="69"/>
      <c r="E993" s="68"/>
      <c r="F993" s="58"/>
      <c r="G993" s="58"/>
      <c r="H993" s="70"/>
      <c r="I993" s="7"/>
      <c r="J993" s="71"/>
      <c r="K993" s="7"/>
    </row>
    <row r="994" spans="1:11" ht="14.25" customHeight="1">
      <c r="A994" s="68"/>
      <c r="B994" s="68"/>
      <c r="C994" s="68"/>
      <c r="D994" s="69"/>
      <c r="E994" s="68"/>
      <c r="F994" s="58"/>
      <c r="G994" s="58"/>
      <c r="H994" s="70"/>
      <c r="I994" s="7"/>
      <c r="J994" s="71"/>
      <c r="K994" s="7"/>
    </row>
    <row r="995" spans="1:11" ht="14.25" customHeight="1">
      <c r="A995" s="68"/>
      <c r="B995" s="68"/>
      <c r="C995" s="68"/>
      <c r="D995" s="69"/>
      <c r="E995" s="68"/>
      <c r="F995" s="58"/>
      <c r="G995" s="58"/>
      <c r="H995" s="70"/>
      <c r="I995" s="7"/>
      <c r="J995" s="71"/>
      <c r="K995" s="7"/>
    </row>
    <row r="996" spans="1:11" ht="14.25" customHeight="1">
      <c r="A996" s="68"/>
      <c r="B996" s="68"/>
      <c r="C996" s="68"/>
      <c r="D996" s="69"/>
      <c r="E996" s="68"/>
      <c r="F996" s="58"/>
      <c r="G996" s="58"/>
      <c r="H996" s="70"/>
      <c r="I996" s="7"/>
      <c r="J996" s="71"/>
      <c r="K996" s="7"/>
    </row>
    <row r="997" spans="1:11" ht="14.25" customHeight="1">
      <c r="A997" s="68"/>
      <c r="B997" s="68"/>
      <c r="C997" s="68"/>
      <c r="D997" s="69"/>
      <c r="E997" s="68"/>
      <c r="F997" s="58"/>
      <c r="G997" s="58"/>
      <c r="H997" s="70"/>
      <c r="I997" s="7"/>
      <c r="J997" s="71"/>
      <c r="K997" s="7"/>
    </row>
    <row r="998" spans="1:11" ht="14.25" customHeight="1">
      <c r="A998" s="68"/>
      <c r="B998" s="68"/>
      <c r="C998" s="68"/>
      <c r="D998" s="69"/>
      <c r="E998" s="68"/>
      <c r="F998" s="58"/>
      <c r="G998" s="58"/>
      <c r="H998" s="70"/>
      <c r="I998" s="7"/>
      <c r="J998" s="71"/>
      <c r="K998" s="7"/>
    </row>
    <row r="999" spans="1:11" ht="14.25" customHeight="1">
      <c r="A999" s="68"/>
      <c r="B999" s="68"/>
      <c r="C999" s="68"/>
      <c r="D999" s="69"/>
      <c r="E999" s="68"/>
      <c r="F999" s="58"/>
      <c r="G999" s="58"/>
      <c r="H999" s="70"/>
      <c r="I999" s="7"/>
      <c r="J999" s="71"/>
      <c r="K999" s="7"/>
    </row>
    <row r="1000" spans="1:11" ht="14.25" customHeight="1">
      <c r="A1000" s="68"/>
      <c r="B1000" s="68"/>
      <c r="C1000" s="68"/>
      <c r="D1000" s="69"/>
      <c r="E1000" s="68"/>
      <c r="F1000" s="58"/>
      <c r="G1000" s="58"/>
      <c r="H1000" s="70"/>
      <c r="I1000" s="7"/>
      <c r="J1000" s="71"/>
      <c r="K1000" s="7"/>
    </row>
    <row r="1001" spans="1:11" ht="14.25" customHeight="1"/>
    <row r="1002" spans="1:11" ht="14.25" customHeight="1">
      <c r="A1002" s="15"/>
      <c r="D1002" s="102"/>
      <c r="F1002" s="15"/>
      <c r="G1002" s="15"/>
      <c r="H1002" s="103"/>
      <c r="I1002" s="91"/>
    </row>
    <row r="1003" spans="1:11" ht="14.25" customHeight="1">
      <c r="A1003" s="15"/>
      <c r="D1003" s="102"/>
      <c r="F1003" s="15"/>
      <c r="G1003" s="15"/>
      <c r="H1003" s="103"/>
      <c r="I1003" s="91"/>
    </row>
    <row r="1004" spans="1:11" ht="14.25" customHeight="1">
      <c r="A1004" s="15"/>
      <c r="D1004" s="102"/>
      <c r="F1004" s="15"/>
      <c r="G1004" s="15"/>
      <c r="H1004" s="103"/>
      <c r="I1004" s="91"/>
    </row>
    <row r="1005" spans="1:11" ht="14.25" customHeight="1">
      <c r="A1005" s="15"/>
      <c r="D1005" s="102"/>
      <c r="F1005" s="15"/>
      <c r="G1005" s="15"/>
      <c r="H1005" s="103"/>
      <c r="I1005" s="91"/>
    </row>
    <row r="1006" spans="1:11" ht="14.25" customHeight="1">
      <c r="A1006" s="15"/>
      <c r="D1006" s="102"/>
      <c r="F1006" s="15"/>
      <c r="G1006" s="15"/>
      <c r="H1006" s="103"/>
      <c r="I1006" s="91"/>
    </row>
    <row r="1007" spans="1:11" ht="14.25" customHeight="1">
      <c r="A1007" s="15"/>
      <c r="D1007" s="102"/>
      <c r="F1007" s="15"/>
      <c r="G1007" s="15"/>
      <c r="H1007" s="103"/>
      <c r="I1007" s="91"/>
    </row>
    <row r="1008" spans="1:11" ht="14.25" customHeight="1">
      <c r="A1008" s="15"/>
      <c r="D1008" s="102"/>
      <c r="F1008" s="15"/>
      <c r="G1008" s="15"/>
      <c r="H1008" s="103"/>
      <c r="I1008" s="91"/>
    </row>
    <row r="1009" spans="1:9" ht="14.25" customHeight="1">
      <c r="A1009" s="15"/>
      <c r="D1009" s="102"/>
      <c r="F1009" s="15"/>
      <c r="G1009" s="15"/>
      <c r="H1009" s="103"/>
      <c r="I1009" s="91"/>
    </row>
    <row r="1010" spans="1:9" ht="14.25" customHeight="1">
      <c r="A1010" s="15"/>
      <c r="D1010" s="102"/>
      <c r="F1010" s="15"/>
      <c r="G1010" s="15"/>
      <c r="H1010" s="103"/>
      <c r="I1010" s="91"/>
    </row>
    <row r="1011" spans="1:9" ht="14.25" customHeight="1">
      <c r="A1011" s="15"/>
      <c r="D1011" s="102"/>
      <c r="F1011" s="15"/>
      <c r="G1011" s="15"/>
      <c r="H1011" s="103"/>
      <c r="I1011" s="91"/>
    </row>
    <row r="1012" spans="1:9" ht="14.25" customHeight="1">
      <c r="A1012" s="15"/>
      <c r="D1012" s="102"/>
      <c r="F1012" s="15"/>
      <c r="G1012" s="15"/>
      <c r="H1012" s="103"/>
      <c r="I1012" s="91"/>
    </row>
    <row r="1013" spans="1:9" ht="14.25" customHeight="1">
      <c r="A1013" s="15"/>
      <c r="D1013" s="102"/>
      <c r="F1013" s="15"/>
      <c r="G1013" s="15"/>
      <c r="H1013" s="103"/>
      <c r="I1013" s="91"/>
    </row>
    <row r="1014" spans="1:9" ht="14.25" customHeight="1">
      <c r="A1014" s="15"/>
      <c r="D1014" s="102"/>
      <c r="F1014" s="15"/>
      <c r="G1014" s="15"/>
      <c r="H1014" s="103"/>
      <c r="I1014" s="91"/>
    </row>
    <row r="1015" spans="1:9" ht="14.25" customHeight="1">
      <c r="A1015" s="15"/>
      <c r="D1015" s="102"/>
      <c r="F1015" s="15"/>
      <c r="G1015" s="15"/>
      <c r="H1015" s="103"/>
      <c r="I1015" s="91"/>
    </row>
    <row r="1016" spans="1:9" ht="14.25" customHeight="1">
      <c r="A1016" s="15"/>
      <c r="D1016" s="102"/>
      <c r="F1016" s="15"/>
      <c r="G1016" s="15"/>
      <c r="H1016" s="103"/>
      <c r="I1016" s="91"/>
    </row>
    <row r="1017" spans="1:9" ht="14.25" customHeight="1">
      <c r="A1017" s="15"/>
      <c r="D1017" s="102"/>
      <c r="F1017" s="15"/>
      <c r="G1017" s="15"/>
      <c r="H1017" s="103"/>
      <c r="I1017" s="91"/>
    </row>
    <row r="1018" spans="1:9" ht="14.25" customHeight="1">
      <c r="A1018" s="15"/>
      <c r="D1018" s="102"/>
      <c r="F1018" s="15"/>
      <c r="G1018" s="15"/>
      <c r="H1018" s="103"/>
      <c r="I1018" s="91"/>
    </row>
    <row r="1019" spans="1:9" ht="14.25" customHeight="1">
      <c r="A1019" s="15"/>
      <c r="D1019" s="102"/>
      <c r="F1019" s="15"/>
      <c r="G1019" s="15"/>
      <c r="H1019" s="103"/>
      <c r="I1019" s="91"/>
    </row>
    <row r="1020" spans="1:9" ht="14.25" customHeight="1">
      <c r="A1020" s="15"/>
      <c r="D1020" s="102"/>
      <c r="F1020" s="15"/>
      <c r="G1020" s="15"/>
      <c r="H1020" s="103"/>
      <c r="I1020" s="91"/>
    </row>
    <row r="1021" spans="1:9" ht="14.25" customHeight="1">
      <c r="A1021" s="15"/>
      <c r="D1021" s="102"/>
      <c r="F1021" s="15"/>
      <c r="G1021" s="15"/>
      <c r="H1021" s="103"/>
      <c r="I1021" s="91"/>
    </row>
    <row r="1022" spans="1:9" ht="14.25" customHeight="1">
      <c r="A1022" s="15"/>
      <c r="D1022" s="102"/>
      <c r="F1022" s="15"/>
      <c r="G1022" s="15"/>
      <c r="H1022" s="103"/>
      <c r="I1022" s="91"/>
    </row>
    <row r="1023" spans="1:9" ht="14.25" customHeight="1">
      <c r="A1023" s="15"/>
      <c r="D1023" s="102"/>
      <c r="F1023" s="15"/>
      <c r="G1023" s="15"/>
      <c r="H1023" s="103"/>
      <c r="I1023" s="91"/>
    </row>
    <row r="1024" spans="1:9" ht="14.25" customHeight="1">
      <c r="A1024" s="15"/>
      <c r="D1024" s="102"/>
      <c r="F1024" s="15"/>
      <c r="G1024" s="15"/>
      <c r="H1024" s="103"/>
      <c r="I1024" s="91"/>
    </row>
    <row r="1025" spans="1:9" ht="14.25" customHeight="1">
      <c r="A1025" s="15"/>
      <c r="D1025" s="102"/>
      <c r="F1025" s="15"/>
      <c r="G1025" s="15"/>
      <c r="H1025" s="103"/>
      <c r="I1025" s="91"/>
    </row>
    <row r="1026" spans="1:9" ht="14.25" customHeight="1">
      <c r="A1026" s="15"/>
      <c r="D1026" s="102"/>
      <c r="F1026" s="15"/>
      <c r="G1026" s="15"/>
      <c r="H1026" s="103"/>
      <c r="I1026" s="91"/>
    </row>
    <row r="1027" spans="1:9" ht="14.25" customHeight="1">
      <c r="A1027" s="15"/>
      <c r="D1027" s="102"/>
      <c r="F1027" s="15"/>
      <c r="G1027" s="15"/>
      <c r="H1027" s="103"/>
      <c r="I1027" s="91"/>
    </row>
    <row r="1028" spans="1:9" ht="14.25" customHeight="1">
      <c r="A1028" s="15"/>
      <c r="D1028" s="102"/>
      <c r="F1028" s="15"/>
      <c r="G1028" s="15"/>
      <c r="H1028" s="103"/>
      <c r="I1028" s="91"/>
    </row>
    <row r="1029" spans="1:9" ht="14.25" customHeight="1">
      <c r="A1029" s="15"/>
      <c r="D1029" s="102"/>
      <c r="F1029" s="15"/>
      <c r="G1029" s="15"/>
      <c r="H1029" s="103"/>
      <c r="I1029" s="91"/>
    </row>
    <row r="1030" spans="1:9" ht="14.25" customHeight="1">
      <c r="A1030" s="15"/>
      <c r="D1030" s="102"/>
      <c r="F1030" s="15"/>
      <c r="G1030" s="15"/>
      <c r="H1030" s="103"/>
      <c r="I1030" s="91"/>
    </row>
    <row r="1031" spans="1:9" ht="14.25" customHeight="1">
      <c r="A1031" s="15"/>
      <c r="D1031" s="102"/>
      <c r="F1031" s="15"/>
      <c r="G1031" s="15"/>
      <c r="H1031" s="103"/>
      <c r="I1031" s="91"/>
    </row>
    <row r="1032" spans="1:9" ht="14.25" customHeight="1">
      <c r="A1032" s="15"/>
      <c r="D1032" s="102"/>
      <c r="F1032" s="15"/>
      <c r="G1032" s="15"/>
      <c r="H1032" s="103"/>
      <c r="I1032" s="91"/>
    </row>
    <row r="1033" spans="1:9" ht="14.25" customHeight="1">
      <c r="A1033" s="15"/>
      <c r="D1033" s="102"/>
      <c r="F1033" s="15"/>
      <c r="G1033" s="15"/>
      <c r="H1033" s="103"/>
      <c r="I1033" s="91"/>
    </row>
    <row r="1034" spans="1:9" ht="14.25" customHeight="1">
      <c r="A1034" s="15"/>
      <c r="D1034" s="102"/>
      <c r="F1034" s="15"/>
      <c r="G1034" s="15"/>
      <c r="H1034" s="103"/>
      <c r="I1034" s="91"/>
    </row>
    <row r="1035" spans="1:9" ht="14.25" customHeight="1">
      <c r="A1035" s="15"/>
      <c r="D1035" s="102"/>
      <c r="F1035" s="15"/>
      <c r="G1035" s="15"/>
      <c r="H1035" s="103"/>
      <c r="I1035" s="91"/>
    </row>
    <row r="1036" spans="1:9" ht="14.25" customHeight="1">
      <c r="A1036" s="15"/>
      <c r="D1036" s="102"/>
      <c r="F1036" s="15"/>
      <c r="G1036" s="15"/>
      <c r="H1036" s="103"/>
      <c r="I1036" s="91"/>
    </row>
    <row r="1037" spans="1:9" ht="14.25" customHeight="1">
      <c r="A1037" s="15"/>
      <c r="D1037" s="102"/>
      <c r="F1037" s="15"/>
      <c r="G1037" s="15"/>
      <c r="H1037" s="103"/>
      <c r="I1037" s="91"/>
    </row>
    <row r="1038" spans="1:9" ht="14.25" customHeight="1">
      <c r="A1038" s="15"/>
      <c r="D1038" s="102"/>
      <c r="F1038" s="15"/>
      <c r="G1038" s="15"/>
      <c r="H1038" s="103"/>
      <c r="I1038" s="91"/>
    </row>
    <row r="1039" spans="1:9" ht="14.25" customHeight="1">
      <c r="A1039" s="15"/>
      <c r="D1039" s="102"/>
      <c r="F1039" s="15"/>
      <c r="G1039" s="15"/>
      <c r="H1039" s="103"/>
      <c r="I1039" s="91"/>
    </row>
    <row r="1040" spans="1:9" ht="14.25" customHeight="1">
      <c r="A1040" s="15"/>
      <c r="D1040" s="102"/>
      <c r="F1040" s="15"/>
      <c r="G1040" s="15"/>
      <c r="H1040" s="103"/>
      <c r="I1040" s="91"/>
    </row>
    <row r="1041" spans="1:9" ht="14.25" customHeight="1">
      <c r="A1041" s="15"/>
      <c r="D1041" s="102"/>
      <c r="F1041" s="15"/>
      <c r="G1041" s="15"/>
      <c r="H1041" s="103"/>
      <c r="I1041" s="91"/>
    </row>
    <row r="1042" spans="1:9" ht="14.25" customHeight="1">
      <c r="A1042" s="15"/>
      <c r="D1042" s="102"/>
      <c r="F1042" s="15"/>
      <c r="G1042" s="15"/>
      <c r="H1042" s="103"/>
      <c r="I1042" s="91"/>
    </row>
    <row r="1043" spans="1:9" ht="14.25" customHeight="1">
      <c r="A1043" s="15"/>
      <c r="D1043" s="102"/>
      <c r="F1043" s="15"/>
      <c r="G1043" s="15"/>
      <c r="H1043" s="103"/>
      <c r="I1043" s="91"/>
    </row>
    <row r="1044" spans="1:9" ht="14.25" customHeight="1">
      <c r="A1044" s="15"/>
      <c r="D1044" s="102"/>
      <c r="F1044" s="15"/>
      <c r="G1044" s="15"/>
      <c r="H1044" s="103"/>
      <c r="I1044" s="91"/>
    </row>
    <row r="1045" spans="1:9" ht="14.25" customHeight="1">
      <c r="A1045" s="15"/>
      <c r="D1045" s="102"/>
      <c r="F1045" s="15"/>
      <c r="G1045" s="15"/>
      <c r="H1045" s="103"/>
      <c r="I1045" s="91"/>
    </row>
    <row r="1046" spans="1:9" ht="14.25" customHeight="1">
      <c r="A1046" s="15"/>
      <c r="D1046" s="102"/>
      <c r="F1046" s="15"/>
      <c r="G1046" s="15"/>
      <c r="H1046" s="103"/>
      <c r="I1046" s="91"/>
    </row>
    <row r="1047" spans="1:9" ht="14.25" customHeight="1">
      <c r="A1047" s="15"/>
      <c r="D1047" s="102"/>
      <c r="F1047" s="15"/>
      <c r="G1047" s="15"/>
      <c r="H1047" s="103"/>
      <c r="I1047" s="91"/>
    </row>
    <row r="1048" spans="1:9" ht="14.25" customHeight="1">
      <c r="A1048" s="15"/>
      <c r="D1048" s="102"/>
      <c r="F1048" s="15"/>
      <c r="G1048" s="15"/>
      <c r="H1048" s="103"/>
      <c r="I1048" s="91"/>
    </row>
    <row r="1049" spans="1:9" ht="14.25" customHeight="1">
      <c r="A1049" s="15"/>
      <c r="D1049" s="102"/>
      <c r="F1049" s="15"/>
      <c r="G1049" s="15"/>
      <c r="H1049" s="103"/>
      <c r="I1049" s="91"/>
    </row>
    <row r="1050" spans="1:9" ht="14.25" customHeight="1">
      <c r="A1050" s="15"/>
      <c r="D1050" s="102"/>
      <c r="F1050" s="15"/>
      <c r="G1050" s="15"/>
      <c r="H1050" s="103"/>
      <c r="I1050" s="91"/>
    </row>
    <row r="1051" spans="1:9" ht="14.25" customHeight="1">
      <c r="A1051" s="15"/>
      <c r="D1051" s="102"/>
      <c r="F1051" s="15"/>
      <c r="G1051" s="15"/>
      <c r="H1051" s="103"/>
      <c r="I1051" s="91"/>
    </row>
    <row r="1052" spans="1:9" ht="14.25" customHeight="1">
      <c r="A1052" s="15"/>
      <c r="D1052" s="102"/>
      <c r="F1052" s="15"/>
      <c r="G1052" s="15"/>
      <c r="H1052" s="103"/>
      <c r="I1052" s="91"/>
    </row>
    <row r="1053" spans="1:9" ht="14.25" customHeight="1">
      <c r="A1053" s="15"/>
      <c r="D1053" s="102"/>
      <c r="F1053" s="15"/>
      <c r="G1053" s="15"/>
      <c r="H1053" s="103"/>
      <c r="I1053" s="91"/>
    </row>
    <row r="1054" spans="1:9" ht="14.25" customHeight="1">
      <c r="A1054" s="15"/>
      <c r="D1054" s="102"/>
      <c r="F1054" s="15"/>
      <c r="G1054" s="15"/>
      <c r="H1054" s="103"/>
      <c r="I1054" s="91"/>
    </row>
    <row r="1055" spans="1:9" ht="14.25" customHeight="1">
      <c r="A1055" s="15"/>
      <c r="D1055" s="102"/>
      <c r="F1055" s="15"/>
      <c r="G1055" s="15"/>
      <c r="H1055" s="103"/>
      <c r="I1055" s="91"/>
    </row>
    <row r="1056" spans="1:9" ht="14.25" customHeight="1">
      <c r="A1056" s="15"/>
      <c r="D1056" s="102"/>
      <c r="F1056" s="15"/>
      <c r="G1056" s="15"/>
      <c r="H1056" s="103"/>
      <c r="I1056" s="91"/>
    </row>
    <row r="1057" spans="1:9" ht="14.25" customHeight="1">
      <c r="A1057" s="15"/>
      <c r="D1057" s="102"/>
      <c r="F1057" s="15"/>
      <c r="G1057" s="15"/>
      <c r="H1057" s="103"/>
      <c r="I1057" s="91"/>
    </row>
    <row r="1058" spans="1:9" ht="14.25" customHeight="1">
      <c r="A1058" s="15"/>
      <c r="D1058" s="102"/>
      <c r="F1058" s="15"/>
      <c r="G1058" s="15"/>
      <c r="H1058" s="103"/>
      <c r="I1058" s="91"/>
    </row>
    <row r="1059" spans="1:9" ht="14.25" customHeight="1">
      <c r="A1059" s="15"/>
      <c r="D1059" s="102"/>
      <c r="F1059" s="15"/>
      <c r="G1059" s="15"/>
      <c r="H1059" s="103"/>
      <c r="I1059" s="91"/>
    </row>
    <row r="1060" spans="1:9" ht="14.25" customHeight="1">
      <c r="A1060" s="15"/>
      <c r="D1060" s="102"/>
      <c r="F1060" s="15"/>
      <c r="G1060" s="15"/>
      <c r="H1060" s="103"/>
      <c r="I1060" s="91"/>
    </row>
    <row r="1061" spans="1:9" ht="14.25" customHeight="1">
      <c r="A1061" s="15"/>
      <c r="D1061" s="102"/>
      <c r="F1061" s="15"/>
      <c r="G1061" s="15"/>
      <c r="H1061" s="103"/>
      <c r="I1061" s="91"/>
    </row>
    <row r="1062" spans="1:9" ht="14.25" customHeight="1">
      <c r="A1062" s="15"/>
      <c r="D1062" s="102"/>
      <c r="F1062" s="15"/>
      <c r="G1062" s="15"/>
      <c r="H1062" s="103"/>
      <c r="I1062" s="91"/>
    </row>
    <row r="1063" spans="1:9" ht="14.25" customHeight="1">
      <c r="A1063" s="15"/>
      <c r="D1063" s="102"/>
      <c r="F1063" s="15"/>
      <c r="G1063" s="15"/>
      <c r="H1063" s="103"/>
      <c r="I1063" s="91"/>
    </row>
    <row r="1064" spans="1:9" ht="14.25" customHeight="1">
      <c r="A1064" s="15"/>
      <c r="D1064" s="102"/>
      <c r="F1064" s="15"/>
      <c r="G1064" s="15"/>
      <c r="H1064" s="103"/>
      <c r="I1064" s="91"/>
    </row>
    <row r="1065" spans="1:9" ht="14.25" customHeight="1">
      <c r="A1065" s="15"/>
      <c r="D1065" s="102"/>
      <c r="F1065" s="15"/>
      <c r="G1065" s="15"/>
      <c r="H1065" s="103"/>
      <c r="I1065" s="91"/>
    </row>
    <row r="1066" spans="1:9" ht="14.25" customHeight="1">
      <c r="A1066" s="15"/>
      <c r="D1066" s="102"/>
      <c r="F1066" s="15"/>
      <c r="G1066" s="15"/>
      <c r="H1066" s="103"/>
      <c r="I1066" s="91"/>
    </row>
    <row r="1067" spans="1:9" ht="14.25" customHeight="1">
      <c r="A1067" s="15"/>
      <c r="D1067" s="102"/>
      <c r="F1067" s="15"/>
      <c r="G1067" s="15"/>
      <c r="H1067" s="103"/>
      <c r="I1067" s="91"/>
    </row>
    <row r="1068" spans="1:9" ht="14.25" customHeight="1">
      <c r="A1068" s="15"/>
      <c r="D1068" s="102"/>
      <c r="F1068" s="15"/>
      <c r="G1068" s="15"/>
      <c r="H1068" s="103"/>
      <c r="I1068" s="91"/>
    </row>
    <row r="1069" spans="1:9" ht="14.25" customHeight="1">
      <c r="A1069" s="15"/>
      <c r="D1069" s="102"/>
      <c r="F1069" s="15"/>
      <c r="G1069" s="15"/>
      <c r="H1069" s="103"/>
      <c r="I1069" s="91"/>
    </row>
    <row r="1070" spans="1:9" ht="14.25" customHeight="1">
      <c r="A1070" s="15"/>
      <c r="D1070" s="102"/>
      <c r="F1070" s="15"/>
      <c r="G1070" s="15"/>
      <c r="H1070" s="103"/>
      <c r="I1070" s="91"/>
    </row>
    <row r="1071" spans="1:9" ht="14.25" customHeight="1">
      <c r="A1071" s="15"/>
      <c r="D1071" s="102"/>
      <c r="F1071" s="15"/>
      <c r="G1071" s="15"/>
      <c r="H1071" s="103"/>
      <c r="I1071" s="91"/>
    </row>
    <row r="1072" spans="1:9" ht="14.25" customHeight="1">
      <c r="A1072" s="15"/>
      <c r="D1072" s="102"/>
      <c r="F1072" s="15"/>
      <c r="G1072" s="15"/>
      <c r="H1072" s="103"/>
      <c r="I1072" s="91"/>
    </row>
    <row r="1073" spans="1:9" ht="14.25" customHeight="1">
      <c r="A1073" s="15"/>
      <c r="D1073" s="102"/>
      <c r="F1073" s="15"/>
      <c r="G1073" s="15"/>
      <c r="H1073" s="103"/>
      <c r="I1073" s="91"/>
    </row>
    <row r="1074" spans="1:9" ht="14.25" customHeight="1">
      <c r="A1074" s="15"/>
      <c r="D1074" s="102"/>
      <c r="F1074" s="15"/>
      <c r="G1074" s="15"/>
      <c r="H1074" s="103"/>
      <c r="I1074" s="91"/>
    </row>
    <row r="1075" spans="1:9" ht="14.25" customHeight="1">
      <c r="A1075" s="15"/>
      <c r="D1075" s="102"/>
      <c r="F1075" s="15"/>
      <c r="G1075" s="15"/>
      <c r="H1075" s="103"/>
      <c r="I1075" s="91"/>
    </row>
    <row r="1076" spans="1:9" ht="14.25" customHeight="1">
      <c r="A1076" s="15"/>
      <c r="D1076" s="102"/>
      <c r="F1076" s="15"/>
      <c r="G1076" s="15"/>
      <c r="H1076" s="103"/>
      <c r="I1076" s="91"/>
    </row>
    <row r="1077" spans="1:9" ht="14.25" customHeight="1">
      <c r="A1077" s="15"/>
      <c r="D1077" s="102"/>
      <c r="F1077" s="15"/>
      <c r="G1077" s="15"/>
      <c r="H1077" s="103"/>
      <c r="I1077" s="91"/>
    </row>
    <row r="1078" spans="1:9" ht="14.25" customHeight="1">
      <c r="A1078" s="15"/>
      <c r="D1078" s="102"/>
      <c r="F1078" s="15"/>
      <c r="G1078" s="15"/>
      <c r="H1078" s="103"/>
      <c r="I1078" s="91"/>
    </row>
    <row r="1079" spans="1:9" ht="14.25" customHeight="1">
      <c r="A1079" s="15"/>
      <c r="D1079" s="102"/>
      <c r="F1079" s="15"/>
      <c r="G1079" s="15"/>
      <c r="H1079" s="103"/>
      <c r="I1079" s="91"/>
    </row>
    <row r="1080" spans="1:9" ht="14.25" customHeight="1">
      <c r="A1080" s="15"/>
      <c r="D1080" s="102"/>
      <c r="F1080" s="15"/>
      <c r="G1080" s="15"/>
      <c r="H1080" s="103"/>
      <c r="I1080" s="91"/>
    </row>
    <row r="1081" spans="1:9" ht="14.25" customHeight="1">
      <c r="A1081" s="15"/>
      <c r="D1081" s="102"/>
      <c r="F1081" s="15"/>
      <c r="G1081" s="15"/>
      <c r="H1081" s="103"/>
      <c r="I1081" s="91"/>
    </row>
    <row r="1082" spans="1:9" ht="14.25" customHeight="1">
      <c r="A1082" s="15"/>
      <c r="D1082" s="102"/>
      <c r="F1082" s="15"/>
      <c r="G1082" s="15"/>
      <c r="H1082" s="103"/>
      <c r="I1082" s="91"/>
    </row>
    <row r="1083" spans="1:9" ht="14.25" customHeight="1">
      <c r="A1083" s="15"/>
      <c r="D1083" s="102"/>
      <c r="F1083" s="15"/>
      <c r="G1083" s="15"/>
      <c r="H1083" s="103"/>
      <c r="I1083" s="91"/>
    </row>
    <row r="1084" spans="1:9" ht="14.25" customHeight="1">
      <c r="A1084" s="15"/>
      <c r="D1084" s="102"/>
      <c r="F1084" s="15"/>
      <c r="G1084" s="15"/>
      <c r="H1084" s="103"/>
      <c r="I1084" s="91"/>
    </row>
    <row r="1085" spans="1:9" ht="14.25" customHeight="1">
      <c r="A1085" s="15"/>
      <c r="D1085" s="102"/>
      <c r="F1085" s="15"/>
      <c r="G1085" s="15"/>
      <c r="H1085" s="103"/>
      <c r="I1085" s="91"/>
    </row>
    <row r="1086" spans="1:9" ht="14.25" customHeight="1">
      <c r="A1086" s="15"/>
      <c r="D1086" s="102"/>
      <c r="F1086" s="15"/>
      <c r="G1086" s="15"/>
      <c r="H1086" s="103"/>
      <c r="I1086" s="91"/>
    </row>
    <row r="1087" spans="1:9" ht="14.25" customHeight="1">
      <c r="A1087" s="15"/>
      <c r="D1087" s="102"/>
      <c r="F1087" s="15"/>
      <c r="G1087" s="15"/>
      <c r="H1087" s="103"/>
      <c r="I1087" s="91"/>
    </row>
    <row r="1088" spans="1:9" ht="14.25" customHeight="1">
      <c r="A1088" s="15"/>
      <c r="D1088" s="102"/>
      <c r="F1088" s="15"/>
      <c r="G1088" s="15"/>
      <c r="H1088" s="103"/>
      <c r="I1088" s="91"/>
    </row>
    <row r="1089" spans="1:9" ht="14.25" customHeight="1">
      <c r="A1089" s="15"/>
      <c r="D1089" s="102"/>
      <c r="F1089" s="15"/>
      <c r="G1089" s="15"/>
      <c r="H1089" s="103"/>
      <c r="I1089" s="91"/>
    </row>
    <row r="1090" spans="1:9" ht="14.25" customHeight="1">
      <c r="A1090" s="15"/>
      <c r="D1090" s="102"/>
      <c r="F1090" s="15"/>
      <c r="G1090" s="15"/>
      <c r="H1090" s="103"/>
      <c r="I1090" s="91"/>
    </row>
    <row r="1091" spans="1:9" ht="14.25" customHeight="1">
      <c r="A1091" s="15"/>
      <c r="D1091" s="102"/>
      <c r="F1091" s="15"/>
      <c r="G1091" s="15"/>
      <c r="H1091" s="103"/>
      <c r="I1091" s="91"/>
    </row>
    <row r="1092" spans="1:9" ht="14.25" customHeight="1">
      <c r="A1092" s="15"/>
      <c r="D1092" s="102"/>
      <c r="F1092" s="15"/>
      <c r="G1092" s="15"/>
      <c r="H1092" s="103"/>
      <c r="I1092" s="91"/>
    </row>
    <row r="1093" spans="1:9" ht="14.25" customHeight="1">
      <c r="A1093" s="15"/>
      <c r="D1093" s="102"/>
      <c r="F1093" s="15"/>
      <c r="G1093" s="15"/>
      <c r="H1093" s="103"/>
      <c r="I1093" s="91"/>
    </row>
    <row r="1094" spans="1:9" ht="14.25" customHeight="1">
      <c r="A1094" s="15"/>
      <c r="D1094" s="102"/>
      <c r="F1094" s="15"/>
      <c r="G1094" s="15"/>
      <c r="H1094" s="103"/>
      <c r="I1094" s="91"/>
    </row>
    <row r="1095" spans="1:9" ht="14.25" customHeight="1">
      <c r="A1095" s="15"/>
      <c r="D1095" s="102"/>
      <c r="F1095" s="15"/>
      <c r="G1095" s="15"/>
      <c r="H1095" s="103"/>
      <c r="I1095" s="91"/>
    </row>
    <row r="1096" spans="1:9" ht="14.25" customHeight="1">
      <c r="A1096" s="15"/>
      <c r="D1096" s="102"/>
      <c r="F1096" s="15"/>
      <c r="G1096" s="15"/>
      <c r="H1096" s="103"/>
      <c r="I1096" s="91"/>
    </row>
    <row r="1097" spans="1:9" ht="14.25" customHeight="1">
      <c r="A1097" s="15"/>
      <c r="D1097" s="102"/>
      <c r="F1097" s="15"/>
      <c r="G1097" s="15"/>
      <c r="H1097" s="103"/>
      <c r="I1097" s="91"/>
    </row>
    <row r="1098" spans="1:9" ht="14.25" customHeight="1">
      <c r="A1098" s="15"/>
      <c r="D1098" s="102"/>
      <c r="F1098" s="15"/>
      <c r="G1098" s="15"/>
      <c r="H1098" s="103"/>
      <c r="I1098" s="91"/>
    </row>
    <row r="1099" spans="1:9" ht="14.25" customHeight="1">
      <c r="A1099" s="15"/>
      <c r="D1099" s="102"/>
      <c r="F1099" s="15"/>
      <c r="G1099" s="15"/>
      <c r="H1099" s="103"/>
      <c r="I1099" s="91"/>
    </row>
    <row r="1100" spans="1:9" ht="14.25" customHeight="1">
      <c r="A1100" s="15"/>
      <c r="D1100" s="102"/>
      <c r="F1100" s="15"/>
      <c r="G1100" s="15"/>
      <c r="H1100" s="103"/>
      <c r="I1100" s="91"/>
    </row>
    <row r="1101" spans="1:9" ht="14.25" customHeight="1">
      <c r="A1101" s="15"/>
      <c r="D1101" s="102"/>
      <c r="F1101" s="15"/>
      <c r="G1101" s="15"/>
      <c r="H1101" s="103"/>
      <c r="I1101" s="91"/>
    </row>
    <row r="1102" spans="1:9" ht="14.25" customHeight="1">
      <c r="A1102" s="15"/>
      <c r="D1102" s="102"/>
      <c r="F1102" s="15"/>
      <c r="G1102" s="15"/>
      <c r="H1102" s="103"/>
      <c r="I1102" s="91"/>
    </row>
    <row r="1103" spans="1:9" ht="14.25" customHeight="1">
      <c r="A1103" s="15"/>
      <c r="D1103" s="102"/>
      <c r="F1103" s="15"/>
      <c r="G1103" s="15"/>
      <c r="H1103" s="103"/>
      <c r="I1103" s="91"/>
    </row>
    <row r="1104" spans="1:9" ht="14.25" customHeight="1">
      <c r="A1104" s="15"/>
      <c r="D1104" s="102"/>
      <c r="F1104" s="15"/>
      <c r="G1104" s="15"/>
      <c r="H1104" s="103"/>
      <c r="I1104" s="91"/>
    </row>
    <row r="1105" spans="1:9" ht="14.25" customHeight="1">
      <c r="A1105" s="15"/>
      <c r="D1105" s="102"/>
      <c r="F1105" s="15"/>
      <c r="G1105" s="15"/>
      <c r="H1105" s="103"/>
      <c r="I1105" s="91"/>
    </row>
    <row r="1106" spans="1:9" ht="14.25" customHeight="1">
      <c r="A1106" s="15"/>
      <c r="D1106" s="102"/>
      <c r="F1106" s="15"/>
      <c r="G1106" s="15"/>
      <c r="H1106" s="103"/>
      <c r="I1106" s="91"/>
    </row>
    <row r="1107" spans="1:9" ht="14.25" customHeight="1">
      <c r="A1107" s="15"/>
      <c r="D1107" s="102"/>
      <c r="F1107" s="15"/>
      <c r="G1107" s="15"/>
      <c r="H1107" s="103"/>
      <c r="I1107" s="91"/>
    </row>
    <row r="1108" spans="1:9" ht="14.25" customHeight="1">
      <c r="A1108" s="15"/>
      <c r="D1108" s="102"/>
      <c r="F1108" s="15"/>
      <c r="G1108" s="15"/>
      <c r="H1108" s="103"/>
      <c r="I1108" s="91"/>
    </row>
    <row r="1109" spans="1:9" ht="14.25" customHeight="1">
      <c r="A1109" s="15"/>
      <c r="D1109" s="102"/>
      <c r="F1109" s="15"/>
      <c r="G1109" s="15"/>
      <c r="H1109" s="103"/>
      <c r="I1109" s="91"/>
    </row>
    <row r="1110" spans="1:9" ht="14.25" customHeight="1">
      <c r="A1110" s="15"/>
      <c r="D1110" s="102"/>
      <c r="F1110" s="15"/>
      <c r="G1110" s="15"/>
      <c r="H1110" s="103"/>
      <c r="I1110" s="91"/>
    </row>
    <row r="1111" spans="1:9" ht="14.25" customHeight="1">
      <c r="A1111" s="15"/>
      <c r="D1111" s="102"/>
      <c r="F1111" s="15"/>
      <c r="G1111" s="15"/>
      <c r="H1111" s="103"/>
      <c r="I1111" s="91"/>
    </row>
    <row r="1112" spans="1:9" ht="14.25" customHeight="1">
      <c r="A1112" s="15"/>
      <c r="D1112" s="102"/>
      <c r="F1112" s="15"/>
      <c r="G1112" s="15"/>
      <c r="H1112" s="103"/>
      <c r="I1112" s="91"/>
    </row>
    <row r="1113" spans="1:9" ht="14.25" customHeight="1">
      <c r="A1113" s="15"/>
      <c r="D1113" s="102"/>
      <c r="F1113" s="15"/>
      <c r="G1113" s="15"/>
      <c r="H1113" s="103"/>
      <c r="I1113" s="91"/>
    </row>
    <row r="1114" spans="1:9" ht="14.25" customHeight="1">
      <c r="A1114" s="15"/>
      <c r="D1114" s="102"/>
      <c r="F1114" s="15"/>
      <c r="G1114" s="15"/>
      <c r="H1114" s="103"/>
      <c r="I1114" s="91"/>
    </row>
    <row r="1115" spans="1:9" ht="14.25" customHeight="1">
      <c r="A1115" s="15"/>
      <c r="D1115" s="102"/>
      <c r="F1115" s="15"/>
      <c r="G1115" s="15"/>
      <c r="H1115" s="103"/>
      <c r="I1115" s="91"/>
    </row>
    <row r="1116" spans="1:9" ht="14.25" customHeight="1">
      <c r="A1116" s="15"/>
      <c r="D1116" s="102"/>
      <c r="F1116" s="15"/>
      <c r="G1116" s="15"/>
      <c r="H1116" s="103"/>
      <c r="I1116" s="91"/>
    </row>
    <row r="1117" spans="1:9" ht="14.25" customHeight="1">
      <c r="A1117" s="15"/>
      <c r="D1117" s="102"/>
      <c r="F1117" s="15"/>
      <c r="G1117" s="15"/>
      <c r="H1117" s="103"/>
      <c r="I1117" s="91"/>
    </row>
    <row r="1118" spans="1:9" ht="14.25" customHeight="1">
      <c r="A1118" s="15"/>
      <c r="D1118" s="102"/>
      <c r="F1118" s="15"/>
      <c r="G1118" s="15"/>
      <c r="H1118" s="103"/>
      <c r="I1118" s="91"/>
    </row>
    <row r="1119" spans="1:9" ht="14.25" customHeight="1">
      <c r="A1119" s="15"/>
      <c r="D1119" s="102"/>
      <c r="F1119" s="15"/>
      <c r="G1119" s="15"/>
      <c r="H1119" s="103"/>
      <c r="I1119" s="91"/>
    </row>
    <row r="1120" spans="1:9" ht="14.25" customHeight="1">
      <c r="A1120" s="15"/>
      <c r="D1120" s="102"/>
      <c r="F1120" s="15"/>
      <c r="G1120" s="15"/>
      <c r="H1120" s="103"/>
      <c r="I1120" s="91"/>
    </row>
    <row r="1121" spans="1:9" ht="14.25" customHeight="1">
      <c r="A1121" s="15"/>
      <c r="D1121" s="102"/>
      <c r="F1121" s="15"/>
      <c r="G1121" s="15"/>
      <c r="H1121" s="103"/>
      <c r="I1121" s="91"/>
    </row>
    <row r="1122" spans="1:9" ht="14.25" customHeight="1">
      <c r="A1122" s="15"/>
      <c r="D1122" s="102"/>
      <c r="F1122" s="15"/>
      <c r="G1122" s="15"/>
      <c r="H1122" s="103"/>
      <c r="I1122" s="91"/>
    </row>
    <row r="1123" spans="1:9" ht="14.25" customHeight="1">
      <c r="A1123" s="15"/>
      <c r="D1123" s="102"/>
      <c r="F1123" s="15"/>
      <c r="G1123" s="15"/>
      <c r="H1123" s="103"/>
      <c r="I1123" s="91"/>
    </row>
    <row r="1124" spans="1:9" ht="14.25" customHeight="1">
      <c r="A1124" s="15"/>
      <c r="D1124" s="102"/>
      <c r="F1124" s="15"/>
      <c r="G1124" s="15"/>
      <c r="H1124" s="103"/>
      <c r="I1124" s="91"/>
    </row>
    <row r="1125" spans="1:9" ht="14.25" customHeight="1">
      <c r="A1125" s="15"/>
      <c r="D1125" s="102"/>
      <c r="F1125" s="15"/>
      <c r="G1125" s="15"/>
      <c r="H1125" s="103"/>
      <c r="I1125" s="91"/>
    </row>
    <row r="1126" spans="1:9" ht="14.25" customHeight="1">
      <c r="A1126" s="15"/>
      <c r="D1126" s="102"/>
      <c r="F1126" s="15"/>
      <c r="G1126" s="15"/>
      <c r="H1126" s="103"/>
      <c r="I1126" s="91"/>
    </row>
    <row r="1127" spans="1:9" ht="14.25" customHeight="1">
      <c r="A1127" s="15"/>
      <c r="D1127" s="102"/>
      <c r="F1127" s="15"/>
      <c r="G1127" s="15"/>
      <c r="H1127" s="103"/>
      <c r="I1127" s="91"/>
    </row>
    <row r="1128" spans="1:9" ht="14.25" customHeight="1">
      <c r="A1128" s="15"/>
      <c r="D1128" s="102"/>
      <c r="F1128" s="15"/>
      <c r="G1128" s="15"/>
      <c r="H1128" s="103"/>
      <c r="I1128" s="91"/>
    </row>
    <row r="1129" spans="1:9" ht="14.25" customHeight="1">
      <c r="A1129" s="15"/>
      <c r="D1129" s="102"/>
      <c r="F1129" s="15"/>
      <c r="G1129" s="15"/>
      <c r="H1129" s="103"/>
      <c r="I1129" s="91"/>
    </row>
    <row r="1130" spans="1:9" ht="14.25" customHeight="1">
      <c r="A1130" s="15"/>
      <c r="D1130" s="102"/>
      <c r="F1130" s="15"/>
      <c r="G1130" s="15"/>
      <c r="H1130" s="103"/>
      <c r="I1130" s="91"/>
    </row>
    <row r="1131" spans="1:9" ht="14.25" customHeight="1">
      <c r="A1131" s="15"/>
      <c r="D1131" s="102"/>
      <c r="F1131" s="15"/>
      <c r="G1131" s="15"/>
      <c r="H1131" s="103"/>
      <c r="I1131" s="91"/>
    </row>
    <row r="1132" spans="1:9" ht="14.25" customHeight="1">
      <c r="A1132" s="15"/>
      <c r="D1132" s="102"/>
      <c r="F1132" s="15"/>
      <c r="G1132" s="15"/>
      <c r="H1132" s="103"/>
      <c r="I1132" s="91"/>
    </row>
    <row r="1133" spans="1:9" ht="14.25" customHeight="1">
      <c r="A1133" s="15"/>
      <c r="D1133" s="102"/>
      <c r="F1133" s="15"/>
      <c r="G1133" s="15"/>
      <c r="H1133" s="103"/>
      <c r="I1133" s="91"/>
    </row>
    <row r="1134" spans="1:9" ht="14.25" customHeight="1">
      <c r="A1134" s="15"/>
      <c r="D1134" s="102"/>
      <c r="F1134" s="15"/>
      <c r="G1134" s="15"/>
      <c r="H1134" s="103"/>
      <c r="I1134" s="91"/>
    </row>
    <row r="1135" spans="1:9" ht="14.25" customHeight="1">
      <c r="A1135" s="15"/>
      <c r="D1135" s="102"/>
      <c r="F1135" s="15"/>
      <c r="G1135" s="15"/>
      <c r="H1135" s="103"/>
      <c r="I1135" s="91"/>
    </row>
    <row r="1136" spans="1:9" ht="14.25" customHeight="1">
      <c r="A1136" s="15"/>
      <c r="D1136" s="102"/>
      <c r="F1136" s="15"/>
      <c r="G1136" s="15"/>
      <c r="H1136" s="103"/>
      <c r="I1136" s="91"/>
    </row>
    <row r="1137" spans="1:9" ht="14.25" customHeight="1">
      <c r="A1137" s="15"/>
      <c r="D1137" s="102"/>
      <c r="F1137" s="15"/>
      <c r="G1137" s="15"/>
      <c r="H1137" s="103"/>
      <c r="I1137" s="91"/>
    </row>
    <row r="1138" spans="1:9" ht="14.25" customHeight="1">
      <c r="A1138" s="15"/>
      <c r="D1138" s="102"/>
      <c r="F1138" s="15"/>
      <c r="G1138" s="15"/>
      <c r="H1138" s="103"/>
      <c r="I1138" s="91"/>
    </row>
    <row r="1139" spans="1:9" ht="14.25" customHeight="1">
      <c r="A1139" s="15"/>
      <c r="D1139" s="102"/>
      <c r="F1139" s="15"/>
      <c r="G1139" s="15"/>
      <c r="H1139" s="103"/>
      <c r="I1139" s="91"/>
    </row>
    <row r="1140" spans="1:9" ht="14.25" customHeight="1">
      <c r="A1140" s="15"/>
      <c r="D1140" s="102"/>
      <c r="F1140" s="15"/>
      <c r="G1140" s="15"/>
      <c r="H1140" s="103"/>
      <c r="I1140" s="91"/>
    </row>
    <row r="1141" spans="1:9" ht="14.25" customHeight="1">
      <c r="A1141" s="15"/>
      <c r="D1141" s="102"/>
      <c r="F1141" s="15"/>
      <c r="G1141" s="15"/>
      <c r="H1141" s="103"/>
      <c r="I1141" s="91"/>
    </row>
    <row r="1142" spans="1:9" ht="14.25" customHeight="1">
      <c r="A1142" s="15"/>
      <c r="D1142" s="102"/>
      <c r="F1142" s="15"/>
      <c r="G1142" s="15"/>
      <c r="H1142" s="103"/>
      <c r="I1142" s="91"/>
    </row>
    <row r="1143" spans="1:9" ht="14.25" customHeight="1">
      <c r="A1143" s="15"/>
      <c r="D1143" s="102"/>
      <c r="F1143" s="15"/>
      <c r="G1143" s="15"/>
      <c r="H1143" s="103"/>
      <c r="I1143" s="91"/>
    </row>
    <row r="1144" spans="1:9" ht="14.25" customHeight="1">
      <c r="A1144" s="15"/>
      <c r="D1144" s="102"/>
      <c r="F1144" s="15"/>
      <c r="G1144" s="15"/>
      <c r="H1144" s="103"/>
      <c r="I1144" s="91"/>
    </row>
    <row r="1145" spans="1:9" ht="14.25" customHeight="1">
      <c r="A1145" s="15"/>
      <c r="D1145" s="102"/>
      <c r="F1145" s="15"/>
      <c r="G1145" s="15"/>
      <c r="H1145" s="103"/>
      <c r="I1145" s="91"/>
    </row>
    <row r="1146" spans="1:9" ht="14.25" customHeight="1">
      <c r="A1146" s="15"/>
      <c r="D1146" s="102"/>
      <c r="F1146" s="15"/>
      <c r="G1146" s="15"/>
      <c r="H1146" s="103"/>
      <c r="I1146" s="91"/>
    </row>
    <row r="1147" spans="1:9" ht="14.25" customHeight="1">
      <c r="A1147" s="15"/>
      <c r="D1147" s="102"/>
      <c r="F1147" s="15"/>
      <c r="G1147" s="15"/>
      <c r="H1147" s="103"/>
      <c r="I1147" s="91"/>
    </row>
    <row r="1148" spans="1:9" ht="14.25" customHeight="1">
      <c r="A1148" s="15"/>
      <c r="D1148" s="102"/>
      <c r="F1148" s="15"/>
      <c r="G1148" s="15"/>
      <c r="H1148" s="103"/>
      <c r="I1148" s="91"/>
    </row>
    <row r="1149" spans="1:9" ht="14.25" customHeight="1">
      <c r="A1149" s="15"/>
      <c r="D1149" s="102"/>
      <c r="F1149" s="15"/>
      <c r="G1149" s="15"/>
      <c r="H1149" s="103"/>
      <c r="I1149" s="91"/>
    </row>
    <row r="1150" spans="1:9" ht="14.25" customHeight="1">
      <c r="A1150" s="15"/>
      <c r="D1150" s="102"/>
      <c r="F1150" s="15"/>
      <c r="G1150" s="15"/>
      <c r="H1150" s="103"/>
      <c r="I1150" s="91"/>
    </row>
    <row r="1151" spans="1:9" ht="14.25" customHeight="1">
      <c r="A1151" s="15"/>
      <c r="D1151" s="102"/>
      <c r="F1151" s="15"/>
      <c r="G1151" s="15"/>
      <c r="H1151" s="103"/>
      <c r="I1151" s="91"/>
    </row>
    <row r="1152" spans="1:9" ht="14.25" customHeight="1">
      <c r="A1152" s="15"/>
      <c r="D1152" s="102"/>
      <c r="F1152" s="15"/>
      <c r="G1152" s="15"/>
      <c r="H1152" s="103"/>
      <c r="I1152" s="91"/>
    </row>
    <row r="1153" spans="1:9" ht="14.25" customHeight="1">
      <c r="A1153" s="15"/>
      <c r="D1153" s="102"/>
      <c r="F1153" s="15"/>
      <c r="G1153" s="15"/>
      <c r="H1153" s="103"/>
      <c r="I1153" s="91"/>
    </row>
    <row r="1154" spans="1:9" ht="14.25" customHeight="1">
      <c r="A1154" s="15"/>
      <c r="D1154" s="102"/>
      <c r="F1154" s="15"/>
      <c r="G1154" s="15"/>
      <c r="H1154" s="103"/>
      <c r="I1154" s="91"/>
    </row>
    <row r="1155" spans="1:9" ht="14.25" customHeight="1">
      <c r="A1155" s="15"/>
      <c r="D1155" s="102"/>
      <c r="F1155" s="15"/>
      <c r="G1155" s="15"/>
      <c r="H1155" s="103"/>
      <c r="I1155" s="91"/>
    </row>
    <row r="1156" spans="1:9" ht="14.25" customHeight="1">
      <c r="A1156" s="15"/>
      <c r="D1156" s="102"/>
      <c r="F1156" s="15"/>
      <c r="G1156" s="15"/>
      <c r="H1156" s="103"/>
      <c r="I1156" s="91"/>
    </row>
    <row r="1157" spans="1:9" ht="14.25" customHeight="1">
      <c r="A1157" s="15"/>
      <c r="D1157" s="102"/>
      <c r="F1157" s="15"/>
      <c r="G1157" s="15"/>
      <c r="H1157" s="103"/>
      <c r="I1157" s="91"/>
    </row>
    <row r="1158" spans="1:9" ht="14.25" customHeight="1">
      <c r="A1158" s="15"/>
      <c r="D1158" s="102"/>
      <c r="F1158" s="15"/>
      <c r="G1158" s="15"/>
      <c r="H1158" s="103"/>
      <c r="I1158" s="91"/>
    </row>
    <row r="1159" spans="1:9" ht="14.25" customHeight="1">
      <c r="A1159" s="15"/>
      <c r="D1159" s="102"/>
      <c r="F1159" s="15"/>
      <c r="G1159" s="15"/>
      <c r="H1159" s="103"/>
      <c r="I1159" s="91"/>
    </row>
    <row r="1160" spans="1:9" ht="14.25" customHeight="1">
      <c r="A1160" s="15"/>
      <c r="D1160" s="102"/>
      <c r="F1160" s="15"/>
      <c r="G1160" s="15"/>
      <c r="H1160" s="103"/>
      <c r="I1160" s="91"/>
    </row>
    <row r="1161" spans="1:9" ht="14.25" customHeight="1">
      <c r="A1161" s="15"/>
      <c r="D1161" s="102"/>
      <c r="F1161" s="15"/>
      <c r="G1161" s="15"/>
      <c r="H1161" s="103"/>
      <c r="I1161" s="91"/>
    </row>
    <row r="1162" spans="1:9" ht="14.25" customHeight="1">
      <c r="A1162" s="15"/>
      <c r="D1162" s="102"/>
      <c r="F1162" s="15"/>
      <c r="G1162" s="15"/>
      <c r="H1162" s="103"/>
      <c r="I1162" s="91"/>
    </row>
    <row r="1163" spans="1:9" ht="14.25" customHeight="1">
      <c r="A1163" s="15"/>
      <c r="D1163" s="102"/>
      <c r="F1163" s="15"/>
      <c r="G1163" s="15"/>
      <c r="H1163" s="103"/>
      <c r="I1163" s="91"/>
    </row>
    <row r="1164" spans="1:9" ht="14.25" customHeight="1">
      <c r="A1164" s="15"/>
      <c r="D1164" s="102"/>
      <c r="F1164" s="15"/>
      <c r="G1164" s="15"/>
      <c r="H1164" s="103"/>
      <c r="I1164" s="91"/>
    </row>
    <row r="1165" spans="1:9" ht="14.25" customHeight="1">
      <c r="A1165" s="15"/>
      <c r="D1165" s="102"/>
      <c r="F1165" s="15"/>
      <c r="G1165" s="15"/>
      <c r="H1165" s="103"/>
      <c r="I1165" s="91"/>
    </row>
    <row r="1166" spans="1:9" ht="14.25" customHeight="1">
      <c r="A1166" s="15"/>
      <c r="D1166" s="102"/>
      <c r="F1166" s="15"/>
      <c r="G1166" s="15"/>
      <c r="H1166" s="103"/>
      <c r="I1166" s="91"/>
    </row>
    <row r="1167" spans="1:9" ht="14.25" customHeight="1">
      <c r="A1167" s="15"/>
      <c r="D1167" s="102"/>
      <c r="F1167" s="15"/>
      <c r="G1167" s="15"/>
      <c r="H1167" s="103"/>
      <c r="I1167" s="91"/>
    </row>
    <row r="1168" spans="1:9" ht="14.25" customHeight="1">
      <c r="A1168" s="15"/>
      <c r="D1168" s="102"/>
      <c r="F1168" s="15"/>
      <c r="G1168" s="15"/>
      <c r="H1168" s="103"/>
      <c r="I1168" s="91"/>
    </row>
    <row r="1169" spans="1:9" ht="14.25" customHeight="1">
      <c r="A1169" s="15"/>
      <c r="D1169" s="102"/>
      <c r="F1169" s="15"/>
      <c r="G1169" s="15"/>
      <c r="H1169" s="103"/>
      <c r="I1169" s="91"/>
    </row>
    <row r="1170" spans="1:9" ht="14.25" customHeight="1">
      <c r="A1170" s="15"/>
      <c r="D1170" s="102"/>
      <c r="F1170" s="15"/>
      <c r="G1170" s="15"/>
      <c r="H1170" s="103"/>
      <c r="I1170" s="91"/>
    </row>
    <row r="1171" spans="1:9" ht="14.25" customHeight="1">
      <c r="A1171" s="15"/>
      <c r="D1171" s="102"/>
      <c r="F1171" s="15"/>
      <c r="G1171" s="15"/>
      <c r="H1171" s="103"/>
      <c r="I1171" s="91"/>
    </row>
    <row r="1172" spans="1:9" ht="14.25" customHeight="1">
      <c r="A1172" s="15"/>
      <c r="D1172" s="102"/>
      <c r="F1172" s="15"/>
      <c r="G1172" s="15"/>
      <c r="H1172" s="103"/>
      <c r="I1172" s="91"/>
    </row>
    <row r="1173" spans="1:9" ht="14.25" customHeight="1">
      <c r="A1173" s="15"/>
      <c r="D1173" s="102"/>
      <c r="F1173" s="15"/>
      <c r="G1173" s="15"/>
      <c r="H1173" s="103"/>
      <c r="I1173" s="91"/>
    </row>
    <row r="1174" spans="1:9" ht="14.25" customHeight="1">
      <c r="A1174" s="15"/>
      <c r="D1174" s="102"/>
      <c r="F1174" s="15"/>
      <c r="G1174" s="15"/>
      <c r="H1174" s="103"/>
      <c r="I1174" s="91"/>
    </row>
    <row r="1175" spans="1:9" ht="14.25" customHeight="1">
      <c r="A1175" s="15"/>
      <c r="D1175" s="102"/>
      <c r="F1175" s="15"/>
      <c r="G1175" s="15"/>
      <c r="H1175" s="103"/>
      <c r="I1175" s="91"/>
    </row>
    <row r="1176" spans="1:9" ht="14.25" customHeight="1">
      <c r="A1176" s="15"/>
      <c r="D1176" s="102"/>
      <c r="F1176" s="15"/>
      <c r="G1176" s="15"/>
      <c r="H1176" s="103"/>
      <c r="I1176" s="91"/>
    </row>
    <row r="1177" spans="1:9" ht="14.25" customHeight="1">
      <c r="A1177" s="15"/>
      <c r="D1177" s="102"/>
      <c r="F1177" s="15"/>
      <c r="G1177" s="15"/>
      <c r="H1177" s="103"/>
      <c r="I1177" s="91"/>
    </row>
    <row r="1178" spans="1:9" ht="14.25" customHeight="1">
      <c r="A1178" s="15"/>
      <c r="D1178" s="102"/>
      <c r="F1178" s="15"/>
      <c r="G1178" s="15"/>
      <c r="H1178" s="103"/>
      <c r="I1178" s="91"/>
    </row>
    <row r="1179" spans="1:9" ht="14.25" customHeight="1">
      <c r="A1179" s="15"/>
      <c r="D1179" s="102"/>
      <c r="F1179" s="15"/>
      <c r="G1179" s="15"/>
      <c r="H1179" s="103"/>
      <c r="I1179" s="91"/>
    </row>
    <row r="1180" spans="1:9" ht="14.25" customHeight="1">
      <c r="A1180" s="15"/>
      <c r="D1180" s="102"/>
      <c r="F1180" s="15"/>
      <c r="G1180" s="15"/>
      <c r="H1180" s="103"/>
      <c r="I1180" s="91"/>
    </row>
    <row r="1181" spans="1:9" ht="14.25" customHeight="1">
      <c r="A1181" s="15"/>
      <c r="D1181" s="102"/>
      <c r="F1181" s="15"/>
      <c r="G1181" s="15"/>
      <c r="H1181" s="103"/>
      <c r="I1181" s="91"/>
    </row>
    <row r="1182" spans="1:9" ht="14.25" customHeight="1">
      <c r="A1182" s="15"/>
      <c r="D1182" s="102"/>
      <c r="F1182" s="15"/>
      <c r="G1182" s="15"/>
      <c r="H1182" s="103"/>
      <c r="I1182" s="91"/>
    </row>
    <row r="1183" spans="1:9" ht="14.25" customHeight="1">
      <c r="A1183" s="15"/>
      <c r="D1183" s="102"/>
      <c r="F1183" s="15"/>
      <c r="G1183" s="15"/>
      <c r="H1183" s="103"/>
      <c r="I1183" s="91"/>
    </row>
    <row r="1184" spans="1:9" ht="14.25" customHeight="1">
      <c r="A1184" s="15"/>
      <c r="D1184" s="102"/>
      <c r="F1184" s="15"/>
      <c r="G1184" s="15"/>
      <c r="H1184" s="103"/>
      <c r="I1184" s="91"/>
    </row>
    <row r="1185" spans="1:9" ht="14.25" customHeight="1">
      <c r="A1185" s="15"/>
      <c r="D1185" s="102"/>
      <c r="F1185" s="15"/>
      <c r="G1185" s="15"/>
      <c r="H1185" s="103"/>
      <c r="I1185" s="91"/>
    </row>
    <row r="1186" spans="1:9" ht="14.25" customHeight="1">
      <c r="A1186" s="15"/>
      <c r="D1186" s="102"/>
      <c r="F1186" s="15"/>
      <c r="G1186" s="15"/>
      <c r="H1186" s="103"/>
      <c r="I1186" s="91"/>
    </row>
    <row r="1187" spans="1:9" ht="14.25" customHeight="1">
      <c r="A1187" s="15"/>
      <c r="D1187" s="102"/>
      <c r="F1187" s="15"/>
      <c r="G1187" s="15"/>
      <c r="H1187" s="103"/>
      <c r="I1187" s="91"/>
    </row>
    <row r="1188" spans="1:9" ht="14.25" customHeight="1">
      <c r="A1188" s="15"/>
      <c r="D1188" s="102"/>
      <c r="F1188" s="15"/>
      <c r="G1188" s="15"/>
      <c r="H1188" s="103"/>
      <c r="I1188" s="91"/>
    </row>
    <row r="1189" spans="1:9" ht="14.25" customHeight="1">
      <c r="A1189" s="15"/>
      <c r="D1189" s="102"/>
      <c r="F1189" s="15"/>
      <c r="G1189" s="15"/>
      <c r="H1189" s="103"/>
      <c r="I1189" s="91"/>
    </row>
    <row r="1190" spans="1:9" ht="14.25" customHeight="1">
      <c r="A1190" s="15"/>
      <c r="D1190" s="102"/>
      <c r="F1190" s="15"/>
      <c r="G1190" s="15"/>
      <c r="H1190" s="103"/>
      <c r="I1190" s="91"/>
    </row>
    <row r="1191" spans="1:9" ht="14.25" customHeight="1">
      <c r="A1191" s="15"/>
      <c r="D1191" s="102"/>
      <c r="F1191" s="15"/>
      <c r="G1191" s="15"/>
      <c r="H1191" s="103"/>
      <c r="I1191" s="91"/>
    </row>
    <row r="1192" spans="1:9" ht="14.25" customHeight="1">
      <c r="A1192" s="15"/>
      <c r="D1192" s="102"/>
      <c r="F1192" s="15"/>
      <c r="G1192" s="15"/>
      <c r="H1192" s="103"/>
      <c r="I1192" s="91"/>
    </row>
    <row r="1193" spans="1:9" ht="14.25" customHeight="1">
      <c r="A1193" s="15"/>
      <c r="D1193" s="102"/>
      <c r="F1193" s="15"/>
      <c r="G1193" s="15"/>
      <c r="H1193" s="103"/>
      <c r="I1193" s="91"/>
    </row>
    <row r="1194" spans="1:9" ht="14.25" customHeight="1">
      <c r="A1194" s="15"/>
      <c r="D1194" s="102"/>
      <c r="F1194" s="15"/>
      <c r="G1194" s="15"/>
      <c r="H1194" s="103"/>
      <c r="I1194" s="91"/>
    </row>
    <row r="1195" spans="1:9" ht="14.25" customHeight="1">
      <c r="A1195" s="15"/>
      <c r="D1195" s="102"/>
      <c r="F1195" s="15"/>
      <c r="G1195" s="15"/>
      <c r="H1195" s="103"/>
      <c r="I1195" s="91"/>
    </row>
    <row r="1196" spans="1:9" ht="14.25" customHeight="1">
      <c r="A1196" s="15"/>
      <c r="D1196" s="102"/>
      <c r="F1196" s="15"/>
      <c r="G1196" s="15"/>
      <c r="H1196" s="103"/>
      <c r="I1196" s="91"/>
    </row>
    <row r="1197" spans="1:9" ht="14.25" customHeight="1">
      <c r="A1197" s="15"/>
      <c r="D1197" s="102"/>
      <c r="F1197" s="15"/>
      <c r="G1197" s="15"/>
      <c r="H1197" s="103"/>
      <c r="I1197" s="91"/>
    </row>
    <row r="1198" spans="1:9" ht="14.25" customHeight="1">
      <c r="A1198" s="15"/>
      <c r="D1198" s="102"/>
      <c r="F1198" s="15"/>
      <c r="G1198" s="15"/>
      <c r="H1198" s="103"/>
      <c r="I1198" s="91"/>
    </row>
    <row r="1199" spans="1:9" ht="14.25" customHeight="1">
      <c r="A1199" s="15"/>
      <c r="D1199" s="102"/>
      <c r="F1199" s="15"/>
      <c r="G1199" s="15"/>
      <c r="H1199" s="103"/>
      <c r="I1199" s="91"/>
    </row>
    <row r="1200" spans="1:9" ht="14.25" customHeight="1">
      <c r="A1200" s="15"/>
      <c r="D1200" s="102"/>
      <c r="F1200" s="15"/>
      <c r="G1200" s="15"/>
      <c r="H1200" s="103"/>
      <c r="I1200" s="91"/>
    </row>
    <row r="1201" spans="1:9" ht="14.25" customHeight="1">
      <c r="A1201" s="15"/>
      <c r="D1201" s="102"/>
      <c r="F1201" s="15"/>
      <c r="G1201" s="15"/>
      <c r="H1201" s="103"/>
      <c r="I1201" s="91"/>
    </row>
    <row r="1202" spans="1:9" ht="14.25" customHeight="1">
      <c r="A1202" s="15"/>
      <c r="D1202" s="102"/>
      <c r="F1202" s="15"/>
      <c r="G1202" s="15"/>
      <c r="H1202" s="103"/>
      <c r="I1202" s="91"/>
    </row>
    <row r="1203" spans="1:9" ht="14.25" customHeight="1">
      <c r="A1203" s="15"/>
      <c r="D1203" s="102"/>
      <c r="F1203" s="15"/>
      <c r="G1203" s="15"/>
      <c r="H1203" s="103"/>
      <c r="I1203" s="91"/>
    </row>
    <row r="1204" spans="1:9" ht="14.25" customHeight="1">
      <c r="A1204" s="15"/>
      <c r="D1204" s="102"/>
      <c r="F1204" s="15"/>
      <c r="G1204" s="15"/>
      <c r="H1204" s="103"/>
      <c r="I1204" s="91"/>
    </row>
    <row r="1205" spans="1:9" ht="14.25" customHeight="1">
      <c r="A1205" s="15"/>
      <c r="D1205" s="102"/>
      <c r="F1205" s="15"/>
      <c r="G1205" s="15"/>
      <c r="H1205" s="103"/>
      <c r="I1205" s="91"/>
    </row>
    <row r="1206" spans="1:9" ht="14.25" customHeight="1">
      <c r="A1206" s="15"/>
      <c r="D1206" s="102"/>
      <c r="F1206" s="15"/>
      <c r="G1206" s="15"/>
      <c r="H1206" s="103"/>
      <c r="I1206" s="91"/>
    </row>
    <row r="1207" spans="1:9" ht="14.25" customHeight="1">
      <c r="A1207" s="15"/>
      <c r="D1207" s="102"/>
      <c r="F1207" s="15"/>
      <c r="G1207" s="15"/>
      <c r="H1207" s="103"/>
      <c r="I1207" s="91"/>
    </row>
    <row r="1208" spans="1:9" ht="14.25" customHeight="1">
      <c r="A1208" s="15"/>
      <c r="D1208" s="102"/>
      <c r="F1208" s="15"/>
      <c r="G1208" s="15"/>
      <c r="H1208" s="103"/>
      <c r="I1208" s="91"/>
    </row>
    <row r="1209" spans="1:9" ht="14.25" customHeight="1">
      <c r="A1209" s="15"/>
      <c r="D1209" s="102"/>
      <c r="F1209" s="15"/>
      <c r="G1209" s="15"/>
      <c r="H1209" s="103"/>
      <c r="I1209" s="91"/>
    </row>
    <row r="1210" spans="1:9" ht="14.25" customHeight="1">
      <c r="A1210" s="15"/>
      <c r="D1210" s="102"/>
      <c r="F1210" s="15"/>
      <c r="G1210" s="15"/>
      <c r="H1210" s="103"/>
      <c r="I1210" s="91"/>
    </row>
    <row r="1211" spans="1:9" ht="14.25" customHeight="1">
      <c r="A1211" s="15"/>
      <c r="D1211" s="102"/>
      <c r="F1211" s="15"/>
      <c r="G1211" s="15"/>
      <c r="H1211" s="103"/>
      <c r="I1211" s="91"/>
    </row>
    <row r="1212" spans="1:9" ht="14.25" customHeight="1">
      <c r="A1212" s="15"/>
      <c r="D1212" s="102"/>
      <c r="F1212" s="15"/>
      <c r="G1212" s="15"/>
      <c r="H1212" s="103"/>
      <c r="I1212" s="91"/>
    </row>
    <row r="1213" spans="1:9" ht="14.25" customHeight="1">
      <c r="A1213" s="15"/>
      <c r="D1213" s="102"/>
      <c r="F1213" s="15"/>
      <c r="G1213" s="15"/>
      <c r="H1213" s="103"/>
      <c r="I1213" s="91"/>
    </row>
    <row r="1214" spans="1:9" ht="14.25" customHeight="1">
      <c r="A1214" s="15"/>
      <c r="D1214" s="102"/>
      <c r="F1214" s="15"/>
      <c r="G1214" s="15"/>
      <c r="H1214" s="103"/>
      <c r="I1214" s="91"/>
    </row>
    <row r="1215" spans="1:9" ht="14.25" customHeight="1">
      <c r="A1215" s="15"/>
      <c r="D1215" s="102"/>
      <c r="F1215" s="15"/>
      <c r="G1215" s="15"/>
      <c r="H1215" s="103"/>
      <c r="I1215" s="91"/>
    </row>
    <row r="1216" spans="1:9" ht="14.25" customHeight="1">
      <c r="A1216" s="15"/>
      <c r="D1216" s="102"/>
      <c r="F1216" s="15"/>
      <c r="G1216" s="15"/>
      <c r="H1216" s="103"/>
      <c r="I1216" s="91"/>
    </row>
    <row r="1217" spans="1:9" ht="14.25" customHeight="1">
      <c r="A1217" s="15"/>
      <c r="D1217" s="102"/>
      <c r="F1217" s="15"/>
      <c r="G1217" s="15"/>
      <c r="H1217" s="103"/>
      <c r="I1217" s="91"/>
    </row>
    <row r="1218" spans="1:9" ht="14.25" customHeight="1">
      <c r="A1218" s="15"/>
      <c r="D1218" s="102"/>
      <c r="F1218" s="15"/>
      <c r="G1218" s="15"/>
      <c r="H1218" s="103"/>
      <c r="I1218" s="91"/>
    </row>
    <row r="1219" spans="1:9" ht="14.25" customHeight="1">
      <c r="A1219" s="15"/>
      <c r="D1219" s="102"/>
      <c r="F1219" s="15"/>
      <c r="G1219" s="15"/>
      <c r="H1219" s="103"/>
      <c r="I1219" s="91"/>
    </row>
    <row r="1220" spans="1:9" ht="14.25" customHeight="1">
      <c r="A1220" s="15"/>
      <c r="D1220" s="102"/>
      <c r="F1220" s="15"/>
      <c r="G1220" s="15"/>
      <c r="H1220" s="103"/>
      <c r="I1220" s="91"/>
    </row>
    <row r="1221" spans="1:9" ht="14.25" customHeight="1">
      <c r="A1221" s="15"/>
      <c r="D1221" s="102"/>
      <c r="F1221" s="15"/>
      <c r="G1221" s="15"/>
      <c r="H1221" s="103"/>
      <c r="I1221" s="91"/>
    </row>
    <row r="1222" spans="1:9" ht="14.25" customHeight="1">
      <c r="A1222" s="15"/>
      <c r="D1222" s="102"/>
      <c r="F1222" s="15"/>
      <c r="G1222" s="15"/>
      <c r="H1222" s="103"/>
      <c r="I1222" s="91"/>
    </row>
    <row r="1223" spans="1:9" ht="14.25" customHeight="1">
      <c r="A1223" s="15"/>
      <c r="D1223" s="102"/>
      <c r="F1223" s="15"/>
      <c r="G1223" s="15"/>
      <c r="H1223" s="103"/>
      <c r="I1223" s="91"/>
    </row>
    <row r="1224" spans="1:9" ht="14.25" customHeight="1">
      <c r="A1224" s="15"/>
      <c r="D1224" s="102"/>
      <c r="F1224" s="15"/>
      <c r="G1224" s="15"/>
      <c r="H1224" s="103"/>
      <c r="I1224" s="91"/>
    </row>
    <row r="1225" spans="1:9" ht="14.25" customHeight="1">
      <c r="A1225" s="15"/>
      <c r="D1225" s="102"/>
      <c r="F1225" s="15"/>
      <c r="G1225" s="15"/>
      <c r="H1225" s="103"/>
      <c r="I1225" s="91"/>
    </row>
    <row r="1226" spans="1:9" ht="14.25" customHeight="1">
      <c r="A1226" s="15"/>
      <c r="D1226" s="102"/>
      <c r="F1226" s="15"/>
      <c r="G1226" s="15"/>
      <c r="H1226" s="103"/>
      <c r="I1226" s="91"/>
    </row>
    <row r="1227" spans="1:9" ht="14.25" customHeight="1">
      <c r="A1227" s="15"/>
      <c r="D1227" s="102"/>
      <c r="F1227" s="15"/>
      <c r="G1227" s="15"/>
      <c r="H1227" s="103"/>
      <c r="I1227" s="91"/>
    </row>
    <row r="1228" spans="1:9" ht="14.25" customHeight="1">
      <c r="A1228" s="15"/>
      <c r="D1228" s="102"/>
      <c r="F1228" s="15"/>
      <c r="G1228" s="15"/>
      <c r="H1228" s="103"/>
      <c r="I1228" s="91"/>
    </row>
    <row r="1229" spans="1:9" ht="14.25" customHeight="1">
      <c r="A1229" s="15"/>
      <c r="D1229" s="102"/>
      <c r="F1229" s="15"/>
      <c r="G1229" s="15"/>
      <c r="H1229" s="103"/>
      <c r="I1229" s="91"/>
    </row>
    <row r="1230" spans="1:9" ht="14.25" customHeight="1">
      <c r="A1230" s="15"/>
      <c r="D1230" s="102"/>
      <c r="F1230" s="15"/>
      <c r="G1230" s="15"/>
      <c r="H1230" s="103"/>
      <c r="I1230" s="91"/>
    </row>
    <row r="1231" spans="1:9" ht="14.25" customHeight="1">
      <c r="A1231" s="15"/>
      <c r="D1231" s="102"/>
      <c r="F1231" s="15"/>
      <c r="G1231" s="15"/>
      <c r="H1231" s="103"/>
      <c r="I1231" s="91"/>
    </row>
    <row r="1232" spans="1:9" ht="14.25" customHeight="1">
      <c r="A1232" s="15"/>
      <c r="D1232" s="102"/>
      <c r="F1232" s="15"/>
      <c r="G1232" s="15"/>
      <c r="H1232" s="103"/>
      <c r="I1232" s="91"/>
    </row>
    <row r="1233" spans="1:9" ht="14.25" customHeight="1">
      <c r="A1233" s="15"/>
      <c r="D1233" s="102"/>
      <c r="F1233" s="15"/>
      <c r="G1233" s="15"/>
      <c r="H1233" s="103"/>
      <c r="I1233" s="91"/>
    </row>
    <row r="1234" spans="1:9" ht="14.25" customHeight="1">
      <c r="A1234" s="15"/>
      <c r="D1234" s="102"/>
      <c r="F1234" s="15"/>
      <c r="G1234" s="15"/>
      <c r="H1234" s="103"/>
      <c r="I1234" s="91"/>
    </row>
    <row r="1235" spans="1:9" ht="14.25" customHeight="1">
      <c r="A1235" s="15"/>
      <c r="D1235" s="102"/>
      <c r="F1235" s="15"/>
      <c r="G1235" s="15"/>
      <c r="H1235" s="103"/>
      <c r="I1235" s="91"/>
    </row>
    <row r="1236" spans="1:9" ht="14.25" customHeight="1">
      <c r="A1236" s="15"/>
      <c r="D1236" s="102"/>
      <c r="F1236" s="15"/>
      <c r="G1236" s="15"/>
      <c r="H1236" s="103"/>
      <c r="I1236" s="91"/>
    </row>
    <row r="1237" spans="1:9" ht="14.25" customHeight="1">
      <c r="A1237" s="15"/>
      <c r="D1237" s="102"/>
      <c r="F1237" s="15"/>
      <c r="G1237" s="15"/>
      <c r="H1237" s="103"/>
      <c r="I1237" s="91"/>
    </row>
    <row r="1238" spans="1:9" ht="14.25" customHeight="1">
      <c r="A1238" s="15"/>
      <c r="D1238" s="102"/>
      <c r="F1238" s="15"/>
      <c r="G1238" s="15"/>
      <c r="H1238" s="103"/>
      <c r="I1238" s="91"/>
    </row>
    <row r="1239" spans="1:9" ht="14.25" customHeight="1">
      <c r="A1239" s="15"/>
      <c r="D1239" s="102"/>
      <c r="F1239" s="15"/>
      <c r="G1239" s="15"/>
      <c r="H1239" s="103"/>
      <c r="I1239" s="91"/>
    </row>
    <row r="1240" spans="1:9" ht="14.25" customHeight="1">
      <c r="A1240" s="15"/>
      <c r="D1240" s="102"/>
      <c r="F1240" s="15"/>
      <c r="G1240" s="15"/>
      <c r="H1240" s="103"/>
      <c r="I1240" s="91"/>
    </row>
    <row r="1241" spans="1:9" ht="14.25" customHeight="1">
      <c r="A1241" s="15"/>
      <c r="D1241" s="102"/>
      <c r="F1241" s="15"/>
      <c r="G1241" s="15"/>
      <c r="H1241" s="103"/>
      <c r="I1241" s="91"/>
    </row>
    <row r="1242" spans="1:9" ht="14.25" customHeight="1">
      <c r="A1242" s="15"/>
      <c r="D1242" s="102"/>
      <c r="F1242" s="15"/>
      <c r="G1242" s="15"/>
      <c r="H1242" s="103"/>
      <c r="I1242" s="91"/>
    </row>
    <row r="1243" spans="1:9" ht="14.25" customHeight="1">
      <c r="A1243" s="15"/>
      <c r="D1243" s="102"/>
      <c r="F1243" s="15"/>
      <c r="G1243" s="15"/>
      <c r="H1243" s="103"/>
      <c r="I1243" s="91"/>
    </row>
    <row r="1244" spans="1:9" ht="14.25" customHeight="1">
      <c r="A1244" s="15"/>
      <c r="D1244" s="102"/>
      <c r="F1244" s="15"/>
      <c r="G1244" s="15"/>
      <c r="H1244" s="103"/>
      <c r="I1244" s="91"/>
    </row>
    <row r="1245" spans="1:9" ht="14.25" customHeight="1">
      <c r="A1245" s="15"/>
      <c r="D1245" s="102"/>
      <c r="F1245" s="15"/>
      <c r="G1245" s="15"/>
      <c r="H1245" s="103"/>
      <c r="I1245" s="91"/>
    </row>
    <row r="1246" spans="1:9" ht="14.25" customHeight="1">
      <c r="A1246" s="15"/>
      <c r="D1246" s="102"/>
      <c r="F1246" s="15"/>
      <c r="G1246" s="15"/>
      <c r="H1246" s="103"/>
      <c r="I1246" s="91"/>
    </row>
    <row r="1247" spans="1:9" ht="14.25" customHeight="1">
      <c r="A1247" s="15"/>
      <c r="D1247" s="102"/>
      <c r="F1247" s="15"/>
      <c r="G1247" s="15"/>
      <c r="H1247" s="103"/>
      <c r="I1247" s="91"/>
    </row>
    <row r="1248" spans="1:9" ht="14.25" customHeight="1">
      <c r="A1248" s="15"/>
      <c r="D1248" s="102"/>
      <c r="F1248" s="15"/>
      <c r="G1248" s="15"/>
      <c r="H1248" s="103"/>
      <c r="I1248" s="91"/>
    </row>
    <row r="1249" spans="1:9" ht="14.25" customHeight="1">
      <c r="A1249" s="15"/>
      <c r="D1249" s="102"/>
      <c r="F1249" s="15"/>
      <c r="G1249" s="15"/>
      <c r="H1249" s="103"/>
      <c r="I1249" s="91"/>
    </row>
    <row r="1250" spans="1:9" ht="14.25" customHeight="1">
      <c r="A1250" s="15"/>
      <c r="D1250" s="102"/>
      <c r="F1250" s="15"/>
      <c r="G1250" s="15"/>
      <c r="H1250" s="103"/>
      <c r="I1250" s="91"/>
    </row>
    <row r="1251" spans="1:9" ht="14.25" customHeight="1">
      <c r="A1251" s="15"/>
      <c r="D1251" s="102"/>
      <c r="F1251" s="15"/>
      <c r="G1251" s="15"/>
      <c r="H1251" s="103"/>
      <c r="I1251" s="91"/>
    </row>
    <row r="1252" spans="1:9" ht="14.25" customHeight="1">
      <c r="A1252" s="15"/>
      <c r="D1252" s="102"/>
      <c r="F1252" s="15"/>
      <c r="G1252" s="15"/>
      <c r="H1252" s="103"/>
      <c r="I1252" s="91"/>
    </row>
    <row r="1253" spans="1:9" ht="14.25" customHeight="1">
      <c r="A1253" s="15"/>
      <c r="D1253" s="102"/>
      <c r="F1253" s="15"/>
      <c r="G1253" s="15"/>
      <c r="H1253" s="103"/>
      <c r="I1253" s="91"/>
    </row>
    <row r="1254" spans="1:9" ht="14.25" customHeight="1">
      <c r="A1254" s="15"/>
      <c r="D1254" s="102"/>
      <c r="F1254" s="15"/>
      <c r="G1254" s="15"/>
      <c r="H1254" s="103"/>
      <c r="I1254" s="91"/>
    </row>
    <row r="1255" spans="1:9" ht="14.25" customHeight="1">
      <c r="A1255" s="15"/>
      <c r="D1255" s="102"/>
      <c r="F1255" s="15"/>
      <c r="G1255" s="15"/>
      <c r="H1255" s="103"/>
      <c r="I1255" s="91"/>
    </row>
    <row r="1256" spans="1:9" ht="14.25" customHeight="1">
      <c r="A1256" s="15"/>
      <c r="D1256" s="102"/>
      <c r="F1256" s="15"/>
      <c r="G1256" s="15"/>
      <c r="H1256" s="103"/>
      <c r="I1256" s="91"/>
    </row>
    <row r="1257" spans="1:9" ht="14.25" customHeight="1">
      <c r="A1257" s="15"/>
      <c r="D1257" s="102"/>
      <c r="F1257" s="15"/>
      <c r="G1257" s="15"/>
      <c r="H1257" s="103"/>
      <c r="I1257" s="91"/>
    </row>
    <row r="1258" spans="1:9" ht="14.25" customHeight="1">
      <c r="A1258" s="15"/>
      <c r="D1258" s="102"/>
      <c r="F1258" s="15"/>
      <c r="G1258" s="15"/>
      <c r="H1258" s="103"/>
      <c r="I1258" s="91"/>
    </row>
    <row r="1259" spans="1:9" ht="14.25" customHeight="1">
      <c r="A1259" s="15"/>
      <c r="D1259" s="102"/>
      <c r="F1259" s="15"/>
      <c r="G1259" s="15"/>
      <c r="H1259" s="103"/>
      <c r="I1259" s="91"/>
    </row>
    <row r="1260" spans="1:9" ht="14.25" customHeight="1">
      <c r="A1260" s="15"/>
      <c r="D1260" s="102"/>
      <c r="F1260" s="15"/>
      <c r="G1260" s="15"/>
      <c r="H1260" s="103"/>
      <c r="I1260" s="91"/>
    </row>
    <row r="1261" spans="1:9" ht="14.25" customHeight="1">
      <c r="A1261" s="15"/>
      <c r="D1261" s="102"/>
      <c r="F1261" s="15"/>
      <c r="G1261" s="15"/>
      <c r="H1261" s="103"/>
      <c r="I1261" s="91"/>
    </row>
    <row r="1262" spans="1:9" ht="14.25" customHeight="1">
      <c r="A1262" s="15"/>
      <c r="D1262" s="102"/>
      <c r="F1262" s="15"/>
      <c r="G1262" s="15"/>
      <c r="H1262" s="103"/>
      <c r="I1262" s="91"/>
    </row>
    <row r="1263" spans="1:9" ht="14.25" customHeight="1">
      <c r="A1263" s="15"/>
      <c r="D1263" s="102"/>
      <c r="F1263" s="15"/>
      <c r="G1263" s="15"/>
      <c r="H1263" s="103"/>
      <c r="I1263" s="91"/>
    </row>
    <row r="1264" spans="1:9" ht="14.25" customHeight="1">
      <c r="A1264" s="15"/>
      <c r="D1264" s="102"/>
      <c r="F1264" s="15"/>
      <c r="G1264" s="15"/>
      <c r="H1264" s="103"/>
      <c r="I1264" s="91"/>
    </row>
    <row r="1265" spans="1:9" ht="14.25" customHeight="1">
      <c r="A1265" s="15"/>
      <c r="D1265" s="102"/>
      <c r="F1265" s="15"/>
      <c r="G1265" s="15"/>
      <c r="H1265" s="103"/>
      <c r="I1265" s="91"/>
    </row>
    <row r="1266" spans="1:9" ht="14.25" customHeight="1">
      <c r="A1266" s="15"/>
      <c r="D1266" s="102"/>
      <c r="F1266" s="15"/>
      <c r="G1266" s="15"/>
      <c r="H1266" s="103"/>
      <c r="I1266" s="91"/>
    </row>
    <row r="1267" spans="1:9" ht="14.25" customHeight="1">
      <c r="A1267" s="15"/>
      <c r="D1267" s="102"/>
      <c r="F1267" s="15"/>
      <c r="G1267" s="15"/>
      <c r="H1267" s="103"/>
      <c r="I1267" s="91"/>
    </row>
    <row r="1268" spans="1:9" ht="14.25" customHeight="1">
      <c r="A1268" s="15"/>
      <c r="D1268" s="102"/>
      <c r="F1268" s="15"/>
      <c r="G1268" s="15"/>
      <c r="H1268" s="103"/>
      <c r="I1268" s="91"/>
    </row>
    <row r="1269" spans="1:9" ht="14.25" customHeight="1">
      <c r="A1269" s="15"/>
      <c r="D1269" s="102"/>
      <c r="F1269" s="15"/>
      <c r="G1269" s="15"/>
      <c r="H1269" s="103"/>
      <c r="I1269" s="91"/>
    </row>
    <row r="1270" spans="1:9" ht="14.25" customHeight="1">
      <c r="A1270" s="15"/>
      <c r="D1270" s="102"/>
      <c r="F1270" s="15"/>
      <c r="G1270" s="15"/>
      <c r="H1270" s="103"/>
      <c r="I1270" s="91"/>
    </row>
    <row r="1271" spans="1:9" ht="14.25" customHeight="1">
      <c r="A1271" s="15"/>
      <c r="D1271" s="102"/>
      <c r="F1271" s="15"/>
      <c r="G1271" s="15"/>
      <c r="H1271" s="103"/>
      <c r="I1271" s="91"/>
    </row>
    <row r="1272" spans="1:9" ht="14.25" customHeight="1">
      <c r="A1272" s="15"/>
      <c r="D1272" s="102"/>
      <c r="F1272" s="15"/>
      <c r="G1272" s="15"/>
      <c r="H1272" s="103"/>
      <c r="I1272" s="91"/>
    </row>
    <row r="1273" spans="1:9" ht="14.25" customHeight="1">
      <c r="A1273" s="15"/>
      <c r="D1273" s="102"/>
      <c r="F1273" s="15"/>
      <c r="G1273" s="15"/>
      <c r="H1273" s="103"/>
      <c r="I1273" s="91"/>
    </row>
    <row r="1274" spans="1:9" ht="14.25" customHeight="1">
      <c r="A1274" s="15"/>
      <c r="D1274" s="102"/>
      <c r="F1274" s="15"/>
      <c r="G1274" s="15"/>
      <c r="H1274" s="103"/>
      <c r="I1274" s="91"/>
    </row>
    <row r="1275" spans="1:9" ht="14.25" customHeight="1">
      <c r="A1275" s="15"/>
      <c r="D1275" s="102"/>
      <c r="F1275" s="15"/>
      <c r="G1275" s="15"/>
      <c r="H1275" s="103"/>
      <c r="I1275" s="91"/>
    </row>
    <row r="1276" spans="1:9" ht="14.25" customHeight="1">
      <c r="A1276" s="15"/>
      <c r="D1276" s="102"/>
      <c r="F1276" s="15"/>
      <c r="G1276" s="15"/>
      <c r="H1276" s="103"/>
      <c r="I1276" s="91"/>
    </row>
    <row r="1277" spans="1:9" ht="14.25" customHeight="1">
      <c r="A1277" s="15"/>
      <c r="D1277" s="102"/>
      <c r="F1277" s="15"/>
      <c r="G1277" s="15"/>
      <c r="H1277" s="103"/>
      <c r="I1277" s="91"/>
    </row>
    <row r="1278" spans="1:9" ht="14.25" customHeight="1">
      <c r="A1278" s="15"/>
      <c r="D1278" s="102"/>
      <c r="F1278" s="15"/>
      <c r="G1278" s="15"/>
      <c r="H1278" s="103"/>
      <c r="I1278" s="91"/>
    </row>
    <row r="1279" spans="1:9" ht="14.25" customHeight="1">
      <c r="A1279" s="15"/>
      <c r="D1279" s="102"/>
      <c r="F1279" s="15"/>
      <c r="G1279" s="15"/>
      <c r="H1279" s="103"/>
      <c r="I1279" s="91"/>
    </row>
    <row r="1280" spans="1:9" ht="14.25" customHeight="1">
      <c r="A1280" s="15"/>
      <c r="D1280" s="102"/>
      <c r="F1280" s="15"/>
      <c r="G1280" s="15"/>
      <c r="H1280" s="103"/>
      <c r="I1280" s="91"/>
    </row>
    <row r="1281" spans="1:9" ht="14.25" customHeight="1">
      <c r="A1281" s="15"/>
      <c r="D1281" s="102"/>
      <c r="F1281" s="15"/>
      <c r="G1281" s="15"/>
      <c r="H1281" s="103"/>
      <c r="I1281" s="91"/>
    </row>
    <row r="1282" spans="1:9" ht="14.25" customHeight="1">
      <c r="A1282" s="15"/>
      <c r="D1282" s="102"/>
      <c r="F1282" s="15"/>
      <c r="G1282" s="15"/>
      <c r="H1282" s="103"/>
      <c r="I1282" s="91"/>
    </row>
    <row r="1283" spans="1:9" ht="14.25" customHeight="1">
      <c r="A1283" s="15"/>
      <c r="D1283" s="102"/>
      <c r="F1283" s="15"/>
      <c r="G1283" s="15"/>
      <c r="H1283" s="103"/>
      <c r="I1283" s="91"/>
    </row>
    <row r="1284" spans="1:9" ht="14.25" customHeight="1">
      <c r="A1284" s="15"/>
      <c r="D1284" s="102"/>
      <c r="F1284" s="15"/>
      <c r="G1284" s="15"/>
      <c r="H1284" s="103"/>
      <c r="I1284" s="91"/>
    </row>
    <row r="1285" spans="1:9" ht="14.25" customHeight="1">
      <c r="A1285" s="15"/>
      <c r="D1285" s="102"/>
      <c r="F1285" s="15"/>
      <c r="G1285" s="15"/>
      <c r="H1285" s="103"/>
      <c r="I1285" s="91"/>
    </row>
    <row r="1286" spans="1:9" ht="14.25" customHeight="1">
      <c r="A1286" s="15"/>
      <c r="D1286" s="102"/>
      <c r="F1286" s="15"/>
      <c r="G1286" s="15"/>
      <c r="H1286" s="103"/>
      <c r="I1286" s="91"/>
    </row>
    <row r="1287" spans="1:9" ht="14.25" customHeight="1">
      <c r="A1287" s="15"/>
      <c r="D1287" s="102"/>
      <c r="F1287" s="15"/>
      <c r="G1287" s="15"/>
      <c r="H1287" s="103"/>
      <c r="I1287" s="91"/>
    </row>
    <row r="1288" spans="1:9" ht="14.25" customHeight="1">
      <c r="A1288" s="15"/>
      <c r="D1288" s="102"/>
      <c r="F1288" s="15"/>
      <c r="G1288" s="15"/>
      <c r="H1288" s="103"/>
      <c r="I1288" s="91"/>
    </row>
    <row r="1289" spans="1:9" ht="14.25" customHeight="1">
      <c r="A1289" s="15"/>
      <c r="D1289" s="102"/>
      <c r="F1289" s="15"/>
      <c r="G1289" s="15"/>
      <c r="H1289" s="103"/>
      <c r="I1289" s="91"/>
    </row>
    <row r="1290" spans="1:9" ht="14.25" customHeight="1">
      <c r="A1290" s="15"/>
      <c r="D1290" s="102"/>
      <c r="F1290" s="15"/>
      <c r="G1290" s="15"/>
      <c r="H1290" s="103"/>
      <c r="I1290" s="91"/>
    </row>
    <row r="1291" spans="1:9" ht="14.25" customHeight="1">
      <c r="A1291" s="15"/>
      <c r="D1291" s="102"/>
      <c r="F1291" s="15"/>
      <c r="G1291" s="15"/>
      <c r="H1291" s="103"/>
      <c r="I1291" s="91"/>
    </row>
    <row r="1292" spans="1:9" ht="14.25" customHeight="1">
      <c r="A1292" s="15"/>
      <c r="D1292" s="102"/>
      <c r="F1292" s="15"/>
      <c r="G1292" s="15"/>
      <c r="H1292" s="103"/>
      <c r="I1292" s="91"/>
    </row>
    <row r="1293" spans="1:9" ht="14.25" customHeight="1">
      <c r="A1293" s="15"/>
      <c r="D1293" s="102"/>
      <c r="F1293" s="15"/>
      <c r="G1293" s="15"/>
      <c r="H1293" s="103"/>
      <c r="I1293" s="91"/>
    </row>
    <row r="1294" spans="1:9" ht="14.25" customHeight="1">
      <c r="A1294" s="15"/>
      <c r="D1294" s="102"/>
      <c r="F1294" s="15"/>
      <c r="G1294" s="15"/>
      <c r="H1294" s="103"/>
      <c r="I1294" s="91"/>
    </row>
    <row r="1295" spans="1:9" ht="14.25" customHeight="1">
      <c r="A1295" s="15"/>
      <c r="D1295" s="102"/>
      <c r="F1295" s="15"/>
      <c r="G1295" s="15"/>
      <c r="H1295" s="103"/>
      <c r="I1295" s="91"/>
    </row>
    <row r="1296" spans="1:9" ht="14.25" customHeight="1">
      <c r="A1296" s="15"/>
      <c r="D1296" s="102"/>
      <c r="F1296" s="15"/>
      <c r="G1296" s="15"/>
      <c r="H1296" s="103"/>
      <c r="I1296" s="91"/>
    </row>
    <row r="1297" spans="1:9" ht="14.25" customHeight="1">
      <c r="A1297" s="15"/>
      <c r="D1297" s="102"/>
      <c r="F1297" s="15"/>
      <c r="G1297" s="15"/>
      <c r="H1297" s="103"/>
      <c r="I1297" s="91"/>
    </row>
    <row r="1298" spans="1:9" ht="14.25" customHeight="1">
      <c r="A1298" s="15"/>
      <c r="D1298" s="102"/>
      <c r="F1298" s="15"/>
      <c r="G1298" s="15"/>
      <c r="H1298" s="103"/>
      <c r="I1298" s="91"/>
    </row>
    <row r="1299" spans="1:9" ht="14.25" customHeight="1">
      <c r="A1299" s="15"/>
      <c r="D1299" s="102"/>
      <c r="F1299" s="15"/>
      <c r="G1299" s="15"/>
      <c r="H1299" s="103"/>
      <c r="I1299" s="91"/>
    </row>
    <row r="1300" spans="1:9" ht="14.25" customHeight="1">
      <c r="A1300" s="15"/>
      <c r="D1300" s="102"/>
      <c r="F1300" s="15"/>
      <c r="G1300" s="15"/>
      <c r="H1300" s="103"/>
      <c r="I1300" s="91"/>
    </row>
    <row r="1301" spans="1:9" ht="14.25" customHeight="1">
      <c r="A1301" s="15"/>
      <c r="D1301" s="102"/>
      <c r="F1301" s="15"/>
      <c r="G1301" s="15"/>
      <c r="H1301" s="103"/>
      <c r="I1301" s="91"/>
    </row>
    <row r="1302" spans="1:9" ht="14.25" customHeight="1">
      <c r="A1302" s="15"/>
      <c r="D1302" s="102"/>
      <c r="F1302" s="15"/>
      <c r="G1302" s="15"/>
      <c r="H1302" s="103"/>
      <c r="I1302" s="91"/>
    </row>
    <row r="1303" spans="1:9" ht="14.25" customHeight="1">
      <c r="A1303" s="15"/>
      <c r="D1303" s="102"/>
      <c r="F1303" s="15"/>
      <c r="G1303" s="15"/>
      <c r="H1303" s="103"/>
      <c r="I1303" s="91"/>
    </row>
    <row r="1304" spans="1:9" ht="14.25" customHeight="1">
      <c r="A1304" s="15"/>
      <c r="D1304" s="102"/>
      <c r="F1304" s="15"/>
      <c r="G1304" s="15"/>
      <c r="H1304" s="103"/>
      <c r="I1304" s="91"/>
    </row>
    <row r="1305" spans="1:9" ht="14.25" customHeight="1">
      <c r="A1305" s="15"/>
      <c r="D1305" s="102"/>
      <c r="F1305" s="15"/>
      <c r="G1305" s="15"/>
      <c r="H1305" s="103"/>
      <c r="I1305" s="91"/>
    </row>
    <row r="1306" spans="1:9" ht="14.25" customHeight="1">
      <c r="A1306" s="15"/>
      <c r="D1306" s="102"/>
      <c r="F1306" s="15"/>
      <c r="G1306" s="15"/>
      <c r="H1306" s="103"/>
      <c r="I1306" s="91"/>
    </row>
    <row r="1307" spans="1:9" ht="14.25" customHeight="1">
      <c r="A1307" s="15"/>
      <c r="D1307" s="102"/>
      <c r="F1307" s="15"/>
      <c r="G1307" s="15"/>
      <c r="H1307" s="103"/>
      <c r="I1307" s="91"/>
    </row>
    <row r="1308" spans="1:9" ht="14.25" customHeight="1">
      <c r="A1308" s="15"/>
      <c r="D1308" s="102"/>
      <c r="F1308" s="15"/>
      <c r="G1308" s="15"/>
      <c r="H1308" s="103"/>
      <c r="I1308" s="91"/>
    </row>
    <row r="1309" spans="1:9" ht="14.25" customHeight="1">
      <c r="A1309" s="15"/>
      <c r="D1309" s="102"/>
      <c r="F1309" s="15"/>
      <c r="G1309" s="15"/>
      <c r="H1309" s="103"/>
      <c r="I1309" s="91"/>
    </row>
    <row r="1310" spans="1:9" ht="14.25" customHeight="1">
      <c r="A1310" s="15"/>
      <c r="D1310" s="102"/>
      <c r="F1310" s="15"/>
      <c r="G1310" s="15"/>
      <c r="H1310" s="103"/>
      <c r="I1310" s="91"/>
    </row>
    <row r="1311" spans="1:9" ht="14.25" customHeight="1">
      <c r="A1311" s="15"/>
      <c r="D1311" s="102"/>
      <c r="F1311" s="15"/>
      <c r="G1311" s="15"/>
      <c r="H1311" s="103"/>
      <c r="I1311" s="91"/>
    </row>
    <row r="1312" spans="1:9" ht="14.25" customHeight="1">
      <c r="A1312" s="15"/>
      <c r="D1312" s="102"/>
      <c r="F1312" s="15"/>
      <c r="G1312" s="15"/>
      <c r="H1312" s="103"/>
      <c r="I1312" s="91"/>
    </row>
    <row r="1313" spans="1:9" ht="14.25" customHeight="1">
      <c r="A1313" s="15"/>
      <c r="D1313" s="102"/>
      <c r="F1313" s="15"/>
      <c r="G1313" s="15"/>
      <c r="H1313" s="103"/>
      <c r="I1313" s="91"/>
    </row>
    <row r="1314" spans="1:9" ht="14.25" customHeight="1">
      <c r="A1314" s="15"/>
      <c r="D1314" s="102"/>
      <c r="F1314" s="15"/>
      <c r="G1314" s="15"/>
      <c r="H1314" s="103"/>
      <c r="I1314" s="91"/>
    </row>
    <row r="1315" spans="1:9" ht="14.25" customHeight="1">
      <c r="A1315" s="15"/>
      <c r="D1315" s="102"/>
      <c r="F1315" s="15"/>
      <c r="G1315" s="15"/>
      <c r="H1315" s="103"/>
      <c r="I1315" s="91"/>
    </row>
    <row r="1316" spans="1:9" ht="14.25" customHeight="1">
      <c r="A1316" s="15"/>
      <c r="D1316" s="102"/>
      <c r="F1316" s="15"/>
      <c r="G1316" s="15"/>
      <c r="H1316" s="103"/>
      <c r="I1316" s="91"/>
    </row>
    <row r="1317" spans="1:9" ht="14.25" customHeight="1">
      <c r="A1317" s="15"/>
      <c r="D1317" s="102"/>
      <c r="F1317" s="15"/>
      <c r="G1317" s="15"/>
      <c r="H1317" s="103"/>
      <c r="I1317" s="91"/>
    </row>
    <row r="1318" spans="1:9" ht="14.25" customHeight="1">
      <c r="A1318" s="15"/>
      <c r="D1318" s="102"/>
      <c r="F1318" s="15"/>
      <c r="G1318" s="15"/>
      <c r="H1318" s="103"/>
      <c r="I1318" s="91"/>
    </row>
    <row r="1319" spans="1:9" ht="14.25" customHeight="1">
      <c r="A1319" s="15"/>
      <c r="D1319" s="102"/>
      <c r="F1319" s="15"/>
      <c r="G1319" s="15"/>
      <c r="H1319" s="103"/>
      <c r="I1319" s="91"/>
    </row>
    <row r="1320" spans="1:9" ht="14.25" customHeight="1">
      <c r="A1320" s="15"/>
      <c r="D1320" s="102"/>
      <c r="F1320" s="15"/>
      <c r="G1320" s="15"/>
      <c r="H1320" s="103"/>
      <c r="I1320" s="91"/>
    </row>
    <row r="1321" spans="1:9" ht="14.25" customHeight="1">
      <c r="A1321" s="15"/>
      <c r="D1321" s="102"/>
      <c r="F1321" s="15"/>
      <c r="G1321" s="15"/>
      <c r="H1321" s="103"/>
      <c r="I1321" s="91"/>
    </row>
    <row r="1322" spans="1:9" ht="14.25" customHeight="1">
      <c r="A1322" s="15"/>
      <c r="D1322" s="102"/>
      <c r="F1322" s="15"/>
      <c r="G1322" s="15"/>
      <c r="H1322" s="103"/>
      <c r="I1322" s="91"/>
    </row>
    <row r="1323" spans="1:9" ht="14.25" customHeight="1">
      <c r="A1323" s="15"/>
      <c r="D1323" s="102"/>
      <c r="F1323" s="15"/>
      <c r="G1323" s="15"/>
      <c r="H1323" s="103"/>
      <c r="I1323" s="91"/>
    </row>
    <row r="1324" spans="1:9" ht="14.25" customHeight="1">
      <c r="A1324" s="15"/>
      <c r="D1324" s="102"/>
      <c r="F1324" s="15"/>
      <c r="G1324" s="15"/>
      <c r="H1324" s="103"/>
      <c r="I1324" s="91"/>
    </row>
    <row r="1325" spans="1:9" ht="14.25" customHeight="1">
      <c r="A1325" s="15"/>
      <c r="D1325" s="102"/>
      <c r="F1325" s="15"/>
      <c r="G1325" s="15"/>
      <c r="H1325" s="103"/>
      <c r="I1325" s="91"/>
    </row>
    <row r="1326" spans="1:9" ht="14.25" customHeight="1">
      <c r="A1326" s="15"/>
      <c r="D1326" s="102"/>
      <c r="F1326" s="15"/>
      <c r="G1326" s="15"/>
      <c r="H1326" s="103"/>
      <c r="I1326" s="91"/>
    </row>
    <row r="1327" spans="1:9" ht="14.25" customHeight="1">
      <c r="A1327" s="15"/>
      <c r="D1327" s="102"/>
      <c r="F1327" s="15"/>
      <c r="G1327" s="15"/>
      <c r="H1327" s="103"/>
      <c r="I1327" s="91"/>
    </row>
    <row r="1328" spans="1:9" ht="14.25" customHeight="1">
      <c r="A1328" s="15"/>
      <c r="D1328" s="102"/>
      <c r="F1328" s="15"/>
      <c r="G1328" s="15"/>
      <c r="H1328" s="103"/>
      <c r="I1328" s="91"/>
    </row>
    <row r="1329" spans="1:9" ht="14.25" customHeight="1">
      <c r="A1329" s="15"/>
      <c r="D1329" s="102"/>
      <c r="F1329" s="15"/>
      <c r="G1329" s="15"/>
      <c r="H1329" s="103"/>
      <c r="I1329" s="91"/>
    </row>
    <row r="1330" spans="1:9" ht="14.25" customHeight="1">
      <c r="A1330" s="15"/>
      <c r="D1330" s="102"/>
      <c r="F1330" s="15"/>
      <c r="G1330" s="15"/>
      <c r="H1330" s="103"/>
      <c r="I1330" s="91"/>
    </row>
    <row r="1331" spans="1:9" ht="14.25" customHeight="1">
      <c r="A1331" s="15"/>
      <c r="D1331" s="102"/>
      <c r="F1331" s="15"/>
      <c r="G1331" s="15"/>
      <c r="H1331" s="103"/>
      <c r="I1331" s="91"/>
    </row>
    <row r="1332" spans="1:9" ht="14.25" customHeight="1">
      <c r="A1332" s="15"/>
      <c r="D1332" s="102"/>
      <c r="F1332" s="15"/>
      <c r="G1332" s="15"/>
      <c r="H1332" s="103"/>
      <c r="I1332" s="91"/>
    </row>
    <row r="1333" spans="1:9" ht="14.25" customHeight="1">
      <c r="A1333" s="15"/>
      <c r="D1333" s="102"/>
      <c r="F1333" s="15"/>
      <c r="G1333" s="15"/>
      <c r="H1333" s="103"/>
      <c r="I1333" s="91"/>
    </row>
    <row r="1334" spans="1:9" ht="14.25" customHeight="1">
      <c r="A1334" s="15"/>
      <c r="D1334" s="102"/>
      <c r="F1334" s="15"/>
      <c r="G1334" s="15"/>
      <c r="H1334" s="103"/>
      <c r="I1334" s="91"/>
    </row>
    <row r="1335" spans="1:9" ht="14.25" customHeight="1">
      <c r="A1335" s="15"/>
      <c r="D1335" s="102"/>
      <c r="F1335" s="15"/>
      <c r="G1335" s="15"/>
      <c r="H1335" s="103"/>
      <c r="I1335" s="91"/>
    </row>
    <row r="1336" spans="1:9" ht="14.25" customHeight="1">
      <c r="A1336" s="15"/>
      <c r="D1336" s="102"/>
      <c r="F1336" s="15"/>
      <c r="G1336" s="15"/>
      <c r="H1336" s="103"/>
      <c r="I1336" s="91"/>
    </row>
    <row r="1337" spans="1:9" ht="14.25" customHeight="1">
      <c r="A1337" s="15"/>
      <c r="D1337" s="102"/>
      <c r="F1337" s="15"/>
      <c r="G1337" s="15"/>
      <c r="H1337" s="103"/>
      <c r="I1337" s="91"/>
    </row>
    <row r="1338" spans="1:9" ht="14.25" customHeight="1">
      <c r="A1338" s="15"/>
      <c r="D1338" s="102"/>
      <c r="F1338" s="15"/>
      <c r="G1338" s="15"/>
      <c r="H1338" s="103"/>
      <c r="I1338" s="91"/>
    </row>
    <row r="1339" spans="1:9" ht="14.25" customHeight="1">
      <c r="A1339" s="15"/>
      <c r="D1339" s="102"/>
      <c r="F1339" s="15"/>
      <c r="G1339" s="15"/>
      <c r="H1339" s="103"/>
      <c r="I1339" s="91"/>
    </row>
    <row r="1340" spans="1:9" ht="14.25" customHeight="1">
      <c r="A1340" s="15"/>
      <c r="D1340" s="102"/>
      <c r="F1340" s="15"/>
      <c r="G1340" s="15"/>
      <c r="H1340" s="103"/>
      <c r="I1340" s="91"/>
    </row>
    <row r="1341" spans="1:9" ht="14.25" customHeight="1">
      <c r="A1341" s="15"/>
      <c r="D1341" s="102"/>
      <c r="F1341" s="15"/>
      <c r="G1341" s="15"/>
      <c r="H1341" s="103"/>
      <c r="I1341" s="91"/>
    </row>
    <row r="1342" spans="1:9" ht="14.25" customHeight="1">
      <c r="A1342" s="15"/>
      <c r="D1342" s="102"/>
      <c r="F1342" s="15"/>
      <c r="G1342" s="15"/>
      <c r="H1342" s="103"/>
      <c r="I1342" s="91"/>
    </row>
    <row r="1343" spans="1:9" ht="14.25" customHeight="1">
      <c r="A1343" s="15"/>
      <c r="D1343" s="102"/>
      <c r="F1343" s="15"/>
      <c r="G1343" s="15"/>
      <c r="H1343" s="103"/>
      <c r="I1343" s="91"/>
    </row>
    <row r="1344" spans="1:9" ht="14.25" customHeight="1">
      <c r="A1344" s="15"/>
      <c r="D1344" s="102"/>
      <c r="F1344" s="15"/>
      <c r="G1344" s="15"/>
      <c r="H1344" s="103"/>
      <c r="I1344" s="91"/>
    </row>
    <row r="1345" spans="1:9" ht="14.25" customHeight="1">
      <c r="A1345" s="15"/>
      <c r="D1345" s="102"/>
      <c r="F1345" s="15"/>
      <c r="G1345" s="15"/>
      <c r="H1345" s="103"/>
      <c r="I1345" s="91"/>
    </row>
    <row r="1346" spans="1:9" ht="14.25" customHeight="1">
      <c r="A1346" s="15"/>
      <c r="D1346" s="102"/>
      <c r="F1346" s="15"/>
      <c r="G1346" s="15"/>
      <c r="H1346" s="103"/>
      <c r="I1346" s="91"/>
    </row>
    <row r="1347" spans="1:9" ht="14.25" customHeight="1">
      <c r="A1347" s="15"/>
      <c r="D1347" s="102"/>
      <c r="F1347" s="15"/>
      <c r="G1347" s="15"/>
      <c r="H1347" s="103"/>
      <c r="I1347" s="91"/>
    </row>
    <row r="1348" spans="1:9" ht="14.25" customHeight="1">
      <c r="A1348" s="15"/>
      <c r="D1348" s="102"/>
      <c r="F1348" s="15"/>
      <c r="G1348" s="15"/>
      <c r="H1348" s="103"/>
      <c r="I1348" s="91"/>
    </row>
    <row r="1349" spans="1:9" ht="14.25" customHeight="1">
      <c r="A1349" s="15"/>
      <c r="D1349" s="102"/>
      <c r="F1349" s="15"/>
      <c r="G1349" s="15"/>
      <c r="H1349" s="103"/>
      <c r="I1349" s="91"/>
    </row>
    <row r="1350" spans="1:9" ht="14.25" customHeight="1">
      <c r="A1350" s="15"/>
      <c r="D1350" s="102"/>
      <c r="F1350" s="15"/>
      <c r="G1350" s="15"/>
      <c r="H1350" s="103"/>
      <c r="I1350" s="91"/>
    </row>
    <row r="1351" spans="1:9" ht="14.25" customHeight="1">
      <c r="A1351" s="15"/>
      <c r="D1351" s="102"/>
      <c r="F1351" s="15"/>
      <c r="G1351" s="15"/>
      <c r="H1351" s="103"/>
      <c r="I1351" s="91"/>
    </row>
    <row r="1352" spans="1:9" ht="14.25" customHeight="1">
      <c r="A1352" s="15"/>
      <c r="D1352" s="102"/>
      <c r="F1352" s="15"/>
      <c r="G1352" s="15"/>
      <c r="H1352" s="103"/>
      <c r="I1352" s="91"/>
    </row>
    <row r="1353" spans="1:9" ht="14.25" customHeight="1">
      <c r="A1353" s="15"/>
      <c r="D1353" s="102"/>
      <c r="F1353" s="15"/>
      <c r="G1353" s="15"/>
      <c r="H1353" s="103"/>
      <c r="I1353" s="91"/>
    </row>
    <row r="1354" spans="1:9" ht="14.25" customHeight="1">
      <c r="A1354" s="15"/>
      <c r="D1354" s="102"/>
      <c r="F1354" s="15"/>
      <c r="G1354" s="15"/>
      <c r="H1354" s="103"/>
      <c r="I1354" s="91"/>
    </row>
    <row r="1355" spans="1:9" ht="14.25" customHeight="1">
      <c r="A1355" s="15"/>
      <c r="D1355" s="102"/>
      <c r="F1355" s="15"/>
      <c r="G1355" s="15"/>
      <c r="H1355" s="103"/>
      <c r="I1355" s="91"/>
    </row>
    <row r="1356" spans="1:9" ht="14.25" customHeight="1">
      <c r="A1356" s="15"/>
      <c r="D1356" s="102"/>
      <c r="F1356" s="15"/>
      <c r="G1356" s="15"/>
      <c r="H1356" s="103"/>
      <c r="I1356" s="91"/>
    </row>
    <row r="1357" spans="1:9" ht="14.25" customHeight="1">
      <c r="A1357" s="15"/>
      <c r="D1357" s="102"/>
      <c r="F1357" s="15"/>
      <c r="G1357" s="15"/>
      <c r="H1357" s="103"/>
      <c r="I1357" s="91"/>
    </row>
    <row r="1358" spans="1:9" ht="14.25" customHeight="1">
      <c r="A1358" s="15"/>
      <c r="D1358" s="102"/>
      <c r="F1358" s="15"/>
      <c r="G1358" s="15"/>
      <c r="H1358" s="103"/>
      <c r="I1358" s="91"/>
    </row>
    <row r="1359" spans="1:9" ht="14.25" customHeight="1">
      <c r="A1359" s="15"/>
      <c r="D1359" s="102"/>
      <c r="F1359" s="15"/>
      <c r="G1359" s="15"/>
      <c r="H1359" s="103"/>
      <c r="I1359" s="91"/>
    </row>
    <row r="1360" spans="1:9" ht="14.25" customHeight="1">
      <c r="A1360" s="15"/>
      <c r="D1360" s="102"/>
      <c r="F1360" s="15"/>
      <c r="G1360" s="15"/>
      <c r="H1360" s="103"/>
      <c r="I1360" s="91"/>
    </row>
    <row r="1361" spans="1:9" ht="14.25" customHeight="1">
      <c r="A1361" s="15"/>
      <c r="D1361" s="102"/>
      <c r="F1361" s="15"/>
      <c r="G1361" s="15"/>
      <c r="H1361" s="103"/>
      <c r="I1361" s="91"/>
    </row>
    <row r="1362" spans="1:9" ht="14.25" customHeight="1">
      <c r="A1362" s="15"/>
      <c r="D1362" s="102"/>
      <c r="F1362" s="15"/>
      <c r="G1362" s="15"/>
      <c r="H1362" s="103"/>
      <c r="I1362" s="91"/>
    </row>
    <row r="1363" spans="1:9" ht="14.25" customHeight="1">
      <c r="A1363" s="15"/>
      <c r="D1363" s="102"/>
      <c r="F1363" s="15"/>
      <c r="G1363" s="15"/>
      <c r="H1363" s="103"/>
      <c r="I1363" s="91"/>
    </row>
    <row r="1364" spans="1:9" ht="14.25" customHeight="1">
      <c r="A1364" s="15"/>
      <c r="D1364" s="102"/>
      <c r="F1364" s="15"/>
      <c r="G1364" s="15"/>
      <c r="H1364" s="103"/>
      <c r="I1364" s="91"/>
    </row>
    <row r="1365" spans="1:9" ht="14.25" customHeight="1">
      <c r="A1365" s="15"/>
      <c r="D1365" s="102"/>
      <c r="F1365" s="15"/>
      <c r="G1365" s="15"/>
      <c r="H1365" s="103"/>
      <c r="I1365" s="91"/>
    </row>
    <row r="1366" spans="1:9" ht="14.25" customHeight="1">
      <c r="A1366" s="15"/>
      <c r="D1366" s="102"/>
      <c r="F1366" s="15"/>
      <c r="G1366" s="15"/>
      <c r="H1366" s="103"/>
      <c r="I1366" s="91"/>
    </row>
    <row r="1367" spans="1:9" ht="14.25" customHeight="1">
      <c r="A1367" s="15"/>
      <c r="D1367" s="102"/>
      <c r="F1367" s="15"/>
      <c r="G1367" s="15"/>
      <c r="H1367" s="103"/>
      <c r="I1367" s="91"/>
    </row>
    <row r="1368" spans="1:9" ht="14.25" customHeight="1">
      <c r="A1368" s="15"/>
      <c r="D1368" s="102"/>
      <c r="F1368" s="15"/>
      <c r="G1368" s="15"/>
      <c r="H1368" s="103"/>
      <c r="I1368" s="91"/>
    </row>
    <row r="1369" spans="1:9" ht="14.25" customHeight="1">
      <c r="A1369" s="15"/>
      <c r="D1369" s="102"/>
      <c r="F1369" s="15"/>
      <c r="G1369" s="15"/>
      <c r="H1369" s="103"/>
      <c r="I1369" s="91"/>
    </row>
    <row r="1370" spans="1:9" ht="14.25" customHeight="1">
      <c r="A1370" s="15"/>
      <c r="D1370" s="102"/>
      <c r="F1370" s="15"/>
      <c r="G1370" s="15"/>
      <c r="H1370" s="103"/>
      <c r="I1370" s="91"/>
    </row>
    <row r="1371" spans="1:9" ht="14.25" customHeight="1">
      <c r="A1371" s="15"/>
      <c r="D1371" s="102"/>
      <c r="F1371" s="15"/>
      <c r="G1371" s="15"/>
      <c r="H1371" s="70" t="s">
        <v>1267</v>
      </c>
      <c r="I1371" s="91"/>
    </row>
  </sheetData>
  <autoFilter ref="A1:A1371" xr:uid="{00000000-0009-0000-0000-000004000000}"/>
  <customSheetViews>
    <customSheetView guid="{647B0DAD-7568-4B18-9DE4-42C99E7D3A81}" filter="1" showAutoFilter="1">
      <autoFilter ref="A1:Y200" xr:uid="{9A761E77-7623-475A-876B-72C8F13F5852}"/>
      <extLst>
        <ext uri="GoogleSheetsCustomDataVersion1">
          <go:sheetsCustomData xmlns:go="http://customooxmlschemas.google.com/" filterViewId="2016835673"/>
        </ext>
      </extLst>
    </customSheetView>
    <customSheetView guid="{702E0D53-84B0-497D-9555-EE1107389C47}" filter="1" showAutoFilter="1">
      <autoFilter ref="A1:Y17" xr:uid="{EA65EEDE-0DFF-4B20-815E-C9066A26188F}"/>
      <extLst>
        <ext uri="GoogleSheetsCustomDataVersion1">
          <go:sheetsCustomData xmlns:go="http://customooxmlschemas.google.com/" filterViewId="696265579"/>
        </ext>
      </extLst>
    </customSheetView>
  </customSheetViews>
  <conditionalFormatting sqref="H2:H1000 I446:I951 J794 I953 H1371">
    <cfRule type="containsText" dxfId="7" priority="1" operator="containsText" text="Pendiente">
      <formula>NOT(ISERROR(SEARCH(("Pendiente"),(H2))))</formula>
    </cfRule>
  </conditionalFormatting>
  <conditionalFormatting sqref="H2:H1000 I446:I951 J794 I953 H1371">
    <cfRule type="containsText" dxfId="6" priority="2" operator="containsText" text="Pagado">
      <formula>NOT(ISERROR(SEARCH(("Pagado"),(H2))))</formula>
    </cfRule>
  </conditionalFormatting>
  <conditionalFormatting sqref="I2:I1000 J794 I1002:I1371">
    <cfRule type="cellIs" dxfId="5" priority="3" operator="between">
      <formula>21</formula>
      <formula>30</formula>
    </cfRule>
  </conditionalFormatting>
  <conditionalFormatting sqref="I2:I1000 J794 I1002:I1371">
    <cfRule type="cellIs" dxfId="4" priority="4" operator="between">
      <formula>31</formula>
      <formula>60</formula>
    </cfRule>
  </conditionalFormatting>
  <conditionalFormatting sqref="I2:I1000 J794 I1002:I1371">
    <cfRule type="cellIs" dxfId="3" priority="5" operator="between">
      <formula>61</formula>
      <formula>90</formula>
    </cfRule>
  </conditionalFormatting>
  <conditionalFormatting sqref="I2:I1000 J794 I1002:I1371">
    <cfRule type="cellIs" dxfId="2" priority="6" operator="greaterThan">
      <formula>90</formula>
    </cfRule>
  </conditionalFormatting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375"/>
  <sheetViews>
    <sheetView showGridLines="0" workbookViewId="0">
      <pane ySplit="1" topLeftCell="B19" activePane="bottomLeft" state="frozen"/>
      <selection pane="bottomLeft" activeCell="B3" sqref="B3"/>
    </sheetView>
  </sheetViews>
  <sheetFormatPr defaultColWidth="14.42578125" defaultRowHeight="15" customHeight="1"/>
  <cols>
    <col min="1" max="1" width="19.140625" customWidth="1"/>
    <col min="2" max="2" width="18.28515625" customWidth="1"/>
    <col min="3" max="3" width="15.28515625" customWidth="1"/>
    <col min="4" max="5" width="22.5703125" customWidth="1"/>
    <col min="6" max="18" width="10.7109375" customWidth="1"/>
  </cols>
  <sheetData>
    <row r="1" spans="1:5">
      <c r="A1" s="57" t="s">
        <v>1033</v>
      </c>
      <c r="B1" s="66" t="s">
        <v>1038</v>
      </c>
      <c r="C1" s="67" t="s">
        <v>1039</v>
      </c>
      <c r="D1" s="57" t="s">
        <v>1</v>
      </c>
      <c r="E1" s="57" t="s">
        <v>1389</v>
      </c>
    </row>
    <row r="2" spans="1:5">
      <c r="A2" s="68" t="s">
        <v>1390</v>
      </c>
      <c r="B2" s="69">
        <v>45404</v>
      </c>
      <c r="C2" s="58">
        <v>29900</v>
      </c>
      <c r="D2" s="7"/>
      <c r="E2" s="7"/>
    </row>
    <row r="3" spans="1:5">
      <c r="A3" s="68" t="s">
        <v>1391</v>
      </c>
      <c r="B3" s="69">
        <v>45449</v>
      </c>
      <c r="C3" s="58">
        <v>58000</v>
      </c>
      <c r="D3" s="7"/>
      <c r="E3" s="7"/>
    </row>
    <row r="4" spans="1:5">
      <c r="A4" s="68" t="s">
        <v>1392</v>
      </c>
      <c r="B4" s="69">
        <v>45479</v>
      </c>
      <c r="C4" s="58">
        <v>34151</v>
      </c>
      <c r="D4" s="7"/>
      <c r="E4" s="7"/>
    </row>
    <row r="5" spans="1:5">
      <c r="A5" s="68" t="s">
        <v>1393</v>
      </c>
      <c r="B5" s="104">
        <v>45484</v>
      </c>
      <c r="C5" s="58">
        <v>24000</v>
      </c>
      <c r="D5" s="7"/>
      <c r="E5" s="7"/>
    </row>
    <row r="6" spans="1:5">
      <c r="A6" s="68" t="s">
        <v>1394</v>
      </c>
      <c r="B6" s="104">
        <v>45499</v>
      </c>
      <c r="C6" s="58">
        <v>36000</v>
      </c>
      <c r="D6" s="7"/>
      <c r="E6" s="7"/>
    </row>
    <row r="7" spans="1:5">
      <c r="A7" s="68" t="s">
        <v>1395</v>
      </c>
      <c r="B7" s="104">
        <v>45502</v>
      </c>
      <c r="C7" s="58">
        <v>24000</v>
      </c>
      <c r="D7" s="7"/>
      <c r="E7" s="7"/>
    </row>
    <row r="8" spans="1:5">
      <c r="A8" s="68" t="s">
        <v>1396</v>
      </c>
      <c r="B8" s="104">
        <v>45546</v>
      </c>
      <c r="C8" s="58">
        <v>32800</v>
      </c>
      <c r="D8" s="7" t="s">
        <v>1397</v>
      </c>
      <c r="E8" s="105" t="s">
        <v>1398</v>
      </c>
    </row>
    <row r="9" spans="1:5">
      <c r="A9" s="68" t="s">
        <v>1399</v>
      </c>
      <c r="B9" s="106">
        <v>45566</v>
      </c>
      <c r="C9" s="58">
        <v>116000</v>
      </c>
      <c r="D9" s="7" t="s">
        <v>1397</v>
      </c>
      <c r="E9" s="105" t="s">
        <v>1398</v>
      </c>
    </row>
    <row r="10" spans="1:5">
      <c r="A10" s="68" t="s">
        <v>1400</v>
      </c>
      <c r="B10" s="104">
        <v>45583</v>
      </c>
      <c r="C10" s="58">
        <v>50000</v>
      </c>
      <c r="D10" s="7" t="s">
        <v>1401</v>
      </c>
      <c r="E10" s="105" t="s">
        <v>1398</v>
      </c>
    </row>
    <row r="11" spans="1:5">
      <c r="A11" s="68" t="s">
        <v>1402</v>
      </c>
      <c r="B11" s="106">
        <v>45601</v>
      </c>
      <c r="C11" s="58">
        <v>9900</v>
      </c>
      <c r="D11" s="7" t="s">
        <v>1401</v>
      </c>
      <c r="E11" s="105" t="s">
        <v>1398</v>
      </c>
    </row>
    <row r="12" spans="1:5">
      <c r="A12" s="68" t="s">
        <v>1400</v>
      </c>
      <c r="B12" s="106">
        <v>45609</v>
      </c>
      <c r="C12" s="58">
        <v>10500</v>
      </c>
      <c r="D12" s="7" t="s">
        <v>1403</v>
      </c>
      <c r="E12" s="105" t="s">
        <v>1398</v>
      </c>
    </row>
    <row r="13" spans="1:5">
      <c r="A13" s="68" t="s">
        <v>1404</v>
      </c>
      <c r="B13" s="106">
        <v>45606</v>
      </c>
      <c r="C13" s="58">
        <v>27000</v>
      </c>
      <c r="D13" s="7" t="s">
        <v>1403</v>
      </c>
      <c r="E13" s="7" t="s">
        <v>1267</v>
      </c>
    </row>
    <row r="14" spans="1:5">
      <c r="A14" s="68" t="s">
        <v>1405</v>
      </c>
      <c r="B14" s="104">
        <v>45603</v>
      </c>
      <c r="C14" s="58">
        <v>216000</v>
      </c>
      <c r="D14" s="7" t="s">
        <v>1403</v>
      </c>
      <c r="E14" s="105" t="s">
        <v>1398</v>
      </c>
    </row>
    <row r="15" spans="1:5">
      <c r="A15" s="68" t="s">
        <v>1406</v>
      </c>
      <c r="B15" s="69">
        <v>45604</v>
      </c>
      <c r="C15" s="58">
        <v>85000</v>
      </c>
      <c r="D15" s="7" t="s">
        <v>1403</v>
      </c>
      <c r="E15" s="105" t="s">
        <v>1398</v>
      </c>
    </row>
    <row r="16" spans="1:5">
      <c r="A16" s="68" t="s">
        <v>1407</v>
      </c>
      <c r="B16" s="106">
        <v>45625</v>
      </c>
      <c r="C16" s="58">
        <v>12000</v>
      </c>
      <c r="D16" s="7" t="s">
        <v>1403</v>
      </c>
      <c r="E16" s="105" t="s">
        <v>1398</v>
      </c>
    </row>
    <row r="17" spans="1:5">
      <c r="A17" s="68" t="s">
        <v>1408</v>
      </c>
      <c r="B17" s="106">
        <v>45626</v>
      </c>
      <c r="C17" s="58">
        <v>8000</v>
      </c>
      <c r="D17" s="7" t="s">
        <v>1409</v>
      </c>
      <c r="E17" s="105" t="s">
        <v>1410</v>
      </c>
    </row>
    <row r="18" spans="1:5" ht="14.25" customHeight="1">
      <c r="A18" s="68" t="s">
        <v>1411</v>
      </c>
      <c r="B18" s="106">
        <v>45630</v>
      </c>
      <c r="C18" s="58">
        <v>50500</v>
      </c>
      <c r="D18" s="7" t="s">
        <v>1409</v>
      </c>
      <c r="E18" s="105" t="s">
        <v>1398</v>
      </c>
    </row>
    <row r="19" spans="1:5" ht="14.25" customHeight="1">
      <c r="A19" s="68" t="s">
        <v>1412</v>
      </c>
      <c r="B19" s="99">
        <v>45637</v>
      </c>
      <c r="C19" s="58">
        <v>84700</v>
      </c>
      <c r="D19" s="7" t="s">
        <v>1409</v>
      </c>
      <c r="E19" s="105" t="s">
        <v>1398</v>
      </c>
    </row>
    <row r="20" spans="1:5" ht="14.25" customHeight="1">
      <c r="A20" s="68" t="s">
        <v>1413</v>
      </c>
      <c r="B20" s="99">
        <v>45644</v>
      </c>
      <c r="C20" s="58">
        <v>15900</v>
      </c>
      <c r="D20" s="7" t="s">
        <v>1409</v>
      </c>
      <c r="E20" s="105" t="s">
        <v>1398</v>
      </c>
    </row>
    <row r="21" spans="1:5" ht="14.25" customHeight="1">
      <c r="A21" s="68" t="s">
        <v>1413</v>
      </c>
      <c r="B21" s="99">
        <v>45644</v>
      </c>
      <c r="C21" s="58">
        <v>15000</v>
      </c>
      <c r="D21" s="7" t="s">
        <v>1409</v>
      </c>
      <c r="E21" s="105" t="s">
        <v>1398</v>
      </c>
    </row>
    <row r="22" spans="1:5" ht="14.25" customHeight="1">
      <c r="A22" s="68" t="s">
        <v>1413</v>
      </c>
      <c r="B22" s="99">
        <v>45644</v>
      </c>
      <c r="C22" s="58">
        <v>10400</v>
      </c>
      <c r="D22" s="7" t="s">
        <v>1409</v>
      </c>
      <c r="E22" s="105" t="s">
        <v>1398</v>
      </c>
    </row>
    <row r="23" spans="1:5" ht="14.25" customHeight="1">
      <c r="A23" s="68" t="s">
        <v>1413</v>
      </c>
      <c r="B23" s="99">
        <v>45644</v>
      </c>
      <c r="C23" s="58">
        <v>25200</v>
      </c>
      <c r="D23" s="7" t="s">
        <v>1409</v>
      </c>
      <c r="E23" s="105" t="s">
        <v>1398</v>
      </c>
    </row>
    <row r="24" spans="1:5" ht="14.25" customHeight="1">
      <c r="A24" s="68" t="s">
        <v>1413</v>
      </c>
      <c r="B24" s="99">
        <v>45644</v>
      </c>
      <c r="C24" s="58">
        <v>32600</v>
      </c>
      <c r="D24" s="7" t="s">
        <v>1409</v>
      </c>
      <c r="E24" s="105" t="s">
        <v>1398</v>
      </c>
    </row>
    <row r="25" spans="1:5" ht="14.25" customHeight="1">
      <c r="A25" s="68" t="s">
        <v>1413</v>
      </c>
      <c r="B25" s="99">
        <v>45644</v>
      </c>
      <c r="C25" s="58">
        <v>29900</v>
      </c>
      <c r="D25" s="7" t="s">
        <v>1409</v>
      </c>
      <c r="E25" s="105" t="s">
        <v>1398</v>
      </c>
    </row>
    <row r="26" spans="1:5" ht="14.25" customHeight="1">
      <c r="A26" s="68" t="s">
        <v>1413</v>
      </c>
      <c r="B26" s="99">
        <v>45644</v>
      </c>
      <c r="C26" s="58">
        <v>10400</v>
      </c>
      <c r="D26" s="7" t="s">
        <v>1409</v>
      </c>
      <c r="E26" s="105" t="s">
        <v>1398</v>
      </c>
    </row>
    <row r="27" spans="1:5" ht="14.25" customHeight="1">
      <c r="A27" s="68" t="s">
        <v>1413</v>
      </c>
      <c r="B27" s="99">
        <v>45644</v>
      </c>
      <c r="C27" s="58">
        <v>17800</v>
      </c>
      <c r="D27" s="7" t="s">
        <v>1409</v>
      </c>
      <c r="E27" s="105" t="s">
        <v>1398</v>
      </c>
    </row>
    <row r="28" spans="1:5" ht="14.25" customHeight="1">
      <c r="A28" s="68" t="s">
        <v>1413</v>
      </c>
      <c r="B28" s="99">
        <v>45644</v>
      </c>
      <c r="C28" s="58">
        <v>20500</v>
      </c>
      <c r="D28" s="7" t="s">
        <v>1409</v>
      </c>
      <c r="E28" s="105" t="s">
        <v>1398</v>
      </c>
    </row>
    <row r="29" spans="1:5" ht="14.25" customHeight="1">
      <c r="A29" s="68" t="s">
        <v>1413</v>
      </c>
      <c r="B29" s="99">
        <v>45644</v>
      </c>
      <c r="C29" s="58">
        <v>9400</v>
      </c>
      <c r="D29" s="7" t="s">
        <v>1409</v>
      </c>
      <c r="E29" s="105" t="s">
        <v>1398</v>
      </c>
    </row>
    <row r="30" spans="1:5" ht="14.25" customHeight="1">
      <c r="A30" s="68" t="s">
        <v>1413</v>
      </c>
      <c r="B30" s="99">
        <v>45644</v>
      </c>
      <c r="C30" s="58">
        <v>30500</v>
      </c>
      <c r="D30" s="7" t="s">
        <v>1409</v>
      </c>
      <c r="E30" s="105" t="s">
        <v>1398</v>
      </c>
    </row>
    <row r="31" spans="1:5" ht="14.25" customHeight="1">
      <c r="A31" s="68" t="s">
        <v>1413</v>
      </c>
      <c r="B31" s="99">
        <v>45644</v>
      </c>
      <c r="C31" s="58">
        <v>19600</v>
      </c>
      <c r="D31" s="7" t="s">
        <v>1409</v>
      </c>
      <c r="E31" s="105" t="s">
        <v>1398</v>
      </c>
    </row>
    <row r="32" spans="1:5" ht="14.25" customHeight="1">
      <c r="A32" s="68" t="s">
        <v>1413</v>
      </c>
      <c r="B32" s="99">
        <v>45644</v>
      </c>
      <c r="C32" s="58">
        <v>10600</v>
      </c>
      <c r="D32" s="7" t="s">
        <v>1409</v>
      </c>
      <c r="E32" s="105" t="s">
        <v>1398</v>
      </c>
    </row>
    <row r="33" spans="1:5" ht="14.25" customHeight="1">
      <c r="A33" s="68" t="s">
        <v>1414</v>
      </c>
      <c r="B33" s="69">
        <v>45663</v>
      </c>
      <c r="C33" s="58">
        <v>29700</v>
      </c>
      <c r="D33" s="7" t="s">
        <v>1409</v>
      </c>
      <c r="E33" s="105" t="s">
        <v>1398</v>
      </c>
    </row>
    <row r="34" spans="1:5" ht="14.25" customHeight="1">
      <c r="A34" s="68" t="s">
        <v>1415</v>
      </c>
      <c r="B34" s="69">
        <v>45670</v>
      </c>
      <c r="C34" s="58">
        <v>12000</v>
      </c>
      <c r="D34" s="7" t="s">
        <v>1409</v>
      </c>
      <c r="E34" s="105" t="s">
        <v>1398</v>
      </c>
    </row>
    <row r="35" spans="1:5" ht="14.25" customHeight="1">
      <c r="A35" s="68" t="s">
        <v>1416</v>
      </c>
      <c r="B35" s="69">
        <v>45678</v>
      </c>
      <c r="C35" s="58">
        <v>28600</v>
      </c>
      <c r="D35" s="7" t="s">
        <v>1409</v>
      </c>
      <c r="E35" s="105" t="s">
        <v>1398</v>
      </c>
    </row>
    <row r="36" spans="1:5" ht="14.25" customHeight="1">
      <c r="A36" s="68" t="s">
        <v>1417</v>
      </c>
      <c r="B36" s="69">
        <v>45664</v>
      </c>
      <c r="C36" s="58">
        <v>30300</v>
      </c>
      <c r="D36" s="7" t="s">
        <v>1409</v>
      </c>
      <c r="E36" s="105" t="s">
        <v>1398</v>
      </c>
    </row>
    <row r="37" spans="1:5" ht="14.25" customHeight="1">
      <c r="A37" s="15" t="s">
        <v>1418</v>
      </c>
      <c r="B37" s="69">
        <v>45678</v>
      </c>
      <c r="C37" s="58">
        <v>25000</v>
      </c>
      <c r="D37" s="7" t="s">
        <v>1409</v>
      </c>
      <c r="E37" s="105" t="s">
        <v>1398</v>
      </c>
    </row>
    <row r="38" spans="1:5" ht="14.25" customHeight="1">
      <c r="A38" s="68" t="s">
        <v>1419</v>
      </c>
      <c r="B38" s="69">
        <v>45684</v>
      </c>
      <c r="C38" s="58">
        <v>48000</v>
      </c>
      <c r="D38" s="7" t="s">
        <v>1409</v>
      </c>
      <c r="E38" s="105" t="s">
        <v>1398</v>
      </c>
    </row>
    <row r="39" spans="1:5" ht="14.25" customHeight="1">
      <c r="A39" s="68" t="s">
        <v>1414</v>
      </c>
      <c r="B39" s="69">
        <v>45684</v>
      </c>
      <c r="C39" s="58">
        <v>19200</v>
      </c>
      <c r="D39" s="7" t="s">
        <v>1409</v>
      </c>
      <c r="E39" s="105" t="s">
        <v>1398</v>
      </c>
    </row>
    <row r="40" spans="1:5" ht="14.25" customHeight="1">
      <c r="A40" s="68" t="s">
        <v>1420</v>
      </c>
      <c r="B40" s="69">
        <v>45684</v>
      </c>
      <c r="C40" s="58">
        <v>18000</v>
      </c>
      <c r="D40" s="7" t="s">
        <v>1409</v>
      </c>
      <c r="E40" s="105" t="s">
        <v>1398</v>
      </c>
    </row>
    <row r="41" spans="1:5" ht="14.25" customHeight="1">
      <c r="A41" s="68" t="s">
        <v>1421</v>
      </c>
      <c r="B41" s="104">
        <v>45709</v>
      </c>
      <c r="C41" s="58">
        <v>26400</v>
      </c>
      <c r="D41" s="7" t="s">
        <v>1401</v>
      </c>
      <c r="E41" s="105" t="s">
        <v>1398</v>
      </c>
    </row>
    <row r="42" spans="1:5" ht="14.25" customHeight="1">
      <c r="A42" s="68" t="s">
        <v>1420</v>
      </c>
      <c r="B42" s="69">
        <v>45718</v>
      </c>
      <c r="C42" s="58">
        <v>15000</v>
      </c>
      <c r="D42" s="7" t="s">
        <v>1401</v>
      </c>
      <c r="E42" s="105" t="s">
        <v>1398</v>
      </c>
    </row>
    <row r="43" spans="1:5" ht="14.25" customHeight="1">
      <c r="A43" s="68"/>
      <c r="B43" s="58"/>
      <c r="C43" s="58"/>
      <c r="D43" s="7"/>
      <c r="E43" s="7"/>
    </row>
    <row r="44" spans="1:5" ht="14.25" customHeight="1">
      <c r="A44" s="68"/>
      <c r="B44" s="58"/>
      <c r="C44" s="58"/>
      <c r="D44" s="7"/>
      <c r="E44" s="7"/>
    </row>
    <row r="45" spans="1:5" ht="14.25" customHeight="1">
      <c r="A45" s="68"/>
      <c r="B45" s="58"/>
      <c r="C45" s="58"/>
      <c r="D45" s="7"/>
      <c r="E45" s="7"/>
    </row>
    <row r="46" spans="1:5" ht="14.25" customHeight="1">
      <c r="A46" s="68"/>
      <c r="B46" s="58"/>
      <c r="C46" s="58"/>
      <c r="D46" s="7"/>
      <c r="E46" s="7"/>
    </row>
    <row r="47" spans="1:5" ht="14.25" customHeight="1">
      <c r="A47" s="68"/>
      <c r="B47" s="58"/>
      <c r="C47" s="58"/>
      <c r="D47" s="7"/>
      <c r="E47" s="7"/>
    </row>
    <row r="48" spans="1:5" ht="14.25" customHeight="1">
      <c r="A48" s="68"/>
      <c r="B48" s="58"/>
      <c r="C48" s="58"/>
      <c r="D48" s="7"/>
      <c r="E48" s="7"/>
    </row>
    <row r="49" spans="1:5" ht="14.25" customHeight="1">
      <c r="A49" s="68"/>
      <c r="B49" s="58"/>
      <c r="C49" s="58"/>
      <c r="D49" s="7"/>
      <c r="E49" s="7"/>
    </row>
    <row r="50" spans="1:5" ht="14.25" customHeight="1">
      <c r="A50" s="68"/>
      <c r="B50" s="58"/>
      <c r="C50" s="58"/>
      <c r="D50" s="7"/>
      <c r="E50" s="7"/>
    </row>
    <row r="51" spans="1:5" ht="14.25" customHeight="1">
      <c r="A51" s="68"/>
      <c r="B51" s="58"/>
      <c r="C51" s="58"/>
      <c r="D51" s="7"/>
      <c r="E51" s="7"/>
    </row>
    <row r="52" spans="1:5" ht="14.25" customHeight="1">
      <c r="A52" s="68"/>
      <c r="B52" s="58"/>
      <c r="C52" s="58"/>
      <c r="D52" s="7"/>
      <c r="E52" s="7"/>
    </row>
    <row r="53" spans="1:5" ht="14.25" customHeight="1">
      <c r="A53" s="68"/>
      <c r="B53" s="58"/>
      <c r="C53" s="58"/>
      <c r="D53" s="7"/>
      <c r="E53" s="7"/>
    </row>
    <row r="54" spans="1:5" ht="14.25" customHeight="1">
      <c r="A54" s="68"/>
      <c r="B54" s="58"/>
      <c r="C54" s="58"/>
      <c r="D54" s="7"/>
      <c r="E54" s="7"/>
    </row>
    <row r="55" spans="1:5" ht="14.25" customHeight="1">
      <c r="A55" s="68"/>
      <c r="B55" s="58"/>
      <c r="C55" s="58"/>
      <c r="D55" s="7"/>
      <c r="E55" s="7"/>
    </row>
    <row r="56" spans="1:5" ht="14.25" customHeight="1">
      <c r="A56" s="68"/>
      <c r="B56" s="58"/>
      <c r="C56" s="58"/>
      <c r="D56" s="7"/>
      <c r="E56" s="7"/>
    </row>
    <row r="57" spans="1:5" ht="14.25" customHeight="1">
      <c r="A57" s="68"/>
      <c r="B57" s="58"/>
      <c r="C57" s="58"/>
      <c r="D57" s="7"/>
      <c r="E57" s="7"/>
    </row>
    <row r="58" spans="1:5" ht="14.25" customHeight="1">
      <c r="A58" s="68"/>
      <c r="B58" s="58"/>
      <c r="C58" s="58"/>
      <c r="D58" s="7"/>
      <c r="E58" s="7"/>
    </row>
    <row r="59" spans="1:5" ht="14.25" customHeight="1">
      <c r="A59" s="68"/>
      <c r="B59" s="58"/>
      <c r="C59" s="58"/>
      <c r="D59" s="7"/>
      <c r="E59" s="7"/>
    </row>
    <row r="60" spans="1:5" ht="14.25" customHeight="1">
      <c r="A60" s="68"/>
      <c r="B60" s="58"/>
      <c r="C60" s="58"/>
      <c r="D60" s="7"/>
      <c r="E60" s="7"/>
    </row>
    <row r="61" spans="1:5" ht="14.25" customHeight="1">
      <c r="A61" s="68"/>
      <c r="B61" s="58"/>
      <c r="C61" s="58"/>
      <c r="D61" s="7"/>
      <c r="E61" s="7"/>
    </row>
    <row r="62" spans="1:5" ht="14.25" customHeight="1">
      <c r="A62" s="68"/>
      <c r="B62" s="58"/>
      <c r="C62" s="58"/>
      <c r="D62" s="7"/>
      <c r="E62" s="7"/>
    </row>
    <row r="63" spans="1:5" ht="14.25" customHeight="1">
      <c r="A63" s="68"/>
      <c r="B63" s="58"/>
      <c r="C63" s="58"/>
      <c r="D63" s="7"/>
      <c r="E63" s="7"/>
    </row>
    <row r="64" spans="1:5" ht="14.25" customHeight="1">
      <c r="A64" s="68"/>
      <c r="B64" s="58"/>
      <c r="C64" s="58"/>
      <c r="D64" s="7"/>
      <c r="E64" s="7"/>
    </row>
    <row r="65" spans="1:5" ht="14.25" customHeight="1">
      <c r="A65" s="68"/>
      <c r="B65" s="58"/>
      <c r="C65" s="58"/>
      <c r="D65" s="7"/>
      <c r="E65" s="7"/>
    </row>
    <row r="66" spans="1:5" ht="14.25" customHeight="1">
      <c r="A66" s="68"/>
      <c r="B66" s="58"/>
      <c r="C66" s="58"/>
      <c r="D66" s="7"/>
      <c r="E66" s="7"/>
    </row>
    <row r="67" spans="1:5" ht="14.25" customHeight="1">
      <c r="A67" s="68"/>
      <c r="B67" s="58"/>
      <c r="C67" s="58"/>
      <c r="D67" s="7"/>
      <c r="E67" s="7"/>
    </row>
    <row r="68" spans="1:5" ht="14.25" customHeight="1">
      <c r="A68" s="68"/>
      <c r="B68" s="58"/>
      <c r="C68" s="58"/>
      <c r="D68" s="7"/>
      <c r="E68" s="7"/>
    </row>
    <row r="69" spans="1:5" ht="14.25" customHeight="1">
      <c r="A69" s="68"/>
      <c r="B69" s="58"/>
      <c r="C69" s="58"/>
      <c r="D69" s="7"/>
      <c r="E69" s="7"/>
    </row>
    <row r="70" spans="1:5" ht="14.25" customHeight="1">
      <c r="A70" s="68"/>
      <c r="B70" s="58"/>
      <c r="C70" s="58"/>
      <c r="D70" s="7"/>
      <c r="E70" s="7"/>
    </row>
    <row r="71" spans="1:5" ht="14.25" customHeight="1">
      <c r="A71" s="68"/>
      <c r="B71" s="58"/>
      <c r="C71" s="58"/>
      <c r="D71" s="7"/>
      <c r="E71" s="7"/>
    </row>
    <row r="72" spans="1:5" ht="14.25" customHeight="1">
      <c r="A72" s="68"/>
      <c r="B72" s="58"/>
      <c r="C72" s="58"/>
      <c r="D72" s="7"/>
      <c r="E72" s="7"/>
    </row>
    <row r="73" spans="1:5" ht="14.25" customHeight="1">
      <c r="A73" s="68"/>
      <c r="B73" s="58"/>
      <c r="C73" s="58"/>
      <c r="D73" s="7"/>
      <c r="E73" s="7"/>
    </row>
    <row r="74" spans="1:5" ht="14.25" customHeight="1">
      <c r="A74" s="68"/>
      <c r="B74" s="58"/>
      <c r="C74" s="58"/>
      <c r="D74" s="7"/>
      <c r="E74" s="7"/>
    </row>
    <row r="75" spans="1:5" ht="14.25" customHeight="1">
      <c r="A75" s="68"/>
      <c r="B75" s="58"/>
      <c r="C75" s="58"/>
      <c r="D75" s="7"/>
      <c r="E75" s="7"/>
    </row>
    <row r="76" spans="1:5" ht="14.25" customHeight="1">
      <c r="A76" s="68"/>
      <c r="B76" s="58"/>
      <c r="C76" s="58"/>
      <c r="D76" s="7"/>
      <c r="E76" s="7"/>
    </row>
    <row r="77" spans="1:5" ht="14.25" customHeight="1">
      <c r="A77" s="68"/>
      <c r="B77" s="58"/>
      <c r="C77" s="58"/>
      <c r="D77" s="7"/>
      <c r="E77" s="7"/>
    </row>
    <row r="78" spans="1:5" ht="14.25" customHeight="1">
      <c r="A78" s="68"/>
      <c r="B78" s="58"/>
      <c r="C78" s="58"/>
      <c r="D78" s="7"/>
      <c r="E78" s="7"/>
    </row>
    <row r="79" spans="1:5" ht="14.25" customHeight="1">
      <c r="A79" s="68"/>
      <c r="B79" s="58"/>
      <c r="C79" s="58"/>
      <c r="D79" s="7"/>
      <c r="E79" s="7"/>
    </row>
    <row r="80" spans="1:5" ht="14.25" customHeight="1">
      <c r="A80" s="68"/>
      <c r="B80" s="58"/>
      <c r="C80" s="58"/>
      <c r="D80" s="7"/>
      <c r="E80" s="7"/>
    </row>
    <row r="81" spans="1:5" ht="14.25" customHeight="1">
      <c r="A81" s="68"/>
      <c r="B81" s="58"/>
      <c r="C81" s="58"/>
      <c r="D81" s="7"/>
      <c r="E81" s="7"/>
    </row>
    <row r="82" spans="1:5" ht="14.25" customHeight="1">
      <c r="A82" s="68"/>
      <c r="B82" s="58"/>
      <c r="C82" s="58"/>
      <c r="D82" s="7"/>
      <c r="E82" s="7"/>
    </row>
    <row r="83" spans="1:5" ht="14.25" customHeight="1">
      <c r="A83" s="68"/>
      <c r="B83" s="58"/>
      <c r="C83" s="58"/>
      <c r="D83" s="7"/>
      <c r="E83" s="7"/>
    </row>
    <row r="84" spans="1:5" ht="14.25" customHeight="1">
      <c r="A84" s="68"/>
      <c r="B84" s="58"/>
      <c r="C84" s="58"/>
      <c r="D84" s="7"/>
      <c r="E84" s="7"/>
    </row>
    <row r="85" spans="1:5" ht="14.25" customHeight="1">
      <c r="A85" s="68"/>
      <c r="B85" s="58"/>
      <c r="C85" s="58"/>
      <c r="D85" s="7"/>
      <c r="E85" s="7"/>
    </row>
    <row r="86" spans="1:5" ht="14.25" customHeight="1">
      <c r="A86" s="68"/>
      <c r="B86" s="58"/>
      <c r="C86" s="58"/>
      <c r="D86" s="7"/>
      <c r="E86" s="7"/>
    </row>
    <row r="87" spans="1:5" ht="14.25" customHeight="1">
      <c r="A87" s="68"/>
      <c r="B87" s="58"/>
      <c r="C87" s="58"/>
      <c r="D87" s="7"/>
      <c r="E87" s="7"/>
    </row>
    <row r="88" spans="1:5" ht="14.25" customHeight="1">
      <c r="A88" s="68"/>
      <c r="B88" s="58"/>
      <c r="C88" s="58"/>
      <c r="D88" s="7"/>
      <c r="E88" s="7"/>
    </row>
    <row r="89" spans="1:5" ht="14.25" customHeight="1">
      <c r="A89" s="68"/>
      <c r="B89" s="58"/>
      <c r="C89" s="58"/>
      <c r="D89" s="7"/>
      <c r="E89" s="7"/>
    </row>
    <row r="90" spans="1:5" ht="14.25" customHeight="1">
      <c r="A90" s="68"/>
      <c r="B90" s="58"/>
      <c r="C90" s="58"/>
      <c r="D90" s="7"/>
      <c r="E90" s="7"/>
    </row>
    <row r="91" spans="1:5" ht="14.25" customHeight="1">
      <c r="A91" s="68"/>
      <c r="B91" s="58"/>
      <c r="C91" s="58"/>
      <c r="D91" s="7"/>
      <c r="E91" s="7"/>
    </row>
    <row r="92" spans="1:5" ht="14.25" customHeight="1">
      <c r="A92" s="68"/>
      <c r="B92" s="58"/>
      <c r="C92" s="58"/>
      <c r="D92" s="7"/>
      <c r="E92" s="7"/>
    </row>
    <row r="93" spans="1:5" ht="14.25" customHeight="1">
      <c r="A93" s="68"/>
      <c r="B93" s="58"/>
      <c r="C93" s="58"/>
      <c r="D93" s="7"/>
      <c r="E93" s="7"/>
    </row>
    <row r="94" spans="1:5" ht="14.25" customHeight="1">
      <c r="A94" s="68"/>
      <c r="B94" s="58"/>
      <c r="C94" s="58"/>
      <c r="D94" s="7"/>
      <c r="E94" s="7"/>
    </row>
    <row r="95" spans="1:5" ht="14.25" customHeight="1">
      <c r="A95" s="68"/>
      <c r="B95" s="58"/>
      <c r="C95" s="58"/>
      <c r="D95" s="7"/>
      <c r="E95" s="7"/>
    </row>
    <row r="96" spans="1:5" ht="14.25" customHeight="1">
      <c r="A96" s="68"/>
      <c r="B96" s="58"/>
      <c r="C96" s="58"/>
      <c r="D96" s="7"/>
      <c r="E96" s="7"/>
    </row>
    <row r="97" spans="1:5" ht="14.25" customHeight="1">
      <c r="A97" s="68"/>
      <c r="B97" s="58"/>
      <c r="C97" s="58"/>
      <c r="D97" s="7"/>
      <c r="E97" s="7"/>
    </row>
    <row r="98" spans="1:5" ht="14.25" customHeight="1">
      <c r="A98" s="68"/>
      <c r="B98" s="58"/>
      <c r="C98" s="58"/>
      <c r="D98" s="7"/>
      <c r="E98" s="7"/>
    </row>
    <row r="99" spans="1:5" ht="14.25" customHeight="1">
      <c r="A99" s="68"/>
      <c r="B99" s="58"/>
      <c r="C99" s="58"/>
      <c r="D99" s="7"/>
      <c r="E99" s="7"/>
    </row>
    <row r="100" spans="1:5" ht="14.25" customHeight="1">
      <c r="A100" s="68"/>
      <c r="B100" s="58"/>
      <c r="C100" s="58"/>
      <c r="D100" s="7"/>
      <c r="E100" s="7"/>
    </row>
    <row r="101" spans="1:5" ht="14.25" customHeight="1">
      <c r="A101" s="14"/>
      <c r="B101" s="58"/>
      <c r="C101" s="58"/>
      <c r="D101" s="7"/>
      <c r="E101" s="7"/>
    </row>
    <row r="102" spans="1:5" ht="14.25" customHeight="1">
      <c r="A102" s="14"/>
      <c r="B102" s="58"/>
      <c r="C102" s="58"/>
      <c r="D102" s="7"/>
      <c r="E102" s="7"/>
    </row>
    <row r="103" spans="1:5" ht="14.25" customHeight="1">
      <c r="A103" s="14"/>
      <c r="B103" s="58"/>
      <c r="C103" s="58"/>
      <c r="D103" s="7"/>
      <c r="E103" s="7"/>
    </row>
    <row r="104" spans="1:5" ht="14.25" customHeight="1">
      <c r="A104" s="14"/>
      <c r="B104" s="58"/>
      <c r="C104" s="58"/>
      <c r="D104" s="7"/>
      <c r="E104" s="7"/>
    </row>
    <row r="105" spans="1:5" ht="14.25" customHeight="1">
      <c r="A105" s="14"/>
      <c r="B105" s="58"/>
      <c r="C105" s="58"/>
      <c r="D105" s="7"/>
      <c r="E105" s="7"/>
    </row>
    <row r="106" spans="1:5" ht="14.25" customHeight="1">
      <c r="A106" s="14"/>
      <c r="B106" s="58"/>
      <c r="C106" s="58"/>
      <c r="D106" s="7"/>
      <c r="E106" s="7"/>
    </row>
    <row r="107" spans="1:5" ht="14.25" customHeight="1">
      <c r="A107" s="14"/>
      <c r="B107" s="58"/>
      <c r="C107" s="58"/>
      <c r="D107" s="7"/>
      <c r="E107" s="7"/>
    </row>
    <row r="108" spans="1:5" ht="14.25" customHeight="1">
      <c r="A108" s="14"/>
      <c r="B108" s="58"/>
      <c r="C108" s="58"/>
      <c r="D108" s="7"/>
      <c r="E108" s="7"/>
    </row>
    <row r="109" spans="1:5" ht="14.25" customHeight="1">
      <c r="A109" s="14"/>
      <c r="B109" s="58"/>
      <c r="C109" s="58"/>
      <c r="D109" s="7"/>
      <c r="E109" s="7"/>
    </row>
    <row r="110" spans="1:5" ht="14.25" customHeight="1">
      <c r="A110" s="14"/>
      <c r="B110" s="58"/>
      <c r="C110" s="58"/>
      <c r="D110" s="7"/>
      <c r="E110" s="7"/>
    </row>
    <row r="111" spans="1:5" ht="14.25" customHeight="1">
      <c r="A111" s="14"/>
      <c r="B111" s="58"/>
      <c r="C111" s="58"/>
      <c r="D111" s="7"/>
      <c r="E111" s="7"/>
    </row>
    <row r="112" spans="1:5" ht="14.25" customHeight="1">
      <c r="A112" s="14"/>
      <c r="B112" s="58"/>
      <c r="C112" s="58"/>
      <c r="D112" s="7"/>
      <c r="E112" s="7"/>
    </row>
    <row r="113" spans="1:5" ht="14.25" customHeight="1">
      <c r="A113" s="68"/>
      <c r="B113" s="58"/>
      <c r="C113" s="58"/>
      <c r="D113" s="7"/>
      <c r="E113" s="7"/>
    </row>
    <row r="114" spans="1:5" ht="14.25" customHeight="1">
      <c r="A114" s="14"/>
      <c r="B114" s="58"/>
      <c r="C114" s="58"/>
      <c r="D114" s="7"/>
      <c r="E114" s="7"/>
    </row>
    <row r="115" spans="1:5" ht="14.25" customHeight="1">
      <c r="A115" s="14"/>
      <c r="B115" s="58"/>
      <c r="C115" s="58"/>
      <c r="D115" s="7"/>
      <c r="E115" s="7"/>
    </row>
    <row r="116" spans="1:5" ht="14.25" customHeight="1">
      <c r="A116" s="14"/>
      <c r="B116" s="58"/>
      <c r="C116" s="58"/>
      <c r="D116" s="7"/>
      <c r="E116" s="7"/>
    </row>
    <row r="117" spans="1:5" ht="14.25" customHeight="1">
      <c r="A117" s="14"/>
      <c r="B117" s="58"/>
      <c r="C117" s="58"/>
      <c r="D117" s="7"/>
      <c r="E117" s="7"/>
    </row>
    <row r="118" spans="1:5" ht="14.25" customHeight="1">
      <c r="A118" s="14"/>
      <c r="B118" s="58"/>
      <c r="C118" s="58"/>
      <c r="D118" s="7"/>
      <c r="E118" s="7"/>
    </row>
    <row r="119" spans="1:5" ht="14.25" customHeight="1">
      <c r="A119" s="14"/>
      <c r="B119" s="58"/>
      <c r="C119" s="58"/>
      <c r="D119" s="7"/>
      <c r="E119" s="7"/>
    </row>
    <row r="120" spans="1:5" ht="14.25" customHeight="1">
      <c r="A120" s="14"/>
      <c r="B120" s="58"/>
      <c r="C120" s="58"/>
      <c r="D120" s="7"/>
      <c r="E120" s="7"/>
    </row>
    <row r="121" spans="1:5" ht="14.25" customHeight="1">
      <c r="A121" s="14"/>
      <c r="B121" s="58"/>
      <c r="C121" s="58"/>
      <c r="D121" s="7"/>
      <c r="E121" s="7"/>
    </row>
    <row r="122" spans="1:5" ht="14.25" customHeight="1">
      <c r="A122" s="14"/>
      <c r="B122" s="58"/>
      <c r="C122" s="58"/>
      <c r="D122" s="7"/>
      <c r="E122" s="7"/>
    </row>
    <row r="123" spans="1:5" ht="14.25" customHeight="1">
      <c r="A123" s="14"/>
      <c r="B123" s="58"/>
      <c r="C123" s="58"/>
      <c r="D123" s="7"/>
      <c r="E123" s="7"/>
    </row>
    <row r="124" spans="1:5" ht="14.25" customHeight="1">
      <c r="A124" s="14"/>
      <c r="B124" s="58"/>
      <c r="C124" s="58"/>
      <c r="D124" s="7"/>
      <c r="E124" s="7"/>
    </row>
    <row r="125" spans="1:5" ht="14.25" customHeight="1">
      <c r="A125" s="14"/>
      <c r="B125" s="58"/>
      <c r="C125" s="58"/>
      <c r="D125" s="7"/>
      <c r="E125" s="7"/>
    </row>
    <row r="126" spans="1:5" ht="14.25" customHeight="1">
      <c r="A126" s="14"/>
      <c r="B126" s="58"/>
      <c r="C126" s="58"/>
      <c r="D126" s="7"/>
      <c r="E126" s="7"/>
    </row>
    <row r="127" spans="1:5" ht="14.25" customHeight="1">
      <c r="A127" s="14"/>
      <c r="B127" s="58"/>
      <c r="C127" s="58"/>
      <c r="D127" s="7"/>
      <c r="E127" s="7"/>
    </row>
    <row r="128" spans="1:5" ht="14.25" customHeight="1">
      <c r="A128" s="14"/>
      <c r="B128" s="58"/>
      <c r="C128" s="58"/>
      <c r="D128" s="7"/>
      <c r="E128" s="7"/>
    </row>
    <row r="129" spans="1:5" ht="14.25" customHeight="1">
      <c r="A129" s="14"/>
      <c r="B129" s="58"/>
      <c r="C129" s="58"/>
      <c r="D129" s="7"/>
      <c r="E129" s="7"/>
    </row>
    <row r="130" spans="1:5" ht="14.25" customHeight="1">
      <c r="A130" s="68"/>
      <c r="B130" s="58"/>
      <c r="C130" s="58"/>
      <c r="D130" s="7"/>
      <c r="E130" s="7"/>
    </row>
    <row r="131" spans="1:5" ht="14.25" customHeight="1">
      <c r="A131" s="14"/>
      <c r="B131" s="58"/>
      <c r="C131" s="58"/>
      <c r="D131" s="7"/>
      <c r="E131" s="7"/>
    </row>
    <row r="132" spans="1:5" ht="14.25" customHeight="1">
      <c r="A132" s="14"/>
      <c r="B132" s="58"/>
      <c r="C132" s="58"/>
      <c r="D132" s="7"/>
      <c r="E132" s="7"/>
    </row>
    <row r="133" spans="1:5" ht="14.25" customHeight="1">
      <c r="A133" s="14"/>
      <c r="B133" s="58"/>
      <c r="C133" s="58"/>
      <c r="D133" s="7"/>
      <c r="E133" s="7"/>
    </row>
    <row r="134" spans="1:5" ht="14.25" customHeight="1">
      <c r="A134" s="14"/>
      <c r="B134" s="58"/>
      <c r="C134" s="58"/>
      <c r="D134" s="7"/>
      <c r="E134" s="7"/>
    </row>
    <row r="135" spans="1:5" ht="14.25" customHeight="1">
      <c r="A135" s="14"/>
      <c r="B135" s="58"/>
      <c r="C135" s="58"/>
      <c r="D135" s="7"/>
      <c r="E135" s="7"/>
    </row>
    <row r="136" spans="1:5" ht="14.25" customHeight="1">
      <c r="A136" s="14"/>
      <c r="B136" s="58"/>
      <c r="C136" s="58"/>
      <c r="D136" s="7"/>
      <c r="E136" s="7"/>
    </row>
    <row r="137" spans="1:5" ht="14.25" customHeight="1">
      <c r="A137" s="14"/>
      <c r="B137" s="58"/>
      <c r="C137" s="58"/>
      <c r="D137" s="7"/>
      <c r="E137" s="7"/>
    </row>
    <row r="138" spans="1:5" ht="14.25" customHeight="1">
      <c r="A138" s="14"/>
      <c r="B138" s="58"/>
      <c r="C138" s="58"/>
      <c r="D138" s="7"/>
      <c r="E138" s="7"/>
    </row>
    <row r="139" spans="1:5" ht="14.25" customHeight="1">
      <c r="A139" s="14"/>
      <c r="B139" s="58"/>
      <c r="C139" s="58"/>
      <c r="D139" s="7"/>
      <c r="E139" s="7"/>
    </row>
    <row r="140" spans="1:5" ht="14.25" customHeight="1">
      <c r="A140" s="14"/>
      <c r="B140" s="58"/>
      <c r="C140" s="58"/>
      <c r="D140" s="7"/>
      <c r="E140" s="7"/>
    </row>
    <row r="141" spans="1:5" ht="14.25" customHeight="1">
      <c r="A141" s="14"/>
      <c r="B141" s="58"/>
      <c r="C141" s="58"/>
      <c r="D141" s="7"/>
      <c r="E141" s="7"/>
    </row>
    <row r="142" spans="1:5" ht="14.25" customHeight="1">
      <c r="A142" s="14"/>
      <c r="B142" s="58"/>
      <c r="C142" s="58"/>
      <c r="D142" s="7"/>
      <c r="E142" s="7"/>
    </row>
    <row r="143" spans="1:5" ht="14.25" customHeight="1">
      <c r="A143" s="14"/>
      <c r="B143" s="58"/>
      <c r="C143" s="58"/>
      <c r="D143" s="7"/>
      <c r="E143" s="7"/>
    </row>
    <row r="144" spans="1:5" ht="14.25" customHeight="1">
      <c r="A144" s="14"/>
      <c r="B144" s="58"/>
      <c r="C144" s="58"/>
      <c r="D144" s="7"/>
      <c r="E144" s="7"/>
    </row>
    <row r="145" spans="1:5" ht="14.25" customHeight="1">
      <c r="A145" s="14"/>
      <c r="B145" s="58"/>
      <c r="C145" s="58"/>
      <c r="D145" s="7"/>
      <c r="E145" s="7"/>
    </row>
    <row r="146" spans="1:5" ht="14.25" customHeight="1">
      <c r="A146" s="14"/>
      <c r="B146" s="58"/>
      <c r="C146" s="58"/>
      <c r="D146" s="7"/>
      <c r="E146" s="7"/>
    </row>
    <row r="147" spans="1:5" ht="14.25" customHeight="1">
      <c r="A147" s="14"/>
      <c r="B147" s="58"/>
      <c r="C147" s="58"/>
      <c r="D147" s="7"/>
      <c r="E147" s="7"/>
    </row>
    <row r="148" spans="1:5" ht="14.25" customHeight="1">
      <c r="A148" s="14"/>
      <c r="B148" s="58"/>
      <c r="C148" s="58"/>
      <c r="D148" s="7"/>
      <c r="E148" s="7"/>
    </row>
    <row r="149" spans="1:5" ht="14.25" customHeight="1">
      <c r="A149" s="14"/>
      <c r="B149" s="107"/>
      <c r="C149" s="107"/>
      <c r="D149" s="7"/>
      <c r="E149" s="7"/>
    </row>
    <row r="150" spans="1:5" ht="14.25" customHeight="1">
      <c r="A150" s="14"/>
      <c r="B150" s="58"/>
      <c r="C150" s="58"/>
      <c r="D150" s="7"/>
      <c r="E150" s="7"/>
    </row>
    <row r="151" spans="1:5" ht="14.25" customHeight="1">
      <c r="A151" s="14"/>
      <c r="B151" s="74"/>
      <c r="C151" s="58"/>
      <c r="D151" s="7"/>
      <c r="E151" s="7"/>
    </row>
    <row r="152" spans="1:5" ht="14.25" customHeight="1">
      <c r="A152" s="14"/>
      <c r="B152" s="107"/>
      <c r="C152" s="107"/>
      <c r="D152" s="7"/>
      <c r="E152" s="7"/>
    </row>
    <row r="153" spans="1:5" ht="14.25" customHeight="1">
      <c r="A153" s="14"/>
      <c r="B153" s="58"/>
      <c r="C153" s="58"/>
      <c r="D153" s="7"/>
      <c r="E153" s="7"/>
    </row>
    <row r="154" spans="1:5" ht="14.25" customHeight="1">
      <c r="A154" s="14"/>
      <c r="B154" s="58"/>
      <c r="C154" s="58"/>
      <c r="D154" s="7"/>
      <c r="E154" s="7"/>
    </row>
    <row r="155" spans="1:5" ht="14.25" customHeight="1">
      <c r="A155" s="14"/>
      <c r="B155" s="58"/>
      <c r="C155" s="58"/>
      <c r="D155" s="7"/>
      <c r="E155" s="7"/>
    </row>
    <row r="156" spans="1:5" ht="14.25" customHeight="1">
      <c r="A156" s="14"/>
      <c r="B156" s="74"/>
      <c r="C156" s="58"/>
      <c r="D156" s="7"/>
      <c r="E156" s="7"/>
    </row>
    <row r="157" spans="1:5" ht="14.25" customHeight="1">
      <c r="A157" s="14"/>
      <c r="B157" s="58"/>
      <c r="C157" s="58"/>
      <c r="D157" s="7"/>
      <c r="E157" s="7"/>
    </row>
    <row r="158" spans="1:5" ht="14.25" customHeight="1">
      <c r="A158" s="14"/>
      <c r="B158" s="74"/>
      <c r="C158" s="58"/>
      <c r="D158" s="7"/>
      <c r="E158" s="7"/>
    </row>
    <row r="159" spans="1:5" ht="14.25" customHeight="1">
      <c r="A159" s="14"/>
      <c r="B159" s="58"/>
      <c r="C159" s="58"/>
      <c r="D159" s="7"/>
      <c r="E159" s="7"/>
    </row>
    <row r="160" spans="1:5" ht="14.25" customHeight="1">
      <c r="A160" s="14"/>
      <c r="B160" s="58"/>
      <c r="C160" s="58"/>
      <c r="D160" s="7"/>
      <c r="E160" s="7"/>
    </row>
    <row r="161" spans="1:5" ht="14.25" customHeight="1">
      <c r="A161" s="14"/>
      <c r="B161" s="58"/>
      <c r="C161" s="58"/>
      <c r="D161" s="7"/>
      <c r="E161" s="7"/>
    </row>
    <row r="162" spans="1:5" ht="14.25" customHeight="1">
      <c r="A162" s="14"/>
      <c r="B162" s="58"/>
      <c r="C162" s="58"/>
      <c r="D162" s="7"/>
      <c r="E162" s="7"/>
    </row>
    <row r="163" spans="1:5" ht="14.25" customHeight="1">
      <c r="A163" s="14"/>
      <c r="B163" s="58"/>
      <c r="C163" s="58"/>
      <c r="D163" s="7"/>
      <c r="E163" s="7"/>
    </row>
    <row r="164" spans="1:5" ht="14.25" customHeight="1">
      <c r="A164" s="14"/>
      <c r="B164" s="58"/>
      <c r="C164" s="58"/>
      <c r="D164" s="7"/>
      <c r="E164" s="7"/>
    </row>
    <row r="165" spans="1:5" ht="14.25" customHeight="1">
      <c r="A165" s="14"/>
      <c r="B165" s="58"/>
      <c r="C165" s="58"/>
      <c r="D165" s="7"/>
      <c r="E165" s="7"/>
    </row>
    <row r="166" spans="1:5" ht="14.25" customHeight="1">
      <c r="A166" s="14"/>
      <c r="B166" s="58"/>
      <c r="C166" s="58"/>
      <c r="D166" s="7"/>
      <c r="E166" s="7"/>
    </row>
    <row r="167" spans="1:5" ht="14.25" customHeight="1">
      <c r="A167" s="14"/>
      <c r="B167" s="58"/>
      <c r="C167" s="58"/>
      <c r="D167" s="7"/>
      <c r="E167" s="7"/>
    </row>
    <row r="168" spans="1:5" ht="14.25" customHeight="1">
      <c r="A168" s="14"/>
      <c r="B168" s="58"/>
      <c r="C168" s="58"/>
      <c r="D168" s="7"/>
      <c r="E168" s="7"/>
    </row>
    <row r="169" spans="1:5" ht="14.25" customHeight="1">
      <c r="A169" s="14"/>
      <c r="B169" s="58"/>
      <c r="C169" s="58"/>
      <c r="D169" s="7"/>
      <c r="E169" s="7"/>
    </row>
    <row r="170" spans="1:5" ht="14.25" customHeight="1">
      <c r="A170" s="14"/>
      <c r="B170" s="58"/>
      <c r="C170" s="58"/>
      <c r="D170" s="7"/>
      <c r="E170" s="7"/>
    </row>
    <row r="171" spans="1:5" ht="14.25" customHeight="1">
      <c r="A171" s="14"/>
      <c r="B171" s="58"/>
      <c r="C171" s="58"/>
      <c r="D171" s="7"/>
      <c r="E171" s="7"/>
    </row>
    <row r="172" spans="1:5" ht="14.25" customHeight="1">
      <c r="A172" s="14"/>
      <c r="B172" s="58"/>
      <c r="C172" s="58"/>
      <c r="D172" s="7"/>
      <c r="E172" s="7"/>
    </row>
    <row r="173" spans="1:5" ht="14.25" customHeight="1">
      <c r="A173" s="14"/>
      <c r="B173" s="58"/>
      <c r="C173" s="58"/>
      <c r="D173" s="7"/>
      <c r="E173" s="7"/>
    </row>
    <row r="174" spans="1:5" ht="14.25" customHeight="1">
      <c r="A174" s="14"/>
      <c r="B174" s="58"/>
      <c r="C174" s="58"/>
      <c r="D174" s="7"/>
      <c r="E174" s="7"/>
    </row>
    <row r="175" spans="1:5" ht="14.25" customHeight="1">
      <c r="A175" s="14"/>
      <c r="B175" s="58"/>
      <c r="C175" s="58"/>
      <c r="D175" s="7"/>
      <c r="E175" s="7"/>
    </row>
    <row r="176" spans="1:5" ht="14.25" customHeight="1">
      <c r="A176" s="14"/>
      <c r="B176" s="58"/>
      <c r="C176" s="58"/>
      <c r="D176" s="7"/>
      <c r="E176" s="7"/>
    </row>
    <row r="177" spans="1:18" ht="14.25" customHeight="1">
      <c r="A177" s="14"/>
      <c r="B177" s="58"/>
      <c r="C177" s="58"/>
      <c r="D177" s="7"/>
      <c r="E177" s="7"/>
    </row>
    <row r="178" spans="1:18" ht="14.25" customHeight="1">
      <c r="A178" s="14"/>
      <c r="B178" s="58"/>
      <c r="C178" s="58"/>
      <c r="D178" s="7"/>
      <c r="E178" s="7"/>
    </row>
    <row r="179" spans="1:18" ht="14.25" customHeight="1">
      <c r="A179" s="14"/>
      <c r="B179" s="58"/>
      <c r="C179" s="58"/>
      <c r="D179" s="7"/>
      <c r="E179" s="7"/>
    </row>
    <row r="180" spans="1:18" ht="14.25" customHeight="1">
      <c r="A180" s="14"/>
      <c r="B180" s="58"/>
      <c r="C180" s="58"/>
      <c r="D180" s="7"/>
      <c r="E180" s="7"/>
    </row>
    <row r="181" spans="1:18" ht="14.25" customHeight="1">
      <c r="A181" s="68"/>
      <c r="B181" s="58"/>
      <c r="C181" s="58"/>
      <c r="D181" s="7"/>
      <c r="E181" s="7"/>
    </row>
    <row r="182" spans="1:18" ht="14.25" customHeight="1">
      <c r="A182" s="14"/>
      <c r="B182" s="58"/>
      <c r="C182" s="58"/>
      <c r="D182" s="7"/>
      <c r="E182" s="7"/>
    </row>
    <row r="183" spans="1:18" ht="14.25" customHeight="1">
      <c r="A183" s="14"/>
      <c r="B183" s="58"/>
      <c r="C183" s="58"/>
      <c r="D183" s="7"/>
      <c r="E183" s="7"/>
    </row>
    <row r="184" spans="1:18" ht="14.25" customHeight="1">
      <c r="A184" s="14"/>
      <c r="B184" s="58"/>
      <c r="C184" s="58"/>
      <c r="D184" s="7"/>
      <c r="E184" s="7"/>
    </row>
    <row r="185" spans="1:18" ht="14.25" customHeight="1">
      <c r="A185" s="14"/>
      <c r="B185" s="58"/>
      <c r="C185" s="58"/>
      <c r="D185" s="7"/>
      <c r="E185" s="7"/>
    </row>
    <row r="186" spans="1:18" ht="14.25" customHeight="1">
      <c r="A186" s="14"/>
      <c r="B186" s="58"/>
      <c r="C186" s="58"/>
      <c r="D186" s="7"/>
      <c r="E186" s="7"/>
    </row>
    <row r="187" spans="1:18" ht="14.25" customHeight="1">
      <c r="A187" s="14"/>
      <c r="B187" s="58"/>
      <c r="C187" s="58"/>
      <c r="D187" s="7"/>
      <c r="E187" s="7"/>
    </row>
    <row r="188" spans="1:18" ht="14.25" customHeight="1">
      <c r="A188" s="14"/>
      <c r="B188" s="58"/>
      <c r="C188" s="58"/>
      <c r="D188" s="7"/>
      <c r="E188" s="7"/>
    </row>
    <row r="189" spans="1:18" ht="14.25" customHeight="1">
      <c r="A189" s="14"/>
      <c r="B189" s="58"/>
      <c r="C189" s="58"/>
      <c r="D189" s="7"/>
      <c r="E189" s="7"/>
    </row>
    <row r="190" spans="1:18" ht="14.25" customHeight="1">
      <c r="A190" s="14"/>
      <c r="B190" s="58"/>
      <c r="C190" s="58"/>
      <c r="D190" s="7"/>
      <c r="E190" s="7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</row>
    <row r="191" spans="1:18" ht="14.25" customHeight="1">
      <c r="A191" s="14"/>
      <c r="B191" s="58"/>
      <c r="C191" s="58"/>
      <c r="D191" s="7"/>
      <c r="E191" s="7"/>
    </row>
    <row r="192" spans="1:18" ht="14.25" customHeight="1">
      <c r="A192" s="14"/>
      <c r="B192" s="58"/>
      <c r="C192" s="58"/>
      <c r="D192" s="7"/>
      <c r="E192" s="7"/>
    </row>
    <row r="193" spans="1:5" ht="14.25" customHeight="1">
      <c r="A193" s="14"/>
      <c r="B193" s="58"/>
      <c r="C193" s="58"/>
      <c r="D193" s="7"/>
      <c r="E193" s="7"/>
    </row>
    <row r="194" spans="1:5" ht="14.25" customHeight="1">
      <c r="A194" s="14"/>
      <c r="B194" s="58"/>
      <c r="C194" s="58"/>
      <c r="D194" s="7"/>
      <c r="E194" s="7"/>
    </row>
    <row r="195" spans="1:5" ht="14.25" customHeight="1">
      <c r="A195" s="14"/>
      <c r="B195" s="58"/>
      <c r="C195" s="58"/>
      <c r="D195" s="7"/>
      <c r="E195" s="7"/>
    </row>
    <row r="196" spans="1:5" ht="14.25" customHeight="1">
      <c r="A196" s="14"/>
      <c r="B196" s="58"/>
      <c r="C196" s="58"/>
      <c r="D196" s="7"/>
      <c r="E196" s="7"/>
    </row>
    <row r="197" spans="1:5" ht="14.25" customHeight="1">
      <c r="A197" s="14"/>
      <c r="B197" s="58"/>
      <c r="C197" s="58"/>
      <c r="D197" s="7"/>
      <c r="E197" s="7"/>
    </row>
    <row r="198" spans="1:5" ht="14.25" customHeight="1">
      <c r="A198" s="14"/>
      <c r="B198" s="58"/>
      <c r="C198" s="58"/>
      <c r="D198" s="7"/>
      <c r="E198" s="7"/>
    </row>
    <row r="199" spans="1:5" ht="14.25" customHeight="1">
      <c r="A199" s="14"/>
      <c r="B199" s="58"/>
      <c r="C199" s="58"/>
      <c r="D199" s="7"/>
      <c r="E199" s="7"/>
    </row>
    <row r="200" spans="1:5" ht="14.25" customHeight="1">
      <c r="A200" s="14"/>
      <c r="B200" s="58"/>
      <c r="C200" s="58"/>
      <c r="D200" s="7"/>
      <c r="E200" s="7"/>
    </row>
    <row r="201" spans="1:5" ht="14.25" customHeight="1">
      <c r="A201" s="14"/>
      <c r="B201" s="58"/>
      <c r="C201" s="58"/>
      <c r="D201" s="7"/>
      <c r="E201" s="7"/>
    </row>
    <row r="202" spans="1:5" ht="14.25" customHeight="1">
      <c r="A202" s="14"/>
      <c r="B202" s="58"/>
      <c r="C202" s="58"/>
      <c r="D202" s="7"/>
      <c r="E202" s="7"/>
    </row>
    <row r="203" spans="1:5" ht="14.25" customHeight="1">
      <c r="A203" s="14"/>
      <c r="B203" s="58"/>
      <c r="C203" s="58"/>
      <c r="D203" s="7"/>
      <c r="E203" s="7"/>
    </row>
    <row r="204" spans="1:5" ht="14.25" customHeight="1">
      <c r="A204" s="14"/>
      <c r="B204" s="58"/>
      <c r="C204" s="58"/>
      <c r="D204" s="7"/>
      <c r="E204" s="7"/>
    </row>
    <row r="205" spans="1:5" ht="14.25" customHeight="1">
      <c r="A205" s="14"/>
      <c r="B205" s="58"/>
      <c r="C205" s="58"/>
      <c r="D205" s="7"/>
      <c r="E205" s="7"/>
    </row>
    <row r="206" spans="1:5" ht="14.25" customHeight="1">
      <c r="A206" s="14"/>
      <c r="B206" s="58"/>
      <c r="C206" s="58"/>
      <c r="D206" s="7"/>
      <c r="E206" s="7"/>
    </row>
    <row r="207" spans="1:5" ht="14.25" customHeight="1">
      <c r="A207" s="14"/>
      <c r="B207" s="58"/>
      <c r="C207" s="58"/>
      <c r="D207" s="7"/>
      <c r="E207" s="7"/>
    </row>
    <row r="208" spans="1:5" ht="14.25" customHeight="1">
      <c r="A208" s="14"/>
      <c r="B208" s="58"/>
      <c r="C208" s="58"/>
      <c r="D208" s="7"/>
      <c r="E208" s="7"/>
    </row>
    <row r="209" spans="1:5" ht="14.25" customHeight="1">
      <c r="A209" s="14"/>
      <c r="B209" s="58"/>
      <c r="C209" s="58"/>
      <c r="D209" s="7"/>
      <c r="E209" s="7"/>
    </row>
    <row r="210" spans="1:5" ht="14.25" customHeight="1">
      <c r="A210" s="14"/>
      <c r="B210" s="58"/>
      <c r="C210" s="58"/>
      <c r="D210" s="7"/>
      <c r="E210" s="7"/>
    </row>
    <row r="211" spans="1:5" ht="14.25" customHeight="1">
      <c r="A211" s="14"/>
      <c r="B211" s="58"/>
      <c r="C211" s="58"/>
      <c r="D211" s="7"/>
      <c r="E211" s="7"/>
    </row>
    <row r="212" spans="1:5" ht="14.25" customHeight="1">
      <c r="A212" s="14"/>
      <c r="B212" s="58"/>
      <c r="C212" s="58"/>
      <c r="D212" s="7"/>
      <c r="E212" s="7"/>
    </row>
    <row r="213" spans="1:5" ht="14.25" customHeight="1">
      <c r="A213" s="14"/>
      <c r="B213" s="58"/>
      <c r="C213" s="58"/>
      <c r="D213" s="7"/>
      <c r="E213" s="7"/>
    </row>
    <row r="214" spans="1:5" ht="14.25" customHeight="1">
      <c r="A214" s="14"/>
      <c r="B214" s="58"/>
      <c r="C214" s="58"/>
      <c r="D214" s="7"/>
      <c r="E214" s="7"/>
    </row>
    <row r="215" spans="1:5" ht="14.25" customHeight="1">
      <c r="A215" s="68"/>
      <c r="B215" s="58"/>
      <c r="C215" s="58"/>
      <c r="D215" s="7"/>
      <c r="E215" s="7"/>
    </row>
    <row r="216" spans="1:5" ht="14.25" customHeight="1">
      <c r="A216" s="14"/>
      <c r="B216" s="58"/>
      <c r="C216" s="58"/>
      <c r="D216" s="7"/>
      <c r="E216" s="7"/>
    </row>
    <row r="217" spans="1:5" ht="14.25" customHeight="1">
      <c r="A217" s="14"/>
      <c r="B217" s="58"/>
      <c r="C217" s="58"/>
      <c r="D217" s="7"/>
      <c r="E217" s="7"/>
    </row>
    <row r="218" spans="1:5" ht="14.25" customHeight="1">
      <c r="A218" s="14"/>
      <c r="B218" s="58"/>
      <c r="C218" s="58"/>
      <c r="D218" s="7"/>
      <c r="E218" s="7"/>
    </row>
    <row r="219" spans="1:5" ht="14.25" customHeight="1">
      <c r="A219" s="18"/>
      <c r="B219" s="58"/>
      <c r="C219" s="58"/>
      <c r="D219" s="7"/>
      <c r="E219" s="7"/>
    </row>
    <row r="220" spans="1:5" ht="14.25" customHeight="1">
      <c r="A220" s="18"/>
      <c r="B220" s="58"/>
      <c r="C220" s="58"/>
      <c r="D220" s="7"/>
      <c r="E220" s="7"/>
    </row>
    <row r="221" spans="1:5" ht="14.25" customHeight="1">
      <c r="A221" s="18"/>
      <c r="B221" s="58"/>
      <c r="C221" s="58"/>
      <c r="D221" s="7"/>
      <c r="E221" s="7"/>
    </row>
    <row r="222" spans="1:5" ht="14.25" customHeight="1">
      <c r="A222" s="18"/>
      <c r="B222" s="58"/>
      <c r="C222" s="58"/>
      <c r="D222" s="7"/>
      <c r="E222" s="7"/>
    </row>
    <row r="223" spans="1:5" ht="14.25" customHeight="1">
      <c r="A223" s="18"/>
      <c r="B223" s="58"/>
      <c r="C223" s="58"/>
      <c r="D223" s="7"/>
      <c r="E223" s="7"/>
    </row>
    <row r="224" spans="1:5" ht="14.25" customHeight="1">
      <c r="A224" s="18"/>
      <c r="B224" s="58"/>
      <c r="C224" s="58"/>
      <c r="D224" s="7"/>
      <c r="E224" s="7"/>
    </row>
    <row r="225" spans="1:5" ht="14.25" customHeight="1">
      <c r="A225" s="18"/>
      <c r="B225" s="58"/>
      <c r="C225" s="58"/>
      <c r="D225" s="7"/>
      <c r="E225" s="7"/>
    </row>
    <row r="226" spans="1:5" ht="14.25" customHeight="1">
      <c r="A226" s="18"/>
      <c r="B226" s="58"/>
      <c r="C226" s="58"/>
      <c r="D226" s="7"/>
      <c r="E226" s="7"/>
    </row>
    <row r="227" spans="1:5" ht="14.25" customHeight="1">
      <c r="A227" s="18"/>
      <c r="B227" s="58"/>
      <c r="C227" s="58"/>
      <c r="D227" s="7"/>
      <c r="E227" s="7"/>
    </row>
    <row r="228" spans="1:5" ht="14.25" customHeight="1">
      <c r="A228" s="18"/>
      <c r="B228" s="58"/>
      <c r="C228" s="58"/>
      <c r="D228" s="7"/>
      <c r="E228" s="7"/>
    </row>
    <row r="229" spans="1:5" ht="14.25" customHeight="1">
      <c r="A229" s="18"/>
      <c r="B229" s="58"/>
      <c r="C229" s="58"/>
      <c r="D229" s="7"/>
      <c r="E229" s="7"/>
    </row>
    <row r="230" spans="1:5" ht="14.25" customHeight="1">
      <c r="A230" s="18"/>
      <c r="B230" s="58"/>
      <c r="C230" s="58"/>
      <c r="D230" s="7"/>
      <c r="E230" s="7"/>
    </row>
    <row r="231" spans="1:5" ht="14.25" customHeight="1">
      <c r="A231" s="18"/>
      <c r="B231" s="58"/>
      <c r="C231" s="58"/>
      <c r="D231" s="7"/>
      <c r="E231" s="7"/>
    </row>
    <row r="232" spans="1:5" ht="14.25" customHeight="1">
      <c r="A232" s="68"/>
      <c r="B232" s="58"/>
      <c r="C232" s="58"/>
      <c r="D232" s="7"/>
      <c r="E232" s="7"/>
    </row>
    <row r="233" spans="1:5" ht="14.25" customHeight="1">
      <c r="A233" s="18"/>
      <c r="B233" s="58"/>
      <c r="C233" s="58"/>
      <c r="D233" s="7"/>
      <c r="E233" s="7"/>
    </row>
    <row r="234" spans="1:5" ht="14.25" customHeight="1">
      <c r="A234" s="18"/>
      <c r="B234" s="58"/>
      <c r="C234" s="58"/>
      <c r="D234" s="7"/>
      <c r="E234" s="7"/>
    </row>
    <row r="235" spans="1:5" ht="14.25" customHeight="1">
      <c r="A235" s="18"/>
      <c r="B235" s="58"/>
      <c r="C235" s="58"/>
      <c r="D235" s="7"/>
      <c r="E235" s="7"/>
    </row>
    <row r="236" spans="1:5" ht="14.25" customHeight="1">
      <c r="A236" s="18"/>
      <c r="B236" s="58"/>
      <c r="C236" s="58"/>
      <c r="D236" s="7"/>
      <c r="E236" s="7"/>
    </row>
    <row r="237" spans="1:5" ht="14.25" customHeight="1">
      <c r="A237" s="18"/>
      <c r="B237" s="58"/>
      <c r="C237" s="58"/>
      <c r="D237" s="7"/>
      <c r="E237" s="7"/>
    </row>
    <row r="238" spans="1:5" ht="14.25" customHeight="1">
      <c r="A238" s="18"/>
      <c r="B238" s="58"/>
      <c r="C238" s="58"/>
      <c r="D238" s="7"/>
      <c r="E238" s="7"/>
    </row>
    <row r="239" spans="1:5" ht="14.25" customHeight="1">
      <c r="A239" s="18"/>
      <c r="B239" s="58"/>
      <c r="C239" s="58"/>
      <c r="D239" s="7"/>
      <c r="E239" s="7"/>
    </row>
    <row r="240" spans="1:5" ht="14.25" customHeight="1">
      <c r="A240" s="18"/>
      <c r="B240" s="58"/>
      <c r="C240" s="58"/>
      <c r="D240" s="7"/>
      <c r="E240" s="7"/>
    </row>
    <row r="241" spans="1:5" ht="14.25" customHeight="1">
      <c r="A241" s="18"/>
      <c r="B241" s="58"/>
      <c r="C241" s="58"/>
      <c r="D241" s="7"/>
      <c r="E241" s="7"/>
    </row>
    <row r="242" spans="1:5" ht="14.25" customHeight="1">
      <c r="A242" s="18"/>
      <c r="B242" s="58"/>
      <c r="C242" s="58"/>
      <c r="D242" s="7"/>
      <c r="E242" s="7"/>
    </row>
    <row r="243" spans="1:5" ht="14.25" customHeight="1">
      <c r="A243" s="14"/>
      <c r="B243" s="58"/>
      <c r="C243" s="58"/>
      <c r="D243" s="7"/>
      <c r="E243" s="7"/>
    </row>
    <row r="244" spans="1:5" ht="14.25" customHeight="1">
      <c r="A244" s="14"/>
      <c r="B244" s="58"/>
      <c r="C244" s="58"/>
      <c r="D244" s="7"/>
      <c r="E244" s="7"/>
    </row>
    <row r="245" spans="1:5" ht="14.25" customHeight="1">
      <c r="A245" s="14"/>
      <c r="B245" s="76"/>
      <c r="C245" s="76"/>
      <c r="D245" s="7"/>
      <c r="E245" s="7"/>
    </row>
    <row r="246" spans="1:5" ht="14.25" customHeight="1">
      <c r="A246" s="14"/>
      <c r="B246" s="76"/>
      <c r="C246" s="76"/>
      <c r="D246" s="7"/>
      <c r="E246" s="7"/>
    </row>
    <row r="247" spans="1:5" ht="14.25" customHeight="1">
      <c r="A247" s="14"/>
      <c r="B247" s="76"/>
      <c r="C247" s="76"/>
      <c r="D247" s="7"/>
      <c r="E247" s="7"/>
    </row>
    <row r="248" spans="1:5" ht="14.25" customHeight="1">
      <c r="A248" s="14"/>
      <c r="B248" s="76"/>
      <c r="C248" s="76"/>
      <c r="D248" s="7"/>
      <c r="E248" s="7"/>
    </row>
    <row r="249" spans="1:5" ht="14.25" customHeight="1">
      <c r="A249" s="14"/>
      <c r="B249" s="76"/>
      <c r="C249" s="76"/>
      <c r="D249" s="7"/>
      <c r="E249" s="7"/>
    </row>
    <row r="250" spans="1:5" ht="14.25" customHeight="1">
      <c r="A250" s="14"/>
      <c r="B250" s="76"/>
      <c r="C250" s="76"/>
      <c r="D250" s="7"/>
      <c r="E250" s="7"/>
    </row>
    <row r="251" spans="1:5" ht="14.25" customHeight="1">
      <c r="A251" s="14"/>
      <c r="B251" s="76"/>
      <c r="C251" s="76"/>
      <c r="D251" s="7"/>
      <c r="E251" s="7"/>
    </row>
    <row r="252" spans="1:5" ht="14.25" customHeight="1">
      <c r="A252" s="14"/>
      <c r="B252" s="76"/>
      <c r="C252" s="76"/>
      <c r="D252" s="7"/>
      <c r="E252" s="7"/>
    </row>
    <row r="253" spans="1:5" ht="14.25" customHeight="1">
      <c r="A253" s="14"/>
      <c r="B253" s="76"/>
      <c r="C253" s="76"/>
      <c r="D253" s="7"/>
      <c r="E253" s="7"/>
    </row>
    <row r="254" spans="1:5" ht="14.25" customHeight="1">
      <c r="A254" s="14"/>
      <c r="B254" s="76"/>
      <c r="C254" s="76"/>
      <c r="D254" s="7"/>
      <c r="E254" s="7"/>
    </row>
    <row r="255" spans="1:5" ht="14.25" customHeight="1">
      <c r="A255" s="14"/>
      <c r="B255" s="76"/>
      <c r="C255" s="76"/>
      <c r="D255" s="7"/>
      <c r="E255" s="7"/>
    </row>
    <row r="256" spans="1:5" ht="14.25" customHeight="1">
      <c r="A256" s="14"/>
      <c r="B256" s="76"/>
      <c r="C256" s="76"/>
      <c r="D256" s="7"/>
      <c r="E256" s="7"/>
    </row>
    <row r="257" spans="1:5" ht="14.25" customHeight="1">
      <c r="A257" s="14"/>
      <c r="B257" s="76"/>
      <c r="C257" s="76"/>
      <c r="D257" s="7"/>
      <c r="E257" s="7"/>
    </row>
    <row r="258" spans="1:5" ht="14.25" customHeight="1">
      <c r="A258" s="14"/>
      <c r="B258" s="76"/>
      <c r="C258" s="76"/>
      <c r="D258" s="7"/>
      <c r="E258" s="7"/>
    </row>
    <row r="259" spans="1:5" ht="14.25" customHeight="1">
      <c r="A259" s="14"/>
      <c r="B259" s="76"/>
      <c r="C259" s="76"/>
      <c r="D259" s="7"/>
      <c r="E259" s="7"/>
    </row>
    <row r="260" spans="1:5" ht="14.25" customHeight="1">
      <c r="A260" s="14"/>
      <c r="B260" s="76"/>
      <c r="C260" s="76"/>
      <c r="D260" s="7"/>
      <c r="E260" s="7"/>
    </row>
    <row r="261" spans="1:5" ht="14.25" customHeight="1">
      <c r="A261" s="14"/>
      <c r="B261" s="76"/>
      <c r="C261" s="76"/>
      <c r="D261" s="7"/>
      <c r="E261" s="7"/>
    </row>
    <row r="262" spans="1:5" ht="14.25" customHeight="1">
      <c r="A262" s="14"/>
      <c r="B262" s="76"/>
      <c r="C262" s="76"/>
      <c r="D262" s="7"/>
      <c r="E262" s="7"/>
    </row>
    <row r="263" spans="1:5" ht="14.25" customHeight="1">
      <c r="A263" s="14"/>
      <c r="B263" s="76"/>
      <c r="C263" s="76"/>
      <c r="D263" s="7"/>
      <c r="E263" s="7"/>
    </row>
    <row r="264" spans="1:5" ht="14.25" customHeight="1">
      <c r="A264" s="14"/>
      <c r="B264" s="76"/>
      <c r="C264" s="76"/>
      <c r="D264" s="7"/>
      <c r="E264" s="7"/>
    </row>
    <row r="265" spans="1:5" ht="14.25" customHeight="1">
      <c r="A265" s="14"/>
      <c r="B265" s="76"/>
      <c r="C265" s="76"/>
      <c r="D265" s="7"/>
      <c r="E265" s="7"/>
    </row>
    <row r="266" spans="1:5" ht="14.25" customHeight="1">
      <c r="A266" s="14"/>
      <c r="B266" s="76"/>
      <c r="C266" s="76"/>
      <c r="D266" s="7"/>
      <c r="E266" s="7"/>
    </row>
    <row r="267" spans="1:5" ht="14.25" customHeight="1">
      <c r="A267" s="14"/>
      <c r="B267" s="76"/>
      <c r="C267" s="76"/>
      <c r="D267" s="7"/>
      <c r="E267" s="7"/>
    </row>
    <row r="268" spans="1:5" ht="14.25" customHeight="1">
      <c r="A268" s="14"/>
      <c r="B268" s="76"/>
      <c r="C268" s="76"/>
      <c r="D268" s="7"/>
      <c r="E268" s="7"/>
    </row>
    <row r="269" spans="1:5" ht="14.25" customHeight="1">
      <c r="A269" s="14"/>
      <c r="B269" s="76"/>
      <c r="C269" s="76"/>
      <c r="D269" s="7"/>
      <c r="E269" s="7"/>
    </row>
    <row r="270" spans="1:5" ht="14.25" customHeight="1">
      <c r="A270" s="14"/>
      <c r="B270" s="76"/>
      <c r="C270" s="76"/>
      <c r="D270" s="7"/>
      <c r="E270" s="7"/>
    </row>
    <row r="271" spans="1:5" ht="14.25" customHeight="1">
      <c r="A271" s="14"/>
      <c r="B271" s="76"/>
      <c r="C271" s="76"/>
      <c r="D271" s="7"/>
      <c r="E271" s="7"/>
    </row>
    <row r="272" spans="1:5" ht="14.25" customHeight="1">
      <c r="A272" s="14"/>
      <c r="B272" s="76"/>
      <c r="C272" s="76"/>
      <c r="D272" s="7"/>
      <c r="E272" s="7"/>
    </row>
    <row r="273" spans="1:5" ht="14.25" customHeight="1">
      <c r="A273" s="14"/>
      <c r="B273" s="76"/>
      <c r="C273" s="76"/>
      <c r="D273" s="7"/>
      <c r="E273" s="7"/>
    </row>
    <row r="274" spans="1:5" ht="14.25" customHeight="1">
      <c r="A274" s="14"/>
      <c r="B274" s="76"/>
      <c r="C274" s="76"/>
      <c r="D274" s="7"/>
      <c r="E274" s="7"/>
    </row>
    <row r="275" spans="1:5" ht="14.25" customHeight="1">
      <c r="A275" s="14"/>
      <c r="B275" s="76"/>
      <c r="C275" s="76"/>
      <c r="D275" s="7"/>
      <c r="E275" s="7"/>
    </row>
    <row r="276" spans="1:5" ht="14.25" customHeight="1">
      <c r="A276" s="14"/>
      <c r="B276" s="76"/>
      <c r="C276" s="76"/>
      <c r="D276" s="7"/>
      <c r="E276" s="7"/>
    </row>
    <row r="277" spans="1:5" ht="14.25" customHeight="1">
      <c r="A277" s="14"/>
      <c r="B277" s="76"/>
      <c r="C277" s="76"/>
      <c r="D277" s="7"/>
      <c r="E277" s="7"/>
    </row>
    <row r="278" spans="1:5" ht="14.25" customHeight="1">
      <c r="A278" s="14"/>
      <c r="B278" s="76"/>
      <c r="C278" s="76"/>
      <c r="D278" s="7"/>
      <c r="E278" s="7"/>
    </row>
    <row r="279" spans="1:5" ht="14.25" customHeight="1">
      <c r="A279" s="14"/>
      <c r="B279" s="76"/>
      <c r="C279" s="76"/>
      <c r="D279" s="7"/>
      <c r="E279" s="7"/>
    </row>
    <row r="280" spans="1:5" ht="14.25" customHeight="1">
      <c r="A280" s="14"/>
      <c r="B280" s="76"/>
      <c r="C280" s="76"/>
      <c r="D280" s="7"/>
      <c r="E280" s="7"/>
    </row>
    <row r="281" spans="1:5" ht="14.25" customHeight="1">
      <c r="A281" s="14"/>
      <c r="B281" s="76"/>
      <c r="C281" s="76"/>
      <c r="D281" s="7"/>
      <c r="E281" s="7"/>
    </row>
    <row r="282" spans="1:5" ht="14.25" customHeight="1">
      <c r="A282" s="14"/>
      <c r="B282" s="76"/>
      <c r="C282" s="76"/>
      <c r="D282" s="7"/>
      <c r="E282" s="7"/>
    </row>
    <row r="283" spans="1:5" ht="14.25" customHeight="1">
      <c r="A283" s="14"/>
      <c r="B283" s="76"/>
      <c r="C283" s="76"/>
      <c r="D283" s="7"/>
      <c r="E283" s="7"/>
    </row>
    <row r="284" spans="1:5" ht="14.25" customHeight="1">
      <c r="A284" s="14"/>
      <c r="B284" s="77"/>
      <c r="C284" s="76"/>
      <c r="D284" s="7"/>
      <c r="E284" s="7"/>
    </row>
    <row r="285" spans="1:5" ht="14.25" customHeight="1">
      <c r="A285" s="14"/>
      <c r="B285" s="76"/>
      <c r="C285" s="76"/>
      <c r="D285" s="7"/>
      <c r="E285" s="7"/>
    </row>
    <row r="286" spans="1:5" ht="14.25" customHeight="1">
      <c r="A286" s="14"/>
      <c r="B286" s="76"/>
      <c r="C286" s="76"/>
      <c r="D286" s="7"/>
      <c r="E286" s="7"/>
    </row>
    <row r="287" spans="1:5" ht="14.25" customHeight="1">
      <c r="A287" s="14"/>
      <c r="B287" s="76"/>
      <c r="C287" s="76"/>
      <c r="D287" s="7"/>
      <c r="E287" s="7"/>
    </row>
    <row r="288" spans="1:5" ht="14.25" customHeight="1">
      <c r="A288" s="14"/>
      <c r="B288" s="76"/>
      <c r="C288" s="76"/>
      <c r="D288" s="7"/>
      <c r="E288" s="7"/>
    </row>
    <row r="289" spans="1:5" ht="14.25" customHeight="1">
      <c r="A289" s="14"/>
      <c r="B289" s="76"/>
      <c r="C289" s="76"/>
      <c r="D289" s="7"/>
      <c r="E289" s="7"/>
    </row>
    <row r="290" spans="1:5" ht="14.25" customHeight="1">
      <c r="A290" s="14"/>
      <c r="B290" s="76"/>
      <c r="C290" s="76"/>
      <c r="D290" s="7"/>
      <c r="E290" s="7"/>
    </row>
    <row r="291" spans="1:5" ht="14.25" customHeight="1">
      <c r="A291" s="14"/>
      <c r="B291" s="76"/>
      <c r="C291" s="76"/>
      <c r="D291" s="7"/>
      <c r="E291" s="7"/>
    </row>
    <row r="292" spans="1:5" ht="14.25" customHeight="1">
      <c r="A292" s="14"/>
      <c r="B292" s="76"/>
      <c r="C292" s="76"/>
      <c r="D292" s="7"/>
      <c r="E292" s="7"/>
    </row>
    <row r="293" spans="1:5" ht="14.25" customHeight="1">
      <c r="A293" s="14"/>
      <c r="B293" s="76"/>
      <c r="C293" s="76"/>
      <c r="D293" s="7"/>
      <c r="E293" s="7"/>
    </row>
    <row r="294" spans="1:5" ht="14.25" customHeight="1">
      <c r="A294" s="14"/>
      <c r="B294" s="76"/>
      <c r="C294" s="76"/>
      <c r="D294" s="7"/>
      <c r="E294" s="7"/>
    </row>
    <row r="295" spans="1:5" ht="14.25" customHeight="1">
      <c r="A295" s="14"/>
      <c r="B295" s="76"/>
      <c r="C295" s="76"/>
      <c r="D295" s="7"/>
      <c r="E295" s="7"/>
    </row>
    <row r="296" spans="1:5" ht="14.25" customHeight="1">
      <c r="A296" s="14"/>
      <c r="B296" s="76"/>
      <c r="C296" s="76"/>
      <c r="D296" s="7"/>
      <c r="E296" s="7"/>
    </row>
    <row r="297" spans="1:5" ht="14.25" customHeight="1">
      <c r="A297" s="14"/>
      <c r="B297" s="76"/>
      <c r="C297" s="76"/>
      <c r="D297" s="7"/>
      <c r="E297" s="7"/>
    </row>
    <row r="298" spans="1:5" ht="14.25" customHeight="1">
      <c r="A298" s="14"/>
      <c r="B298" s="76"/>
      <c r="C298" s="76"/>
      <c r="D298" s="7"/>
      <c r="E298" s="7"/>
    </row>
    <row r="299" spans="1:5" ht="14.25" customHeight="1">
      <c r="A299" s="14"/>
      <c r="B299" s="77"/>
      <c r="C299" s="76"/>
      <c r="D299" s="7"/>
      <c r="E299" s="7"/>
    </row>
    <row r="300" spans="1:5" ht="14.25" customHeight="1">
      <c r="A300" s="14"/>
      <c r="B300" s="76"/>
      <c r="C300" s="76"/>
      <c r="D300" s="7"/>
      <c r="E300" s="7"/>
    </row>
    <row r="301" spans="1:5" ht="14.25" customHeight="1">
      <c r="A301" s="14"/>
      <c r="B301" s="76"/>
      <c r="C301" s="76"/>
      <c r="D301" s="7"/>
      <c r="E301" s="7"/>
    </row>
    <row r="302" spans="1:5" ht="14.25" customHeight="1">
      <c r="A302" s="14"/>
      <c r="B302" s="76"/>
      <c r="C302" s="76"/>
      <c r="D302" s="7"/>
      <c r="E302" s="7"/>
    </row>
    <row r="303" spans="1:5" ht="14.25" customHeight="1">
      <c r="A303" s="14"/>
      <c r="B303" s="76"/>
      <c r="C303" s="76"/>
      <c r="D303" s="7"/>
      <c r="E303" s="7"/>
    </row>
    <row r="304" spans="1:5" ht="14.25" customHeight="1">
      <c r="A304" s="14"/>
      <c r="B304" s="76"/>
      <c r="C304" s="76"/>
      <c r="D304" s="7"/>
      <c r="E304" s="7"/>
    </row>
    <row r="305" spans="1:5" ht="14.25" customHeight="1">
      <c r="A305" s="14"/>
      <c r="B305" s="76"/>
      <c r="C305" s="76"/>
      <c r="D305" s="7"/>
      <c r="E305" s="7"/>
    </row>
    <row r="306" spans="1:5" ht="14.25" customHeight="1">
      <c r="A306" s="14"/>
      <c r="B306" s="79"/>
      <c r="C306" s="76"/>
      <c r="D306" s="7"/>
      <c r="E306" s="7"/>
    </row>
    <row r="307" spans="1:5" ht="14.25" customHeight="1">
      <c r="A307" s="14"/>
      <c r="B307" s="69"/>
      <c r="C307" s="76"/>
      <c r="D307" s="7"/>
      <c r="E307" s="7"/>
    </row>
    <row r="308" spans="1:5" ht="14.25" customHeight="1">
      <c r="A308" s="14"/>
      <c r="B308" s="76"/>
      <c r="C308" s="76"/>
      <c r="D308" s="7"/>
      <c r="E308" s="7"/>
    </row>
    <row r="309" spans="1:5" ht="14.25" customHeight="1">
      <c r="A309" s="14"/>
      <c r="B309" s="14"/>
      <c r="C309" s="76"/>
      <c r="D309" s="7"/>
      <c r="E309" s="7"/>
    </row>
    <row r="310" spans="1:5" ht="14.25" customHeight="1">
      <c r="A310" s="14"/>
      <c r="B310" s="76"/>
      <c r="C310" s="76"/>
      <c r="D310" s="7"/>
      <c r="E310" s="7"/>
    </row>
    <row r="311" spans="1:5" ht="14.25" customHeight="1">
      <c r="A311" s="14"/>
      <c r="B311" s="76"/>
      <c r="C311" s="76"/>
      <c r="D311" s="7"/>
      <c r="E311" s="7"/>
    </row>
    <row r="312" spans="1:5" ht="14.25" customHeight="1">
      <c r="A312" s="14"/>
      <c r="B312" s="76"/>
      <c r="C312" s="76"/>
      <c r="D312" s="7"/>
      <c r="E312" s="7"/>
    </row>
    <row r="313" spans="1:5" ht="14.25" customHeight="1">
      <c r="A313" s="14"/>
      <c r="B313" s="76"/>
      <c r="C313" s="76"/>
      <c r="D313" s="7"/>
      <c r="E313" s="7"/>
    </row>
    <row r="314" spans="1:5" ht="14.25" customHeight="1">
      <c r="A314" s="14"/>
      <c r="B314" s="76"/>
      <c r="C314" s="76"/>
      <c r="D314" s="7"/>
      <c r="E314" s="7"/>
    </row>
    <row r="315" spans="1:5" ht="14.25" customHeight="1">
      <c r="A315" s="14"/>
      <c r="B315" s="76"/>
      <c r="C315" s="76"/>
      <c r="D315" s="7"/>
      <c r="E315" s="7"/>
    </row>
    <row r="316" spans="1:5" ht="14.25" customHeight="1">
      <c r="A316" s="14"/>
      <c r="B316" s="76"/>
      <c r="C316" s="76"/>
      <c r="D316" s="7"/>
      <c r="E316" s="7"/>
    </row>
    <row r="317" spans="1:5" ht="14.25" customHeight="1">
      <c r="A317" s="14"/>
      <c r="B317" s="76"/>
      <c r="C317" s="76"/>
      <c r="D317" s="7"/>
      <c r="E317" s="7"/>
    </row>
    <row r="318" spans="1:5" ht="14.25" customHeight="1">
      <c r="A318" s="14"/>
      <c r="B318" s="77"/>
      <c r="C318" s="76"/>
      <c r="D318" s="7"/>
      <c r="E318" s="7"/>
    </row>
    <row r="319" spans="1:5" ht="14.25" customHeight="1">
      <c r="A319" s="14"/>
      <c r="B319" s="77"/>
      <c r="C319" s="76"/>
      <c r="D319" s="7"/>
      <c r="E319" s="7"/>
    </row>
    <row r="320" spans="1:5" ht="14.25" customHeight="1">
      <c r="A320" s="14"/>
      <c r="B320" s="69"/>
      <c r="C320" s="76"/>
      <c r="D320" s="7"/>
      <c r="E320" s="7"/>
    </row>
    <row r="321" spans="1:5" ht="14.25" customHeight="1">
      <c r="A321" s="14"/>
      <c r="B321" s="69"/>
      <c r="C321" s="76"/>
      <c r="D321" s="7"/>
      <c r="E321" s="7"/>
    </row>
    <row r="322" spans="1:5" ht="14.25" customHeight="1">
      <c r="A322" s="14"/>
      <c r="B322" s="69"/>
      <c r="C322" s="76"/>
      <c r="D322" s="7"/>
      <c r="E322" s="7"/>
    </row>
    <row r="323" spans="1:5" ht="14.25" customHeight="1">
      <c r="A323" s="14"/>
      <c r="B323" s="77"/>
      <c r="C323" s="76"/>
      <c r="D323" s="7"/>
      <c r="E323" s="7"/>
    </row>
    <row r="324" spans="1:5" ht="14.25" customHeight="1">
      <c r="A324" s="14"/>
      <c r="B324" s="77"/>
      <c r="C324" s="76"/>
      <c r="D324" s="7"/>
      <c r="E324" s="7"/>
    </row>
    <row r="325" spans="1:5" ht="14.25" customHeight="1">
      <c r="A325" s="14"/>
      <c r="B325" s="77"/>
      <c r="C325" s="76"/>
      <c r="D325" s="7"/>
      <c r="E325" s="7"/>
    </row>
    <row r="326" spans="1:5" ht="14.25" customHeight="1">
      <c r="A326" s="14"/>
      <c r="B326" s="69"/>
      <c r="C326" s="76"/>
      <c r="D326" s="7"/>
      <c r="E326" s="7"/>
    </row>
    <row r="327" spans="1:5" ht="14.25" customHeight="1">
      <c r="A327" s="14"/>
      <c r="B327" s="69"/>
      <c r="C327" s="76"/>
      <c r="D327" s="7"/>
      <c r="E327" s="7"/>
    </row>
    <row r="328" spans="1:5" ht="14.25" customHeight="1">
      <c r="A328" s="14"/>
      <c r="B328" s="69"/>
      <c r="C328" s="76"/>
      <c r="D328" s="7"/>
      <c r="E328" s="7"/>
    </row>
    <row r="329" spans="1:5" ht="14.25" customHeight="1">
      <c r="A329" s="14"/>
      <c r="B329" s="69"/>
      <c r="C329" s="76"/>
      <c r="D329" s="7"/>
      <c r="E329" s="7"/>
    </row>
    <row r="330" spans="1:5" ht="14.25" customHeight="1">
      <c r="A330" s="14"/>
      <c r="B330" s="69"/>
      <c r="C330" s="76"/>
      <c r="D330" s="7"/>
      <c r="E330" s="7"/>
    </row>
    <row r="331" spans="1:5" ht="14.25" customHeight="1">
      <c r="A331" s="14"/>
      <c r="B331" s="69"/>
      <c r="C331" s="76"/>
      <c r="D331" s="7"/>
      <c r="E331" s="7"/>
    </row>
    <row r="332" spans="1:5" ht="14.25" customHeight="1">
      <c r="A332" s="14"/>
      <c r="B332" s="69"/>
      <c r="C332" s="76"/>
      <c r="D332" s="7"/>
      <c r="E332" s="7"/>
    </row>
    <row r="333" spans="1:5" ht="14.25" customHeight="1">
      <c r="A333" s="14"/>
      <c r="B333" s="69"/>
      <c r="C333" s="76"/>
      <c r="D333" s="7"/>
      <c r="E333" s="7"/>
    </row>
    <row r="334" spans="1:5" ht="14.25" customHeight="1">
      <c r="A334" s="14"/>
      <c r="B334" s="69"/>
      <c r="C334" s="76"/>
      <c r="D334" s="7"/>
      <c r="E334" s="7"/>
    </row>
    <row r="335" spans="1:5" ht="14.25" customHeight="1">
      <c r="A335" s="14"/>
      <c r="B335" s="69"/>
      <c r="C335" s="76"/>
      <c r="D335" s="7"/>
      <c r="E335" s="7"/>
    </row>
    <row r="336" spans="1:5" ht="14.25" customHeight="1">
      <c r="A336" s="14"/>
      <c r="B336" s="69"/>
      <c r="C336" s="76"/>
      <c r="D336" s="7"/>
      <c r="E336" s="7"/>
    </row>
    <row r="337" spans="1:5" ht="14.25" customHeight="1">
      <c r="A337" s="14"/>
      <c r="B337" s="69"/>
      <c r="C337" s="76"/>
      <c r="D337" s="7"/>
      <c r="E337" s="7"/>
    </row>
    <row r="338" spans="1:5" ht="14.25" customHeight="1">
      <c r="A338" s="14"/>
      <c r="B338" s="69"/>
      <c r="C338" s="76"/>
      <c r="D338" s="7"/>
      <c r="E338" s="7"/>
    </row>
    <row r="339" spans="1:5" ht="14.25" customHeight="1">
      <c r="A339" s="14"/>
      <c r="B339" s="69"/>
      <c r="C339" s="76"/>
      <c r="D339" s="7"/>
      <c r="E339" s="7"/>
    </row>
    <row r="340" spans="1:5" ht="14.25" customHeight="1">
      <c r="A340" s="14"/>
      <c r="B340" s="69"/>
      <c r="C340" s="76"/>
      <c r="D340" s="7"/>
      <c r="E340" s="7"/>
    </row>
    <row r="341" spans="1:5" ht="14.25" customHeight="1">
      <c r="A341" s="14"/>
      <c r="B341" s="69"/>
      <c r="C341" s="76"/>
      <c r="D341" s="7"/>
      <c r="E341" s="7"/>
    </row>
    <row r="342" spans="1:5" ht="14.25" customHeight="1">
      <c r="A342" s="14"/>
      <c r="B342" s="69"/>
      <c r="C342" s="76"/>
      <c r="D342" s="7"/>
      <c r="E342" s="7"/>
    </row>
    <row r="343" spans="1:5" ht="14.25" customHeight="1">
      <c r="A343" s="14"/>
      <c r="B343" s="69"/>
      <c r="C343" s="76"/>
      <c r="D343" s="7"/>
      <c r="E343" s="7"/>
    </row>
    <row r="344" spans="1:5" ht="14.25" customHeight="1">
      <c r="A344" s="14"/>
      <c r="B344" s="69"/>
      <c r="C344" s="76"/>
      <c r="D344" s="7"/>
      <c r="E344" s="7"/>
    </row>
    <row r="345" spans="1:5" ht="14.25" customHeight="1">
      <c r="A345" s="14"/>
      <c r="B345" s="69"/>
      <c r="C345" s="76"/>
      <c r="D345" s="7"/>
      <c r="E345" s="7"/>
    </row>
    <row r="346" spans="1:5" ht="14.25" customHeight="1">
      <c r="A346" s="14"/>
      <c r="B346" s="69"/>
      <c r="C346" s="76"/>
      <c r="D346" s="7"/>
      <c r="E346" s="7"/>
    </row>
    <row r="347" spans="1:5" ht="14.25" customHeight="1">
      <c r="A347" s="14"/>
      <c r="B347" s="69"/>
      <c r="C347" s="76"/>
      <c r="D347" s="7"/>
      <c r="E347" s="7"/>
    </row>
    <row r="348" spans="1:5" ht="14.25" customHeight="1">
      <c r="A348" s="14"/>
      <c r="B348" s="69"/>
      <c r="C348" s="76"/>
      <c r="D348" s="7"/>
      <c r="E348" s="7"/>
    </row>
    <row r="349" spans="1:5" ht="14.25" customHeight="1">
      <c r="A349" s="14"/>
      <c r="B349" s="69"/>
      <c r="C349" s="76"/>
      <c r="D349" s="7"/>
      <c r="E349" s="7"/>
    </row>
    <row r="350" spans="1:5" ht="14.25" customHeight="1">
      <c r="A350" s="14"/>
      <c r="B350" s="69"/>
      <c r="C350" s="76"/>
      <c r="D350" s="7"/>
      <c r="E350" s="7"/>
    </row>
    <row r="351" spans="1:5" ht="14.25" customHeight="1">
      <c r="A351" s="14"/>
      <c r="B351" s="69"/>
      <c r="C351" s="76"/>
      <c r="D351" s="7"/>
      <c r="E351" s="7"/>
    </row>
    <row r="352" spans="1:5" ht="14.25" customHeight="1">
      <c r="A352" s="14"/>
      <c r="B352" s="69"/>
      <c r="C352" s="76"/>
      <c r="D352" s="7"/>
      <c r="E352" s="7"/>
    </row>
    <row r="353" spans="1:5" ht="14.25" customHeight="1">
      <c r="A353" s="14"/>
      <c r="B353" s="69"/>
      <c r="C353" s="76"/>
      <c r="D353" s="7"/>
      <c r="E353" s="7"/>
    </row>
    <row r="354" spans="1:5" ht="14.25" customHeight="1">
      <c r="A354" s="14"/>
      <c r="B354" s="69"/>
      <c r="C354" s="76"/>
      <c r="D354" s="7"/>
      <c r="E354" s="7"/>
    </row>
    <row r="355" spans="1:5" ht="14.25" customHeight="1">
      <c r="A355" s="14"/>
      <c r="B355" s="69"/>
      <c r="C355" s="76"/>
      <c r="D355" s="7"/>
      <c r="E355" s="7"/>
    </row>
    <row r="356" spans="1:5" ht="14.25" customHeight="1">
      <c r="A356" s="14"/>
      <c r="B356" s="69"/>
      <c r="C356" s="76"/>
      <c r="D356" s="7"/>
      <c r="E356" s="7"/>
    </row>
    <row r="357" spans="1:5" ht="14.25" customHeight="1">
      <c r="A357" s="14"/>
      <c r="B357" s="69"/>
      <c r="C357" s="76"/>
      <c r="D357" s="7"/>
      <c r="E357" s="7"/>
    </row>
    <row r="358" spans="1:5" ht="14.25" customHeight="1">
      <c r="A358" s="14"/>
      <c r="B358" s="69"/>
      <c r="C358" s="76"/>
      <c r="D358" s="7"/>
      <c r="E358" s="7"/>
    </row>
    <row r="359" spans="1:5" ht="14.25" customHeight="1">
      <c r="A359" s="14"/>
      <c r="B359" s="69"/>
      <c r="C359" s="76"/>
      <c r="D359" s="7"/>
      <c r="E359" s="7"/>
    </row>
    <row r="360" spans="1:5" ht="14.25" customHeight="1">
      <c r="A360" s="14"/>
      <c r="B360" s="69"/>
      <c r="C360" s="76"/>
      <c r="D360" s="7"/>
      <c r="E360" s="7"/>
    </row>
    <row r="361" spans="1:5" ht="14.25" customHeight="1">
      <c r="A361" s="14"/>
      <c r="B361" s="69"/>
      <c r="C361" s="76"/>
      <c r="D361" s="7"/>
      <c r="E361" s="7"/>
    </row>
    <row r="362" spans="1:5" ht="14.25" customHeight="1">
      <c r="A362" s="14"/>
      <c r="B362" s="69"/>
      <c r="C362" s="76"/>
      <c r="D362" s="7"/>
      <c r="E362" s="7"/>
    </row>
    <row r="363" spans="1:5" ht="14.25" customHeight="1">
      <c r="A363" s="14"/>
      <c r="B363" s="69"/>
      <c r="C363" s="76"/>
      <c r="D363" s="7"/>
      <c r="E363" s="7"/>
    </row>
    <row r="364" spans="1:5" ht="14.25" customHeight="1">
      <c r="A364" s="14"/>
      <c r="B364" s="69"/>
      <c r="C364" s="76"/>
      <c r="D364" s="7"/>
      <c r="E364" s="7"/>
    </row>
    <row r="365" spans="1:5" ht="14.25" customHeight="1">
      <c r="A365" s="14"/>
      <c r="B365" s="69"/>
      <c r="C365" s="76"/>
      <c r="D365" s="7"/>
      <c r="E365" s="7"/>
    </row>
    <row r="366" spans="1:5" ht="14.25" customHeight="1">
      <c r="A366" s="14"/>
      <c r="B366" s="69"/>
      <c r="C366" s="76"/>
      <c r="D366" s="7"/>
      <c r="E366" s="7"/>
    </row>
    <row r="367" spans="1:5" ht="14.25" customHeight="1">
      <c r="A367" s="14"/>
      <c r="B367" s="69"/>
      <c r="C367" s="76"/>
      <c r="D367" s="7"/>
      <c r="E367" s="7"/>
    </row>
    <row r="368" spans="1:5" ht="14.25" customHeight="1">
      <c r="A368" s="14"/>
      <c r="B368" s="69"/>
      <c r="C368" s="76"/>
      <c r="D368" s="7"/>
      <c r="E368" s="7"/>
    </row>
    <row r="369" spans="1:6" ht="14.25" customHeight="1">
      <c r="A369" s="14"/>
      <c r="B369" s="69"/>
      <c r="C369" s="76"/>
      <c r="D369" s="7"/>
      <c r="E369" s="7"/>
    </row>
    <row r="370" spans="1:6" ht="14.25" customHeight="1">
      <c r="A370" s="14"/>
      <c r="B370" s="69"/>
      <c r="C370" s="76"/>
      <c r="D370" s="7"/>
      <c r="E370" s="7"/>
      <c r="F370" s="81"/>
    </row>
    <row r="371" spans="1:6" ht="14.25" customHeight="1">
      <c r="A371" s="14"/>
      <c r="B371" s="69"/>
      <c r="C371" s="76"/>
      <c r="D371" s="7"/>
      <c r="E371" s="7"/>
    </row>
    <row r="372" spans="1:6" ht="14.25" customHeight="1">
      <c r="A372" s="14"/>
      <c r="B372" s="69"/>
      <c r="C372" s="76"/>
      <c r="D372" s="7"/>
      <c r="E372" s="7"/>
    </row>
    <row r="373" spans="1:6" ht="14.25" customHeight="1">
      <c r="A373" s="14"/>
      <c r="B373" s="69"/>
      <c r="C373" s="76"/>
      <c r="D373" s="7"/>
      <c r="E373" s="7"/>
    </row>
    <row r="374" spans="1:6" ht="14.25" customHeight="1">
      <c r="A374" s="14"/>
      <c r="B374" s="69"/>
      <c r="C374" s="76"/>
      <c r="D374" s="7"/>
      <c r="E374" s="7"/>
    </row>
    <row r="375" spans="1:6" ht="14.25" customHeight="1">
      <c r="A375" s="82"/>
      <c r="B375" s="69"/>
      <c r="C375" s="76"/>
      <c r="D375" s="7"/>
      <c r="E375" s="7"/>
    </row>
    <row r="376" spans="1:6" ht="14.25" customHeight="1">
      <c r="A376" s="14"/>
      <c r="B376" s="77"/>
      <c r="C376" s="76"/>
      <c r="D376" s="7"/>
      <c r="E376" s="7"/>
    </row>
    <row r="377" spans="1:6" ht="14.25" customHeight="1">
      <c r="A377" s="14"/>
      <c r="B377" s="69"/>
      <c r="C377" s="76"/>
      <c r="D377" s="7"/>
      <c r="E377" s="7"/>
    </row>
    <row r="378" spans="1:6" ht="14.25" customHeight="1">
      <c r="A378" s="14"/>
      <c r="B378" s="69"/>
      <c r="C378" s="76"/>
      <c r="D378" s="7"/>
      <c r="E378" s="7"/>
    </row>
    <row r="379" spans="1:6" ht="14.25" customHeight="1">
      <c r="A379" s="14"/>
      <c r="B379" s="69"/>
      <c r="C379" s="76"/>
      <c r="D379" s="7"/>
      <c r="E379" s="7"/>
    </row>
    <row r="380" spans="1:6" ht="14.25" customHeight="1">
      <c r="A380" s="14"/>
      <c r="B380" s="69"/>
      <c r="C380" s="76"/>
      <c r="D380" s="7"/>
      <c r="E380" s="7"/>
    </row>
    <row r="381" spans="1:6" ht="14.25" customHeight="1">
      <c r="A381" s="14"/>
      <c r="B381" s="69"/>
      <c r="C381" s="76"/>
      <c r="D381" s="7"/>
      <c r="E381" s="7"/>
    </row>
    <row r="382" spans="1:6" ht="14.25" customHeight="1">
      <c r="A382" s="14"/>
      <c r="B382" s="69"/>
      <c r="C382" s="76"/>
      <c r="D382" s="7"/>
      <c r="E382" s="7"/>
    </row>
    <row r="383" spans="1:6" ht="14.25" customHeight="1">
      <c r="A383" s="384"/>
      <c r="B383" s="77"/>
      <c r="C383" s="76"/>
      <c r="D383" s="7"/>
      <c r="E383" s="7"/>
    </row>
    <row r="384" spans="1:6" ht="14.25" customHeight="1">
      <c r="A384" s="14"/>
      <c r="B384" s="69"/>
      <c r="C384" s="76"/>
      <c r="D384" s="7"/>
      <c r="E384" s="7"/>
    </row>
    <row r="385" spans="1:5" ht="14.25" customHeight="1">
      <c r="A385" s="14"/>
      <c r="B385" s="69"/>
      <c r="C385" s="76"/>
      <c r="D385" s="7"/>
      <c r="E385" s="7"/>
    </row>
    <row r="386" spans="1:5" ht="14.25" customHeight="1">
      <c r="A386" s="14"/>
      <c r="B386" s="77"/>
      <c r="C386" s="76"/>
      <c r="D386" s="7"/>
      <c r="E386" s="7"/>
    </row>
    <row r="387" spans="1:5" ht="14.25" customHeight="1">
      <c r="A387" s="14"/>
      <c r="B387" s="69"/>
      <c r="C387" s="76"/>
      <c r="D387" s="7"/>
      <c r="E387" s="7"/>
    </row>
    <row r="388" spans="1:5" ht="14.25" customHeight="1">
      <c r="A388" s="14"/>
      <c r="B388" s="14"/>
      <c r="C388" s="76"/>
      <c r="D388" s="7"/>
      <c r="E388" s="7"/>
    </row>
    <row r="389" spans="1:5" ht="14.25" customHeight="1">
      <c r="A389" s="14"/>
      <c r="B389" s="69"/>
      <c r="C389" s="76"/>
      <c r="D389" s="7"/>
      <c r="E389" s="7"/>
    </row>
    <row r="390" spans="1:5" ht="14.25" customHeight="1">
      <c r="A390" s="14"/>
      <c r="B390" s="69"/>
      <c r="C390" s="76"/>
      <c r="D390" s="7"/>
      <c r="E390" s="7"/>
    </row>
    <row r="391" spans="1:5" ht="14.25" customHeight="1">
      <c r="A391" s="14"/>
      <c r="B391" s="14"/>
      <c r="C391" s="76"/>
      <c r="D391" s="7"/>
      <c r="E391" s="7"/>
    </row>
    <row r="392" spans="1:5" ht="14.25" customHeight="1">
      <c r="A392" s="14"/>
      <c r="B392" s="77"/>
      <c r="C392" s="76"/>
      <c r="D392" s="7"/>
      <c r="E392" s="7"/>
    </row>
    <row r="393" spans="1:5" ht="14.25" customHeight="1">
      <c r="A393" s="14"/>
      <c r="B393" s="69"/>
      <c r="C393" s="76"/>
      <c r="D393" s="7"/>
      <c r="E393" s="7"/>
    </row>
    <row r="394" spans="1:5" ht="14.25" customHeight="1">
      <c r="A394" s="14"/>
      <c r="B394" s="77"/>
      <c r="C394" s="76"/>
      <c r="D394" s="7"/>
      <c r="E394" s="7"/>
    </row>
    <row r="395" spans="1:5" ht="14.25" customHeight="1">
      <c r="A395" s="14"/>
      <c r="B395" s="77"/>
      <c r="C395" s="76"/>
      <c r="D395" s="7"/>
      <c r="E395" s="7"/>
    </row>
    <row r="396" spans="1:5" ht="14.25" customHeight="1">
      <c r="A396" s="14"/>
      <c r="B396" s="77"/>
      <c r="C396" s="76"/>
      <c r="D396" s="7"/>
      <c r="E396" s="7"/>
    </row>
    <row r="397" spans="1:5" ht="14.25" customHeight="1">
      <c r="A397" s="14"/>
      <c r="B397" s="77"/>
      <c r="C397" s="76"/>
      <c r="D397" s="7"/>
      <c r="E397" s="7"/>
    </row>
    <row r="398" spans="1:5" ht="14.25" customHeight="1">
      <c r="A398" s="14"/>
      <c r="B398" s="77"/>
      <c r="C398" s="76"/>
      <c r="D398" s="7"/>
      <c r="E398" s="7"/>
    </row>
    <row r="399" spans="1:5" ht="14.25" customHeight="1">
      <c r="A399" s="14"/>
      <c r="B399" s="77"/>
      <c r="C399" s="76"/>
      <c r="D399" s="7"/>
      <c r="E399" s="7"/>
    </row>
    <row r="400" spans="1:5" ht="14.25" customHeight="1">
      <c r="A400" s="14"/>
      <c r="B400" s="77"/>
      <c r="C400" s="76"/>
      <c r="D400" s="7"/>
      <c r="E400" s="7"/>
    </row>
    <row r="401" spans="1:5" ht="14.25" customHeight="1">
      <c r="A401" s="14"/>
      <c r="B401" s="77"/>
      <c r="C401" s="76"/>
      <c r="D401" s="7"/>
      <c r="E401" s="7"/>
    </row>
    <row r="402" spans="1:5" ht="14.25" customHeight="1">
      <c r="A402" s="14"/>
      <c r="B402" s="77"/>
      <c r="C402" s="76"/>
      <c r="D402" s="7"/>
      <c r="E402" s="7"/>
    </row>
    <row r="403" spans="1:5" ht="14.25" customHeight="1">
      <c r="A403" s="14"/>
      <c r="B403" s="14"/>
      <c r="C403" s="76"/>
      <c r="D403" s="7"/>
      <c r="E403" s="7"/>
    </row>
    <row r="404" spans="1:5" ht="14.25" customHeight="1">
      <c r="A404" s="14"/>
      <c r="B404" s="77"/>
      <c r="C404" s="76"/>
      <c r="D404" s="7"/>
      <c r="E404" s="7"/>
    </row>
    <row r="405" spans="1:5" ht="14.25" customHeight="1">
      <c r="A405" s="14"/>
      <c r="B405" s="77"/>
      <c r="C405" s="76"/>
      <c r="D405" s="7"/>
      <c r="E405" s="7"/>
    </row>
    <row r="406" spans="1:5" ht="14.25" customHeight="1">
      <c r="A406" s="14"/>
      <c r="B406" s="77"/>
      <c r="C406" s="76"/>
      <c r="D406" s="7"/>
      <c r="E406" s="7"/>
    </row>
    <row r="407" spans="1:5" ht="14.25" customHeight="1">
      <c r="A407" s="14"/>
      <c r="B407" s="77"/>
      <c r="C407" s="76"/>
      <c r="D407" s="7"/>
      <c r="E407" s="7"/>
    </row>
    <row r="408" spans="1:5" ht="14.25" customHeight="1">
      <c r="A408" s="18"/>
      <c r="B408" s="77"/>
      <c r="C408" s="76"/>
      <c r="D408" s="7"/>
      <c r="E408" s="7"/>
    </row>
    <row r="409" spans="1:5" ht="14.25" customHeight="1">
      <c r="A409" s="14"/>
      <c r="B409" s="77"/>
      <c r="C409" s="76"/>
      <c r="D409" s="7"/>
      <c r="E409" s="7"/>
    </row>
    <row r="410" spans="1:5" ht="14.25" customHeight="1">
      <c r="A410" s="14"/>
      <c r="B410" s="77"/>
      <c r="C410" s="76"/>
      <c r="D410" s="7"/>
      <c r="E410" s="7"/>
    </row>
    <row r="411" spans="1:5" ht="14.25" customHeight="1">
      <c r="A411" s="14"/>
      <c r="B411" s="77"/>
      <c r="C411" s="76"/>
      <c r="D411" s="7"/>
      <c r="E411" s="7"/>
    </row>
    <row r="412" spans="1:5" ht="14.25" customHeight="1">
      <c r="A412" s="14"/>
      <c r="B412" s="77"/>
      <c r="C412" s="76"/>
      <c r="D412" s="7"/>
      <c r="E412" s="7"/>
    </row>
    <row r="413" spans="1:5" ht="14.25" customHeight="1">
      <c r="A413" s="14"/>
      <c r="B413" s="77"/>
      <c r="C413" s="76"/>
      <c r="D413" s="7"/>
      <c r="E413" s="7"/>
    </row>
    <row r="414" spans="1:5" ht="14.25" customHeight="1">
      <c r="A414" s="14"/>
      <c r="B414" s="77"/>
      <c r="C414" s="76"/>
      <c r="D414" s="7"/>
      <c r="E414" s="7"/>
    </row>
    <row r="415" spans="1:5" ht="14.25" customHeight="1">
      <c r="A415" s="14"/>
      <c r="B415" s="77"/>
      <c r="C415" s="76"/>
      <c r="D415" s="7"/>
      <c r="E415" s="7"/>
    </row>
    <row r="416" spans="1:5" ht="14.25" customHeight="1">
      <c r="A416" s="14"/>
      <c r="B416" s="77"/>
      <c r="C416" s="76"/>
      <c r="D416" s="7"/>
      <c r="E416" s="7"/>
    </row>
    <row r="417" spans="1:5" ht="14.25" customHeight="1">
      <c r="A417" s="14"/>
      <c r="B417" s="77"/>
      <c r="C417" s="76"/>
      <c r="D417" s="7"/>
      <c r="E417" s="7"/>
    </row>
    <row r="418" spans="1:5" ht="14.25" customHeight="1">
      <c r="A418" s="14"/>
      <c r="B418" s="77"/>
      <c r="C418" s="76"/>
      <c r="D418" s="7"/>
      <c r="E418" s="7"/>
    </row>
    <row r="419" spans="1:5" ht="14.25" customHeight="1">
      <c r="A419" s="14"/>
      <c r="B419" s="77"/>
      <c r="C419" s="76"/>
      <c r="D419" s="7"/>
      <c r="E419" s="7"/>
    </row>
    <row r="420" spans="1:5" ht="14.25" customHeight="1">
      <c r="A420" s="14"/>
      <c r="B420" s="77"/>
      <c r="C420" s="76"/>
      <c r="D420" s="7"/>
      <c r="E420" s="7"/>
    </row>
    <row r="421" spans="1:5" ht="14.25" customHeight="1">
      <c r="A421" s="14"/>
      <c r="B421" s="77"/>
      <c r="C421" s="76"/>
      <c r="D421" s="7"/>
      <c r="E421" s="7"/>
    </row>
    <row r="422" spans="1:5" ht="14.25" customHeight="1">
      <c r="A422" s="14"/>
      <c r="B422" s="69"/>
      <c r="C422" s="76"/>
      <c r="D422" s="7"/>
      <c r="E422" s="7"/>
    </row>
    <row r="423" spans="1:5" ht="14.25" customHeight="1">
      <c r="A423" s="14"/>
      <c r="B423" s="77"/>
      <c r="C423" s="76"/>
      <c r="D423" s="7"/>
      <c r="E423" s="7"/>
    </row>
    <row r="424" spans="1:5" ht="14.25" customHeight="1">
      <c r="A424" s="14"/>
      <c r="B424" s="77"/>
      <c r="C424" s="76"/>
      <c r="D424" s="7"/>
      <c r="E424" s="7"/>
    </row>
    <row r="425" spans="1:5" ht="14.25" customHeight="1">
      <c r="A425" s="14"/>
      <c r="B425" s="77"/>
      <c r="C425" s="76"/>
      <c r="D425" s="7"/>
      <c r="E425" s="7"/>
    </row>
    <row r="426" spans="1:5" ht="14.25" customHeight="1">
      <c r="A426" s="14"/>
      <c r="B426" s="77"/>
      <c r="C426" s="76"/>
      <c r="D426" s="7"/>
      <c r="E426" s="7"/>
    </row>
    <row r="427" spans="1:5" ht="14.25" customHeight="1">
      <c r="A427" s="14"/>
      <c r="B427" s="69"/>
      <c r="C427" s="76"/>
      <c r="D427" s="7"/>
      <c r="E427" s="7"/>
    </row>
    <row r="428" spans="1:5" ht="14.25" customHeight="1">
      <c r="A428" s="14"/>
      <c r="B428" s="69"/>
      <c r="C428" s="76"/>
      <c r="D428" s="7"/>
      <c r="E428" s="7"/>
    </row>
    <row r="429" spans="1:5" ht="14.25" customHeight="1">
      <c r="A429" s="14"/>
      <c r="B429" s="69"/>
      <c r="C429" s="76"/>
      <c r="D429" s="7"/>
      <c r="E429" s="7"/>
    </row>
    <row r="430" spans="1:5" ht="14.25" customHeight="1">
      <c r="A430" s="14"/>
      <c r="B430" s="69"/>
      <c r="C430" s="76"/>
      <c r="D430" s="7"/>
      <c r="E430" s="7"/>
    </row>
    <row r="431" spans="1:5" ht="14.25" customHeight="1">
      <c r="A431" s="14"/>
      <c r="B431" s="69"/>
      <c r="C431" s="76"/>
      <c r="D431" s="7"/>
      <c r="E431" s="7"/>
    </row>
    <row r="432" spans="1:5" ht="14.25" customHeight="1">
      <c r="A432" s="14"/>
      <c r="B432" s="77"/>
      <c r="C432" s="76"/>
      <c r="D432" s="7"/>
      <c r="E432" s="7"/>
    </row>
    <row r="433" spans="1:5" ht="14.25" customHeight="1">
      <c r="A433" s="14"/>
      <c r="B433" s="77"/>
      <c r="C433" s="76"/>
      <c r="D433" s="7"/>
      <c r="E433" s="7"/>
    </row>
    <row r="434" spans="1:5" ht="14.25" customHeight="1">
      <c r="A434" s="14"/>
      <c r="B434" s="14"/>
      <c r="C434" s="76"/>
      <c r="D434" s="7"/>
      <c r="E434" s="7"/>
    </row>
    <row r="435" spans="1:5" ht="14.25" customHeight="1">
      <c r="A435" s="14"/>
      <c r="B435" s="77"/>
      <c r="C435" s="76"/>
      <c r="D435" s="7"/>
      <c r="E435" s="7"/>
    </row>
    <row r="436" spans="1:5" ht="14.25" customHeight="1">
      <c r="A436" s="14"/>
      <c r="B436" s="77"/>
      <c r="C436" s="76"/>
      <c r="D436" s="7"/>
      <c r="E436" s="7"/>
    </row>
    <row r="437" spans="1:5" ht="14.25" customHeight="1">
      <c r="A437" s="14"/>
      <c r="B437" s="69"/>
      <c r="C437" s="76"/>
      <c r="D437" s="7"/>
      <c r="E437" s="7"/>
    </row>
    <row r="438" spans="1:5" ht="14.25" customHeight="1">
      <c r="A438" s="15"/>
      <c r="B438" s="69"/>
      <c r="C438" s="76"/>
      <c r="D438" s="7"/>
      <c r="E438" s="7"/>
    </row>
    <row r="439" spans="1:5" ht="14.25" customHeight="1">
      <c r="A439" s="14"/>
      <c r="B439" s="77"/>
      <c r="C439" s="76"/>
      <c r="D439" s="7"/>
      <c r="E439" s="7"/>
    </row>
    <row r="440" spans="1:5" ht="14.25" customHeight="1">
      <c r="A440" s="14"/>
      <c r="B440" s="69"/>
      <c r="C440" s="76"/>
      <c r="D440" s="7"/>
      <c r="E440" s="7"/>
    </row>
    <row r="441" spans="1:5" ht="14.25" customHeight="1">
      <c r="A441" s="14"/>
      <c r="B441" s="69"/>
      <c r="C441" s="76"/>
      <c r="D441" s="7"/>
      <c r="E441" s="7"/>
    </row>
    <row r="442" spans="1:5" ht="14.25" customHeight="1">
      <c r="A442" s="14"/>
      <c r="B442" s="77"/>
      <c r="C442" s="76"/>
      <c r="D442" s="7"/>
      <c r="E442" s="7"/>
    </row>
    <row r="443" spans="1:5" ht="14.25" customHeight="1">
      <c r="A443" s="14"/>
      <c r="B443" s="77"/>
      <c r="C443" s="76"/>
      <c r="D443" s="7"/>
      <c r="E443" s="7"/>
    </row>
    <row r="444" spans="1:5" ht="14.25" customHeight="1">
      <c r="A444" s="14"/>
      <c r="B444" s="77"/>
      <c r="C444" s="76"/>
      <c r="D444" s="7"/>
      <c r="E444" s="7"/>
    </row>
    <row r="445" spans="1:5" ht="14.25" customHeight="1">
      <c r="A445" s="14"/>
      <c r="B445" s="77"/>
      <c r="C445" s="76"/>
      <c r="D445" s="7"/>
      <c r="E445" s="7"/>
    </row>
    <row r="446" spans="1:5" ht="14.25" customHeight="1">
      <c r="A446" s="14"/>
      <c r="B446" s="77"/>
      <c r="C446" s="76"/>
      <c r="D446" s="7"/>
      <c r="E446" s="7"/>
    </row>
    <row r="447" spans="1:5" ht="14.25" customHeight="1">
      <c r="A447" s="14"/>
      <c r="B447" s="77"/>
      <c r="C447" s="76"/>
      <c r="D447" s="7"/>
      <c r="E447" s="7"/>
    </row>
    <row r="448" spans="1:5" ht="14.25" customHeight="1">
      <c r="A448" s="14"/>
      <c r="B448" s="77"/>
      <c r="C448" s="76"/>
      <c r="D448" s="7"/>
      <c r="E448" s="7"/>
    </row>
    <row r="449" spans="1:5" ht="14.25" customHeight="1">
      <c r="A449" s="14"/>
      <c r="B449" s="77"/>
      <c r="C449" s="76"/>
      <c r="D449" s="7"/>
      <c r="E449" s="7"/>
    </row>
    <row r="450" spans="1:5" ht="14.25" customHeight="1">
      <c r="A450" s="14"/>
      <c r="B450" s="77"/>
      <c r="C450" s="76"/>
      <c r="D450" s="84"/>
      <c r="E450" s="84"/>
    </row>
    <row r="451" spans="1:5" ht="14.25" customHeight="1">
      <c r="A451" s="14"/>
      <c r="B451" s="77"/>
      <c r="C451" s="76"/>
      <c r="D451" s="84"/>
      <c r="E451" s="84"/>
    </row>
    <row r="452" spans="1:5" ht="14.25" customHeight="1">
      <c r="A452" s="14"/>
      <c r="B452" s="77"/>
      <c r="C452" s="76"/>
      <c r="D452" s="7"/>
      <c r="E452" s="7"/>
    </row>
    <row r="453" spans="1:5" ht="14.25" customHeight="1">
      <c r="A453" s="14"/>
      <c r="B453" s="77"/>
      <c r="C453" s="76"/>
      <c r="D453" s="7"/>
      <c r="E453" s="7"/>
    </row>
    <row r="454" spans="1:5" ht="14.25" customHeight="1">
      <c r="A454" s="14"/>
      <c r="B454" s="77"/>
      <c r="C454" s="76"/>
      <c r="D454" s="7"/>
      <c r="E454" s="7"/>
    </row>
    <row r="455" spans="1:5" ht="14.25" customHeight="1">
      <c r="A455" s="14"/>
      <c r="B455" s="77"/>
      <c r="C455" s="76"/>
      <c r="D455" s="7"/>
      <c r="E455" s="7"/>
    </row>
    <row r="456" spans="1:5" ht="14.25" customHeight="1">
      <c r="A456" s="14"/>
      <c r="B456" s="77"/>
      <c r="C456" s="76"/>
      <c r="D456" s="7"/>
      <c r="E456" s="7"/>
    </row>
    <row r="457" spans="1:5" ht="14.25" customHeight="1">
      <c r="A457" s="14"/>
      <c r="B457" s="77"/>
      <c r="C457" s="76"/>
      <c r="D457" s="7"/>
      <c r="E457" s="7"/>
    </row>
    <row r="458" spans="1:5" ht="14.25" customHeight="1">
      <c r="A458" s="14"/>
      <c r="B458" s="77"/>
      <c r="C458" s="76"/>
      <c r="D458" s="7"/>
      <c r="E458" s="7"/>
    </row>
    <row r="459" spans="1:5" ht="14.25" customHeight="1">
      <c r="A459" s="14"/>
      <c r="B459" s="77"/>
      <c r="C459" s="76"/>
      <c r="D459" s="7"/>
      <c r="E459" s="7"/>
    </row>
    <row r="460" spans="1:5" ht="14.25" customHeight="1">
      <c r="A460" s="14"/>
      <c r="B460" s="77"/>
      <c r="C460" s="76"/>
      <c r="D460" s="7"/>
      <c r="E460" s="7"/>
    </row>
    <row r="461" spans="1:5" ht="14.25" customHeight="1">
      <c r="A461" s="14"/>
      <c r="B461" s="77"/>
      <c r="C461" s="76"/>
      <c r="D461" s="7"/>
      <c r="E461" s="7"/>
    </row>
    <row r="462" spans="1:5" ht="14.25" customHeight="1">
      <c r="A462" s="14"/>
      <c r="B462" s="69"/>
      <c r="C462" s="76"/>
      <c r="D462" s="7"/>
      <c r="E462" s="7"/>
    </row>
    <row r="463" spans="1:5" ht="14.25" customHeight="1">
      <c r="A463" s="14"/>
      <c r="B463" s="77"/>
      <c r="C463" s="76"/>
      <c r="D463" s="7"/>
      <c r="E463" s="7"/>
    </row>
    <row r="464" spans="1:5" ht="14.25" customHeight="1">
      <c r="A464" s="14"/>
      <c r="B464" s="77"/>
      <c r="C464" s="76"/>
      <c r="D464" s="7"/>
      <c r="E464" s="7"/>
    </row>
    <row r="465" spans="1:5" ht="14.25" customHeight="1">
      <c r="A465" s="82"/>
      <c r="B465" s="77"/>
      <c r="C465" s="76"/>
      <c r="D465" s="7"/>
      <c r="E465" s="7"/>
    </row>
    <row r="466" spans="1:5" ht="14.25" customHeight="1">
      <c r="A466" s="14"/>
      <c r="B466" s="69"/>
      <c r="C466" s="76"/>
      <c r="D466" s="7"/>
      <c r="E466" s="7"/>
    </row>
    <row r="467" spans="1:5" ht="14.25" customHeight="1">
      <c r="A467" s="14"/>
      <c r="B467" s="69"/>
      <c r="C467" s="76"/>
      <c r="D467" s="7"/>
      <c r="E467" s="7"/>
    </row>
    <row r="468" spans="1:5" ht="14.25" customHeight="1">
      <c r="A468" s="14"/>
      <c r="B468" s="69"/>
      <c r="C468" s="76"/>
      <c r="D468" s="7"/>
      <c r="E468" s="7"/>
    </row>
    <row r="469" spans="1:5" ht="14.25" customHeight="1">
      <c r="A469" s="14"/>
      <c r="B469" s="69"/>
      <c r="C469" s="76"/>
      <c r="D469" s="7"/>
      <c r="E469" s="7"/>
    </row>
    <row r="470" spans="1:5" ht="14.25" customHeight="1">
      <c r="A470" s="14"/>
      <c r="B470" s="69"/>
      <c r="C470" s="76"/>
      <c r="D470" s="7"/>
      <c r="E470" s="7"/>
    </row>
    <row r="471" spans="1:5" ht="14.25" customHeight="1">
      <c r="A471" s="14"/>
      <c r="B471" s="69"/>
      <c r="C471" s="76"/>
      <c r="D471" s="7"/>
      <c r="E471" s="7"/>
    </row>
    <row r="472" spans="1:5" ht="14.25" customHeight="1">
      <c r="A472" s="14"/>
      <c r="B472" s="77"/>
      <c r="C472" s="76"/>
      <c r="D472" s="7"/>
      <c r="E472" s="7"/>
    </row>
    <row r="473" spans="1:5" ht="14.25" customHeight="1">
      <c r="A473" s="14"/>
      <c r="B473" s="69"/>
      <c r="C473" s="76"/>
      <c r="D473" s="7"/>
      <c r="E473" s="7"/>
    </row>
    <row r="474" spans="1:5" ht="14.25" customHeight="1">
      <c r="A474" s="14"/>
      <c r="B474" s="69"/>
      <c r="C474" s="76"/>
      <c r="D474" s="7"/>
      <c r="E474" s="7"/>
    </row>
    <row r="475" spans="1:5" ht="14.25" customHeight="1">
      <c r="A475" s="14"/>
      <c r="B475" s="69"/>
      <c r="C475" s="76"/>
      <c r="D475" s="7"/>
      <c r="E475" s="7"/>
    </row>
    <row r="476" spans="1:5" ht="14.25" customHeight="1">
      <c r="A476" s="14"/>
      <c r="B476" s="69"/>
      <c r="C476" s="76"/>
      <c r="D476" s="7"/>
      <c r="E476" s="7"/>
    </row>
    <row r="477" spans="1:5" ht="14.25" customHeight="1">
      <c r="A477" s="14"/>
      <c r="B477" s="69"/>
      <c r="C477" s="76"/>
      <c r="D477" s="7"/>
      <c r="E477" s="7"/>
    </row>
    <row r="478" spans="1:5" ht="14.25" customHeight="1">
      <c r="A478" s="14"/>
      <c r="B478" s="69"/>
      <c r="C478" s="76"/>
      <c r="D478" s="7"/>
      <c r="E478" s="7"/>
    </row>
    <row r="479" spans="1:5" ht="14.25" customHeight="1">
      <c r="A479" s="14"/>
      <c r="B479" s="77"/>
      <c r="C479" s="76"/>
      <c r="D479" s="7"/>
      <c r="E479" s="7"/>
    </row>
    <row r="480" spans="1:5" ht="14.25" customHeight="1">
      <c r="A480" s="14"/>
      <c r="B480" s="69"/>
      <c r="C480" s="76"/>
      <c r="D480" s="7"/>
      <c r="E480" s="7"/>
    </row>
    <row r="481" spans="1:5" ht="14.25" customHeight="1">
      <c r="A481" s="14"/>
      <c r="B481" s="69"/>
      <c r="C481" s="76"/>
      <c r="D481" s="7"/>
      <c r="E481" s="7"/>
    </row>
    <row r="482" spans="1:5" ht="14.25" customHeight="1">
      <c r="A482" s="14"/>
      <c r="B482" s="69"/>
      <c r="C482" s="76"/>
      <c r="D482" s="7"/>
      <c r="E482" s="7"/>
    </row>
    <row r="483" spans="1:5" ht="14.25" customHeight="1">
      <c r="A483" s="14"/>
      <c r="B483" s="69"/>
      <c r="C483" s="76"/>
      <c r="D483" s="7"/>
      <c r="E483" s="7"/>
    </row>
    <row r="484" spans="1:5" ht="14.25" customHeight="1">
      <c r="A484" s="14"/>
      <c r="B484" s="69"/>
      <c r="C484" s="76"/>
      <c r="D484" s="7"/>
      <c r="E484" s="7"/>
    </row>
    <row r="485" spans="1:5" ht="14.25" customHeight="1">
      <c r="A485" s="14"/>
      <c r="B485" s="69"/>
      <c r="C485" s="76"/>
      <c r="D485" s="7"/>
      <c r="E485" s="7"/>
    </row>
    <row r="486" spans="1:5" ht="14.25" customHeight="1">
      <c r="A486" s="14"/>
      <c r="B486" s="69"/>
      <c r="C486" s="76"/>
      <c r="D486" s="7"/>
      <c r="E486" s="7"/>
    </row>
    <row r="487" spans="1:5" ht="14.25" customHeight="1">
      <c r="A487" s="14"/>
      <c r="B487" s="69"/>
      <c r="C487" s="76"/>
      <c r="D487" s="7"/>
      <c r="E487" s="7"/>
    </row>
    <row r="488" spans="1:5" ht="14.25" customHeight="1">
      <c r="A488" s="14"/>
      <c r="B488" s="69"/>
      <c r="C488" s="76"/>
      <c r="D488" s="7"/>
      <c r="E488" s="7"/>
    </row>
    <row r="489" spans="1:5" ht="14.25" customHeight="1">
      <c r="A489" s="14"/>
      <c r="B489" s="69"/>
      <c r="C489" s="76"/>
      <c r="D489" s="7"/>
      <c r="E489" s="7"/>
    </row>
    <row r="490" spans="1:5" ht="14.25" customHeight="1">
      <c r="A490" s="14"/>
      <c r="B490" s="69"/>
      <c r="C490" s="76"/>
      <c r="D490" s="7"/>
      <c r="E490" s="7"/>
    </row>
    <row r="491" spans="1:5" ht="14.25" customHeight="1">
      <c r="A491" s="14"/>
      <c r="B491" s="69"/>
      <c r="C491" s="76"/>
      <c r="D491" s="7"/>
      <c r="E491" s="7"/>
    </row>
    <row r="492" spans="1:5" ht="14.25" customHeight="1">
      <c r="A492" s="14"/>
      <c r="B492" s="69"/>
      <c r="C492" s="76"/>
      <c r="D492" s="7"/>
      <c r="E492" s="7"/>
    </row>
    <row r="493" spans="1:5" ht="14.25" customHeight="1">
      <c r="A493" s="14"/>
      <c r="B493" s="69"/>
      <c r="C493" s="76"/>
      <c r="D493" s="7"/>
      <c r="E493" s="7"/>
    </row>
    <row r="494" spans="1:5" ht="14.25" customHeight="1">
      <c r="A494" s="14"/>
      <c r="B494" s="69"/>
      <c r="C494" s="76"/>
      <c r="D494" s="7"/>
      <c r="E494" s="7"/>
    </row>
    <row r="495" spans="1:5" ht="14.25" customHeight="1">
      <c r="A495" s="14"/>
      <c r="B495" s="69"/>
      <c r="C495" s="76"/>
      <c r="D495" s="7"/>
      <c r="E495" s="7"/>
    </row>
    <row r="496" spans="1:5" ht="14.25" customHeight="1">
      <c r="A496" s="14"/>
      <c r="B496" s="69"/>
      <c r="C496" s="76"/>
      <c r="D496" s="7"/>
      <c r="E496" s="7"/>
    </row>
    <row r="497" spans="1:5" ht="14.25" customHeight="1">
      <c r="A497" s="14"/>
      <c r="B497" s="69"/>
      <c r="C497" s="76"/>
      <c r="D497" s="7"/>
      <c r="E497" s="7"/>
    </row>
    <row r="498" spans="1:5" ht="14.25" customHeight="1">
      <c r="A498" s="14"/>
      <c r="B498" s="69"/>
      <c r="C498" s="76"/>
      <c r="D498" s="7"/>
      <c r="E498" s="7"/>
    </row>
    <row r="499" spans="1:5" ht="14.25" customHeight="1">
      <c r="A499" s="14"/>
      <c r="B499" s="69"/>
      <c r="C499" s="76"/>
      <c r="D499" s="7"/>
      <c r="E499" s="7"/>
    </row>
    <row r="500" spans="1:5" ht="14.25" customHeight="1">
      <c r="A500" s="14"/>
      <c r="B500" s="69"/>
      <c r="C500" s="76"/>
      <c r="D500" s="7"/>
      <c r="E500" s="7"/>
    </row>
    <row r="501" spans="1:5" ht="14.25" customHeight="1">
      <c r="A501" s="14"/>
      <c r="B501" s="69"/>
      <c r="C501" s="76"/>
      <c r="D501" s="7"/>
      <c r="E501" s="7"/>
    </row>
    <row r="502" spans="1:5" ht="14.25" customHeight="1">
      <c r="A502" s="14"/>
      <c r="B502" s="69"/>
      <c r="C502" s="76"/>
      <c r="D502" s="7"/>
      <c r="E502" s="7"/>
    </row>
    <row r="503" spans="1:5" ht="14.25" customHeight="1">
      <c r="A503" s="14"/>
      <c r="B503" s="69"/>
      <c r="C503" s="76"/>
      <c r="D503" s="7"/>
      <c r="E503" s="7"/>
    </row>
    <row r="504" spans="1:5" ht="14.25" customHeight="1">
      <c r="A504" s="14"/>
      <c r="B504" s="69"/>
      <c r="C504" s="76"/>
      <c r="D504" s="7"/>
      <c r="E504" s="7"/>
    </row>
    <row r="505" spans="1:5" ht="14.25" customHeight="1">
      <c r="A505" s="14"/>
      <c r="B505" s="69"/>
      <c r="C505" s="76"/>
      <c r="D505" s="7"/>
      <c r="E505" s="7"/>
    </row>
    <row r="506" spans="1:5" ht="14.25" customHeight="1">
      <c r="A506" s="14"/>
      <c r="B506" s="69"/>
      <c r="C506" s="76"/>
      <c r="D506" s="7"/>
      <c r="E506" s="7"/>
    </row>
    <row r="507" spans="1:5" ht="14.25" customHeight="1">
      <c r="A507" s="14"/>
      <c r="B507" s="69"/>
      <c r="C507" s="76"/>
      <c r="D507" s="7"/>
      <c r="E507" s="7"/>
    </row>
    <row r="508" spans="1:5" ht="14.25" customHeight="1">
      <c r="A508" s="14"/>
      <c r="B508" s="69"/>
      <c r="C508" s="76"/>
      <c r="D508" s="7"/>
      <c r="E508" s="7"/>
    </row>
    <row r="509" spans="1:5" ht="14.25" customHeight="1">
      <c r="A509" s="14"/>
      <c r="B509" s="69"/>
      <c r="C509" s="76"/>
      <c r="D509" s="7"/>
      <c r="E509" s="7"/>
    </row>
    <row r="510" spans="1:5" ht="14.25" customHeight="1">
      <c r="A510" s="14"/>
      <c r="B510" s="69"/>
      <c r="C510" s="76"/>
      <c r="D510" s="7"/>
      <c r="E510" s="7"/>
    </row>
    <row r="511" spans="1:5" ht="14.25" customHeight="1">
      <c r="A511" s="14"/>
      <c r="B511" s="69"/>
      <c r="C511" s="76"/>
      <c r="D511" s="7"/>
      <c r="E511" s="7"/>
    </row>
    <row r="512" spans="1:5" ht="14.25" customHeight="1">
      <c r="A512" s="14"/>
      <c r="B512" s="69"/>
      <c r="C512" s="76"/>
      <c r="D512" s="7"/>
      <c r="E512" s="7"/>
    </row>
    <row r="513" spans="1:5" ht="14.25" customHeight="1">
      <c r="A513" s="384"/>
      <c r="B513" s="69"/>
      <c r="C513" s="76"/>
      <c r="D513" s="7"/>
      <c r="E513" s="7"/>
    </row>
    <row r="514" spans="1:5" ht="14.25" customHeight="1">
      <c r="A514" s="14"/>
      <c r="B514" s="77"/>
      <c r="C514" s="76"/>
      <c r="D514" s="7"/>
      <c r="E514" s="7"/>
    </row>
    <row r="515" spans="1:5" ht="14.25" customHeight="1">
      <c r="A515" s="14"/>
      <c r="B515" s="77"/>
      <c r="C515" s="76"/>
      <c r="D515" s="7"/>
      <c r="E515" s="7"/>
    </row>
    <row r="516" spans="1:5" ht="14.25" customHeight="1">
      <c r="A516" s="14"/>
      <c r="B516" s="77"/>
      <c r="C516" s="76"/>
      <c r="D516" s="7"/>
      <c r="E516" s="7"/>
    </row>
    <row r="517" spans="1:5" ht="14.25" customHeight="1">
      <c r="A517" s="14"/>
      <c r="B517" s="77"/>
      <c r="C517" s="76"/>
      <c r="D517" s="7"/>
      <c r="E517" s="7"/>
    </row>
    <row r="518" spans="1:5" ht="14.25" customHeight="1">
      <c r="A518" s="14"/>
      <c r="B518" s="69"/>
      <c r="C518" s="76"/>
      <c r="D518" s="7"/>
      <c r="E518" s="7"/>
    </row>
    <row r="519" spans="1:5" ht="14.25" customHeight="1">
      <c r="A519" s="14"/>
      <c r="B519" s="77"/>
      <c r="C519" s="76"/>
      <c r="D519" s="7"/>
      <c r="E519" s="7"/>
    </row>
    <row r="520" spans="1:5" ht="14.25" customHeight="1">
      <c r="A520" s="18"/>
      <c r="B520" s="77"/>
      <c r="C520" s="76"/>
      <c r="D520" s="7"/>
      <c r="E520" s="7"/>
    </row>
    <row r="521" spans="1:5" ht="14.25" customHeight="1">
      <c r="A521" s="14"/>
      <c r="B521" s="69"/>
      <c r="C521" s="76"/>
      <c r="D521" s="7"/>
      <c r="E521" s="7"/>
    </row>
    <row r="522" spans="1:5" ht="14.25" customHeight="1">
      <c r="A522" s="14"/>
      <c r="B522" s="77"/>
      <c r="C522" s="76"/>
      <c r="D522" s="7"/>
      <c r="E522" s="7"/>
    </row>
    <row r="523" spans="1:5" ht="14.25" customHeight="1">
      <c r="A523" s="14"/>
      <c r="B523" s="69"/>
      <c r="C523" s="76"/>
      <c r="D523" s="7"/>
      <c r="E523" s="7"/>
    </row>
    <row r="524" spans="1:5" ht="14.25" customHeight="1">
      <c r="A524" s="14"/>
      <c r="B524" s="69"/>
      <c r="C524" s="76"/>
      <c r="D524" s="7"/>
      <c r="E524" s="7"/>
    </row>
    <row r="525" spans="1:5" ht="14.25" customHeight="1">
      <c r="A525" s="14"/>
      <c r="B525" s="69"/>
      <c r="C525" s="76"/>
      <c r="D525" s="7"/>
      <c r="E525" s="7"/>
    </row>
    <row r="526" spans="1:5" ht="14.25" customHeight="1">
      <c r="A526" s="14"/>
      <c r="B526" s="69"/>
      <c r="C526" s="76"/>
      <c r="D526" s="7"/>
      <c r="E526" s="7"/>
    </row>
    <row r="527" spans="1:5" ht="14.25" customHeight="1">
      <c r="A527" s="14"/>
      <c r="B527" s="69"/>
      <c r="C527" s="76"/>
      <c r="D527" s="7"/>
      <c r="E527" s="7"/>
    </row>
    <row r="528" spans="1:5" ht="14.25" customHeight="1">
      <c r="A528" s="14"/>
      <c r="B528" s="69"/>
      <c r="C528" s="76"/>
      <c r="D528" s="7"/>
      <c r="E528" s="7"/>
    </row>
    <row r="529" spans="1:5" ht="14.25" customHeight="1">
      <c r="A529" s="14"/>
      <c r="B529" s="69"/>
      <c r="C529" s="76"/>
      <c r="D529" s="7"/>
      <c r="E529" s="7"/>
    </row>
    <row r="530" spans="1:5" ht="14.25" customHeight="1">
      <c r="A530" s="14"/>
      <c r="B530" s="69"/>
      <c r="C530" s="76"/>
      <c r="D530" s="7"/>
      <c r="E530" s="7"/>
    </row>
    <row r="531" spans="1:5" ht="14.25" customHeight="1">
      <c r="A531" s="14"/>
      <c r="B531" s="77"/>
      <c r="C531" s="76"/>
      <c r="D531" s="7"/>
      <c r="E531" s="7"/>
    </row>
    <row r="532" spans="1:5" ht="14.25" customHeight="1">
      <c r="A532" s="14"/>
      <c r="B532" s="69"/>
      <c r="C532" s="76"/>
      <c r="D532" s="7"/>
      <c r="E532" s="7"/>
    </row>
    <row r="533" spans="1:5" ht="14.25" customHeight="1">
      <c r="A533" s="14"/>
      <c r="B533" s="77"/>
      <c r="C533" s="76"/>
      <c r="D533" s="7"/>
      <c r="E533" s="7"/>
    </row>
    <row r="534" spans="1:5" ht="14.25" customHeight="1">
      <c r="A534" s="14"/>
      <c r="B534" s="69"/>
      <c r="C534" s="76"/>
      <c r="D534" s="7"/>
      <c r="E534" s="7"/>
    </row>
    <row r="535" spans="1:5" ht="14.25" customHeight="1">
      <c r="A535" s="14"/>
      <c r="B535" s="77"/>
      <c r="C535" s="76"/>
      <c r="D535" s="7"/>
      <c r="E535" s="7"/>
    </row>
    <row r="536" spans="1:5" ht="14.25" customHeight="1">
      <c r="A536" s="14"/>
      <c r="B536" s="69"/>
      <c r="C536" s="76"/>
      <c r="D536" s="7"/>
      <c r="E536" s="7"/>
    </row>
    <row r="537" spans="1:5" ht="14.25" customHeight="1">
      <c r="A537" s="14"/>
      <c r="B537" s="77"/>
      <c r="C537" s="76"/>
      <c r="D537" s="7"/>
      <c r="E537" s="7"/>
    </row>
    <row r="538" spans="1:5" ht="14.25" customHeight="1">
      <c r="A538" s="14"/>
      <c r="B538" s="77"/>
      <c r="C538" s="76"/>
      <c r="D538" s="7"/>
      <c r="E538" s="7"/>
    </row>
    <row r="539" spans="1:5" ht="14.25" customHeight="1">
      <c r="A539" s="14"/>
      <c r="B539" s="69"/>
      <c r="C539" s="76"/>
      <c r="D539" s="7"/>
      <c r="E539" s="7"/>
    </row>
    <row r="540" spans="1:5" ht="14.25" customHeight="1">
      <c r="A540" s="14"/>
      <c r="B540" s="77"/>
      <c r="C540" s="76"/>
      <c r="D540" s="7"/>
      <c r="E540" s="7"/>
    </row>
    <row r="541" spans="1:5" ht="14.25" customHeight="1">
      <c r="A541" s="18"/>
      <c r="B541" s="77"/>
      <c r="C541" s="76"/>
      <c r="D541" s="7"/>
      <c r="E541" s="7"/>
    </row>
    <row r="542" spans="1:5" ht="14.25" customHeight="1">
      <c r="A542" s="14"/>
      <c r="B542" s="77"/>
      <c r="C542" s="76"/>
      <c r="D542" s="7"/>
      <c r="E542" s="7"/>
    </row>
    <row r="543" spans="1:5" ht="14.25" customHeight="1">
      <c r="A543" s="14"/>
      <c r="B543" s="77"/>
      <c r="C543" s="76"/>
      <c r="D543" s="7"/>
      <c r="E543" s="7"/>
    </row>
    <row r="544" spans="1:5" ht="14.25" customHeight="1">
      <c r="A544" s="14"/>
      <c r="B544" s="77"/>
      <c r="C544" s="76"/>
      <c r="D544" s="7"/>
      <c r="E544" s="7"/>
    </row>
    <row r="545" spans="1:5" ht="14.25" customHeight="1">
      <c r="A545" s="14"/>
      <c r="B545" s="77"/>
      <c r="C545" s="76"/>
      <c r="D545" s="7"/>
      <c r="E545" s="7"/>
    </row>
    <row r="546" spans="1:5" ht="14.25" customHeight="1">
      <c r="A546" s="14"/>
      <c r="B546" s="77"/>
      <c r="C546" s="76"/>
      <c r="D546" s="7"/>
      <c r="E546" s="7"/>
    </row>
    <row r="547" spans="1:5" ht="14.25" customHeight="1">
      <c r="A547" s="14"/>
      <c r="B547" s="77"/>
      <c r="C547" s="76"/>
      <c r="D547" s="7"/>
      <c r="E547" s="7"/>
    </row>
    <row r="548" spans="1:5" ht="14.25" customHeight="1">
      <c r="A548" s="14"/>
      <c r="B548" s="77"/>
      <c r="C548" s="76"/>
      <c r="D548" s="7"/>
      <c r="E548" s="7"/>
    </row>
    <row r="549" spans="1:5" ht="14.25" customHeight="1">
      <c r="A549" s="14"/>
      <c r="B549" s="77"/>
      <c r="C549" s="76"/>
      <c r="D549" s="7"/>
      <c r="E549" s="7"/>
    </row>
    <row r="550" spans="1:5" ht="14.25" customHeight="1">
      <c r="A550" s="14"/>
      <c r="B550" s="77"/>
      <c r="C550" s="76"/>
      <c r="D550" s="7"/>
      <c r="E550" s="7"/>
    </row>
    <row r="551" spans="1:5" ht="14.25" customHeight="1">
      <c r="A551" s="14"/>
      <c r="B551" s="77"/>
      <c r="C551" s="76"/>
      <c r="D551" s="7"/>
      <c r="E551" s="7"/>
    </row>
    <row r="552" spans="1:5" ht="14.25" customHeight="1">
      <c r="A552" s="14"/>
      <c r="B552" s="77"/>
      <c r="C552" s="76"/>
      <c r="D552" s="7"/>
      <c r="E552" s="7"/>
    </row>
    <row r="553" spans="1:5" ht="14.25" customHeight="1">
      <c r="A553" s="14"/>
      <c r="B553" s="77"/>
      <c r="C553" s="76"/>
      <c r="D553" s="7"/>
      <c r="E553" s="7"/>
    </row>
    <row r="554" spans="1:5" ht="14.25" customHeight="1">
      <c r="A554" s="14"/>
      <c r="B554" s="77"/>
      <c r="C554" s="76"/>
      <c r="D554" s="7"/>
      <c r="E554" s="7"/>
    </row>
    <row r="555" spans="1:5" ht="14.25" customHeight="1">
      <c r="A555" s="14"/>
      <c r="B555" s="77"/>
      <c r="C555" s="76"/>
      <c r="D555" s="7"/>
      <c r="E555" s="7"/>
    </row>
    <row r="556" spans="1:5" ht="14.25" customHeight="1">
      <c r="A556" s="14"/>
      <c r="B556" s="77"/>
      <c r="C556" s="76"/>
      <c r="D556" s="7"/>
      <c r="E556" s="7"/>
    </row>
    <row r="557" spans="1:5" ht="14.25" customHeight="1">
      <c r="A557" s="14"/>
      <c r="B557" s="77"/>
      <c r="C557" s="76"/>
      <c r="D557" s="7"/>
      <c r="E557" s="7"/>
    </row>
    <row r="558" spans="1:5" ht="14.25" customHeight="1">
      <c r="A558" s="14"/>
      <c r="B558" s="77"/>
      <c r="C558" s="76"/>
      <c r="D558" s="7"/>
      <c r="E558" s="7"/>
    </row>
    <row r="559" spans="1:5" ht="14.25" customHeight="1">
      <c r="A559" s="14"/>
      <c r="B559" s="77"/>
      <c r="C559" s="76"/>
      <c r="D559" s="7"/>
      <c r="E559" s="7"/>
    </row>
    <row r="560" spans="1:5" ht="14.25" customHeight="1">
      <c r="A560" s="14"/>
      <c r="B560" s="77"/>
      <c r="C560" s="76"/>
      <c r="D560" s="7"/>
      <c r="E560" s="7"/>
    </row>
    <row r="561" spans="1:5" ht="14.25" customHeight="1">
      <c r="A561" s="14"/>
      <c r="B561" s="77"/>
      <c r="C561" s="76"/>
      <c r="D561" s="7"/>
      <c r="E561" s="7"/>
    </row>
    <row r="562" spans="1:5" ht="14.25" customHeight="1">
      <c r="A562" s="14"/>
      <c r="B562" s="77"/>
      <c r="C562" s="76"/>
      <c r="D562" s="7"/>
      <c r="E562" s="7"/>
    </row>
    <row r="563" spans="1:5" ht="14.25" customHeight="1">
      <c r="A563" s="14"/>
      <c r="B563" s="77"/>
      <c r="C563" s="76"/>
      <c r="D563" s="7"/>
      <c r="E563" s="7"/>
    </row>
    <row r="564" spans="1:5" ht="14.25" customHeight="1">
      <c r="A564" s="14"/>
      <c r="B564" s="77"/>
      <c r="C564" s="76"/>
      <c r="D564" s="7"/>
      <c r="E564" s="7"/>
    </row>
    <row r="565" spans="1:5" ht="14.25" customHeight="1">
      <c r="A565" s="14"/>
      <c r="B565" s="77"/>
      <c r="C565" s="76"/>
      <c r="D565" s="7"/>
      <c r="E565" s="7"/>
    </row>
    <row r="566" spans="1:5" ht="14.25" customHeight="1">
      <c r="A566" s="14"/>
      <c r="B566" s="77"/>
      <c r="C566" s="76"/>
      <c r="D566" s="7"/>
      <c r="E566" s="7"/>
    </row>
    <row r="567" spans="1:5" ht="14.25" customHeight="1">
      <c r="A567" s="14"/>
      <c r="B567" s="77"/>
      <c r="C567" s="76"/>
      <c r="D567" s="7"/>
      <c r="E567" s="7"/>
    </row>
    <row r="568" spans="1:5" ht="14.25" customHeight="1">
      <c r="A568" s="14"/>
      <c r="B568" s="77"/>
      <c r="C568" s="76"/>
      <c r="D568" s="7"/>
      <c r="E568" s="7"/>
    </row>
    <row r="569" spans="1:5" ht="14.25" customHeight="1">
      <c r="A569" s="14"/>
      <c r="B569" s="77"/>
      <c r="C569" s="76"/>
      <c r="D569" s="7"/>
      <c r="E569" s="7"/>
    </row>
    <row r="570" spans="1:5" ht="14.25" customHeight="1">
      <c r="A570" s="14"/>
      <c r="B570" s="77"/>
      <c r="C570" s="76"/>
      <c r="D570" s="7"/>
      <c r="E570" s="7"/>
    </row>
    <row r="571" spans="1:5" ht="14.25" customHeight="1">
      <c r="A571" s="14"/>
      <c r="B571" s="77"/>
      <c r="C571" s="76"/>
      <c r="D571" s="7"/>
      <c r="E571" s="7"/>
    </row>
    <row r="572" spans="1:5" ht="14.25" customHeight="1">
      <c r="A572" s="14"/>
      <c r="B572" s="77"/>
      <c r="C572" s="76"/>
      <c r="D572" s="7"/>
      <c r="E572" s="7"/>
    </row>
    <row r="573" spans="1:5" ht="14.25" customHeight="1">
      <c r="A573" s="14"/>
      <c r="B573" s="77"/>
      <c r="C573" s="76"/>
      <c r="D573" s="7"/>
      <c r="E573" s="7"/>
    </row>
    <row r="574" spans="1:5" ht="14.25" customHeight="1">
      <c r="A574" s="14"/>
      <c r="B574" s="77"/>
      <c r="C574" s="76"/>
      <c r="D574" s="7"/>
      <c r="E574" s="7"/>
    </row>
    <row r="575" spans="1:5" ht="14.25" customHeight="1">
      <c r="A575" s="14"/>
      <c r="B575" s="77"/>
      <c r="C575" s="76"/>
      <c r="D575" s="7"/>
      <c r="E575" s="7"/>
    </row>
    <row r="576" spans="1:5" ht="14.25" customHeight="1">
      <c r="A576" s="14"/>
      <c r="B576" s="77"/>
      <c r="C576" s="76"/>
      <c r="D576" s="7"/>
      <c r="E576" s="7"/>
    </row>
    <row r="577" spans="1:5" ht="14.25" customHeight="1">
      <c r="A577" s="14"/>
      <c r="B577" s="77"/>
      <c r="C577" s="76"/>
      <c r="D577" s="7"/>
      <c r="E577" s="7"/>
    </row>
    <row r="578" spans="1:5" ht="14.25" customHeight="1">
      <c r="A578" s="15"/>
      <c r="B578" s="15"/>
      <c r="C578" s="15"/>
    </row>
    <row r="579" spans="1:5" ht="14.25" customHeight="1">
      <c r="A579" s="15"/>
      <c r="B579" s="15"/>
      <c r="C579" s="15"/>
    </row>
    <row r="580" spans="1:5" ht="14.25" customHeight="1">
      <c r="A580" s="15"/>
      <c r="B580" s="15"/>
      <c r="C580" s="15"/>
    </row>
    <row r="581" spans="1:5" ht="14.25" customHeight="1">
      <c r="A581" s="15"/>
      <c r="B581" s="15"/>
      <c r="C581" s="15"/>
    </row>
    <row r="582" spans="1:5" ht="14.25" customHeight="1">
      <c r="A582" s="15"/>
      <c r="B582" s="15"/>
      <c r="C582" s="15"/>
    </row>
    <row r="583" spans="1:5" ht="14.25" customHeight="1">
      <c r="A583" s="15"/>
      <c r="B583" s="15"/>
      <c r="C583" s="15"/>
    </row>
    <row r="584" spans="1:5" ht="14.25" customHeight="1">
      <c r="A584" s="15"/>
      <c r="B584" s="15"/>
      <c r="C584" s="15"/>
    </row>
    <row r="585" spans="1:5" ht="14.25" customHeight="1">
      <c r="A585" s="15"/>
      <c r="B585" s="15"/>
      <c r="C585" s="15"/>
    </row>
    <row r="586" spans="1:5" ht="14.25" customHeight="1">
      <c r="A586" s="15"/>
      <c r="B586" s="15"/>
      <c r="C586" s="15"/>
    </row>
    <row r="587" spans="1:5" ht="14.25" customHeight="1">
      <c r="A587" s="15"/>
      <c r="B587" s="15"/>
      <c r="C587" s="15"/>
    </row>
    <row r="588" spans="1:5" ht="14.25" customHeight="1">
      <c r="A588" s="15"/>
      <c r="B588" s="15"/>
      <c r="C588" s="15"/>
    </row>
    <row r="589" spans="1:5" ht="14.25" customHeight="1">
      <c r="A589" s="15"/>
      <c r="B589" s="15"/>
      <c r="C589" s="15"/>
    </row>
    <row r="590" spans="1:5" ht="14.25" customHeight="1">
      <c r="A590" s="15"/>
      <c r="B590" s="15"/>
      <c r="C590" s="15"/>
    </row>
    <row r="591" spans="1:5" ht="14.25" customHeight="1">
      <c r="A591" s="15"/>
      <c r="B591" s="15"/>
      <c r="C591" s="15"/>
    </row>
    <row r="592" spans="1:5" ht="14.25" customHeight="1">
      <c r="A592" s="15"/>
      <c r="B592" s="15"/>
      <c r="C592" s="15"/>
    </row>
    <row r="593" spans="1:3" ht="14.25" customHeight="1">
      <c r="A593" s="15"/>
      <c r="B593" s="15"/>
      <c r="C593" s="15"/>
    </row>
    <row r="594" spans="1:3" ht="14.25" customHeight="1">
      <c r="A594" s="15"/>
      <c r="B594" s="15"/>
      <c r="C594" s="15"/>
    </row>
    <row r="595" spans="1:3" ht="14.25" customHeight="1">
      <c r="A595" s="15"/>
      <c r="B595" s="15"/>
      <c r="C595" s="15"/>
    </row>
    <row r="596" spans="1:3" ht="14.25" customHeight="1">
      <c r="A596" s="15"/>
      <c r="B596" s="15"/>
      <c r="C596" s="15"/>
    </row>
    <row r="597" spans="1:3" ht="14.25" customHeight="1">
      <c r="A597" s="15"/>
      <c r="B597" s="15"/>
      <c r="C597" s="15"/>
    </row>
    <row r="598" spans="1:3" ht="14.25" customHeight="1">
      <c r="A598" s="15"/>
      <c r="B598" s="15"/>
      <c r="C598" s="15"/>
    </row>
    <row r="599" spans="1:3" ht="14.25" customHeight="1">
      <c r="A599" s="15"/>
      <c r="B599" s="15"/>
      <c r="C599" s="15"/>
    </row>
    <row r="600" spans="1:3" ht="14.25" customHeight="1">
      <c r="A600" s="15"/>
      <c r="B600" s="15"/>
      <c r="C600" s="15"/>
    </row>
    <row r="601" spans="1:3" ht="14.25" customHeight="1">
      <c r="A601" s="15"/>
      <c r="B601" s="15"/>
      <c r="C601" s="15"/>
    </row>
    <row r="602" spans="1:3" ht="14.25" customHeight="1">
      <c r="A602" s="15"/>
      <c r="B602" s="15"/>
      <c r="C602" s="15"/>
    </row>
    <row r="603" spans="1:3" ht="14.25" customHeight="1">
      <c r="A603" s="15"/>
      <c r="B603" s="15"/>
      <c r="C603" s="15"/>
    </row>
    <row r="604" spans="1:3" ht="14.25" customHeight="1">
      <c r="A604" s="15"/>
      <c r="B604" s="15"/>
      <c r="C604" s="15"/>
    </row>
    <row r="605" spans="1:3" ht="14.25" customHeight="1">
      <c r="A605" s="15"/>
      <c r="B605" s="15"/>
      <c r="C605" s="15"/>
    </row>
    <row r="606" spans="1:3" ht="14.25" customHeight="1">
      <c r="A606" s="15"/>
      <c r="B606" s="15"/>
      <c r="C606" s="15"/>
    </row>
    <row r="607" spans="1:3" ht="14.25" customHeight="1">
      <c r="A607" s="15"/>
      <c r="B607" s="15"/>
      <c r="C607" s="15"/>
    </row>
    <row r="608" spans="1:3" ht="14.25" customHeight="1">
      <c r="A608" s="15"/>
      <c r="B608" s="15"/>
      <c r="C608" s="15"/>
    </row>
    <row r="609" spans="1:3" ht="14.25" customHeight="1">
      <c r="A609" s="15"/>
      <c r="B609" s="15"/>
      <c r="C609" s="15"/>
    </row>
    <row r="610" spans="1:3" ht="14.25" customHeight="1">
      <c r="A610" s="15"/>
      <c r="B610" s="15"/>
      <c r="C610" s="15"/>
    </row>
    <row r="611" spans="1:3" ht="14.25" customHeight="1">
      <c r="A611" s="15"/>
      <c r="B611" s="15"/>
      <c r="C611" s="15"/>
    </row>
    <row r="612" spans="1:3" ht="14.25" customHeight="1">
      <c r="A612" s="15"/>
      <c r="B612" s="15"/>
      <c r="C612" s="15"/>
    </row>
    <row r="613" spans="1:3" ht="14.25" customHeight="1">
      <c r="A613" s="15"/>
      <c r="B613" s="15"/>
      <c r="C613" s="15"/>
    </row>
    <row r="614" spans="1:3" ht="14.25" customHeight="1">
      <c r="A614" s="15"/>
      <c r="B614" s="15"/>
      <c r="C614" s="15"/>
    </row>
    <row r="615" spans="1:3" ht="14.25" customHeight="1">
      <c r="A615" s="15"/>
      <c r="B615" s="15"/>
      <c r="C615" s="15"/>
    </row>
    <row r="616" spans="1:3" ht="14.25" customHeight="1">
      <c r="A616" s="15"/>
      <c r="B616" s="15"/>
      <c r="C616" s="15"/>
    </row>
    <row r="617" spans="1:3" ht="14.25" customHeight="1">
      <c r="A617" s="15"/>
      <c r="B617" s="15"/>
      <c r="C617" s="15"/>
    </row>
    <row r="618" spans="1:3" ht="14.25" customHeight="1">
      <c r="A618" s="15"/>
      <c r="B618" s="15"/>
      <c r="C618" s="15"/>
    </row>
    <row r="619" spans="1:3" ht="14.25" customHeight="1">
      <c r="A619" s="15"/>
      <c r="B619" s="15"/>
      <c r="C619" s="15"/>
    </row>
    <row r="620" spans="1:3" ht="14.25" customHeight="1">
      <c r="A620" s="15"/>
      <c r="B620" s="15"/>
      <c r="C620" s="15"/>
    </row>
    <row r="621" spans="1:3" ht="14.25" customHeight="1">
      <c r="A621" s="15"/>
      <c r="B621" s="15"/>
      <c r="C621" s="15"/>
    </row>
    <row r="622" spans="1:3" ht="14.25" customHeight="1">
      <c r="A622" s="15"/>
      <c r="B622" s="15"/>
      <c r="C622" s="15"/>
    </row>
    <row r="623" spans="1:3" ht="14.25" customHeight="1">
      <c r="A623" s="15"/>
      <c r="B623" s="15"/>
      <c r="C623" s="15"/>
    </row>
    <row r="624" spans="1:3" ht="14.25" customHeight="1">
      <c r="A624" s="15"/>
      <c r="B624" s="15"/>
      <c r="C624" s="15"/>
    </row>
    <row r="625" spans="1:3" ht="14.25" customHeight="1">
      <c r="A625" s="15"/>
      <c r="B625" s="15"/>
      <c r="C625" s="15"/>
    </row>
    <row r="626" spans="1:3" ht="14.25" customHeight="1">
      <c r="A626" s="15"/>
      <c r="B626" s="15"/>
      <c r="C626" s="15"/>
    </row>
    <row r="627" spans="1:3" ht="14.25" customHeight="1">
      <c r="A627" s="15"/>
      <c r="B627" s="15"/>
      <c r="C627" s="15"/>
    </row>
    <row r="628" spans="1:3" ht="14.25" customHeight="1">
      <c r="A628" s="15"/>
      <c r="B628" s="15"/>
      <c r="C628" s="15"/>
    </row>
    <row r="629" spans="1:3" ht="14.25" customHeight="1">
      <c r="A629" s="15"/>
      <c r="B629" s="15"/>
      <c r="C629" s="15"/>
    </row>
    <row r="630" spans="1:3" ht="14.25" customHeight="1">
      <c r="A630" s="15"/>
      <c r="B630" s="15"/>
      <c r="C630" s="15"/>
    </row>
    <row r="631" spans="1:3" ht="14.25" customHeight="1">
      <c r="A631" s="15"/>
      <c r="B631" s="15"/>
      <c r="C631" s="15"/>
    </row>
    <row r="632" spans="1:3" ht="14.25" customHeight="1">
      <c r="A632" s="15"/>
      <c r="B632" s="15"/>
      <c r="C632" s="15"/>
    </row>
    <row r="633" spans="1:3" ht="14.25" customHeight="1">
      <c r="A633" s="15"/>
      <c r="B633" s="15"/>
      <c r="C633" s="15"/>
    </row>
    <row r="634" spans="1:3" ht="14.25" customHeight="1">
      <c r="A634" s="15"/>
      <c r="B634" s="15"/>
      <c r="C634" s="15"/>
    </row>
    <row r="635" spans="1:3" ht="14.25" customHeight="1">
      <c r="A635" s="15"/>
      <c r="B635" s="15"/>
      <c r="C635" s="15"/>
    </row>
    <row r="636" spans="1:3" ht="14.25" customHeight="1">
      <c r="A636" s="15"/>
      <c r="B636" s="15"/>
      <c r="C636" s="15"/>
    </row>
    <row r="637" spans="1:3" ht="14.25" customHeight="1">
      <c r="A637" s="15"/>
      <c r="B637" s="15"/>
      <c r="C637" s="15"/>
    </row>
    <row r="638" spans="1:3" ht="14.25" customHeight="1">
      <c r="A638" s="15"/>
      <c r="B638" s="15"/>
      <c r="C638" s="15"/>
    </row>
    <row r="639" spans="1:3" ht="14.25" customHeight="1">
      <c r="A639" s="15"/>
      <c r="B639" s="15"/>
      <c r="C639" s="15"/>
    </row>
    <row r="640" spans="1:3" ht="14.25" customHeight="1">
      <c r="A640" s="15"/>
      <c r="B640" s="15"/>
      <c r="C640" s="15"/>
    </row>
    <row r="641" spans="1:3" ht="14.25" customHeight="1">
      <c r="A641" s="15"/>
      <c r="B641" s="15"/>
      <c r="C641" s="15"/>
    </row>
    <row r="642" spans="1:3" ht="14.25" customHeight="1">
      <c r="A642" s="15"/>
      <c r="B642" s="15"/>
      <c r="C642" s="15"/>
    </row>
    <row r="643" spans="1:3" ht="14.25" customHeight="1">
      <c r="A643" s="15"/>
      <c r="B643" s="15"/>
      <c r="C643" s="15"/>
    </row>
    <row r="644" spans="1:3" ht="14.25" customHeight="1">
      <c r="A644" s="15"/>
      <c r="B644" s="15"/>
      <c r="C644" s="15"/>
    </row>
    <row r="645" spans="1:3" ht="14.25" customHeight="1">
      <c r="A645" s="15"/>
      <c r="B645" s="15"/>
      <c r="C645" s="15"/>
    </row>
    <row r="646" spans="1:3" ht="14.25" customHeight="1">
      <c r="A646" s="15"/>
      <c r="B646" s="15"/>
      <c r="C646" s="15"/>
    </row>
    <row r="647" spans="1:3" ht="14.25" customHeight="1">
      <c r="A647" s="15"/>
      <c r="B647" s="15"/>
      <c r="C647" s="15"/>
    </row>
    <row r="648" spans="1:3" ht="14.25" customHeight="1">
      <c r="A648" s="15"/>
      <c r="B648" s="15"/>
      <c r="C648" s="15"/>
    </row>
    <row r="649" spans="1:3" ht="14.25" customHeight="1">
      <c r="A649" s="15"/>
      <c r="B649" s="15"/>
      <c r="C649" s="15"/>
    </row>
    <row r="650" spans="1:3" ht="14.25" customHeight="1">
      <c r="A650" s="15"/>
      <c r="B650" s="15"/>
      <c r="C650" s="15"/>
    </row>
    <row r="651" spans="1:3" ht="14.25" customHeight="1">
      <c r="A651" s="15"/>
      <c r="B651" s="15"/>
      <c r="C651" s="15"/>
    </row>
    <row r="652" spans="1:3" ht="14.25" customHeight="1">
      <c r="A652" s="15"/>
      <c r="B652" s="15"/>
      <c r="C652" s="15"/>
    </row>
    <row r="653" spans="1:3" ht="14.25" customHeight="1">
      <c r="A653" s="15"/>
      <c r="B653" s="15"/>
      <c r="C653" s="15"/>
    </row>
    <row r="654" spans="1:3" ht="14.25" customHeight="1">
      <c r="A654" s="15"/>
      <c r="B654" s="15"/>
      <c r="C654" s="15"/>
    </row>
    <row r="655" spans="1:3" ht="14.25" customHeight="1">
      <c r="A655" s="15"/>
      <c r="B655" s="15"/>
      <c r="C655" s="15"/>
    </row>
    <row r="656" spans="1:3" ht="14.25" customHeight="1">
      <c r="A656" s="15"/>
      <c r="B656" s="15"/>
      <c r="C656" s="15"/>
    </row>
    <row r="657" spans="1:3" ht="14.25" customHeight="1">
      <c r="A657" s="15"/>
      <c r="B657" s="15"/>
      <c r="C657" s="15"/>
    </row>
    <row r="658" spans="1:3" ht="14.25" customHeight="1">
      <c r="A658" s="15"/>
      <c r="B658" s="15"/>
      <c r="C658" s="15"/>
    </row>
    <row r="659" spans="1:3" ht="14.25" customHeight="1">
      <c r="A659" s="15"/>
      <c r="B659" s="15"/>
      <c r="C659" s="15"/>
    </row>
    <row r="660" spans="1:3" ht="14.25" customHeight="1">
      <c r="A660" s="15"/>
      <c r="B660" s="15"/>
      <c r="C660" s="15"/>
    </row>
    <row r="661" spans="1:3" ht="14.25" customHeight="1">
      <c r="A661" s="15"/>
      <c r="B661" s="15"/>
      <c r="C661" s="15"/>
    </row>
    <row r="662" spans="1:3" ht="14.25" customHeight="1">
      <c r="A662" s="15"/>
      <c r="B662" s="15"/>
      <c r="C662" s="15"/>
    </row>
    <row r="663" spans="1:3" ht="14.25" customHeight="1">
      <c r="A663" s="15"/>
      <c r="B663" s="15"/>
      <c r="C663" s="15"/>
    </row>
    <row r="664" spans="1:3" ht="14.25" customHeight="1">
      <c r="A664" s="15"/>
      <c r="B664" s="15"/>
      <c r="C664" s="15"/>
    </row>
    <row r="665" spans="1:3" ht="14.25" customHeight="1">
      <c r="A665" s="15"/>
      <c r="B665" s="15"/>
      <c r="C665" s="15"/>
    </row>
    <row r="666" spans="1:3" ht="14.25" customHeight="1">
      <c r="A666" s="15"/>
      <c r="B666" s="15"/>
      <c r="C666" s="15"/>
    </row>
    <row r="667" spans="1:3" ht="14.25" customHeight="1">
      <c r="A667" s="15"/>
      <c r="B667" s="15"/>
      <c r="C667" s="15"/>
    </row>
    <row r="668" spans="1:3" ht="14.25" customHeight="1">
      <c r="A668" s="15"/>
      <c r="B668" s="15"/>
      <c r="C668" s="15"/>
    </row>
    <row r="669" spans="1:3" ht="14.25" customHeight="1">
      <c r="A669" s="15"/>
      <c r="B669" s="15"/>
      <c r="C669" s="15"/>
    </row>
    <row r="670" spans="1:3" ht="14.25" customHeight="1">
      <c r="A670" s="15"/>
      <c r="B670" s="15"/>
      <c r="C670" s="15"/>
    </row>
    <row r="671" spans="1:3" ht="14.25" customHeight="1">
      <c r="A671" s="15"/>
      <c r="B671" s="15"/>
      <c r="C671" s="15"/>
    </row>
    <row r="672" spans="1:3" ht="14.25" customHeight="1">
      <c r="A672" s="15"/>
      <c r="B672" s="15"/>
      <c r="C672" s="15"/>
    </row>
    <row r="673" spans="1:3" ht="14.25" customHeight="1">
      <c r="A673" s="15"/>
      <c r="B673" s="15"/>
      <c r="C673" s="15"/>
    </row>
    <row r="674" spans="1:3" ht="14.25" customHeight="1">
      <c r="A674" s="15"/>
      <c r="B674" s="15"/>
      <c r="C674" s="15"/>
    </row>
    <row r="675" spans="1:3" ht="14.25" customHeight="1">
      <c r="A675" s="15"/>
      <c r="B675" s="15"/>
      <c r="C675" s="15"/>
    </row>
    <row r="676" spans="1:3" ht="14.25" customHeight="1">
      <c r="A676" s="15"/>
      <c r="B676" s="15"/>
      <c r="C676" s="15"/>
    </row>
    <row r="677" spans="1:3" ht="14.25" customHeight="1">
      <c r="A677" s="15"/>
      <c r="B677" s="15"/>
      <c r="C677" s="15"/>
    </row>
    <row r="678" spans="1:3" ht="14.25" customHeight="1">
      <c r="A678" s="15"/>
      <c r="B678" s="15"/>
      <c r="C678" s="15"/>
    </row>
    <row r="679" spans="1:3" ht="14.25" customHeight="1">
      <c r="A679" s="15"/>
      <c r="B679" s="15"/>
      <c r="C679" s="15"/>
    </row>
    <row r="680" spans="1:3" ht="14.25" customHeight="1">
      <c r="A680" s="15"/>
      <c r="B680" s="15"/>
      <c r="C680" s="15"/>
    </row>
    <row r="681" spans="1:3" ht="14.25" customHeight="1">
      <c r="A681" s="15"/>
      <c r="B681" s="15"/>
      <c r="C681" s="15"/>
    </row>
    <row r="682" spans="1:3" ht="14.25" customHeight="1">
      <c r="A682" s="15"/>
      <c r="B682" s="15"/>
      <c r="C682" s="15"/>
    </row>
    <row r="683" spans="1:3" ht="14.25" customHeight="1">
      <c r="A683" s="15"/>
      <c r="B683" s="15"/>
      <c r="C683" s="15"/>
    </row>
    <row r="684" spans="1:3" ht="14.25" customHeight="1">
      <c r="A684" s="15"/>
      <c r="B684" s="15"/>
      <c r="C684" s="15"/>
    </row>
    <row r="685" spans="1:3" ht="14.25" customHeight="1">
      <c r="A685" s="15"/>
      <c r="B685" s="15"/>
      <c r="C685" s="15"/>
    </row>
    <row r="686" spans="1:3" ht="14.25" customHeight="1">
      <c r="A686" s="15"/>
      <c r="B686" s="15"/>
      <c r="C686" s="15"/>
    </row>
    <row r="687" spans="1:3" ht="14.25" customHeight="1">
      <c r="A687" s="15"/>
      <c r="B687" s="15"/>
      <c r="C687" s="15"/>
    </row>
    <row r="688" spans="1:3" ht="14.25" customHeight="1">
      <c r="A688" s="15"/>
      <c r="B688" s="15"/>
      <c r="C688" s="15"/>
    </row>
    <row r="689" spans="1:3" ht="14.25" customHeight="1">
      <c r="A689" s="15"/>
      <c r="B689" s="15"/>
      <c r="C689" s="15"/>
    </row>
    <row r="690" spans="1:3" ht="14.25" customHeight="1">
      <c r="A690" s="15"/>
      <c r="B690" s="15"/>
      <c r="C690" s="15"/>
    </row>
    <row r="691" spans="1:3" ht="14.25" customHeight="1">
      <c r="A691" s="15"/>
      <c r="B691" s="15"/>
      <c r="C691" s="15"/>
    </row>
    <row r="692" spans="1:3" ht="14.25" customHeight="1">
      <c r="A692" s="15"/>
      <c r="B692" s="15"/>
      <c r="C692" s="15"/>
    </row>
    <row r="693" spans="1:3" ht="14.25" customHeight="1">
      <c r="A693" s="15"/>
      <c r="B693" s="15"/>
      <c r="C693" s="15"/>
    </row>
    <row r="694" spans="1:3" ht="14.25" customHeight="1">
      <c r="A694" s="15"/>
      <c r="B694" s="15"/>
      <c r="C694" s="15"/>
    </row>
    <row r="695" spans="1:3" ht="14.25" customHeight="1">
      <c r="A695" s="15"/>
      <c r="B695" s="15"/>
      <c r="C695" s="15"/>
    </row>
    <row r="696" spans="1:3" ht="14.25" customHeight="1">
      <c r="A696" s="15"/>
      <c r="B696" s="15"/>
      <c r="C696" s="15"/>
    </row>
    <row r="697" spans="1:3" ht="14.25" customHeight="1">
      <c r="A697" s="15"/>
      <c r="B697" s="15"/>
      <c r="C697" s="15"/>
    </row>
    <row r="698" spans="1:3" ht="14.25" customHeight="1">
      <c r="A698" s="15"/>
      <c r="B698" s="15"/>
      <c r="C698" s="15"/>
    </row>
    <row r="699" spans="1:3" ht="14.25" customHeight="1">
      <c r="A699" s="15"/>
      <c r="B699" s="15"/>
      <c r="C699" s="15"/>
    </row>
    <row r="700" spans="1:3" ht="14.25" customHeight="1">
      <c r="A700" s="15"/>
      <c r="B700" s="15"/>
      <c r="C700" s="15"/>
    </row>
    <row r="701" spans="1:3" ht="14.25" customHeight="1">
      <c r="A701" s="15"/>
      <c r="B701" s="15"/>
      <c r="C701" s="15"/>
    </row>
    <row r="702" spans="1:3" ht="14.25" customHeight="1">
      <c r="A702" s="15"/>
      <c r="B702" s="15"/>
      <c r="C702" s="15"/>
    </row>
    <row r="703" spans="1:3" ht="14.25" customHeight="1">
      <c r="A703" s="15"/>
      <c r="B703" s="15"/>
      <c r="C703" s="15"/>
    </row>
    <row r="704" spans="1:3" ht="14.25" customHeight="1">
      <c r="A704" s="15"/>
      <c r="B704" s="15"/>
      <c r="C704" s="15"/>
    </row>
    <row r="705" spans="1:3" ht="14.25" customHeight="1">
      <c r="A705" s="15"/>
      <c r="B705" s="15"/>
      <c r="C705" s="15"/>
    </row>
    <row r="706" spans="1:3" ht="14.25" customHeight="1">
      <c r="A706" s="15"/>
      <c r="B706" s="15"/>
      <c r="C706" s="15"/>
    </row>
    <row r="707" spans="1:3" ht="14.25" customHeight="1">
      <c r="A707" s="15"/>
      <c r="B707" s="15"/>
      <c r="C707" s="15"/>
    </row>
    <row r="708" spans="1:3" ht="14.25" customHeight="1">
      <c r="A708" s="15"/>
      <c r="B708" s="15"/>
      <c r="C708" s="15"/>
    </row>
    <row r="709" spans="1:3" ht="14.25" customHeight="1">
      <c r="A709" s="15"/>
      <c r="B709" s="15"/>
      <c r="C709" s="15"/>
    </row>
    <row r="710" spans="1:3" ht="14.25" customHeight="1">
      <c r="A710" s="15"/>
      <c r="B710" s="15"/>
      <c r="C710" s="15"/>
    </row>
    <row r="711" spans="1:3" ht="14.25" customHeight="1">
      <c r="A711" s="15"/>
      <c r="B711" s="15"/>
      <c r="C711" s="15"/>
    </row>
    <row r="712" spans="1:3" ht="14.25" customHeight="1">
      <c r="A712" s="15"/>
      <c r="B712" s="15"/>
      <c r="C712" s="15"/>
    </row>
    <row r="713" spans="1:3" ht="14.25" customHeight="1">
      <c r="A713" s="15"/>
      <c r="B713" s="15"/>
      <c r="C713" s="15"/>
    </row>
    <row r="714" spans="1:3" ht="14.25" customHeight="1">
      <c r="A714" s="15"/>
      <c r="B714" s="15"/>
      <c r="C714" s="15"/>
    </row>
    <row r="715" spans="1:3" ht="14.25" customHeight="1">
      <c r="A715" s="15"/>
      <c r="B715" s="15"/>
      <c r="C715" s="15"/>
    </row>
    <row r="716" spans="1:3" ht="14.25" customHeight="1">
      <c r="A716" s="15"/>
      <c r="B716" s="15"/>
      <c r="C716" s="15"/>
    </row>
    <row r="717" spans="1:3" ht="14.25" customHeight="1">
      <c r="A717" s="15"/>
      <c r="B717" s="15"/>
      <c r="C717" s="15"/>
    </row>
    <row r="718" spans="1:3" ht="14.25" customHeight="1">
      <c r="A718" s="15"/>
      <c r="B718" s="15"/>
      <c r="C718" s="15"/>
    </row>
    <row r="719" spans="1:3" ht="14.25" customHeight="1">
      <c r="A719" s="15"/>
      <c r="B719" s="15"/>
      <c r="C719" s="15"/>
    </row>
    <row r="720" spans="1:3" ht="14.25" customHeight="1">
      <c r="A720" s="15"/>
      <c r="B720" s="15"/>
      <c r="C720" s="15"/>
    </row>
    <row r="721" spans="1:3" ht="14.25" customHeight="1">
      <c r="A721" s="15"/>
      <c r="B721" s="15"/>
      <c r="C721" s="15"/>
    </row>
    <row r="722" spans="1:3" ht="14.25" customHeight="1">
      <c r="A722" s="15"/>
      <c r="B722" s="15"/>
      <c r="C722" s="15"/>
    </row>
    <row r="723" spans="1:3" ht="14.25" customHeight="1">
      <c r="A723" s="15"/>
      <c r="B723" s="15"/>
      <c r="C723" s="15"/>
    </row>
    <row r="724" spans="1:3" ht="14.25" customHeight="1">
      <c r="A724" s="15"/>
      <c r="B724" s="15"/>
      <c r="C724" s="15"/>
    </row>
    <row r="725" spans="1:3" ht="14.25" customHeight="1">
      <c r="A725" s="15"/>
      <c r="B725" s="15"/>
      <c r="C725" s="15"/>
    </row>
    <row r="726" spans="1:3" ht="14.25" customHeight="1">
      <c r="A726" s="15"/>
      <c r="B726" s="15"/>
      <c r="C726" s="15"/>
    </row>
    <row r="727" spans="1:3" ht="14.25" customHeight="1">
      <c r="A727" s="15"/>
      <c r="B727" s="15"/>
      <c r="C727" s="15"/>
    </row>
    <row r="728" spans="1:3" ht="14.25" customHeight="1">
      <c r="A728" s="15"/>
      <c r="B728" s="15"/>
      <c r="C728" s="15"/>
    </row>
    <row r="729" spans="1:3" ht="14.25" customHeight="1">
      <c r="A729" s="15"/>
      <c r="B729" s="15"/>
      <c r="C729" s="15"/>
    </row>
    <row r="730" spans="1:3" ht="14.25" customHeight="1">
      <c r="A730" s="15"/>
      <c r="B730" s="15"/>
      <c r="C730" s="15"/>
    </row>
    <row r="731" spans="1:3" ht="14.25" customHeight="1">
      <c r="A731" s="15"/>
      <c r="B731" s="15"/>
      <c r="C731" s="15"/>
    </row>
    <row r="732" spans="1:3" ht="14.25" customHeight="1">
      <c r="A732" s="15"/>
      <c r="B732" s="15"/>
      <c r="C732" s="15"/>
    </row>
    <row r="733" spans="1:3" ht="14.25" customHeight="1">
      <c r="A733" s="15"/>
      <c r="B733" s="15"/>
      <c r="C733" s="15"/>
    </row>
    <row r="734" spans="1:3" ht="14.25" customHeight="1">
      <c r="A734" s="15"/>
      <c r="B734" s="15"/>
      <c r="C734" s="15"/>
    </row>
    <row r="735" spans="1:3" ht="14.25" customHeight="1">
      <c r="A735" s="15"/>
      <c r="B735" s="15"/>
      <c r="C735" s="15"/>
    </row>
    <row r="736" spans="1:3" ht="14.25" customHeight="1">
      <c r="A736" s="15"/>
      <c r="B736" s="15"/>
      <c r="C736" s="15"/>
    </row>
    <row r="737" spans="1:3" ht="14.25" customHeight="1">
      <c r="A737" s="15"/>
      <c r="B737" s="15"/>
      <c r="C737" s="15"/>
    </row>
    <row r="738" spans="1:3" ht="14.25" customHeight="1">
      <c r="A738" s="15"/>
      <c r="B738" s="15"/>
      <c r="C738" s="15"/>
    </row>
    <row r="739" spans="1:3" ht="14.25" customHeight="1">
      <c r="A739" s="15"/>
      <c r="B739" s="15"/>
      <c r="C739" s="15"/>
    </row>
    <row r="740" spans="1:3" ht="14.25" customHeight="1">
      <c r="A740" s="15"/>
      <c r="B740" s="15"/>
      <c r="C740" s="15"/>
    </row>
    <row r="741" spans="1:3" ht="14.25" customHeight="1">
      <c r="A741" s="15"/>
      <c r="B741" s="15"/>
      <c r="C741" s="15"/>
    </row>
    <row r="742" spans="1:3" ht="14.25" customHeight="1">
      <c r="A742" s="15"/>
      <c r="B742" s="15"/>
      <c r="C742" s="15"/>
    </row>
    <row r="743" spans="1:3" ht="14.25" customHeight="1">
      <c r="A743" s="15"/>
      <c r="B743" s="15"/>
      <c r="C743" s="15"/>
    </row>
    <row r="744" spans="1:3" ht="14.25" customHeight="1">
      <c r="A744" s="15"/>
      <c r="B744" s="15"/>
      <c r="C744" s="15"/>
    </row>
    <row r="745" spans="1:3" ht="14.25" customHeight="1">
      <c r="A745" s="15"/>
      <c r="B745" s="15"/>
      <c r="C745" s="15"/>
    </row>
    <row r="746" spans="1:3" ht="14.25" customHeight="1">
      <c r="A746" s="15"/>
      <c r="B746" s="15"/>
      <c r="C746" s="15"/>
    </row>
    <row r="747" spans="1:3" ht="14.25" customHeight="1">
      <c r="A747" s="15"/>
      <c r="B747" s="15"/>
      <c r="C747" s="15"/>
    </row>
    <row r="748" spans="1:3" ht="14.25" customHeight="1">
      <c r="A748" s="15"/>
      <c r="B748" s="15"/>
      <c r="C748" s="15"/>
    </row>
    <row r="749" spans="1:3" ht="14.25" customHeight="1">
      <c r="A749" s="15"/>
      <c r="B749" s="15"/>
      <c r="C749" s="15"/>
    </row>
    <row r="750" spans="1:3" ht="14.25" customHeight="1">
      <c r="A750" s="15"/>
      <c r="B750" s="15"/>
      <c r="C750" s="15"/>
    </row>
    <row r="751" spans="1:3" ht="14.25" customHeight="1">
      <c r="A751" s="15"/>
      <c r="B751" s="15"/>
      <c r="C751" s="15"/>
    </row>
    <row r="752" spans="1:3" ht="14.25" customHeight="1">
      <c r="A752" s="15"/>
      <c r="B752" s="15"/>
      <c r="C752" s="15"/>
    </row>
    <row r="753" spans="1:3" ht="14.25" customHeight="1">
      <c r="A753" s="15"/>
      <c r="B753" s="15"/>
      <c r="C753" s="15"/>
    </row>
    <row r="754" spans="1:3" ht="14.25" customHeight="1">
      <c r="A754" s="15"/>
      <c r="B754" s="15"/>
      <c r="C754" s="15"/>
    </row>
    <row r="755" spans="1:3" ht="14.25" customHeight="1">
      <c r="A755" s="15"/>
      <c r="B755" s="15"/>
      <c r="C755" s="15"/>
    </row>
    <row r="756" spans="1:3" ht="14.25" customHeight="1">
      <c r="A756" s="15"/>
      <c r="B756" s="15"/>
      <c r="C756" s="15"/>
    </row>
    <row r="757" spans="1:3" ht="14.25" customHeight="1">
      <c r="A757" s="15"/>
      <c r="B757" s="15"/>
      <c r="C757" s="15"/>
    </row>
    <row r="758" spans="1:3" ht="14.25" customHeight="1">
      <c r="A758" s="15"/>
      <c r="B758" s="15"/>
      <c r="C758" s="15"/>
    </row>
    <row r="759" spans="1:3" ht="14.25" customHeight="1">
      <c r="A759" s="15"/>
      <c r="B759" s="15"/>
      <c r="C759" s="15"/>
    </row>
    <row r="760" spans="1:3" ht="14.25" customHeight="1">
      <c r="A760" s="15"/>
      <c r="B760" s="15"/>
      <c r="C760" s="15"/>
    </row>
    <row r="761" spans="1:3" ht="14.25" customHeight="1">
      <c r="A761" s="15"/>
      <c r="B761" s="15"/>
      <c r="C761" s="15"/>
    </row>
    <row r="762" spans="1:3" ht="14.25" customHeight="1">
      <c r="A762" s="15"/>
      <c r="B762" s="15"/>
      <c r="C762" s="15"/>
    </row>
    <row r="763" spans="1:3" ht="14.25" customHeight="1">
      <c r="A763" s="15"/>
      <c r="B763" s="15"/>
      <c r="C763" s="15"/>
    </row>
    <row r="764" spans="1:3" ht="14.25" customHeight="1">
      <c r="A764" s="15"/>
      <c r="B764" s="15"/>
      <c r="C764" s="15"/>
    </row>
    <row r="765" spans="1:3" ht="14.25" customHeight="1">
      <c r="A765" s="15"/>
      <c r="B765" s="15"/>
      <c r="C765" s="15"/>
    </row>
    <row r="766" spans="1:3" ht="14.25" customHeight="1">
      <c r="A766" s="15"/>
      <c r="B766" s="15"/>
      <c r="C766" s="15"/>
    </row>
    <row r="767" spans="1:3" ht="14.25" customHeight="1">
      <c r="A767" s="15"/>
      <c r="B767" s="15"/>
      <c r="C767" s="15"/>
    </row>
    <row r="768" spans="1:3" ht="14.25" customHeight="1">
      <c r="A768" s="15"/>
      <c r="B768" s="15"/>
      <c r="C768" s="15"/>
    </row>
    <row r="769" spans="1:3" ht="14.25" customHeight="1">
      <c r="A769" s="15"/>
      <c r="B769" s="15"/>
      <c r="C769" s="15"/>
    </row>
    <row r="770" spans="1:3" ht="14.25" customHeight="1">
      <c r="A770" s="15"/>
      <c r="B770" s="15"/>
      <c r="C770" s="15"/>
    </row>
    <row r="771" spans="1:3" ht="14.25" customHeight="1">
      <c r="A771" s="15"/>
      <c r="B771" s="15"/>
      <c r="C771" s="15"/>
    </row>
    <row r="772" spans="1:3" ht="14.25" customHeight="1">
      <c r="A772" s="15"/>
      <c r="B772" s="15"/>
      <c r="C772" s="15"/>
    </row>
    <row r="773" spans="1:3" ht="14.25" customHeight="1">
      <c r="A773" s="15"/>
      <c r="B773" s="15"/>
      <c r="C773" s="15"/>
    </row>
    <row r="774" spans="1:3" ht="14.25" customHeight="1">
      <c r="A774" s="15"/>
      <c r="B774" s="15"/>
      <c r="C774" s="15"/>
    </row>
    <row r="775" spans="1:3" ht="14.25" customHeight="1">
      <c r="A775" s="15"/>
      <c r="B775" s="15"/>
      <c r="C775" s="15"/>
    </row>
    <row r="776" spans="1:3" ht="14.25" customHeight="1">
      <c r="A776" s="15"/>
      <c r="B776" s="15"/>
      <c r="C776" s="15"/>
    </row>
    <row r="777" spans="1:3" ht="14.25" customHeight="1">
      <c r="A777" s="15"/>
      <c r="B777" s="15"/>
      <c r="C777" s="15"/>
    </row>
    <row r="778" spans="1:3" ht="14.25" customHeight="1">
      <c r="A778" s="15"/>
      <c r="B778" s="15"/>
      <c r="C778" s="15"/>
    </row>
    <row r="779" spans="1:3" ht="14.25" customHeight="1">
      <c r="A779" s="15"/>
      <c r="B779" s="15"/>
      <c r="C779" s="15"/>
    </row>
    <row r="780" spans="1:3" ht="14.25" customHeight="1">
      <c r="A780" s="15"/>
      <c r="B780" s="15"/>
      <c r="C780" s="15"/>
    </row>
    <row r="781" spans="1:3" ht="14.25" customHeight="1">
      <c r="A781" s="15"/>
      <c r="B781" s="15"/>
      <c r="C781" s="15"/>
    </row>
    <row r="782" spans="1:3" ht="14.25" customHeight="1">
      <c r="A782" s="15"/>
      <c r="B782" s="15"/>
      <c r="C782" s="15"/>
    </row>
    <row r="783" spans="1:3" ht="14.25" customHeight="1">
      <c r="A783" s="15"/>
      <c r="B783" s="15"/>
      <c r="C783" s="15"/>
    </row>
    <row r="784" spans="1:3" ht="14.25" customHeight="1">
      <c r="A784" s="15"/>
      <c r="B784" s="15"/>
      <c r="C784" s="15"/>
    </row>
    <row r="785" spans="1:3" ht="14.25" customHeight="1">
      <c r="A785" s="15"/>
      <c r="B785" s="15"/>
      <c r="C785" s="15"/>
    </row>
    <row r="786" spans="1:3" ht="14.25" customHeight="1">
      <c r="A786" s="15"/>
      <c r="B786" s="15"/>
      <c r="C786" s="15"/>
    </row>
    <row r="787" spans="1:3" ht="14.25" customHeight="1">
      <c r="A787" s="15"/>
      <c r="B787" s="15"/>
      <c r="C787" s="15"/>
    </row>
    <row r="788" spans="1:3" ht="14.25" customHeight="1">
      <c r="A788" s="15"/>
      <c r="B788" s="15"/>
      <c r="C788" s="15"/>
    </row>
    <row r="789" spans="1:3" ht="14.25" customHeight="1">
      <c r="A789" s="15"/>
      <c r="B789" s="15"/>
      <c r="C789" s="15"/>
    </row>
    <row r="790" spans="1:3" ht="14.25" customHeight="1">
      <c r="A790" s="15"/>
      <c r="B790" s="15"/>
      <c r="C790" s="15"/>
    </row>
    <row r="791" spans="1:3" ht="14.25" customHeight="1">
      <c r="A791" s="15"/>
      <c r="B791" s="15"/>
      <c r="C791" s="15"/>
    </row>
    <row r="792" spans="1:3" ht="14.25" customHeight="1">
      <c r="A792" s="15"/>
      <c r="B792" s="15"/>
      <c r="C792" s="15"/>
    </row>
    <row r="793" spans="1:3" ht="14.25" customHeight="1">
      <c r="A793" s="15"/>
      <c r="B793" s="15"/>
      <c r="C793" s="15"/>
    </row>
    <row r="794" spans="1:3" ht="14.25" customHeight="1">
      <c r="A794" s="15"/>
      <c r="B794" s="15"/>
      <c r="C794" s="15"/>
    </row>
    <row r="795" spans="1:3" ht="14.25" customHeight="1">
      <c r="A795" s="15"/>
      <c r="B795" s="15"/>
      <c r="C795" s="15"/>
    </row>
    <row r="796" spans="1:3" ht="14.25" customHeight="1">
      <c r="A796" s="15"/>
      <c r="B796" s="15"/>
      <c r="C796" s="15"/>
    </row>
    <row r="797" spans="1:3" ht="14.25" customHeight="1">
      <c r="A797" s="15"/>
      <c r="B797" s="15"/>
      <c r="C797" s="15"/>
    </row>
    <row r="798" spans="1:3" ht="14.25" customHeight="1">
      <c r="A798" s="15"/>
      <c r="B798" s="15"/>
      <c r="C798" s="15"/>
    </row>
    <row r="799" spans="1:3" ht="14.25" customHeight="1">
      <c r="A799" s="15"/>
      <c r="B799" s="15"/>
      <c r="C799" s="15"/>
    </row>
    <row r="800" spans="1:3" ht="14.25" customHeight="1">
      <c r="A800" s="15"/>
      <c r="B800" s="15"/>
      <c r="C800" s="15"/>
    </row>
    <row r="801" spans="1:3" ht="14.25" customHeight="1">
      <c r="A801" s="15"/>
      <c r="B801" s="15"/>
      <c r="C801" s="15"/>
    </row>
    <row r="802" spans="1:3" ht="14.25" customHeight="1">
      <c r="A802" s="15"/>
      <c r="B802" s="15"/>
      <c r="C802" s="15"/>
    </row>
    <row r="803" spans="1:3" ht="14.25" customHeight="1">
      <c r="A803" s="15"/>
      <c r="B803" s="15"/>
      <c r="C803" s="15"/>
    </row>
    <row r="804" spans="1:3" ht="14.25" customHeight="1">
      <c r="A804" s="15"/>
      <c r="B804" s="15"/>
      <c r="C804" s="15"/>
    </row>
    <row r="805" spans="1:3" ht="14.25" customHeight="1">
      <c r="A805" s="15"/>
      <c r="B805" s="15"/>
      <c r="C805" s="15"/>
    </row>
    <row r="806" spans="1:3" ht="14.25" customHeight="1">
      <c r="A806" s="15"/>
      <c r="B806" s="15"/>
      <c r="C806" s="15"/>
    </row>
    <row r="807" spans="1:3" ht="14.25" customHeight="1">
      <c r="A807" s="15"/>
      <c r="B807" s="15"/>
      <c r="C807" s="15"/>
    </row>
    <row r="808" spans="1:3" ht="14.25" customHeight="1">
      <c r="A808" s="15"/>
      <c r="B808" s="15"/>
      <c r="C808" s="15"/>
    </row>
    <row r="809" spans="1:3" ht="14.25" customHeight="1">
      <c r="A809" s="15"/>
      <c r="B809" s="15"/>
      <c r="C809" s="15"/>
    </row>
    <row r="810" spans="1:3" ht="14.25" customHeight="1">
      <c r="A810" s="15"/>
      <c r="B810" s="15"/>
      <c r="C810" s="15"/>
    </row>
    <row r="811" spans="1:3" ht="14.25" customHeight="1">
      <c r="A811" s="15"/>
      <c r="B811" s="15"/>
      <c r="C811" s="15"/>
    </row>
    <row r="812" spans="1:3" ht="14.25" customHeight="1">
      <c r="A812" s="15"/>
      <c r="B812" s="15"/>
      <c r="C812" s="15"/>
    </row>
    <row r="813" spans="1:3" ht="14.25" customHeight="1">
      <c r="A813" s="15"/>
      <c r="B813" s="15"/>
      <c r="C813" s="15"/>
    </row>
    <row r="814" spans="1:3" ht="14.25" customHeight="1">
      <c r="A814" s="15"/>
      <c r="B814" s="15"/>
      <c r="C814" s="15"/>
    </row>
    <row r="815" spans="1:3" ht="14.25" customHeight="1">
      <c r="A815" s="15"/>
      <c r="B815" s="15"/>
      <c r="C815" s="15"/>
    </row>
    <row r="816" spans="1:3" ht="14.25" customHeight="1">
      <c r="A816" s="15"/>
      <c r="B816" s="15"/>
      <c r="C816" s="15"/>
    </row>
    <row r="817" spans="1:3" ht="14.25" customHeight="1">
      <c r="A817" s="15"/>
      <c r="B817" s="15"/>
      <c r="C817" s="15"/>
    </row>
    <row r="818" spans="1:3" ht="14.25" customHeight="1">
      <c r="A818" s="15"/>
      <c r="B818" s="15"/>
      <c r="C818" s="15"/>
    </row>
    <row r="819" spans="1:3" ht="14.25" customHeight="1">
      <c r="A819" s="15"/>
      <c r="B819" s="15"/>
      <c r="C819" s="15"/>
    </row>
    <row r="820" spans="1:3" ht="14.25" customHeight="1">
      <c r="A820" s="15"/>
      <c r="B820" s="15"/>
      <c r="C820" s="15"/>
    </row>
    <row r="821" spans="1:3" ht="14.25" customHeight="1">
      <c r="A821" s="15"/>
      <c r="B821" s="15"/>
      <c r="C821" s="15"/>
    </row>
    <row r="822" spans="1:3" ht="14.25" customHeight="1">
      <c r="A822" s="15"/>
      <c r="B822" s="15"/>
      <c r="C822" s="15"/>
    </row>
    <row r="823" spans="1:3" ht="14.25" customHeight="1">
      <c r="A823" s="15"/>
      <c r="B823" s="15"/>
      <c r="C823" s="15"/>
    </row>
    <row r="824" spans="1:3" ht="14.25" customHeight="1">
      <c r="A824" s="15"/>
      <c r="B824" s="15"/>
      <c r="C824" s="15"/>
    </row>
    <row r="825" spans="1:3" ht="14.25" customHeight="1">
      <c r="A825" s="15"/>
      <c r="B825" s="15"/>
      <c r="C825" s="15"/>
    </row>
    <row r="826" spans="1:3" ht="14.25" customHeight="1">
      <c r="A826" s="15"/>
      <c r="B826" s="15"/>
      <c r="C826" s="15"/>
    </row>
    <row r="827" spans="1:3" ht="14.25" customHeight="1">
      <c r="A827" s="15"/>
      <c r="B827" s="15"/>
      <c r="C827" s="15"/>
    </row>
    <row r="828" spans="1:3" ht="14.25" customHeight="1">
      <c r="A828" s="15"/>
      <c r="B828" s="15"/>
      <c r="C828" s="15"/>
    </row>
    <row r="829" spans="1:3" ht="14.25" customHeight="1">
      <c r="A829" s="15"/>
      <c r="B829" s="15"/>
      <c r="C829" s="15"/>
    </row>
    <row r="830" spans="1:3" ht="14.25" customHeight="1">
      <c r="A830" s="15"/>
      <c r="B830" s="15"/>
      <c r="C830" s="15"/>
    </row>
    <row r="831" spans="1:3" ht="14.25" customHeight="1">
      <c r="A831" s="15"/>
      <c r="B831" s="15"/>
      <c r="C831" s="15"/>
    </row>
    <row r="832" spans="1:3" ht="14.25" customHeight="1">
      <c r="A832" s="15"/>
      <c r="B832" s="15"/>
      <c r="C832" s="15"/>
    </row>
    <row r="833" spans="1:3" ht="14.25" customHeight="1">
      <c r="A833" s="15"/>
      <c r="B833" s="15"/>
      <c r="C833" s="15"/>
    </row>
    <row r="834" spans="1:3" ht="14.25" customHeight="1">
      <c r="A834" s="15"/>
      <c r="B834" s="15"/>
      <c r="C834" s="15"/>
    </row>
    <row r="835" spans="1:3" ht="14.25" customHeight="1">
      <c r="A835" s="15"/>
      <c r="B835" s="15"/>
      <c r="C835" s="15"/>
    </row>
    <row r="836" spans="1:3" ht="14.25" customHeight="1">
      <c r="A836" s="15"/>
      <c r="B836" s="15"/>
      <c r="C836" s="15"/>
    </row>
    <row r="837" spans="1:3" ht="14.25" customHeight="1">
      <c r="A837" s="15"/>
      <c r="B837" s="15"/>
      <c r="C837" s="15"/>
    </row>
    <row r="838" spans="1:3" ht="14.25" customHeight="1">
      <c r="A838" s="15"/>
      <c r="B838" s="15"/>
      <c r="C838" s="15"/>
    </row>
    <row r="839" spans="1:3" ht="14.25" customHeight="1">
      <c r="A839" s="15"/>
      <c r="B839" s="15"/>
      <c r="C839" s="15"/>
    </row>
    <row r="840" spans="1:3" ht="14.25" customHeight="1">
      <c r="A840" s="15"/>
      <c r="B840" s="15"/>
      <c r="C840" s="15"/>
    </row>
    <row r="841" spans="1:3" ht="14.25" customHeight="1">
      <c r="A841" s="15"/>
      <c r="B841" s="15"/>
      <c r="C841" s="15"/>
    </row>
    <row r="842" spans="1:3" ht="14.25" customHeight="1">
      <c r="A842" s="15"/>
      <c r="B842" s="15"/>
      <c r="C842" s="15"/>
    </row>
    <row r="843" spans="1:3" ht="14.25" customHeight="1">
      <c r="A843" s="15"/>
      <c r="B843" s="15"/>
      <c r="C843" s="15"/>
    </row>
    <row r="844" spans="1:3" ht="14.25" customHeight="1">
      <c r="A844" s="15"/>
      <c r="B844" s="15"/>
      <c r="C844" s="15"/>
    </row>
    <row r="845" spans="1:3" ht="14.25" customHeight="1">
      <c r="A845" s="15"/>
      <c r="B845" s="15"/>
      <c r="C845" s="15"/>
    </row>
    <row r="846" spans="1:3" ht="14.25" customHeight="1">
      <c r="A846" s="15"/>
      <c r="B846" s="15"/>
      <c r="C846" s="15"/>
    </row>
    <row r="847" spans="1:3" ht="14.25" customHeight="1">
      <c r="A847" s="15"/>
      <c r="B847" s="15"/>
      <c r="C847" s="15"/>
    </row>
    <row r="848" spans="1:3" ht="14.25" customHeight="1">
      <c r="A848" s="15"/>
      <c r="B848" s="15"/>
      <c r="C848" s="15"/>
    </row>
    <row r="849" spans="1:3" ht="14.25" customHeight="1">
      <c r="A849" s="15"/>
      <c r="B849" s="15"/>
      <c r="C849" s="15"/>
    </row>
    <row r="850" spans="1:3" ht="14.25" customHeight="1">
      <c r="A850" s="15"/>
      <c r="B850" s="15"/>
      <c r="C850" s="15"/>
    </row>
    <row r="851" spans="1:3" ht="14.25" customHeight="1">
      <c r="A851" s="15"/>
      <c r="B851" s="15"/>
      <c r="C851" s="15"/>
    </row>
    <row r="852" spans="1:3" ht="14.25" customHeight="1">
      <c r="A852" s="15"/>
      <c r="B852" s="15"/>
      <c r="C852" s="15"/>
    </row>
    <row r="853" spans="1:3" ht="14.25" customHeight="1">
      <c r="A853" s="15"/>
      <c r="B853" s="15"/>
      <c r="C853" s="15"/>
    </row>
    <row r="854" spans="1:3" ht="14.25" customHeight="1">
      <c r="A854" s="15"/>
      <c r="B854" s="15"/>
      <c r="C854" s="15"/>
    </row>
    <row r="855" spans="1:3" ht="14.25" customHeight="1">
      <c r="A855" s="15"/>
      <c r="B855" s="15"/>
      <c r="C855" s="15"/>
    </row>
    <row r="856" spans="1:3" ht="14.25" customHeight="1">
      <c r="A856" s="15"/>
      <c r="B856" s="15"/>
      <c r="C856" s="15"/>
    </row>
    <row r="857" spans="1:3" ht="14.25" customHeight="1">
      <c r="A857" s="15"/>
      <c r="B857" s="15"/>
      <c r="C857" s="15"/>
    </row>
    <row r="858" spans="1:3" ht="14.25" customHeight="1">
      <c r="A858" s="15"/>
      <c r="B858" s="15"/>
      <c r="C858" s="15"/>
    </row>
    <row r="859" spans="1:3" ht="14.25" customHeight="1">
      <c r="A859" s="15"/>
      <c r="B859" s="15"/>
      <c r="C859" s="15"/>
    </row>
    <row r="860" spans="1:3" ht="14.25" customHeight="1">
      <c r="A860" s="15"/>
      <c r="B860" s="15"/>
      <c r="C860" s="15"/>
    </row>
    <row r="861" spans="1:3" ht="14.25" customHeight="1">
      <c r="A861" s="15"/>
      <c r="B861" s="15"/>
      <c r="C861" s="15"/>
    </row>
    <row r="862" spans="1:3" ht="14.25" customHeight="1">
      <c r="A862" s="15"/>
      <c r="B862" s="15"/>
      <c r="C862" s="15"/>
    </row>
    <row r="863" spans="1:3" ht="14.25" customHeight="1">
      <c r="A863" s="15"/>
      <c r="B863" s="15"/>
      <c r="C863" s="15"/>
    </row>
    <row r="864" spans="1:3" ht="14.25" customHeight="1">
      <c r="A864" s="15"/>
      <c r="B864" s="15"/>
      <c r="C864" s="15"/>
    </row>
    <row r="865" spans="1:3" ht="14.25" customHeight="1">
      <c r="A865" s="15"/>
      <c r="B865" s="15"/>
      <c r="C865" s="15"/>
    </row>
    <row r="866" spans="1:3" ht="14.25" customHeight="1">
      <c r="A866" s="15"/>
      <c r="B866" s="15"/>
      <c r="C866" s="15"/>
    </row>
    <row r="867" spans="1:3" ht="14.25" customHeight="1">
      <c r="A867" s="15"/>
      <c r="B867" s="15"/>
      <c r="C867" s="15"/>
    </row>
    <row r="868" spans="1:3" ht="14.25" customHeight="1">
      <c r="A868" s="15"/>
      <c r="B868" s="15"/>
      <c r="C868" s="15"/>
    </row>
    <row r="869" spans="1:3" ht="14.25" customHeight="1">
      <c r="A869" s="15"/>
      <c r="B869" s="15"/>
      <c r="C869" s="15"/>
    </row>
    <row r="870" spans="1:3" ht="14.25" customHeight="1">
      <c r="A870" s="15"/>
      <c r="B870" s="15"/>
      <c r="C870" s="15"/>
    </row>
    <row r="871" spans="1:3" ht="14.25" customHeight="1">
      <c r="A871" s="15"/>
      <c r="B871" s="15"/>
      <c r="C871" s="15"/>
    </row>
    <row r="872" spans="1:3" ht="14.25" customHeight="1">
      <c r="A872" s="15"/>
      <c r="B872" s="15"/>
      <c r="C872" s="15"/>
    </row>
    <row r="873" spans="1:3" ht="14.25" customHeight="1">
      <c r="A873" s="15"/>
      <c r="B873" s="15"/>
      <c r="C873" s="15"/>
    </row>
    <row r="874" spans="1:3" ht="14.25" customHeight="1">
      <c r="A874" s="15"/>
      <c r="B874" s="15"/>
      <c r="C874" s="15"/>
    </row>
    <row r="875" spans="1:3" ht="14.25" customHeight="1">
      <c r="A875" s="15"/>
      <c r="B875" s="15"/>
      <c r="C875" s="15"/>
    </row>
    <row r="876" spans="1:3" ht="14.25" customHeight="1">
      <c r="A876" s="15"/>
      <c r="B876" s="15"/>
      <c r="C876" s="15"/>
    </row>
    <row r="877" spans="1:3" ht="14.25" customHeight="1">
      <c r="A877" s="15"/>
      <c r="B877" s="15"/>
      <c r="C877" s="15"/>
    </row>
    <row r="878" spans="1:3" ht="14.25" customHeight="1">
      <c r="A878" s="15"/>
      <c r="B878" s="15"/>
      <c r="C878" s="15"/>
    </row>
    <row r="879" spans="1:3" ht="14.25" customHeight="1">
      <c r="A879" s="15"/>
      <c r="B879" s="15"/>
      <c r="C879" s="15"/>
    </row>
    <row r="880" spans="1:3" ht="14.25" customHeight="1">
      <c r="A880" s="15"/>
      <c r="B880" s="15"/>
      <c r="C880" s="15"/>
    </row>
    <row r="881" spans="1:3" ht="14.25" customHeight="1">
      <c r="A881" s="15"/>
      <c r="B881" s="15"/>
      <c r="C881" s="15"/>
    </row>
    <row r="882" spans="1:3" ht="14.25" customHeight="1">
      <c r="A882" s="15"/>
      <c r="B882" s="15"/>
      <c r="C882" s="15"/>
    </row>
    <row r="883" spans="1:3" ht="14.25" customHeight="1">
      <c r="A883" s="15"/>
      <c r="B883" s="15"/>
      <c r="C883" s="15"/>
    </row>
    <row r="884" spans="1:3" ht="14.25" customHeight="1">
      <c r="A884" s="15"/>
      <c r="B884" s="15"/>
      <c r="C884" s="15"/>
    </row>
    <row r="885" spans="1:3" ht="14.25" customHeight="1">
      <c r="A885" s="15"/>
      <c r="B885" s="15"/>
      <c r="C885" s="15"/>
    </row>
    <row r="886" spans="1:3" ht="14.25" customHeight="1">
      <c r="A886" s="15"/>
      <c r="B886" s="15"/>
      <c r="C886" s="15"/>
    </row>
    <row r="887" spans="1:3" ht="14.25" customHeight="1">
      <c r="A887" s="15"/>
      <c r="B887" s="15"/>
      <c r="C887" s="15"/>
    </row>
    <row r="888" spans="1:3" ht="14.25" customHeight="1">
      <c r="A888" s="15"/>
      <c r="B888" s="15"/>
      <c r="C888" s="15"/>
    </row>
    <row r="889" spans="1:3" ht="14.25" customHeight="1">
      <c r="A889" s="15"/>
      <c r="B889" s="15"/>
      <c r="C889" s="15"/>
    </row>
    <row r="890" spans="1:3" ht="14.25" customHeight="1">
      <c r="A890" s="15"/>
      <c r="B890" s="15"/>
      <c r="C890" s="15"/>
    </row>
    <row r="891" spans="1:3" ht="14.25" customHeight="1">
      <c r="A891" s="15"/>
      <c r="B891" s="15"/>
      <c r="C891" s="15"/>
    </row>
    <row r="892" spans="1:3" ht="14.25" customHeight="1">
      <c r="A892" s="15"/>
      <c r="B892" s="15"/>
      <c r="C892" s="15"/>
    </row>
    <row r="893" spans="1:3" ht="14.25" customHeight="1">
      <c r="A893" s="15"/>
      <c r="B893" s="15"/>
      <c r="C893" s="15"/>
    </row>
    <row r="894" spans="1:3" ht="14.25" customHeight="1">
      <c r="A894" s="15"/>
      <c r="B894" s="15"/>
      <c r="C894" s="15"/>
    </row>
    <row r="895" spans="1:3" ht="14.25" customHeight="1">
      <c r="A895" s="15"/>
      <c r="B895" s="15"/>
      <c r="C895" s="15"/>
    </row>
    <row r="896" spans="1:3" ht="14.25" customHeight="1">
      <c r="A896" s="15"/>
      <c r="B896" s="15"/>
      <c r="C896" s="15"/>
    </row>
    <row r="897" spans="1:3" ht="14.25" customHeight="1">
      <c r="A897" s="15"/>
      <c r="B897" s="15"/>
      <c r="C897" s="15"/>
    </row>
    <row r="898" spans="1:3" ht="14.25" customHeight="1">
      <c r="A898" s="15"/>
      <c r="B898" s="15"/>
      <c r="C898" s="15"/>
    </row>
    <row r="899" spans="1:3" ht="14.25" customHeight="1">
      <c r="A899" s="15"/>
      <c r="B899" s="15"/>
      <c r="C899" s="15"/>
    </row>
    <row r="900" spans="1:3" ht="14.25" customHeight="1">
      <c r="A900" s="15"/>
      <c r="B900" s="15"/>
      <c r="C900" s="15"/>
    </row>
    <row r="901" spans="1:3" ht="14.25" customHeight="1">
      <c r="A901" s="15"/>
      <c r="B901" s="15"/>
      <c r="C901" s="15"/>
    </row>
    <row r="902" spans="1:3" ht="14.25" customHeight="1">
      <c r="A902" s="15"/>
      <c r="B902" s="15"/>
      <c r="C902" s="15"/>
    </row>
    <row r="903" spans="1:3" ht="14.25" customHeight="1">
      <c r="A903" s="15"/>
      <c r="B903" s="15"/>
      <c r="C903" s="15"/>
    </row>
    <row r="904" spans="1:3" ht="14.25" customHeight="1">
      <c r="A904" s="15"/>
      <c r="B904" s="15"/>
      <c r="C904" s="15"/>
    </row>
    <row r="905" spans="1:3" ht="14.25" customHeight="1">
      <c r="A905" s="15"/>
      <c r="B905" s="15"/>
      <c r="C905" s="15"/>
    </row>
    <row r="906" spans="1:3" ht="14.25" customHeight="1">
      <c r="A906" s="15"/>
      <c r="B906" s="15"/>
      <c r="C906" s="15"/>
    </row>
    <row r="907" spans="1:3" ht="14.25" customHeight="1">
      <c r="A907" s="15"/>
      <c r="B907" s="15"/>
      <c r="C907" s="15"/>
    </row>
    <row r="908" spans="1:3" ht="14.25" customHeight="1">
      <c r="A908" s="15"/>
      <c r="B908" s="15"/>
      <c r="C908" s="15"/>
    </row>
    <row r="909" spans="1:3" ht="14.25" customHeight="1">
      <c r="A909" s="15"/>
      <c r="B909" s="15"/>
      <c r="C909" s="15"/>
    </row>
    <row r="910" spans="1:3" ht="14.25" customHeight="1">
      <c r="A910" s="15"/>
      <c r="B910" s="15"/>
      <c r="C910" s="15"/>
    </row>
    <row r="911" spans="1:3" ht="14.25" customHeight="1">
      <c r="A911" s="15"/>
      <c r="B911" s="15"/>
      <c r="C911" s="15"/>
    </row>
    <row r="912" spans="1:3" ht="14.25" customHeight="1">
      <c r="A912" s="15"/>
      <c r="B912" s="15"/>
      <c r="C912" s="15"/>
    </row>
    <row r="913" spans="1:3" ht="14.25" customHeight="1">
      <c r="A913" s="15"/>
      <c r="B913" s="15"/>
      <c r="C913" s="15"/>
    </row>
    <row r="914" spans="1:3" ht="14.25" customHeight="1">
      <c r="A914" s="15"/>
      <c r="B914" s="15"/>
      <c r="C914" s="15"/>
    </row>
    <row r="915" spans="1:3" ht="14.25" customHeight="1">
      <c r="A915" s="15"/>
      <c r="B915" s="15"/>
      <c r="C915" s="15"/>
    </row>
    <row r="916" spans="1:3" ht="14.25" customHeight="1">
      <c r="A916" s="15"/>
      <c r="B916" s="15"/>
      <c r="C916" s="15"/>
    </row>
    <row r="917" spans="1:3" ht="14.25" customHeight="1">
      <c r="A917" s="15"/>
      <c r="B917" s="15"/>
      <c r="C917" s="15"/>
    </row>
    <row r="918" spans="1:3" ht="14.25" customHeight="1">
      <c r="A918" s="15"/>
      <c r="B918" s="15"/>
      <c r="C918" s="15"/>
    </row>
    <row r="919" spans="1:3" ht="14.25" customHeight="1">
      <c r="A919" s="15"/>
      <c r="B919" s="15"/>
      <c r="C919" s="15"/>
    </row>
    <row r="920" spans="1:3" ht="14.25" customHeight="1">
      <c r="A920" s="15"/>
      <c r="B920" s="15"/>
      <c r="C920" s="15"/>
    </row>
    <row r="921" spans="1:3" ht="14.25" customHeight="1">
      <c r="A921" s="15"/>
      <c r="B921" s="15"/>
      <c r="C921" s="15"/>
    </row>
    <row r="922" spans="1:3" ht="14.25" customHeight="1">
      <c r="A922" s="15"/>
      <c r="B922" s="15"/>
      <c r="C922" s="15"/>
    </row>
    <row r="923" spans="1:3" ht="14.25" customHeight="1">
      <c r="A923" s="15"/>
      <c r="B923" s="15"/>
      <c r="C923" s="15"/>
    </row>
    <row r="924" spans="1:3" ht="14.25" customHeight="1">
      <c r="A924" s="15"/>
      <c r="B924" s="15"/>
      <c r="C924" s="15"/>
    </row>
    <row r="925" spans="1:3" ht="14.25" customHeight="1">
      <c r="A925" s="15"/>
      <c r="B925" s="15"/>
      <c r="C925" s="15"/>
    </row>
    <row r="926" spans="1:3" ht="14.25" customHeight="1">
      <c r="A926" s="15"/>
      <c r="B926" s="15"/>
      <c r="C926" s="15"/>
    </row>
    <row r="927" spans="1:3" ht="14.25" customHeight="1">
      <c r="A927" s="15"/>
      <c r="B927" s="15"/>
      <c r="C927" s="15"/>
    </row>
    <row r="928" spans="1:3" ht="14.25" customHeight="1">
      <c r="A928" s="15"/>
      <c r="B928" s="15"/>
      <c r="C928" s="15"/>
    </row>
    <row r="929" spans="1:3" ht="14.25" customHeight="1">
      <c r="A929" s="15"/>
      <c r="B929" s="15"/>
      <c r="C929" s="15"/>
    </row>
    <row r="930" spans="1:3" ht="14.25" customHeight="1">
      <c r="A930" s="15"/>
      <c r="B930" s="15"/>
      <c r="C930" s="15"/>
    </row>
    <row r="931" spans="1:3" ht="14.25" customHeight="1">
      <c r="A931" s="15"/>
      <c r="B931" s="15"/>
      <c r="C931" s="15"/>
    </row>
    <row r="932" spans="1:3" ht="14.25" customHeight="1">
      <c r="A932" s="15"/>
      <c r="B932" s="15"/>
      <c r="C932" s="15"/>
    </row>
    <row r="933" spans="1:3" ht="14.25" customHeight="1">
      <c r="A933" s="15"/>
      <c r="B933" s="15"/>
      <c r="C933" s="15"/>
    </row>
    <row r="934" spans="1:3" ht="14.25" customHeight="1">
      <c r="A934" s="15"/>
      <c r="B934" s="15"/>
      <c r="C934" s="15"/>
    </row>
    <row r="935" spans="1:3" ht="14.25" customHeight="1">
      <c r="A935" s="15"/>
      <c r="B935" s="15"/>
      <c r="C935" s="15"/>
    </row>
    <row r="936" spans="1:3" ht="14.25" customHeight="1">
      <c r="A936" s="15"/>
      <c r="B936" s="15"/>
      <c r="C936" s="15"/>
    </row>
    <row r="937" spans="1:3" ht="14.25" customHeight="1">
      <c r="A937" s="15"/>
      <c r="B937" s="15"/>
      <c r="C937" s="15"/>
    </row>
    <row r="938" spans="1:3" ht="14.25" customHeight="1">
      <c r="A938" s="15"/>
      <c r="B938" s="15"/>
      <c r="C938" s="15"/>
    </row>
    <row r="939" spans="1:3" ht="14.25" customHeight="1">
      <c r="A939" s="15"/>
      <c r="B939" s="15"/>
      <c r="C939" s="15"/>
    </row>
    <row r="940" spans="1:3" ht="14.25" customHeight="1">
      <c r="A940" s="15"/>
      <c r="B940" s="15"/>
      <c r="C940" s="15"/>
    </row>
    <row r="941" spans="1:3" ht="14.25" customHeight="1">
      <c r="A941" s="15"/>
      <c r="B941" s="15"/>
      <c r="C941" s="15"/>
    </row>
    <row r="942" spans="1:3" ht="14.25" customHeight="1">
      <c r="A942" s="15"/>
      <c r="B942" s="15"/>
      <c r="C942" s="15"/>
    </row>
    <row r="943" spans="1:3" ht="14.25" customHeight="1">
      <c r="A943" s="15"/>
      <c r="B943" s="15"/>
      <c r="C943" s="15"/>
    </row>
    <row r="944" spans="1:3" ht="14.25" customHeight="1">
      <c r="A944" s="15"/>
      <c r="B944" s="15"/>
      <c r="C944" s="15"/>
    </row>
    <row r="945" spans="1:3" ht="14.25" customHeight="1">
      <c r="A945" s="15"/>
      <c r="B945" s="15"/>
      <c r="C945" s="15"/>
    </row>
    <row r="946" spans="1:3" ht="14.25" customHeight="1">
      <c r="A946" s="15"/>
      <c r="B946" s="15"/>
      <c r="C946" s="15"/>
    </row>
    <row r="947" spans="1:3" ht="14.25" customHeight="1">
      <c r="A947" s="15"/>
      <c r="B947" s="15"/>
      <c r="C947" s="15"/>
    </row>
    <row r="948" spans="1:3" ht="14.25" customHeight="1">
      <c r="A948" s="15"/>
      <c r="B948" s="15"/>
      <c r="C948" s="15"/>
    </row>
    <row r="949" spans="1:3" ht="14.25" customHeight="1">
      <c r="A949" s="15"/>
      <c r="B949" s="15"/>
      <c r="C949" s="15"/>
    </row>
    <row r="950" spans="1:3" ht="14.25" customHeight="1">
      <c r="A950" s="15"/>
      <c r="B950" s="15"/>
      <c r="C950" s="15"/>
    </row>
    <row r="951" spans="1:3" ht="14.25" customHeight="1">
      <c r="A951" s="15"/>
      <c r="B951" s="15"/>
      <c r="C951" s="15"/>
    </row>
    <row r="952" spans="1:3" ht="14.25" customHeight="1">
      <c r="A952" s="15"/>
      <c r="B952" s="15"/>
      <c r="C952" s="15"/>
    </row>
    <row r="953" spans="1:3" ht="14.25" customHeight="1">
      <c r="A953" s="15"/>
      <c r="B953" s="15"/>
      <c r="C953" s="15"/>
    </row>
    <row r="954" spans="1:3" ht="14.25" customHeight="1">
      <c r="A954" s="15"/>
      <c r="B954" s="15"/>
      <c r="C954" s="15"/>
    </row>
    <row r="955" spans="1:3" ht="14.25" customHeight="1">
      <c r="A955" s="15"/>
      <c r="B955" s="15"/>
      <c r="C955" s="15"/>
    </row>
    <row r="956" spans="1:3" ht="14.25" customHeight="1">
      <c r="A956" s="15"/>
      <c r="B956" s="15"/>
      <c r="C956" s="15"/>
    </row>
    <row r="957" spans="1:3" ht="14.25" customHeight="1">
      <c r="A957" s="15"/>
      <c r="B957" s="15"/>
      <c r="C957" s="15"/>
    </row>
    <row r="958" spans="1:3" ht="14.25" customHeight="1">
      <c r="A958" s="15"/>
      <c r="B958" s="15"/>
      <c r="C958" s="15"/>
    </row>
    <row r="959" spans="1:3" ht="14.25" customHeight="1">
      <c r="A959" s="15"/>
      <c r="B959" s="15"/>
      <c r="C959" s="15"/>
    </row>
    <row r="960" spans="1:3" ht="14.25" customHeight="1">
      <c r="A960" s="15"/>
      <c r="B960" s="15"/>
      <c r="C960" s="15"/>
    </row>
    <row r="961" spans="1:3" ht="14.25" customHeight="1">
      <c r="A961" s="15"/>
      <c r="B961" s="15"/>
      <c r="C961" s="15"/>
    </row>
    <row r="962" spans="1:3" ht="14.25" customHeight="1">
      <c r="A962" s="15"/>
      <c r="B962" s="15"/>
      <c r="C962" s="15"/>
    </row>
    <row r="963" spans="1:3" ht="14.25" customHeight="1">
      <c r="A963" s="15"/>
      <c r="B963" s="15"/>
      <c r="C963" s="15"/>
    </row>
    <row r="964" spans="1:3" ht="14.25" customHeight="1">
      <c r="A964" s="15"/>
      <c r="B964" s="15"/>
      <c r="C964" s="15"/>
    </row>
    <row r="965" spans="1:3" ht="14.25" customHeight="1">
      <c r="A965" s="15"/>
      <c r="B965" s="15"/>
      <c r="C965" s="15"/>
    </row>
    <row r="966" spans="1:3" ht="14.25" customHeight="1">
      <c r="A966" s="15"/>
      <c r="B966" s="15"/>
      <c r="C966" s="15"/>
    </row>
    <row r="967" spans="1:3" ht="14.25" customHeight="1">
      <c r="A967" s="15"/>
      <c r="B967" s="15"/>
      <c r="C967" s="15"/>
    </row>
    <row r="968" spans="1:3" ht="14.25" customHeight="1">
      <c r="A968" s="15"/>
      <c r="B968" s="15"/>
      <c r="C968" s="15"/>
    </row>
    <row r="969" spans="1:3" ht="14.25" customHeight="1">
      <c r="A969" s="15"/>
      <c r="B969" s="15"/>
      <c r="C969" s="15"/>
    </row>
    <row r="970" spans="1:3" ht="14.25" customHeight="1">
      <c r="A970" s="15"/>
      <c r="B970" s="15"/>
      <c r="C970" s="15"/>
    </row>
    <row r="971" spans="1:3" ht="14.25" customHeight="1">
      <c r="A971" s="15"/>
      <c r="B971" s="15"/>
      <c r="C971" s="15"/>
    </row>
    <row r="972" spans="1:3" ht="14.25" customHeight="1">
      <c r="A972" s="15"/>
      <c r="B972" s="15"/>
      <c r="C972" s="15"/>
    </row>
    <row r="973" spans="1:3" ht="14.25" customHeight="1">
      <c r="A973" s="15"/>
      <c r="B973" s="15"/>
      <c r="C973" s="15"/>
    </row>
    <row r="974" spans="1:3" ht="14.25" customHeight="1">
      <c r="A974" s="15"/>
      <c r="B974" s="15"/>
      <c r="C974" s="15"/>
    </row>
    <row r="975" spans="1:3" ht="14.25" customHeight="1">
      <c r="A975" s="15"/>
      <c r="B975" s="15"/>
      <c r="C975" s="15"/>
    </row>
    <row r="976" spans="1:3" ht="14.25" customHeight="1">
      <c r="A976" s="15"/>
      <c r="B976" s="15"/>
      <c r="C976" s="15"/>
    </row>
    <row r="977" spans="1:3" ht="14.25" customHeight="1">
      <c r="A977" s="15"/>
      <c r="B977" s="15"/>
      <c r="C977" s="15"/>
    </row>
    <row r="978" spans="1:3" ht="14.25" customHeight="1">
      <c r="A978" s="15"/>
      <c r="B978" s="15"/>
      <c r="C978" s="15"/>
    </row>
    <row r="979" spans="1:3" ht="14.25" customHeight="1">
      <c r="A979" s="15"/>
      <c r="B979" s="15"/>
      <c r="C979" s="15"/>
    </row>
    <row r="980" spans="1:3" ht="14.25" customHeight="1">
      <c r="A980" s="15"/>
      <c r="B980" s="15"/>
      <c r="C980" s="15"/>
    </row>
    <row r="981" spans="1:3" ht="14.25" customHeight="1">
      <c r="A981" s="15"/>
      <c r="B981" s="15"/>
      <c r="C981" s="15"/>
    </row>
    <row r="982" spans="1:3" ht="14.25" customHeight="1">
      <c r="A982" s="15"/>
      <c r="B982" s="15"/>
      <c r="C982" s="15"/>
    </row>
    <row r="983" spans="1:3" ht="14.25" customHeight="1">
      <c r="A983" s="15"/>
      <c r="B983" s="15"/>
      <c r="C983" s="15"/>
    </row>
    <row r="984" spans="1:3" ht="14.25" customHeight="1">
      <c r="A984" s="15"/>
      <c r="B984" s="15"/>
      <c r="C984" s="15"/>
    </row>
    <row r="985" spans="1:3" ht="14.25" customHeight="1">
      <c r="A985" s="15"/>
      <c r="B985" s="15"/>
      <c r="C985" s="15"/>
    </row>
    <row r="986" spans="1:3" ht="14.25" customHeight="1">
      <c r="A986" s="15"/>
      <c r="B986" s="15"/>
      <c r="C986" s="15"/>
    </row>
    <row r="987" spans="1:3" ht="14.25" customHeight="1">
      <c r="A987" s="15"/>
      <c r="B987" s="15"/>
      <c r="C987" s="15"/>
    </row>
    <row r="988" spans="1:3" ht="14.25" customHeight="1">
      <c r="A988" s="15"/>
      <c r="B988" s="15"/>
      <c r="C988" s="15"/>
    </row>
    <row r="989" spans="1:3" ht="14.25" customHeight="1">
      <c r="A989" s="15"/>
      <c r="B989" s="15"/>
      <c r="C989" s="15"/>
    </row>
    <row r="990" spans="1:3" ht="14.25" customHeight="1">
      <c r="A990" s="15"/>
      <c r="B990" s="15"/>
      <c r="C990" s="15"/>
    </row>
    <row r="991" spans="1:3" ht="14.25" customHeight="1">
      <c r="A991" s="15"/>
      <c r="B991" s="15"/>
      <c r="C991" s="15"/>
    </row>
    <row r="992" spans="1:3" ht="14.25" customHeight="1">
      <c r="A992" s="15"/>
      <c r="B992" s="15"/>
      <c r="C992" s="15"/>
    </row>
    <row r="993" spans="1:3" ht="14.25" customHeight="1">
      <c r="A993" s="15"/>
      <c r="B993" s="15"/>
      <c r="C993" s="15"/>
    </row>
    <row r="994" spans="1:3" ht="14.25" customHeight="1">
      <c r="A994" s="15"/>
      <c r="B994" s="15"/>
      <c r="C994" s="15"/>
    </row>
    <row r="995" spans="1:3" ht="14.25" customHeight="1">
      <c r="A995" s="15"/>
      <c r="B995" s="15"/>
      <c r="C995" s="15"/>
    </row>
    <row r="996" spans="1:3" ht="14.25" customHeight="1">
      <c r="A996" s="15"/>
      <c r="B996" s="15"/>
      <c r="C996" s="15"/>
    </row>
    <row r="997" spans="1:3" ht="14.25" customHeight="1">
      <c r="A997" s="15"/>
      <c r="B997" s="15"/>
      <c r="C997" s="15"/>
    </row>
    <row r="998" spans="1:3" ht="14.25" customHeight="1">
      <c r="A998" s="15"/>
      <c r="B998" s="15"/>
      <c r="C998" s="15"/>
    </row>
    <row r="999" spans="1:3" ht="14.25" customHeight="1">
      <c r="A999" s="15"/>
      <c r="B999" s="15"/>
      <c r="C999" s="15"/>
    </row>
    <row r="1000" spans="1:3" ht="14.25" customHeight="1">
      <c r="A1000" s="15"/>
      <c r="B1000" s="15"/>
      <c r="C1000" s="15"/>
    </row>
    <row r="1001" spans="1:3" ht="14.25" customHeight="1">
      <c r="A1001" s="15"/>
      <c r="B1001" s="15"/>
      <c r="C1001" s="15"/>
    </row>
    <row r="1002" spans="1:3" ht="14.25" customHeight="1">
      <c r="A1002" s="15"/>
      <c r="B1002" s="15"/>
      <c r="C1002" s="15"/>
    </row>
    <row r="1003" spans="1:3" ht="14.25" customHeight="1">
      <c r="A1003" s="15"/>
      <c r="B1003" s="15"/>
      <c r="C1003" s="15"/>
    </row>
    <row r="1004" spans="1:3" ht="14.25" customHeight="1">
      <c r="A1004" s="15"/>
      <c r="B1004" s="15"/>
      <c r="C1004" s="15"/>
    </row>
    <row r="1005" spans="1:3" ht="14.25" customHeight="1">
      <c r="A1005" s="15"/>
      <c r="B1005" s="15"/>
      <c r="C1005" s="15"/>
    </row>
    <row r="1006" spans="1:3" ht="14.25" customHeight="1">
      <c r="A1006" s="15"/>
      <c r="B1006" s="15"/>
      <c r="C1006" s="15"/>
    </row>
    <row r="1007" spans="1:3" ht="14.25" customHeight="1">
      <c r="A1007" s="15"/>
      <c r="B1007" s="15"/>
      <c r="C1007" s="15"/>
    </row>
    <row r="1008" spans="1:3" ht="14.25" customHeight="1">
      <c r="A1008" s="15"/>
      <c r="B1008" s="15"/>
      <c r="C1008" s="15"/>
    </row>
    <row r="1009" spans="1:3" ht="14.25" customHeight="1">
      <c r="A1009" s="15"/>
      <c r="B1009" s="15"/>
      <c r="C1009" s="15"/>
    </row>
    <row r="1010" spans="1:3" ht="14.25" customHeight="1">
      <c r="A1010" s="15"/>
      <c r="B1010" s="15"/>
      <c r="C1010" s="15"/>
    </row>
    <row r="1011" spans="1:3" ht="14.25" customHeight="1">
      <c r="A1011" s="15"/>
      <c r="B1011" s="15"/>
      <c r="C1011" s="15"/>
    </row>
    <row r="1012" spans="1:3" ht="14.25" customHeight="1">
      <c r="A1012" s="15"/>
      <c r="B1012" s="15"/>
      <c r="C1012" s="15"/>
    </row>
    <row r="1013" spans="1:3" ht="14.25" customHeight="1">
      <c r="A1013" s="15"/>
      <c r="B1013" s="15"/>
      <c r="C1013" s="15"/>
    </row>
    <row r="1014" spans="1:3" ht="14.25" customHeight="1">
      <c r="A1014" s="15"/>
      <c r="B1014" s="15"/>
      <c r="C1014" s="15"/>
    </row>
    <row r="1015" spans="1:3" ht="14.25" customHeight="1">
      <c r="A1015" s="15"/>
      <c r="B1015" s="15"/>
      <c r="C1015" s="15"/>
    </row>
    <row r="1016" spans="1:3" ht="14.25" customHeight="1">
      <c r="A1016" s="15"/>
      <c r="B1016" s="15"/>
      <c r="C1016" s="15"/>
    </row>
    <row r="1017" spans="1:3" ht="14.25" customHeight="1">
      <c r="A1017" s="15"/>
      <c r="B1017" s="15"/>
      <c r="C1017" s="15"/>
    </row>
    <row r="1018" spans="1:3" ht="14.25" customHeight="1">
      <c r="A1018" s="15"/>
      <c r="B1018" s="15"/>
      <c r="C1018" s="15"/>
    </row>
    <row r="1019" spans="1:3" ht="14.25" customHeight="1">
      <c r="A1019" s="15"/>
      <c r="B1019" s="15"/>
      <c r="C1019" s="15"/>
    </row>
    <row r="1020" spans="1:3" ht="14.25" customHeight="1">
      <c r="A1020" s="15"/>
      <c r="B1020" s="15"/>
      <c r="C1020" s="15"/>
    </row>
    <row r="1021" spans="1:3" ht="14.25" customHeight="1">
      <c r="A1021" s="15"/>
      <c r="B1021" s="15"/>
      <c r="C1021" s="15"/>
    </row>
    <row r="1022" spans="1:3" ht="14.25" customHeight="1">
      <c r="A1022" s="15"/>
      <c r="B1022" s="15"/>
      <c r="C1022" s="15"/>
    </row>
    <row r="1023" spans="1:3" ht="14.25" customHeight="1">
      <c r="A1023" s="15"/>
      <c r="B1023" s="15"/>
      <c r="C1023" s="15"/>
    </row>
    <row r="1024" spans="1:3" ht="14.25" customHeight="1">
      <c r="A1024" s="15"/>
      <c r="B1024" s="15"/>
      <c r="C1024" s="15"/>
    </row>
    <row r="1025" spans="1:3" ht="14.25" customHeight="1">
      <c r="A1025" s="15"/>
      <c r="B1025" s="15"/>
      <c r="C1025" s="15"/>
    </row>
    <row r="1026" spans="1:3" ht="14.25" customHeight="1">
      <c r="A1026" s="15"/>
      <c r="B1026" s="15"/>
      <c r="C1026" s="15"/>
    </row>
    <row r="1027" spans="1:3" ht="14.25" customHeight="1">
      <c r="A1027" s="15"/>
      <c r="B1027" s="15"/>
      <c r="C1027" s="15"/>
    </row>
    <row r="1028" spans="1:3" ht="14.25" customHeight="1">
      <c r="A1028" s="15"/>
      <c r="B1028" s="15"/>
      <c r="C1028" s="15"/>
    </row>
    <row r="1029" spans="1:3" ht="14.25" customHeight="1">
      <c r="A1029" s="15"/>
      <c r="B1029" s="15"/>
      <c r="C1029" s="15"/>
    </row>
    <row r="1030" spans="1:3" ht="14.25" customHeight="1">
      <c r="A1030" s="15"/>
      <c r="B1030" s="15"/>
      <c r="C1030" s="15"/>
    </row>
    <row r="1031" spans="1:3" ht="14.25" customHeight="1">
      <c r="A1031" s="15"/>
      <c r="B1031" s="15"/>
      <c r="C1031" s="15"/>
    </row>
    <row r="1032" spans="1:3" ht="14.25" customHeight="1">
      <c r="A1032" s="15"/>
      <c r="B1032" s="15"/>
      <c r="C1032" s="15"/>
    </row>
    <row r="1033" spans="1:3" ht="14.25" customHeight="1">
      <c r="A1033" s="15"/>
      <c r="B1033" s="15"/>
      <c r="C1033" s="15"/>
    </row>
    <row r="1034" spans="1:3" ht="14.25" customHeight="1">
      <c r="A1034" s="15"/>
      <c r="B1034" s="15"/>
      <c r="C1034" s="15"/>
    </row>
    <row r="1035" spans="1:3" ht="14.25" customHeight="1">
      <c r="A1035" s="15"/>
      <c r="B1035" s="15"/>
      <c r="C1035" s="15"/>
    </row>
    <row r="1036" spans="1:3" ht="14.25" customHeight="1">
      <c r="A1036" s="15"/>
      <c r="B1036" s="15"/>
      <c r="C1036" s="15"/>
    </row>
    <row r="1037" spans="1:3" ht="14.25" customHeight="1">
      <c r="A1037" s="15"/>
      <c r="B1037" s="15"/>
      <c r="C1037" s="15"/>
    </row>
    <row r="1038" spans="1:3" ht="14.25" customHeight="1">
      <c r="A1038" s="15"/>
      <c r="B1038" s="15"/>
      <c r="C1038" s="15"/>
    </row>
    <row r="1039" spans="1:3" ht="14.25" customHeight="1">
      <c r="A1039" s="15"/>
      <c r="B1039" s="15"/>
      <c r="C1039" s="15"/>
    </row>
    <row r="1040" spans="1:3" ht="14.25" customHeight="1">
      <c r="A1040" s="15"/>
      <c r="B1040" s="15"/>
      <c r="C1040" s="15"/>
    </row>
    <row r="1041" spans="1:3" ht="14.25" customHeight="1">
      <c r="A1041" s="15"/>
      <c r="B1041" s="15"/>
      <c r="C1041" s="15"/>
    </row>
    <row r="1042" spans="1:3" ht="14.25" customHeight="1">
      <c r="A1042" s="15"/>
      <c r="B1042" s="15"/>
      <c r="C1042" s="15"/>
    </row>
    <row r="1043" spans="1:3" ht="14.25" customHeight="1">
      <c r="A1043" s="15"/>
      <c r="B1043" s="15"/>
      <c r="C1043" s="15"/>
    </row>
    <row r="1044" spans="1:3" ht="14.25" customHeight="1">
      <c r="A1044" s="15"/>
      <c r="B1044" s="15"/>
      <c r="C1044" s="15"/>
    </row>
    <row r="1045" spans="1:3" ht="14.25" customHeight="1">
      <c r="A1045" s="15"/>
      <c r="B1045" s="15"/>
      <c r="C1045" s="15"/>
    </row>
    <row r="1046" spans="1:3" ht="14.25" customHeight="1">
      <c r="A1046" s="15"/>
      <c r="B1046" s="15"/>
      <c r="C1046" s="15"/>
    </row>
    <row r="1047" spans="1:3" ht="14.25" customHeight="1">
      <c r="A1047" s="15"/>
      <c r="B1047" s="15"/>
      <c r="C1047" s="15"/>
    </row>
    <row r="1048" spans="1:3" ht="14.25" customHeight="1">
      <c r="A1048" s="15"/>
      <c r="B1048" s="15"/>
      <c r="C1048" s="15"/>
    </row>
    <row r="1049" spans="1:3" ht="14.25" customHeight="1">
      <c r="A1049" s="15"/>
      <c r="B1049" s="15"/>
      <c r="C1049" s="15"/>
    </row>
    <row r="1050" spans="1:3" ht="14.25" customHeight="1">
      <c r="A1050" s="15"/>
      <c r="B1050" s="15"/>
      <c r="C1050" s="15"/>
    </row>
    <row r="1051" spans="1:3" ht="14.25" customHeight="1">
      <c r="A1051" s="15"/>
      <c r="B1051" s="15"/>
      <c r="C1051" s="15"/>
    </row>
    <row r="1052" spans="1:3" ht="14.25" customHeight="1">
      <c r="A1052" s="15"/>
      <c r="B1052" s="15"/>
      <c r="C1052" s="15"/>
    </row>
    <row r="1053" spans="1:3" ht="14.25" customHeight="1">
      <c r="A1053" s="15"/>
      <c r="B1053" s="15"/>
      <c r="C1053" s="15"/>
    </row>
    <row r="1054" spans="1:3" ht="14.25" customHeight="1">
      <c r="A1054" s="15"/>
      <c r="B1054" s="15"/>
      <c r="C1054" s="15"/>
    </row>
    <row r="1055" spans="1:3" ht="14.25" customHeight="1">
      <c r="A1055" s="15"/>
      <c r="B1055" s="15"/>
      <c r="C1055" s="15"/>
    </row>
    <row r="1056" spans="1:3" ht="14.25" customHeight="1">
      <c r="A1056" s="15"/>
      <c r="B1056" s="15"/>
      <c r="C1056" s="15"/>
    </row>
    <row r="1057" spans="1:3" ht="14.25" customHeight="1">
      <c r="A1057" s="15"/>
      <c r="B1057" s="15"/>
      <c r="C1057" s="15"/>
    </row>
    <row r="1058" spans="1:3" ht="14.25" customHeight="1">
      <c r="A1058" s="15"/>
      <c r="B1058" s="15"/>
      <c r="C1058" s="15"/>
    </row>
    <row r="1059" spans="1:3" ht="14.25" customHeight="1">
      <c r="A1059" s="15"/>
      <c r="B1059" s="15"/>
      <c r="C1059" s="15"/>
    </row>
    <row r="1060" spans="1:3" ht="14.25" customHeight="1">
      <c r="A1060" s="15"/>
      <c r="B1060" s="15"/>
      <c r="C1060" s="15"/>
    </row>
    <row r="1061" spans="1:3" ht="14.25" customHeight="1">
      <c r="A1061" s="15"/>
      <c r="B1061" s="15"/>
      <c r="C1061" s="15"/>
    </row>
    <row r="1062" spans="1:3" ht="14.25" customHeight="1">
      <c r="A1062" s="15"/>
      <c r="B1062" s="15"/>
      <c r="C1062" s="15"/>
    </row>
    <row r="1063" spans="1:3" ht="14.25" customHeight="1">
      <c r="A1063" s="15"/>
      <c r="B1063" s="15"/>
      <c r="C1063" s="15"/>
    </row>
    <row r="1064" spans="1:3" ht="14.25" customHeight="1">
      <c r="A1064" s="15"/>
      <c r="B1064" s="15"/>
      <c r="C1064" s="15"/>
    </row>
    <row r="1065" spans="1:3" ht="14.25" customHeight="1">
      <c r="A1065" s="15"/>
      <c r="B1065" s="15"/>
      <c r="C1065" s="15"/>
    </row>
    <row r="1066" spans="1:3" ht="14.25" customHeight="1">
      <c r="A1066" s="15"/>
      <c r="B1066" s="15"/>
      <c r="C1066" s="15"/>
    </row>
    <row r="1067" spans="1:3" ht="14.25" customHeight="1">
      <c r="A1067" s="15"/>
      <c r="B1067" s="15"/>
      <c r="C1067" s="15"/>
    </row>
    <row r="1068" spans="1:3" ht="14.25" customHeight="1">
      <c r="A1068" s="15"/>
      <c r="B1068" s="15"/>
      <c r="C1068" s="15"/>
    </row>
    <row r="1069" spans="1:3" ht="14.25" customHeight="1">
      <c r="A1069" s="15"/>
      <c r="B1069" s="15"/>
      <c r="C1069" s="15"/>
    </row>
    <row r="1070" spans="1:3" ht="14.25" customHeight="1">
      <c r="A1070" s="15"/>
      <c r="B1070" s="15"/>
      <c r="C1070" s="15"/>
    </row>
    <row r="1071" spans="1:3" ht="14.25" customHeight="1">
      <c r="A1071" s="15"/>
      <c r="B1071" s="15"/>
      <c r="C1071" s="15"/>
    </row>
    <row r="1072" spans="1:3" ht="14.25" customHeight="1">
      <c r="A1072" s="15"/>
      <c r="B1072" s="15"/>
      <c r="C1072" s="15"/>
    </row>
    <row r="1073" spans="1:3" ht="14.25" customHeight="1">
      <c r="A1073" s="15"/>
      <c r="B1073" s="15"/>
      <c r="C1073" s="15"/>
    </row>
    <row r="1074" spans="1:3" ht="14.25" customHeight="1">
      <c r="A1074" s="15"/>
      <c r="B1074" s="15"/>
      <c r="C1074" s="15"/>
    </row>
    <row r="1075" spans="1:3" ht="14.25" customHeight="1">
      <c r="A1075" s="15"/>
      <c r="B1075" s="15"/>
      <c r="C1075" s="15"/>
    </row>
    <row r="1076" spans="1:3" ht="14.25" customHeight="1">
      <c r="A1076" s="15"/>
      <c r="B1076" s="15"/>
      <c r="C1076" s="15"/>
    </row>
    <row r="1077" spans="1:3" ht="14.25" customHeight="1">
      <c r="A1077" s="15"/>
      <c r="B1077" s="15"/>
      <c r="C1077" s="15"/>
    </row>
    <row r="1078" spans="1:3" ht="14.25" customHeight="1">
      <c r="A1078" s="15"/>
      <c r="B1078" s="15"/>
      <c r="C1078" s="15"/>
    </row>
    <row r="1079" spans="1:3" ht="14.25" customHeight="1">
      <c r="A1079" s="15"/>
      <c r="B1079" s="15"/>
      <c r="C1079" s="15"/>
    </row>
    <row r="1080" spans="1:3" ht="14.25" customHeight="1">
      <c r="A1080" s="15"/>
      <c r="B1080" s="15"/>
      <c r="C1080" s="15"/>
    </row>
    <row r="1081" spans="1:3" ht="14.25" customHeight="1">
      <c r="A1081" s="15"/>
      <c r="B1081" s="15"/>
      <c r="C1081" s="15"/>
    </row>
    <row r="1082" spans="1:3" ht="14.25" customHeight="1">
      <c r="A1082" s="15"/>
      <c r="B1082" s="15"/>
      <c r="C1082" s="15"/>
    </row>
    <row r="1083" spans="1:3" ht="14.25" customHeight="1">
      <c r="A1083" s="15"/>
      <c r="B1083" s="15"/>
      <c r="C1083" s="15"/>
    </row>
    <row r="1084" spans="1:3" ht="14.25" customHeight="1">
      <c r="A1084" s="15"/>
      <c r="B1084" s="15"/>
      <c r="C1084" s="15"/>
    </row>
    <row r="1085" spans="1:3" ht="14.25" customHeight="1">
      <c r="A1085" s="15"/>
      <c r="B1085" s="15"/>
      <c r="C1085" s="15"/>
    </row>
    <row r="1086" spans="1:3" ht="14.25" customHeight="1">
      <c r="A1086" s="15"/>
      <c r="B1086" s="15"/>
      <c r="C1086" s="15"/>
    </row>
    <row r="1087" spans="1:3" ht="14.25" customHeight="1">
      <c r="A1087" s="15"/>
      <c r="B1087" s="15"/>
      <c r="C1087" s="15"/>
    </row>
    <row r="1088" spans="1:3" ht="14.25" customHeight="1">
      <c r="A1088" s="15"/>
      <c r="B1088" s="15"/>
      <c r="C1088" s="15"/>
    </row>
    <row r="1089" spans="1:3" ht="14.25" customHeight="1">
      <c r="A1089" s="15"/>
      <c r="B1089" s="15"/>
      <c r="C1089" s="15"/>
    </row>
    <row r="1090" spans="1:3" ht="14.25" customHeight="1">
      <c r="A1090" s="15"/>
      <c r="B1090" s="15"/>
      <c r="C1090" s="15"/>
    </row>
    <row r="1091" spans="1:3" ht="14.25" customHeight="1">
      <c r="A1091" s="15"/>
      <c r="B1091" s="15"/>
      <c r="C1091" s="15"/>
    </row>
    <row r="1092" spans="1:3" ht="14.25" customHeight="1">
      <c r="A1092" s="15"/>
      <c r="B1092" s="15"/>
      <c r="C1092" s="15"/>
    </row>
    <row r="1093" spans="1:3" ht="14.25" customHeight="1">
      <c r="A1093" s="15"/>
      <c r="B1093" s="15"/>
      <c r="C1093" s="15"/>
    </row>
    <row r="1094" spans="1:3" ht="14.25" customHeight="1">
      <c r="A1094" s="15"/>
      <c r="B1094" s="15"/>
      <c r="C1094" s="15"/>
    </row>
    <row r="1095" spans="1:3" ht="14.25" customHeight="1">
      <c r="A1095" s="15"/>
      <c r="B1095" s="15"/>
      <c r="C1095" s="15"/>
    </row>
    <row r="1096" spans="1:3" ht="14.25" customHeight="1">
      <c r="A1096" s="15"/>
      <c r="B1096" s="15"/>
      <c r="C1096" s="15"/>
    </row>
    <row r="1097" spans="1:3" ht="14.25" customHeight="1">
      <c r="A1097" s="15"/>
      <c r="B1097" s="15"/>
      <c r="C1097" s="15"/>
    </row>
    <row r="1098" spans="1:3" ht="14.25" customHeight="1">
      <c r="A1098" s="15"/>
      <c r="B1098" s="15"/>
      <c r="C1098" s="15"/>
    </row>
    <row r="1099" spans="1:3" ht="14.25" customHeight="1">
      <c r="A1099" s="15"/>
      <c r="B1099" s="15"/>
      <c r="C1099" s="15"/>
    </row>
    <row r="1100" spans="1:3" ht="14.25" customHeight="1">
      <c r="A1100" s="15"/>
      <c r="B1100" s="15"/>
      <c r="C1100" s="15"/>
    </row>
    <row r="1101" spans="1:3" ht="14.25" customHeight="1">
      <c r="A1101" s="15"/>
      <c r="B1101" s="15"/>
      <c r="C1101" s="15"/>
    </row>
    <row r="1102" spans="1:3" ht="14.25" customHeight="1">
      <c r="A1102" s="15"/>
      <c r="B1102" s="15"/>
      <c r="C1102" s="15"/>
    </row>
    <row r="1103" spans="1:3" ht="14.25" customHeight="1">
      <c r="A1103" s="15"/>
      <c r="B1103" s="15"/>
      <c r="C1103" s="15"/>
    </row>
    <row r="1104" spans="1:3" ht="14.25" customHeight="1">
      <c r="A1104" s="15"/>
      <c r="B1104" s="15"/>
      <c r="C1104" s="15"/>
    </row>
    <row r="1105" spans="1:3" ht="14.25" customHeight="1">
      <c r="A1105" s="15"/>
      <c r="B1105" s="15"/>
      <c r="C1105" s="15"/>
    </row>
    <row r="1106" spans="1:3" ht="14.25" customHeight="1">
      <c r="A1106" s="15"/>
      <c r="B1106" s="15"/>
      <c r="C1106" s="15"/>
    </row>
    <row r="1107" spans="1:3" ht="14.25" customHeight="1">
      <c r="A1107" s="15"/>
      <c r="B1107" s="15"/>
      <c r="C1107" s="15"/>
    </row>
    <row r="1108" spans="1:3" ht="14.25" customHeight="1">
      <c r="A1108" s="15"/>
      <c r="B1108" s="15"/>
      <c r="C1108" s="15"/>
    </row>
    <row r="1109" spans="1:3" ht="14.25" customHeight="1">
      <c r="A1109" s="15"/>
      <c r="B1109" s="15"/>
      <c r="C1109" s="15"/>
    </row>
    <row r="1110" spans="1:3" ht="14.25" customHeight="1">
      <c r="A1110" s="15"/>
      <c r="B1110" s="15"/>
      <c r="C1110" s="15"/>
    </row>
    <row r="1111" spans="1:3" ht="14.25" customHeight="1">
      <c r="A1111" s="15"/>
      <c r="B1111" s="15"/>
      <c r="C1111" s="15"/>
    </row>
    <row r="1112" spans="1:3" ht="14.25" customHeight="1">
      <c r="A1112" s="15"/>
      <c r="B1112" s="15"/>
      <c r="C1112" s="15"/>
    </row>
    <row r="1113" spans="1:3" ht="14.25" customHeight="1">
      <c r="A1113" s="15"/>
      <c r="B1113" s="15"/>
      <c r="C1113" s="15"/>
    </row>
    <row r="1114" spans="1:3" ht="14.25" customHeight="1">
      <c r="A1114" s="15"/>
      <c r="B1114" s="15"/>
      <c r="C1114" s="15"/>
    </row>
    <row r="1115" spans="1:3" ht="14.25" customHeight="1">
      <c r="A1115" s="15"/>
      <c r="B1115" s="15"/>
      <c r="C1115" s="15"/>
    </row>
    <row r="1116" spans="1:3" ht="14.25" customHeight="1">
      <c r="A1116" s="15"/>
      <c r="B1116" s="15"/>
      <c r="C1116" s="15"/>
    </row>
    <row r="1117" spans="1:3" ht="14.25" customHeight="1">
      <c r="A1117" s="15"/>
      <c r="B1117" s="15"/>
      <c r="C1117" s="15"/>
    </row>
    <row r="1118" spans="1:3" ht="14.25" customHeight="1">
      <c r="A1118" s="15"/>
      <c r="B1118" s="15"/>
      <c r="C1118" s="15"/>
    </row>
    <row r="1119" spans="1:3" ht="14.25" customHeight="1">
      <c r="A1119" s="15"/>
      <c r="B1119" s="15"/>
      <c r="C1119" s="15"/>
    </row>
    <row r="1120" spans="1:3" ht="14.25" customHeight="1">
      <c r="A1120" s="15"/>
      <c r="B1120" s="15"/>
      <c r="C1120" s="15"/>
    </row>
    <row r="1121" spans="1:3" ht="14.25" customHeight="1">
      <c r="A1121" s="15"/>
      <c r="B1121" s="15"/>
      <c r="C1121" s="15"/>
    </row>
    <row r="1122" spans="1:3" ht="14.25" customHeight="1">
      <c r="A1122" s="15"/>
      <c r="B1122" s="15"/>
      <c r="C1122" s="15"/>
    </row>
    <row r="1123" spans="1:3" ht="14.25" customHeight="1">
      <c r="A1123" s="15"/>
      <c r="B1123" s="15"/>
      <c r="C1123" s="15"/>
    </row>
    <row r="1124" spans="1:3" ht="14.25" customHeight="1">
      <c r="A1124" s="15"/>
      <c r="B1124" s="15"/>
      <c r="C1124" s="15"/>
    </row>
    <row r="1125" spans="1:3" ht="14.25" customHeight="1">
      <c r="A1125" s="15"/>
      <c r="B1125" s="15"/>
      <c r="C1125" s="15"/>
    </row>
    <row r="1126" spans="1:3" ht="14.25" customHeight="1">
      <c r="A1126" s="15"/>
      <c r="B1126" s="15"/>
      <c r="C1126" s="15"/>
    </row>
    <row r="1127" spans="1:3" ht="14.25" customHeight="1">
      <c r="A1127" s="15"/>
      <c r="B1127" s="15"/>
      <c r="C1127" s="15"/>
    </row>
    <row r="1128" spans="1:3" ht="14.25" customHeight="1">
      <c r="A1128" s="15"/>
      <c r="B1128" s="15"/>
      <c r="C1128" s="15"/>
    </row>
    <row r="1129" spans="1:3" ht="14.25" customHeight="1">
      <c r="A1129" s="15"/>
      <c r="B1129" s="15"/>
      <c r="C1129" s="15"/>
    </row>
    <row r="1130" spans="1:3" ht="14.25" customHeight="1">
      <c r="A1130" s="15"/>
      <c r="B1130" s="15"/>
      <c r="C1130" s="15"/>
    </row>
    <row r="1131" spans="1:3" ht="14.25" customHeight="1">
      <c r="A1131" s="15"/>
      <c r="B1131" s="15"/>
      <c r="C1131" s="15"/>
    </row>
    <row r="1132" spans="1:3" ht="14.25" customHeight="1">
      <c r="A1132" s="15"/>
      <c r="B1132" s="15"/>
      <c r="C1132" s="15"/>
    </row>
    <row r="1133" spans="1:3" ht="14.25" customHeight="1">
      <c r="A1133" s="15"/>
      <c r="B1133" s="15"/>
      <c r="C1133" s="15"/>
    </row>
    <row r="1134" spans="1:3" ht="14.25" customHeight="1">
      <c r="A1134" s="15"/>
      <c r="B1134" s="15"/>
      <c r="C1134" s="15"/>
    </row>
    <row r="1135" spans="1:3" ht="14.25" customHeight="1">
      <c r="A1135" s="15"/>
      <c r="B1135" s="15"/>
      <c r="C1135" s="15"/>
    </row>
    <row r="1136" spans="1:3" ht="14.25" customHeight="1">
      <c r="A1136" s="15"/>
      <c r="B1136" s="15"/>
      <c r="C1136" s="15"/>
    </row>
    <row r="1137" spans="1:3" ht="14.25" customHeight="1">
      <c r="A1137" s="15"/>
      <c r="B1137" s="15"/>
      <c r="C1137" s="15"/>
    </row>
    <row r="1138" spans="1:3" ht="14.25" customHeight="1">
      <c r="A1138" s="15"/>
      <c r="B1138" s="15"/>
      <c r="C1138" s="15"/>
    </row>
    <row r="1139" spans="1:3" ht="14.25" customHeight="1">
      <c r="A1139" s="15"/>
      <c r="B1139" s="15"/>
      <c r="C1139" s="15"/>
    </row>
    <row r="1140" spans="1:3" ht="14.25" customHeight="1">
      <c r="A1140" s="15"/>
      <c r="B1140" s="15"/>
      <c r="C1140" s="15"/>
    </row>
    <row r="1141" spans="1:3" ht="14.25" customHeight="1">
      <c r="A1141" s="15"/>
      <c r="B1141" s="15"/>
      <c r="C1141" s="15"/>
    </row>
    <row r="1142" spans="1:3" ht="14.25" customHeight="1">
      <c r="A1142" s="15"/>
      <c r="B1142" s="15"/>
      <c r="C1142" s="15"/>
    </row>
    <row r="1143" spans="1:3" ht="14.25" customHeight="1">
      <c r="A1143" s="15"/>
      <c r="B1143" s="15"/>
      <c r="C1143" s="15"/>
    </row>
    <row r="1144" spans="1:3" ht="14.25" customHeight="1">
      <c r="A1144" s="15"/>
      <c r="B1144" s="15"/>
      <c r="C1144" s="15"/>
    </row>
    <row r="1145" spans="1:3" ht="14.25" customHeight="1">
      <c r="A1145" s="15"/>
      <c r="B1145" s="15"/>
      <c r="C1145" s="15"/>
    </row>
    <row r="1146" spans="1:3" ht="14.25" customHeight="1">
      <c r="A1146" s="15"/>
      <c r="B1146" s="15"/>
      <c r="C1146" s="15"/>
    </row>
    <row r="1147" spans="1:3" ht="14.25" customHeight="1">
      <c r="A1147" s="15"/>
      <c r="B1147" s="15"/>
      <c r="C1147" s="15"/>
    </row>
    <row r="1148" spans="1:3" ht="14.25" customHeight="1">
      <c r="A1148" s="15"/>
      <c r="B1148" s="15"/>
      <c r="C1148" s="15"/>
    </row>
    <row r="1149" spans="1:3" ht="14.25" customHeight="1">
      <c r="A1149" s="15"/>
      <c r="B1149" s="15"/>
      <c r="C1149" s="15"/>
    </row>
    <row r="1150" spans="1:3" ht="14.25" customHeight="1">
      <c r="A1150" s="15"/>
      <c r="B1150" s="15"/>
      <c r="C1150" s="15"/>
    </row>
    <row r="1151" spans="1:3" ht="14.25" customHeight="1">
      <c r="A1151" s="15"/>
      <c r="B1151" s="15"/>
      <c r="C1151" s="15"/>
    </row>
    <row r="1152" spans="1:3" ht="14.25" customHeight="1">
      <c r="A1152" s="15"/>
      <c r="B1152" s="15"/>
      <c r="C1152" s="15"/>
    </row>
    <row r="1153" spans="1:3" ht="14.25" customHeight="1">
      <c r="A1153" s="15"/>
      <c r="B1153" s="15"/>
      <c r="C1153" s="15"/>
    </row>
    <row r="1154" spans="1:3" ht="14.25" customHeight="1">
      <c r="A1154" s="15"/>
      <c r="B1154" s="15"/>
      <c r="C1154" s="15"/>
    </row>
    <row r="1155" spans="1:3" ht="14.25" customHeight="1">
      <c r="A1155" s="15"/>
      <c r="B1155" s="15"/>
      <c r="C1155" s="15"/>
    </row>
    <row r="1156" spans="1:3" ht="14.25" customHeight="1">
      <c r="A1156" s="15"/>
      <c r="B1156" s="15"/>
      <c r="C1156" s="15"/>
    </row>
    <row r="1157" spans="1:3" ht="14.25" customHeight="1">
      <c r="A1157" s="15"/>
      <c r="B1157" s="15"/>
      <c r="C1157" s="15"/>
    </row>
    <row r="1158" spans="1:3" ht="14.25" customHeight="1">
      <c r="A1158" s="15"/>
      <c r="B1158" s="15"/>
      <c r="C1158" s="15"/>
    </row>
    <row r="1159" spans="1:3" ht="14.25" customHeight="1">
      <c r="A1159" s="15"/>
      <c r="B1159" s="15"/>
      <c r="C1159" s="15"/>
    </row>
    <row r="1160" spans="1:3" ht="14.25" customHeight="1">
      <c r="A1160" s="15"/>
      <c r="B1160" s="15"/>
      <c r="C1160" s="15"/>
    </row>
    <row r="1161" spans="1:3" ht="14.25" customHeight="1">
      <c r="A1161" s="15"/>
      <c r="B1161" s="15"/>
      <c r="C1161" s="15"/>
    </row>
    <row r="1162" spans="1:3" ht="14.25" customHeight="1">
      <c r="A1162" s="15"/>
      <c r="B1162" s="15"/>
      <c r="C1162" s="15"/>
    </row>
    <row r="1163" spans="1:3" ht="14.25" customHeight="1">
      <c r="A1163" s="15"/>
      <c r="B1163" s="15"/>
      <c r="C1163" s="15"/>
    </row>
    <row r="1164" spans="1:3" ht="14.25" customHeight="1">
      <c r="A1164" s="15"/>
      <c r="B1164" s="15"/>
      <c r="C1164" s="15"/>
    </row>
    <row r="1165" spans="1:3" ht="14.25" customHeight="1">
      <c r="A1165" s="15"/>
      <c r="B1165" s="15"/>
      <c r="C1165" s="15"/>
    </row>
    <row r="1166" spans="1:3" ht="14.25" customHeight="1">
      <c r="A1166" s="15"/>
      <c r="B1166" s="15"/>
      <c r="C1166" s="15"/>
    </row>
    <row r="1167" spans="1:3" ht="14.25" customHeight="1">
      <c r="A1167" s="15"/>
      <c r="B1167" s="15"/>
      <c r="C1167" s="15"/>
    </row>
    <row r="1168" spans="1:3" ht="14.25" customHeight="1">
      <c r="A1168" s="15"/>
      <c r="B1168" s="15"/>
      <c r="C1168" s="15"/>
    </row>
    <row r="1169" spans="1:3" ht="14.25" customHeight="1">
      <c r="A1169" s="15"/>
      <c r="B1169" s="15"/>
      <c r="C1169" s="15"/>
    </row>
    <row r="1170" spans="1:3" ht="14.25" customHeight="1">
      <c r="A1170" s="15"/>
      <c r="B1170" s="15"/>
      <c r="C1170" s="15"/>
    </row>
    <row r="1171" spans="1:3" ht="14.25" customHeight="1">
      <c r="A1171" s="15"/>
      <c r="B1171" s="15"/>
      <c r="C1171" s="15"/>
    </row>
    <row r="1172" spans="1:3" ht="14.25" customHeight="1">
      <c r="A1172" s="15"/>
      <c r="B1172" s="15"/>
      <c r="C1172" s="15"/>
    </row>
    <row r="1173" spans="1:3" ht="14.25" customHeight="1">
      <c r="A1173" s="15"/>
      <c r="B1173" s="15"/>
      <c r="C1173" s="15"/>
    </row>
    <row r="1174" spans="1:3" ht="14.25" customHeight="1">
      <c r="A1174" s="15"/>
      <c r="B1174" s="15"/>
      <c r="C1174" s="15"/>
    </row>
    <row r="1175" spans="1:3" ht="14.25" customHeight="1">
      <c r="A1175" s="15"/>
      <c r="B1175" s="15"/>
      <c r="C1175" s="15"/>
    </row>
    <row r="1176" spans="1:3" ht="14.25" customHeight="1">
      <c r="A1176" s="15"/>
      <c r="B1176" s="15"/>
      <c r="C1176" s="15"/>
    </row>
    <row r="1177" spans="1:3" ht="14.25" customHeight="1">
      <c r="A1177" s="15"/>
      <c r="B1177" s="15"/>
      <c r="C1177" s="15"/>
    </row>
    <row r="1178" spans="1:3" ht="14.25" customHeight="1">
      <c r="A1178" s="15"/>
      <c r="B1178" s="15"/>
      <c r="C1178" s="15"/>
    </row>
    <row r="1179" spans="1:3" ht="14.25" customHeight="1">
      <c r="A1179" s="15"/>
      <c r="B1179" s="15"/>
      <c r="C1179" s="15"/>
    </row>
    <row r="1180" spans="1:3" ht="14.25" customHeight="1">
      <c r="A1180" s="15"/>
      <c r="B1180" s="15"/>
      <c r="C1180" s="15"/>
    </row>
    <row r="1181" spans="1:3" ht="14.25" customHeight="1">
      <c r="A1181" s="15"/>
      <c r="B1181" s="15"/>
      <c r="C1181" s="15"/>
    </row>
    <row r="1182" spans="1:3" ht="14.25" customHeight="1">
      <c r="A1182" s="15"/>
      <c r="B1182" s="15"/>
      <c r="C1182" s="15"/>
    </row>
    <row r="1183" spans="1:3" ht="14.25" customHeight="1">
      <c r="A1183" s="15"/>
      <c r="B1183" s="15"/>
      <c r="C1183" s="15"/>
    </row>
    <row r="1184" spans="1:3" ht="14.25" customHeight="1">
      <c r="A1184" s="15"/>
      <c r="B1184" s="15"/>
      <c r="C1184" s="15"/>
    </row>
    <row r="1185" spans="1:3" ht="14.25" customHeight="1">
      <c r="A1185" s="15"/>
      <c r="B1185" s="15"/>
      <c r="C1185" s="15"/>
    </row>
    <row r="1186" spans="1:3" ht="14.25" customHeight="1">
      <c r="A1186" s="15"/>
      <c r="B1186" s="15"/>
      <c r="C1186" s="15"/>
    </row>
    <row r="1187" spans="1:3" ht="14.25" customHeight="1">
      <c r="A1187" s="15"/>
      <c r="B1187" s="15"/>
      <c r="C1187" s="15"/>
    </row>
    <row r="1188" spans="1:3" ht="14.25" customHeight="1">
      <c r="A1188" s="15"/>
      <c r="B1188" s="15"/>
      <c r="C1188" s="15"/>
    </row>
    <row r="1189" spans="1:3" ht="14.25" customHeight="1">
      <c r="A1189" s="15"/>
      <c r="B1189" s="15"/>
      <c r="C1189" s="15"/>
    </row>
    <row r="1190" spans="1:3" ht="14.25" customHeight="1">
      <c r="A1190" s="15"/>
      <c r="B1190" s="15"/>
      <c r="C1190" s="15"/>
    </row>
    <row r="1191" spans="1:3" ht="14.25" customHeight="1">
      <c r="A1191" s="15"/>
      <c r="B1191" s="15"/>
      <c r="C1191" s="15"/>
    </row>
    <row r="1192" spans="1:3" ht="14.25" customHeight="1">
      <c r="A1192" s="15"/>
      <c r="B1192" s="15"/>
      <c r="C1192" s="15"/>
    </row>
    <row r="1193" spans="1:3" ht="14.25" customHeight="1">
      <c r="A1193" s="15"/>
      <c r="B1193" s="15"/>
      <c r="C1193" s="15"/>
    </row>
    <row r="1194" spans="1:3" ht="14.25" customHeight="1">
      <c r="A1194" s="15"/>
      <c r="B1194" s="15"/>
      <c r="C1194" s="15"/>
    </row>
    <row r="1195" spans="1:3" ht="14.25" customHeight="1">
      <c r="A1195" s="15"/>
      <c r="B1195" s="15"/>
      <c r="C1195" s="15"/>
    </row>
    <row r="1196" spans="1:3" ht="14.25" customHeight="1">
      <c r="A1196" s="15"/>
      <c r="B1196" s="15"/>
      <c r="C1196" s="15"/>
    </row>
    <row r="1197" spans="1:3" ht="14.25" customHeight="1">
      <c r="A1197" s="15"/>
      <c r="B1197" s="15"/>
      <c r="C1197" s="15"/>
    </row>
    <row r="1198" spans="1:3" ht="14.25" customHeight="1">
      <c r="A1198" s="15"/>
      <c r="B1198" s="15"/>
      <c r="C1198" s="15"/>
    </row>
    <row r="1199" spans="1:3" ht="14.25" customHeight="1">
      <c r="A1199" s="15"/>
      <c r="B1199" s="15"/>
      <c r="C1199" s="15"/>
    </row>
    <row r="1200" spans="1:3" ht="14.25" customHeight="1">
      <c r="A1200" s="15"/>
      <c r="B1200" s="15"/>
      <c r="C1200" s="15"/>
    </row>
    <row r="1201" spans="1:3" ht="14.25" customHeight="1">
      <c r="A1201" s="15"/>
      <c r="B1201" s="15"/>
      <c r="C1201" s="15"/>
    </row>
    <row r="1202" spans="1:3" ht="14.25" customHeight="1">
      <c r="A1202" s="15"/>
      <c r="B1202" s="15"/>
      <c r="C1202" s="15"/>
    </row>
    <row r="1203" spans="1:3" ht="14.25" customHeight="1">
      <c r="A1203" s="15"/>
      <c r="B1203" s="15"/>
      <c r="C1203" s="15"/>
    </row>
    <row r="1204" spans="1:3" ht="14.25" customHeight="1">
      <c r="A1204" s="15"/>
      <c r="B1204" s="15"/>
      <c r="C1204" s="15"/>
    </row>
    <row r="1205" spans="1:3" ht="14.25" customHeight="1">
      <c r="A1205" s="15"/>
      <c r="B1205" s="15"/>
      <c r="C1205" s="15"/>
    </row>
    <row r="1206" spans="1:3" ht="14.25" customHeight="1">
      <c r="A1206" s="15"/>
      <c r="B1206" s="15"/>
      <c r="C1206" s="15"/>
    </row>
    <row r="1207" spans="1:3" ht="14.25" customHeight="1">
      <c r="A1207" s="15"/>
      <c r="B1207" s="15"/>
      <c r="C1207" s="15"/>
    </row>
    <row r="1208" spans="1:3" ht="14.25" customHeight="1">
      <c r="A1208" s="15"/>
      <c r="B1208" s="15"/>
      <c r="C1208" s="15"/>
    </row>
    <row r="1209" spans="1:3" ht="14.25" customHeight="1">
      <c r="A1209" s="15"/>
      <c r="B1209" s="15"/>
      <c r="C1209" s="15"/>
    </row>
    <row r="1210" spans="1:3" ht="14.25" customHeight="1">
      <c r="A1210" s="15"/>
      <c r="B1210" s="15"/>
      <c r="C1210" s="15"/>
    </row>
    <row r="1211" spans="1:3" ht="14.25" customHeight="1">
      <c r="A1211" s="15"/>
      <c r="B1211" s="15"/>
      <c r="C1211" s="15"/>
    </row>
    <row r="1212" spans="1:3" ht="14.25" customHeight="1">
      <c r="A1212" s="15"/>
      <c r="B1212" s="15"/>
      <c r="C1212" s="15"/>
    </row>
    <row r="1213" spans="1:3" ht="14.25" customHeight="1">
      <c r="A1213" s="15"/>
      <c r="B1213" s="15"/>
      <c r="C1213" s="15"/>
    </row>
    <row r="1214" spans="1:3" ht="14.25" customHeight="1">
      <c r="A1214" s="15"/>
      <c r="B1214" s="15"/>
      <c r="C1214" s="15"/>
    </row>
    <row r="1215" spans="1:3" ht="14.25" customHeight="1">
      <c r="A1215" s="15"/>
      <c r="B1215" s="15"/>
      <c r="C1215" s="15"/>
    </row>
    <row r="1216" spans="1:3" ht="14.25" customHeight="1">
      <c r="A1216" s="15"/>
      <c r="B1216" s="15"/>
      <c r="C1216" s="15"/>
    </row>
    <row r="1217" spans="1:3" ht="14.25" customHeight="1">
      <c r="A1217" s="15"/>
      <c r="B1217" s="15"/>
      <c r="C1217" s="15"/>
    </row>
    <row r="1218" spans="1:3" ht="14.25" customHeight="1">
      <c r="A1218" s="15"/>
      <c r="B1218" s="15"/>
      <c r="C1218" s="15"/>
    </row>
    <row r="1219" spans="1:3" ht="14.25" customHeight="1">
      <c r="A1219" s="15"/>
      <c r="B1219" s="15"/>
      <c r="C1219" s="15"/>
    </row>
    <row r="1220" spans="1:3" ht="14.25" customHeight="1">
      <c r="A1220" s="15"/>
      <c r="B1220" s="15"/>
      <c r="C1220" s="15"/>
    </row>
    <row r="1221" spans="1:3" ht="14.25" customHeight="1">
      <c r="A1221" s="15"/>
      <c r="B1221" s="15"/>
      <c r="C1221" s="15"/>
    </row>
    <row r="1222" spans="1:3" ht="14.25" customHeight="1">
      <c r="A1222" s="15"/>
      <c r="B1222" s="15"/>
      <c r="C1222" s="15"/>
    </row>
    <row r="1223" spans="1:3" ht="14.25" customHeight="1">
      <c r="A1223" s="15"/>
      <c r="B1223" s="15"/>
      <c r="C1223" s="15"/>
    </row>
    <row r="1224" spans="1:3" ht="14.25" customHeight="1">
      <c r="A1224" s="15"/>
      <c r="B1224" s="15"/>
      <c r="C1224" s="15"/>
    </row>
    <row r="1225" spans="1:3" ht="14.25" customHeight="1">
      <c r="A1225" s="15"/>
      <c r="B1225" s="15"/>
      <c r="C1225" s="15"/>
    </row>
    <row r="1226" spans="1:3" ht="14.25" customHeight="1">
      <c r="A1226" s="15"/>
      <c r="B1226" s="15"/>
      <c r="C1226" s="15"/>
    </row>
    <row r="1227" spans="1:3" ht="14.25" customHeight="1">
      <c r="A1227" s="15"/>
      <c r="B1227" s="15"/>
      <c r="C1227" s="15"/>
    </row>
    <row r="1228" spans="1:3" ht="14.25" customHeight="1">
      <c r="A1228" s="15"/>
      <c r="B1228" s="15"/>
      <c r="C1228" s="15"/>
    </row>
    <row r="1229" spans="1:3" ht="14.25" customHeight="1">
      <c r="A1229" s="15"/>
      <c r="B1229" s="15"/>
      <c r="C1229" s="15"/>
    </row>
    <row r="1230" spans="1:3" ht="14.25" customHeight="1">
      <c r="A1230" s="15"/>
      <c r="B1230" s="15"/>
      <c r="C1230" s="15"/>
    </row>
    <row r="1231" spans="1:3" ht="14.25" customHeight="1">
      <c r="A1231" s="15"/>
      <c r="B1231" s="15"/>
      <c r="C1231" s="15"/>
    </row>
    <row r="1232" spans="1:3" ht="14.25" customHeight="1">
      <c r="A1232" s="15"/>
      <c r="B1232" s="15"/>
      <c r="C1232" s="15"/>
    </row>
    <row r="1233" spans="1:3" ht="14.25" customHeight="1">
      <c r="A1233" s="15"/>
      <c r="B1233" s="15"/>
      <c r="C1233" s="15"/>
    </row>
    <row r="1234" spans="1:3" ht="14.25" customHeight="1">
      <c r="A1234" s="15"/>
      <c r="B1234" s="15"/>
      <c r="C1234" s="15"/>
    </row>
    <row r="1235" spans="1:3" ht="14.25" customHeight="1">
      <c r="A1235" s="15"/>
      <c r="B1235" s="15"/>
      <c r="C1235" s="15"/>
    </row>
    <row r="1236" spans="1:3" ht="14.25" customHeight="1">
      <c r="A1236" s="15"/>
      <c r="B1236" s="15"/>
      <c r="C1236" s="15"/>
    </row>
    <row r="1237" spans="1:3" ht="14.25" customHeight="1">
      <c r="A1237" s="15"/>
      <c r="B1237" s="15"/>
      <c r="C1237" s="15"/>
    </row>
    <row r="1238" spans="1:3" ht="14.25" customHeight="1">
      <c r="A1238" s="15"/>
      <c r="B1238" s="15"/>
      <c r="C1238" s="15"/>
    </row>
    <row r="1239" spans="1:3" ht="14.25" customHeight="1">
      <c r="A1239" s="15"/>
      <c r="B1239" s="15"/>
      <c r="C1239" s="15"/>
    </row>
    <row r="1240" spans="1:3" ht="14.25" customHeight="1">
      <c r="A1240" s="15"/>
      <c r="B1240" s="15"/>
      <c r="C1240" s="15"/>
    </row>
    <row r="1241" spans="1:3" ht="14.25" customHeight="1">
      <c r="A1241" s="15"/>
      <c r="B1241" s="15"/>
      <c r="C1241" s="15"/>
    </row>
    <row r="1242" spans="1:3" ht="14.25" customHeight="1">
      <c r="A1242" s="15"/>
      <c r="B1242" s="15"/>
      <c r="C1242" s="15"/>
    </row>
    <row r="1243" spans="1:3" ht="14.25" customHeight="1">
      <c r="A1243" s="15"/>
      <c r="B1243" s="15"/>
      <c r="C1243" s="15"/>
    </row>
    <row r="1244" spans="1:3" ht="14.25" customHeight="1">
      <c r="A1244" s="15"/>
      <c r="B1244" s="15"/>
      <c r="C1244" s="15"/>
    </row>
    <row r="1245" spans="1:3" ht="14.25" customHeight="1">
      <c r="A1245" s="15"/>
      <c r="B1245" s="15"/>
      <c r="C1245" s="15"/>
    </row>
    <row r="1246" spans="1:3" ht="14.25" customHeight="1">
      <c r="A1246" s="15"/>
      <c r="B1246" s="15"/>
      <c r="C1246" s="15"/>
    </row>
    <row r="1247" spans="1:3" ht="14.25" customHeight="1">
      <c r="A1247" s="15"/>
      <c r="B1247" s="15"/>
      <c r="C1247" s="15"/>
    </row>
    <row r="1248" spans="1:3" ht="14.25" customHeight="1">
      <c r="A1248" s="15"/>
      <c r="B1248" s="15"/>
      <c r="C1248" s="15"/>
    </row>
    <row r="1249" spans="1:3" ht="14.25" customHeight="1">
      <c r="A1249" s="15"/>
      <c r="B1249" s="15"/>
      <c r="C1249" s="15"/>
    </row>
    <row r="1250" spans="1:3" ht="14.25" customHeight="1">
      <c r="A1250" s="15"/>
      <c r="B1250" s="15"/>
      <c r="C1250" s="15"/>
    </row>
    <row r="1251" spans="1:3" ht="14.25" customHeight="1">
      <c r="A1251" s="15"/>
      <c r="B1251" s="15"/>
      <c r="C1251" s="15"/>
    </row>
    <row r="1252" spans="1:3" ht="14.25" customHeight="1">
      <c r="A1252" s="15"/>
      <c r="B1252" s="15"/>
      <c r="C1252" s="15"/>
    </row>
    <row r="1253" spans="1:3" ht="14.25" customHeight="1">
      <c r="A1253" s="15"/>
      <c r="B1253" s="15"/>
      <c r="C1253" s="15"/>
    </row>
    <row r="1254" spans="1:3" ht="14.25" customHeight="1">
      <c r="A1254" s="15"/>
      <c r="B1254" s="15"/>
      <c r="C1254" s="15"/>
    </row>
    <row r="1255" spans="1:3" ht="14.25" customHeight="1">
      <c r="A1255" s="15"/>
      <c r="B1255" s="15"/>
      <c r="C1255" s="15"/>
    </row>
    <row r="1256" spans="1:3" ht="14.25" customHeight="1">
      <c r="A1256" s="15"/>
      <c r="B1256" s="15"/>
      <c r="C1256" s="15"/>
    </row>
    <row r="1257" spans="1:3" ht="14.25" customHeight="1">
      <c r="A1257" s="15"/>
      <c r="B1257" s="15"/>
      <c r="C1257" s="15"/>
    </row>
    <row r="1258" spans="1:3" ht="14.25" customHeight="1">
      <c r="A1258" s="15"/>
      <c r="B1258" s="15"/>
      <c r="C1258" s="15"/>
    </row>
    <row r="1259" spans="1:3" ht="14.25" customHeight="1">
      <c r="A1259" s="15"/>
      <c r="B1259" s="15"/>
      <c r="C1259" s="15"/>
    </row>
    <row r="1260" spans="1:3" ht="14.25" customHeight="1">
      <c r="A1260" s="15"/>
      <c r="B1260" s="15"/>
      <c r="C1260" s="15"/>
    </row>
    <row r="1261" spans="1:3" ht="14.25" customHeight="1">
      <c r="A1261" s="15"/>
      <c r="B1261" s="15"/>
      <c r="C1261" s="15"/>
    </row>
    <row r="1262" spans="1:3" ht="14.25" customHeight="1">
      <c r="A1262" s="15"/>
      <c r="B1262" s="15"/>
      <c r="C1262" s="15"/>
    </row>
    <row r="1263" spans="1:3" ht="14.25" customHeight="1">
      <c r="A1263" s="15"/>
      <c r="B1263" s="15"/>
      <c r="C1263" s="15"/>
    </row>
    <row r="1264" spans="1:3" ht="14.25" customHeight="1">
      <c r="A1264" s="15"/>
      <c r="B1264" s="15"/>
      <c r="C1264" s="15"/>
    </row>
    <row r="1265" spans="1:3" ht="14.25" customHeight="1">
      <c r="A1265" s="15"/>
      <c r="B1265" s="15"/>
      <c r="C1265" s="15"/>
    </row>
    <row r="1266" spans="1:3" ht="14.25" customHeight="1">
      <c r="A1266" s="15"/>
      <c r="B1266" s="15"/>
      <c r="C1266" s="15"/>
    </row>
    <row r="1267" spans="1:3" ht="14.25" customHeight="1">
      <c r="A1267" s="15"/>
      <c r="B1267" s="15"/>
      <c r="C1267" s="15"/>
    </row>
    <row r="1268" spans="1:3" ht="14.25" customHeight="1">
      <c r="A1268" s="15"/>
      <c r="B1268" s="15"/>
      <c r="C1268" s="15"/>
    </row>
    <row r="1269" spans="1:3" ht="14.25" customHeight="1">
      <c r="A1269" s="15"/>
      <c r="B1269" s="15"/>
      <c r="C1269" s="15"/>
    </row>
    <row r="1270" spans="1:3" ht="14.25" customHeight="1">
      <c r="A1270" s="15"/>
      <c r="B1270" s="15"/>
      <c r="C1270" s="15"/>
    </row>
    <row r="1271" spans="1:3" ht="14.25" customHeight="1">
      <c r="A1271" s="15"/>
      <c r="B1271" s="15"/>
      <c r="C1271" s="15"/>
    </row>
    <row r="1272" spans="1:3" ht="14.25" customHeight="1">
      <c r="A1272" s="15"/>
      <c r="B1272" s="15"/>
      <c r="C1272" s="15"/>
    </row>
    <row r="1273" spans="1:3" ht="14.25" customHeight="1">
      <c r="A1273" s="15"/>
      <c r="B1273" s="15"/>
      <c r="C1273" s="15"/>
    </row>
    <row r="1274" spans="1:3" ht="14.25" customHeight="1">
      <c r="A1274" s="15"/>
      <c r="B1274" s="15"/>
      <c r="C1274" s="15"/>
    </row>
    <row r="1275" spans="1:3" ht="14.25" customHeight="1">
      <c r="A1275" s="15"/>
      <c r="B1275" s="15"/>
      <c r="C1275" s="15"/>
    </row>
    <row r="1276" spans="1:3" ht="14.25" customHeight="1">
      <c r="A1276" s="15"/>
      <c r="B1276" s="15"/>
      <c r="C1276" s="15"/>
    </row>
    <row r="1277" spans="1:3" ht="14.25" customHeight="1">
      <c r="A1277" s="15"/>
      <c r="B1277" s="15"/>
      <c r="C1277" s="15"/>
    </row>
    <row r="1278" spans="1:3" ht="14.25" customHeight="1">
      <c r="A1278" s="15"/>
      <c r="B1278" s="15"/>
      <c r="C1278" s="15"/>
    </row>
    <row r="1279" spans="1:3" ht="14.25" customHeight="1">
      <c r="A1279" s="15"/>
      <c r="B1279" s="15"/>
      <c r="C1279" s="15"/>
    </row>
    <row r="1280" spans="1:3" ht="14.25" customHeight="1">
      <c r="A1280" s="15"/>
      <c r="B1280" s="15"/>
      <c r="C1280" s="15"/>
    </row>
    <row r="1281" spans="1:3" ht="14.25" customHeight="1">
      <c r="A1281" s="15"/>
      <c r="B1281" s="15"/>
      <c r="C1281" s="15"/>
    </row>
    <row r="1282" spans="1:3" ht="14.25" customHeight="1">
      <c r="A1282" s="15"/>
      <c r="B1282" s="15"/>
      <c r="C1282" s="15"/>
    </row>
    <row r="1283" spans="1:3" ht="14.25" customHeight="1">
      <c r="A1283" s="15"/>
      <c r="B1283" s="15"/>
      <c r="C1283" s="15"/>
    </row>
    <row r="1284" spans="1:3" ht="14.25" customHeight="1">
      <c r="A1284" s="15"/>
      <c r="B1284" s="15"/>
      <c r="C1284" s="15"/>
    </row>
    <row r="1285" spans="1:3" ht="14.25" customHeight="1">
      <c r="A1285" s="15"/>
      <c r="B1285" s="15"/>
      <c r="C1285" s="15"/>
    </row>
    <row r="1286" spans="1:3" ht="14.25" customHeight="1">
      <c r="A1286" s="15"/>
      <c r="B1286" s="15"/>
      <c r="C1286" s="15"/>
    </row>
    <row r="1287" spans="1:3" ht="14.25" customHeight="1">
      <c r="A1287" s="15"/>
      <c r="B1287" s="15"/>
      <c r="C1287" s="15"/>
    </row>
    <row r="1288" spans="1:3" ht="14.25" customHeight="1">
      <c r="A1288" s="15"/>
      <c r="B1288" s="15"/>
      <c r="C1288" s="15"/>
    </row>
    <row r="1289" spans="1:3" ht="14.25" customHeight="1">
      <c r="A1289" s="15"/>
      <c r="B1289" s="15"/>
      <c r="C1289" s="15"/>
    </row>
    <row r="1290" spans="1:3" ht="14.25" customHeight="1">
      <c r="A1290" s="15"/>
      <c r="B1290" s="15"/>
      <c r="C1290" s="15"/>
    </row>
    <row r="1291" spans="1:3" ht="14.25" customHeight="1">
      <c r="A1291" s="15"/>
      <c r="B1291" s="15"/>
      <c r="C1291" s="15"/>
    </row>
    <row r="1292" spans="1:3" ht="14.25" customHeight="1">
      <c r="A1292" s="15"/>
      <c r="B1292" s="15"/>
      <c r="C1292" s="15"/>
    </row>
    <row r="1293" spans="1:3" ht="14.25" customHeight="1">
      <c r="A1293" s="15"/>
      <c r="B1293" s="15"/>
      <c r="C1293" s="15"/>
    </row>
    <row r="1294" spans="1:3" ht="14.25" customHeight="1">
      <c r="A1294" s="15"/>
      <c r="B1294" s="15"/>
      <c r="C1294" s="15"/>
    </row>
    <row r="1295" spans="1:3" ht="14.25" customHeight="1">
      <c r="A1295" s="15"/>
      <c r="B1295" s="15"/>
      <c r="C1295" s="15"/>
    </row>
    <row r="1296" spans="1:3" ht="14.25" customHeight="1">
      <c r="A1296" s="15"/>
      <c r="B1296" s="15"/>
      <c r="C1296" s="15"/>
    </row>
    <row r="1297" spans="1:3" ht="14.25" customHeight="1">
      <c r="A1297" s="15"/>
      <c r="B1297" s="15"/>
      <c r="C1297" s="15"/>
    </row>
    <row r="1298" spans="1:3" ht="14.25" customHeight="1">
      <c r="A1298" s="15"/>
      <c r="B1298" s="15"/>
      <c r="C1298" s="15"/>
    </row>
    <row r="1299" spans="1:3" ht="14.25" customHeight="1">
      <c r="A1299" s="15"/>
      <c r="B1299" s="15"/>
      <c r="C1299" s="15"/>
    </row>
    <row r="1300" spans="1:3" ht="14.25" customHeight="1">
      <c r="A1300" s="15"/>
      <c r="B1300" s="15"/>
      <c r="C1300" s="15"/>
    </row>
    <row r="1301" spans="1:3" ht="14.25" customHeight="1">
      <c r="A1301" s="15"/>
      <c r="B1301" s="15"/>
      <c r="C1301" s="15"/>
    </row>
    <row r="1302" spans="1:3" ht="14.25" customHeight="1">
      <c r="A1302" s="15"/>
      <c r="B1302" s="15"/>
      <c r="C1302" s="15"/>
    </row>
    <row r="1303" spans="1:3" ht="14.25" customHeight="1">
      <c r="A1303" s="15"/>
      <c r="B1303" s="15"/>
      <c r="C1303" s="15"/>
    </row>
    <row r="1304" spans="1:3" ht="14.25" customHeight="1">
      <c r="A1304" s="15"/>
      <c r="B1304" s="15"/>
      <c r="C1304" s="15"/>
    </row>
    <row r="1305" spans="1:3" ht="14.25" customHeight="1">
      <c r="A1305" s="15"/>
      <c r="B1305" s="15"/>
      <c r="C1305" s="15"/>
    </row>
    <row r="1306" spans="1:3" ht="14.25" customHeight="1">
      <c r="A1306" s="15"/>
      <c r="B1306" s="15"/>
      <c r="C1306" s="15"/>
    </row>
    <row r="1307" spans="1:3" ht="14.25" customHeight="1">
      <c r="A1307" s="15"/>
      <c r="B1307" s="15"/>
      <c r="C1307" s="15"/>
    </row>
    <row r="1308" spans="1:3" ht="14.25" customHeight="1">
      <c r="A1308" s="15"/>
      <c r="B1308" s="15"/>
      <c r="C1308" s="15"/>
    </row>
    <row r="1309" spans="1:3" ht="14.25" customHeight="1">
      <c r="A1309" s="15"/>
      <c r="B1309" s="15"/>
      <c r="C1309" s="15"/>
    </row>
    <row r="1310" spans="1:3" ht="14.25" customHeight="1">
      <c r="A1310" s="15"/>
      <c r="B1310" s="15"/>
      <c r="C1310" s="15"/>
    </row>
    <row r="1311" spans="1:3" ht="14.25" customHeight="1">
      <c r="A1311" s="15"/>
      <c r="B1311" s="15"/>
      <c r="C1311" s="15"/>
    </row>
    <row r="1312" spans="1:3" ht="14.25" customHeight="1">
      <c r="A1312" s="15"/>
      <c r="B1312" s="15"/>
      <c r="C1312" s="15"/>
    </row>
    <row r="1313" spans="1:3" ht="14.25" customHeight="1">
      <c r="A1313" s="15"/>
      <c r="B1313" s="15"/>
      <c r="C1313" s="15"/>
    </row>
    <row r="1314" spans="1:3" ht="14.25" customHeight="1">
      <c r="A1314" s="15"/>
      <c r="B1314" s="15"/>
      <c r="C1314" s="15"/>
    </row>
    <row r="1315" spans="1:3" ht="14.25" customHeight="1">
      <c r="A1315" s="15"/>
      <c r="B1315" s="15"/>
      <c r="C1315" s="15"/>
    </row>
    <row r="1316" spans="1:3" ht="14.25" customHeight="1">
      <c r="A1316" s="15"/>
      <c r="B1316" s="15"/>
      <c r="C1316" s="15"/>
    </row>
    <row r="1317" spans="1:3" ht="14.25" customHeight="1">
      <c r="A1317" s="15"/>
      <c r="B1317" s="15"/>
      <c r="C1317" s="15"/>
    </row>
    <row r="1318" spans="1:3" ht="14.25" customHeight="1">
      <c r="A1318" s="15"/>
      <c r="B1318" s="15"/>
      <c r="C1318" s="15"/>
    </row>
    <row r="1319" spans="1:3" ht="14.25" customHeight="1">
      <c r="A1319" s="15"/>
      <c r="B1319" s="15"/>
      <c r="C1319" s="15"/>
    </row>
    <row r="1320" spans="1:3" ht="14.25" customHeight="1">
      <c r="A1320" s="15"/>
      <c r="B1320" s="15"/>
      <c r="C1320" s="15"/>
    </row>
    <row r="1321" spans="1:3" ht="14.25" customHeight="1">
      <c r="A1321" s="15"/>
      <c r="B1321" s="15"/>
      <c r="C1321" s="15"/>
    </row>
    <row r="1322" spans="1:3" ht="14.25" customHeight="1">
      <c r="A1322" s="15"/>
      <c r="B1322" s="15"/>
      <c r="C1322" s="15"/>
    </row>
    <row r="1323" spans="1:3" ht="14.25" customHeight="1">
      <c r="A1323" s="15"/>
      <c r="B1323" s="15"/>
      <c r="C1323" s="15"/>
    </row>
    <row r="1324" spans="1:3" ht="14.25" customHeight="1">
      <c r="A1324" s="15"/>
      <c r="B1324" s="15"/>
      <c r="C1324" s="15"/>
    </row>
    <row r="1325" spans="1:3" ht="14.25" customHeight="1">
      <c r="A1325" s="15"/>
      <c r="B1325" s="15"/>
      <c r="C1325" s="15"/>
    </row>
    <row r="1326" spans="1:3" ht="14.25" customHeight="1">
      <c r="A1326" s="15"/>
      <c r="B1326" s="15"/>
      <c r="C1326" s="15"/>
    </row>
    <row r="1327" spans="1:3" ht="14.25" customHeight="1">
      <c r="A1327" s="15"/>
      <c r="B1327" s="15"/>
      <c r="C1327" s="15"/>
    </row>
    <row r="1328" spans="1:3" ht="14.25" customHeight="1">
      <c r="A1328" s="15"/>
      <c r="B1328" s="15"/>
      <c r="C1328" s="15"/>
    </row>
    <row r="1329" spans="1:3" ht="14.25" customHeight="1">
      <c r="A1329" s="15"/>
      <c r="B1329" s="15"/>
      <c r="C1329" s="15"/>
    </row>
    <row r="1330" spans="1:3" ht="14.25" customHeight="1">
      <c r="A1330" s="15"/>
      <c r="B1330" s="15"/>
      <c r="C1330" s="15"/>
    </row>
    <row r="1331" spans="1:3" ht="14.25" customHeight="1">
      <c r="A1331" s="15"/>
      <c r="B1331" s="15"/>
      <c r="C1331" s="15"/>
    </row>
    <row r="1332" spans="1:3" ht="14.25" customHeight="1">
      <c r="A1332" s="15"/>
      <c r="B1332" s="15"/>
      <c r="C1332" s="15"/>
    </row>
    <row r="1333" spans="1:3" ht="14.25" customHeight="1">
      <c r="A1333" s="15"/>
      <c r="B1333" s="15"/>
      <c r="C1333" s="15"/>
    </row>
    <row r="1334" spans="1:3" ht="14.25" customHeight="1">
      <c r="A1334" s="15"/>
      <c r="B1334" s="15"/>
      <c r="C1334" s="15"/>
    </row>
    <row r="1335" spans="1:3" ht="14.25" customHeight="1">
      <c r="A1335" s="15"/>
      <c r="B1335" s="15"/>
      <c r="C1335" s="15"/>
    </row>
    <row r="1336" spans="1:3" ht="14.25" customHeight="1">
      <c r="A1336" s="15"/>
      <c r="B1336" s="15"/>
      <c r="C1336" s="15"/>
    </row>
    <row r="1337" spans="1:3" ht="14.25" customHeight="1">
      <c r="A1337" s="15"/>
      <c r="B1337" s="15"/>
      <c r="C1337" s="15"/>
    </row>
    <row r="1338" spans="1:3" ht="14.25" customHeight="1">
      <c r="A1338" s="15"/>
      <c r="B1338" s="15"/>
      <c r="C1338" s="15"/>
    </row>
    <row r="1339" spans="1:3" ht="14.25" customHeight="1">
      <c r="A1339" s="15"/>
      <c r="B1339" s="15"/>
      <c r="C1339" s="15"/>
    </row>
    <row r="1340" spans="1:3" ht="14.25" customHeight="1">
      <c r="A1340" s="15"/>
      <c r="B1340" s="15"/>
      <c r="C1340" s="15"/>
    </row>
    <row r="1341" spans="1:3" ht="14.25" customHeight="1">
      <c r="A1341" s="15"/>
      <c r="B1341" s="15"/>
      <c r="C1341" s="15"/>
    </row>
    <row r="1342" spans="1:3" ht="14.25" customHeight="1">
      <c r="A1342" s="15"/>
      <c r="B1342" s="15"/>
      <c r="C1342" s="15"/>
    </row>
    <row r="1343" spans="1:3" ht="14.25" customHeight="1">
      <c r="A1343" s="15"/>
      <c r="B1343" s="15"/>
      <c r="C1343" s="15"/>
    </row>
    <row r="1344" spans="1:3" ht="14.25" customHeight="1">
      <c r="A1344" s="15"/>
      <c r="B1344" s="15"/>
      <c r="C1344" s="15"/>
    </row>
    <row r="1345" spans="1:3" ht="14.25" customHeight="1">
      <c r="A1345" s="15"/>
      <c r="B1345" s="15"/>
      <c r="C1345" s="15"/>
    </row>
    <row r="1346" spans="1:3" ht="14.25" customHeight="1">
      <c r="A1346" s="15"/>
      <c r="B1346" s="15"/>
      <c r="C1346" s="15"/>
    </row>
    <row r="1347" spans="1:3" ht="14.25" customHeight="1">
      <c r="A1347" s="15"/>
      <c r="B1347" s="15"/>
      <c r="C1347" s="15"/>
    </row>
    <row r="1348" spans="1:3" ht="14.25" customHeight="1">
      <c r="A1348" s="15"/>
      <c r="B1348" s="15"/>
      <c r="C1348" s="15"/>
    </row>
    <row r="1349" spans="1:3" ht="14.25" customHeight="1">
      <c r="A1349" s="15"/>
      <c r="B1349" s="15"/>
      <c r="C1349" s="15"/>
    </row>
    <row r="1350" spans="1:3" ht="14.25" customHeight="1">
      <c r="A1350" s="15"/>
      <c r="B1350" s="15"/>
      <c r="C1350" s="15"/>
    </row>
    <row r="1351" spans="1:3" ht="14.25" customHeight="1">
      <c r="A1351" s="15"/>
      <c r="B1351" s="15"/>
      <c r="C1351" s="15"/>
    </row>
    <row r="1352" spans="1:3" ht="14.25" customHeight="1">
      <c r="A1352" s="15"/>
      <c r="B1352" s="15"/>
      <c r="C1352" s="15"/>
    </row>
    <row r="1353" spans="1:3" ht="14.25" customHeight="1">
      <c r="A1353" s="15"/>
      <c r="B1353" s="15"/>
      <c r="C1353" s="15"/>
    </row>
    <row r="1354" spans="1:3" ht="14.25" customHeight="1">
      <c r="A1354" s="15"/>
      <c r="B1354" s="15"/>
      <c r="C1354" s="15"/>
    </row>
    <row r="1355" spans="1:3" ht="14.25" customHeight="1">
      <c r="A1355" s="15"/>
      <c r="B1355" s="15"/>
      <c r="C1355" s="15"/>
    </row>
    <row r="1356" spans="1:3" ht="14.25" customHeight="1">
      <c r="A1356" s="15"/>
      <c r="B1356" s="15"/>
      <c r="C1356" s="15"/>
    </row>
    <row r="1357" spans="1:3" ht="14.25" customHeight="1">
      <c r="A1357" s="15"/>
      <c r="B1357" s="15"/>
      <c r="C1357" s="15"/>
    </row>
    <row r="1358" spans="1:3" ht="14.25" customHeight="1">
      <c r="A1358" s="15"/>
      <c r="B1358" s="15"/>
      <c r="C1358" s="15"/>
    </row>
    <row r="1359" spans="1:3" ht="14.25" customHeight="1">
      <c r="A1359" s="15"/>
      <c r="B1359" s="15"/>
      <c r="C1359" s="15"/>
    </row>
    <row r="1360" spans="1:3" ht="14.25" customHeight="1">
      <c r="A1360" s="15"/>
      <c r="B1360" s="15"/>
      <c r="C1360" s="15"/>
    </row>
    <row r="1361" spans="1:3" ht="14.25" customHeight="1">
      <c r="A1361" s="15"/>
      <c r="B1361" s="15"/>
      <c r="C1361" s="15"/>
    </row>
    <row r="1362" spans="1:3" ht="14.25" customHeight="1">
      <c r="A1362" s="15"/>
      <c r="B1362" s="15"/>
      <c r="C1362" s="15"/>
    </row>
    <row r="1363" spans="1:3" ht="14.25" customHeight="1">
      <c r="A1363" s="15"/>
      <c r="B1363" s="15"/>
      <c r="C1363" s="15"/>
    </row>
    <row r="1364" spans="1:3" ht="14.25" customHeight="1">
      <c r="A1364" s="15"/>
      <c r="B1364" s="15"/>
      <c r="C1364" s="15"/>
    </row>
    <row r="1365" spans="1:3" ht="14.25" customHeight="1">
      <c r="A1365" s="15"/>
      <c r="B1365" s="15"/>
      <c r="C1365" s="15"/>
    </row>
    <row r="1366" spans="1:3" ht="14.25" customHeight="1">
      <c r="A1366" s="15"/>
      <c r="B1366" s="15"/>
      <c r="C1366" s="15"/>
    </row>
    <row r="1367" spans="1:3" ht="14.25" customHeight="1">
      <c r="A1367" s="15"/>
      <c r="B1367" s="15"/>
      <c r="C1367" s="15"/>
    </row>
    <row r="1368" spans="1:3" ht="14.25" customHeight="1">
      <c r="A1368" s="15"/>
      <c r="B1368" s="15"/>
      <c r="C1368" s="15"/>
    </row>
    <row r="1369" spans="1:3" ht="14.25" customHeight="1">
      <c r="A1369" s="15"/>
      <c r="B1369" s="15"/>
      <c r="C1369" s="15"/>
    </row>
    <row r="1370" spans="1:3" ht="14.25" customHeight="1">
      <c r="A1370" s="15"/>
      <c r="B1370" s="15"/>
      <c r="C1370" s="15"/>
    </row>
    <row r="1371" spans="1:3" ht="14.25" customHeight="1">
      <c r="A1371" s="15"/>
      <c r="B1371" s="15"/>
      <c r="C1371" s="15"/>
    </row>
    <row r="1372" spans="1:3" ht="14.25" customHeight="1">
      <c r="A1372" s="15"/>
      <c r="B1372" s="15"/>
      <c r="C1372" s="15"/>
    </row>
    <row r="1373" spans="1:3" ht="14.25" customHeight="1">
      <c r="A1373" s="15"/>
      <c r="B1373" s="15"/>
      <c r="C1373" s="15"/>
    </row>
    <row r="1374" spans="1:3" ht="14.25" customHeight="1">
      <c r="A1374" s="15"/>
      <c r="B1374" s="15"/>
      <c r="C1374" s="15"/>
    </row>
    <row r="1375" spans="1:3" ht="14.25" customHeight="1">
      <c r="A1375" s="15"/>
      <c r="B1375" s="15"/>
      <c r="C1375" s="15"/>
    </row>
  </sheetData>
  <autoFilter ref="A1:C492" xr:uid="{00000000-0009-0000-0000-000005000000}"/>
  <customSheetViews>
    <customSheetView guid="{647B0DAD-7568-4B18-9DE4-42C99E7D3A81}" filter="1" showAutoFilter="1">
      <autoFilter ref="A1:R1375" xr:uid="{FB44368A-DDB8-4411-BB55-3534139EDED5}"/>
      <extLst>
        <ext uri="GoogleSheetsCustomDataVersion1">
          <go:sheetsCustomData xmlns:go="http://customooxmlschemas.google.com/" filterViewId="108507759"/>
        </ext>
      </extLst>
    </customSheetView>
    <customSheetView guid="{702E0D53-84B0-497D-9555-EE1107389C47}" filter="1" showAutoFilter="1">
      <autoFilter ref="A1:R1375" xr:uid="{43F8517F-7A0F-4CAC-BBA0-987BE3FB474C}"/>
      <extLst>
        <ext uri="GoogleSheetsCustomDataVersion1">
          <go:sheetsCustomData xmlns:go="http://customooxmlschemas.google.com/" filterViewId="97757097"/>
        </ext>
      </extLst>
    </customSheetView>
  </customSheetView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2"/>
  <sheetViews>
    <sheetView workbookViewId="0"/>
  </sheetViews>
  <sheetFormatPr defaultColWidth="14.42578125" defaultRowHeight="15" customHeight="1"/>
  <cols>
    <col min="1" max="1" width="21.42578125" customWidth="1"/>
    <col min="2" max="2" width="42" customWidth="1"/>
  </cols>
  <sheetData>
    <row r="1" spans="1:3">
      <c r="A1" s="56" t="s">
        <v>1422</v>
      </c>
      <c r="B1" s="56" t="s">
        <v>1423</v>
      </c>
    </row>
    <row r="2" spans="1:3">
      <c r="A2" s="91" t="s">
        <v>1424</v>
      </c>
      <c r="B2" s="91" t="s">
        <v>1425</v>
      </c>
    </row>
    <row r="3" spans="1:3">
      <c r="A3" s="91" t="s">
        <v>1426</v>
      </c>
      <c r="B3" s="91" t="s">
        <v>1427</v>
      </c>
    </row>
    <row r="4" spans="1:3">
      <c r="A4" s="91" t="s">
        <v>1428</v>
      </c>
      <c r="B4" s="91" t="s">
        <v>1429</v>
      </c>
    </row>
    <row r="5" spans="1:3">
      <c r="A5" s="91" t="s">
        <v>1430</v>
      </c>
      <c r="B5" s="91" t="s">
        <v>1431</v>
      </c>
      <c r="C5" s="91" t="s">
        <v>1432</v>
      </c>
    </row>
    <row r="6" spans="1:3">
      <c r="A6" s="91" t="s">
        <v>1433</v>
      </c>
      <c r="B6" s="91" t="s">
        <v>1434</v>
      </c>
    </row>
    <row r="7" spans="1:3">
      <c r="A7" s="91" t="s">
        <v>1435</v>
      </c>
      <c r="B7" s="91" t="s">
        <v>1436</v>
      </c>
    </row>
    <row r="8" spans="1:3">
      <c r="A8" s="91" t="s">
        <v>1437</v>
      </c>
      <c r="B8" s="91" t="s">
        <v>1438</v>
      </c>
    </row>
    <row r="9" spans="1:3">
      <c r="A9" s="385" t="s">
        <v>1439</v>
      </c>
      <c r="B9" s="91" t="s">
        <v>1440</v>
      </c>
    </row>
    <row r="10" spans="1:3">
      <c r="A10" s="91" t="s">
        <v>1441</v>
      </c>
      <c r="B10" s="91" t="s">
        <v>1442</v>
      </c>
    </row>
    <row r="11" spans="1:3">
      <c r="A11" s="91" t="s">
        <v>1443</v>
      </c>
      <c r="B11" s="91" t="s">
        <v>1444</v>
      </c>
    </row>
    <row r="12" spans="1:3">
      <c r="A12" s="91" t="s">
        <v>1445</v>
      </c>
      <c r="B12" s="91" t="s">
        <v>1446</v>
      </c>
    </row>
  </sheetData>
  <hyperlinks>
    <hyperlink ref="A9" r:id="rId1" xr:uid="{00000000-0004-0000-0600-000000000000}"/>
  </hyperlinks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V21"/>
  <sheetViews>
    <sheetView workbookViewId="0"/>
  </sheetViews>
  <sheetFormatPr defaultColWidth="14.42578125" defaultRowHeight="15" customHeight="1"/>
  <cols>
    <col min="2" max="3" width="14.42578125" hidden="1"/>
    <col min="6" max="6" width="17.140625" customWidth="1"/>
    <col min="7" max="7" width="19.28515625" customWidth="1"/>
    <col min="9" max="9" width="17.140625" customWidth="1"/>
  </cols>
  <sheetData>
    <row r="1" spans="1:22">
      <c r="A1" s="57" t="s">
        <v>1033</v>
      </c>
      <c r="B1" s="64" t="s">
        <v>1034</v>
      </c>
      <c r="C1" s="64" t="s">
        <v>1035</v>
      </c>
      <c r="D1" s="65" t="s">
        <v>1036</v>
      </c>
      <c r="E1" s="66" t="s">
        <v>1037</v>
      </c>
      <c r="F1" s="67" t="s">
        <v>1447</v>
      </c>
      <c r="G1" s="67" t="s">
        <v>1028</v>
      </c>
      <c r="H1" s="67" t="s">
        <v>1027</v>
      </c>
      <c r="I1" s="67" t="s">
        <v>1448</v>
      </c>
    </row>
    <row r="2" spans="1:22" ht="14.25" customHeight="1">
      <c r="A2" s="14" t="s">
        <v>1261</v>
      </c>
      <c r="B2" s="78"/>
      <c r="C2" s="78"/>
      <c r="D2" s="92">
        <v>45457</v>
      </c>
      <c r="E2" s="14">
        <v>654</v>
      </c>
      <c r="F2" s="76">
        <v>118609</v>
      </c>
      <c r="G2" s="108">
        <f t="shared" ref="G2:G11" si="0">F2*0.19</f>
        <v>22535.71</v>
      </c>
      <c r="H2" s="108">
        <f t="shared" ref="H2:H11" si="1">F2*0.205</f>
        <v>24314.844999999998</v>
      </c>
      <c r="I2" s="108">
        <f t="shared" ref="I2:I11" si="2">F2-G2-H2</f>
        <v>71758.445000000007</v>
      </c>
    </row>
    <row r="3" spans="1:22" ht="14.25" customHeight="1">
      <c r="A3" s="14" t="s">
        <v>1268</v>
      </c>
      <c r="B3" s="78"/>
      <c r="C3" s="78"/>
      <c r="D3" s="92">
        <v>45468</v>
      </c>
      <c r="E3" s="14">
        <v>670</v>
      </c>
      <c r="F3" s="76">
        <v>117053</v>
      </c>
      <c r="G3" s="108">
        <f t="shared" si="0"/>
        <v>22240.07</v>
      </c>
      <c r="H3" s="108">
        <f t="shared" si="1"/>
        <v>23995.864999999998</v>
      </c>
      <c r="I3" s="108">
        <f t="shared" si="2"/>
        <v>70817.065000000002</v>
      </c>
    </row>
    <row r="4" spans="1:22">
      <c r="A4" s="109" t="s">
        <v>1272</v>
      </c>
      <c r="B4" s="78"/>
      <c r="C4" s="78"/>
      <c r="D4" s="92">
        <v>45474</v>
      </c>
      <c r="E4" s="70">
        <v>677</v>
      </c>
      <c r="F4" s="108">
        <v>175757</v>
      </c>
      <c r="G4" s="108">
        <f t="shared" si="0"/>
        <v>33393.83</v>
      </c>
      <c r="H4" s="108">
        <f t="shared" si="1"/>
        <v>36030.184999999998</v>
      </c>
      <c r="I4" s="108">
        <f t="shared" si="2"/>
        <v>106332.98499999999</v>
      </c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</row>
    <row r="5" spans="1:22">
      <c r="A5" s="111" t="s">
        <v>1278</v>
      </c>
      <c r="B5" s="78"/>
      <c r="C5" s="78"/>
      <c r="D5" s="92">
        <v>45478</v>
      </c>
      <c r="E5" s="70">
        <v>684</v>
      </c>
      <c r="F5" s="108">
        <v>118135</v>
      </c>
      <c r="G5" s="108">
        <f t="shared" si="0"/>
        <v>22445.65</v>
      </c>
      <c r="H5" s="108">
        <f t="shared" si="1"/>
        <v>24217.674999999999</v>
      </c>
      <c r="I5" s="108">
        <f t="shared" si="2"/>
        <v>71471.675000000003</v>
      </c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</row>
    <row r="6" spans="1:22">
      <c r="A6" s="109" t="s">
        <v>1283</v>
      </c>
      <c r="B6" s="78"/>
      <c r="C6" s="78"/>
      <c r="D6" s="92">
        <v>45484</v>
      </c>
      <c r="E6" s="70">
        <v>691</v>
      </c>
      <c r="F6" s="108">
        <v>188808</v>
      </c>
      <c r="G6" s="108">
        <f t="shared" si="0"/>
        <v>35873.519999999997</v>
      </c>
      <c r="H6" s="108">
        <f t="shared" si="1"/>
        <v>38705.64</v>
      </c>
      <c r="I6" s="108">
        <f t="shared" si="2"/>
        <v>114228.84000000001</v>
      </c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</row>
    <row r="7" spans="1:22">
      <c r="A7" s="109" t="s">
        <v>1284</v>
      </c>
      <c r="B7" s="78"/>
      <c r="C7" s="78"/>
      <c r="D7" s="92">
        <v>45485</v>
      </c>
      <c r="E7" s="70">
        <v>692</v>
      </c>
      <c r="F7" s="108">
        <v>175198</v>
      </c>
      <c r="G7" s="108">
        <f t="shared" si="0"/>
        <v>33287.620000000003</v>
      </c>
      <c r="H7" s="108">
        <f t="shared" si="1"/>
        <v>35915.589999999997</v>
      </c>
      <c r="I7" s="108">
        <f t="shared" si="2"/>
        <v>105994.79000000001</v>
      </c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</row>
    <row r="8" spans="1:22">
      <c r="A8" s="109" t="s">
        <v>1288</v>
      </c>
      <c r="B8" s="78"/>
      <c r="C8" s="78"/>
      <c r="D8" s="92">
        <v>45499</v>
      </c>
      <c r="E8" s="70">
        <v>711</v>
      </c>
      <c r="F8" s="108">
        <v>150619</v>
      </c>
      <c r="G8" s="108">
        <f t="shared" si="0"/>
        <v>28617.61</v>
      </c>
      <c r="H8" s="108">
        <f t="shared" si="1"/>
        <v>30876.894999999997</v>
      </c>
      <c r="I8" s="108">
        <f t="shared" si="2"/>
        <v>91124.494999999995</v>
      </c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</row>
    <row r="9" spans="1:22">
      <c r="A9" s="109" t="s">
        <v>1291</v>
      </c>
      <c r="B9" s="78"/>
      <c r="C9" s="78"/>
      <c r="D9" s="92">
        <v>45504</v>
      </c>
      <c r="E9" s="70">
        <v>716</v>
      </c>
      <c r="F9" s="108">
        <v>183228</v>
      </c>
      <c r="G9" s="108">
        <f t="shared" si="0"/>
        <v>34813.32</v>
      </c>
      <c r="H9" s="108">
        <f t="shared" si="1"/>
        <v>37561.74</v>
      </c>
      <c r="I9" s="108">
        <f t="shared" si="2"/>
        <v>110852.94</v>
      </c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</row>
    <row r="10" spans="1:22">
      <c r="A10" s="109" t="s">
        <v>883</v>
      </c>
      <c r="B10" s="78"/>
      <c r="C10" s="78"/>
      <c r="D10" s="92">
        <v>45505</v>
      </c>
      <c r="E10" s="70">
        <v>719</v>
      </c>
      <c r="F10" s="108">
        <v>176057</v>
      </c>
      <c r="G10" s="108">
        <f t="shared" si="0"/>
        <v>33450.83</v>
      </c>
      <c r="H10" s="108">
        <f t="shared" si="1"/>
        <v>36091.684999999998</v>
      </c>
      <c r="I10" s="108">
        <f t="shared" si="2"/>
        <v>106514.48499999999</v>
      </c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</row>
    <row r="11" spans="1:22">
      <c r="A11" s="57" t="s">
        <v>1261</v>
      </c>
      <c r="B11" s="78"/>
      <c r="C11" s="78"/>
      <c r="D11" s="92">
        <v>45509</v>
      </c>
      <c r="E11" s="14">
        <v>721</v>
      </c>
      <c r="F11" s="108">
        <v>120477</v>
      </c>
      <c r="G11" s="108">
        <f t="shared" si="0"/>
        <v>22890.63</v>
      </c>
      <c r="H11" s="108">
        <f t="shared" si="1"/>
        <v>24697.785</v>
      </c>
      <c r="I11" s="108">
        <f t="shared" si="2"/>
        <v>72888.584999999992</v>
      </c>
    </row>
    <row r="13" spans="1:22">
      <c r="G13" s="112" t="s">
        <v>1449</v>
      </c>
    </row>
    <row r="14" spans="1:22">
      <c r="G14" s="113">
        <f>SUM(I4:I9)</f>
        <v>600005.72500000009</v>
      </c>
    </row>
    <row r="15" spans="1:22">
      <c r="G15" s="113">
        <f>G14*0.04</f>
        <v>24000.229000000003</v>
      </c>
    </row>
    <row r="20" spans="4:4">
      <c r="D20" s="114">
        <f>26*65000</f>
        <v>1690000</v>
      </c>
    </row>
    <row r="21" spans="4:4">
      <c r="D21" s="91">
        <f>6*260</f>
        <v>1560</v>
      </c>
    </row>
  </sheetData>
  <conditionalFormatting sqref="G2:I11">
    <cfRule type="containsText" dxfId="1" priority="1" operator="containsText" text="Pendiente">
      <formula>NOT(ISERROR(SEARCH(("Pendiente"),(G2))))</formula>
    </cfRule>
  </conditionalFormatting>
  <conditionalFormatting sqref="G2:I11">
    <cfRule type="containsText" dxfId="0" priority="2" operator="containsText" text="Pagado">
      <formula>NOT(ISERROR(SEARCH(("Pagado"),(G2))))</formula>
    </cfRule>
  </conditionalFormatting>
  <pageMargins left="0" right="0" top="0" bottom="0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Alejandro Sokorai Bravo</dc:creator>
  <cp:keywords/>
  <dc:description/>
  <cp:lastModifiedBy>Alexandra Denisse Arriagada Pinto</cp:lastModifiedBy>
  <cp:revision/>
  <dcterms:created xsi:type="dcterms:W3CDTF">2020-11-10T00:28:22Z</dcterms:created>
  <dcterms:modified xsi:type="dcterms:W3CDTF">2025-05-22T13:33:27Z</dcterms:modified>
  <cp:category/>
  <cp:contentStatus/>
</cp:coreProperties>
</file>